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hreadedComments/threadedComment3.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threadedComments/threadedComment4.xml" ContentType="application/vnd.ms-excel.threadedcomments+xml"/>
  <Override PartName="/xl/comments20.xml" ContentType="application/vnd.openxmlformats-officedocument.spreadsheetml.comments+xml"/>
  <Override PartName="/xl/threadedComments/threadedComment5.xml" ContentType="application/vnd.ms-excel.threaded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threadedComments/threadedComment6.xml" ContentType="application/vnd.ms-excel.threaded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threadedComments/threadedComment7.xml" ContentType="application/vnd.ms-excel.threaded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threadedComments/threadedComment8.xml" ContentType="application/vnd.ms-excel.threaded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threadedComments/threadedComment9.xml" ContentType="application/vnd.ms-excel.threaded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threadedComments/threadedComment10.xml" ContentType="application/vnd.ms-excel.threadedcomments+xml"/>
  <Override PartName="/xl/comments49.xml" ContentType="application/vnd.openxmlformats-officedocument.spreadsheetml.comments+xml"/>
  <Override PartName="/xl/threadedComments/threadedComment11.xml" ContentType="application/vnd.ms-excel.threadedcomments+xml"/>
  <Override PartName="/xl/comments50.xml" ContentType="application/vnd.openxmlformats-officedocument.spreadsheetml.comments+xml"/>
  <Override PartName="/xl/threadedComments/threadedComment12.xml" ContentType="application/vnd.ms-excel.threaded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threadedComments/threadedComment13.xml" ContentType="application/vnd.ms-excel.threadedcomments+xml"/>
  <Override PartName="/xl/comments54.xml" ContentType="application/vnd.openxmlformats-officedocument.spreadsheetml.comments+xml"/>
  <Override PartName="/xl/comments55.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59.xml" ContentType="application/vnd.openxmlformats-officedocument.spreadsheetml.comments+xml"/>
  <Override PartName="/xl/comments60.xml" ContentType="application/vnd.openxmlformats-officedocument.spreadsheetml.comments+xml"/>
  <Override PartName="/xl/comments61.xml" ContentType="application/vnd.openxmlformats-officedocument.spreadsheetml.comments+xml"/>
  <Override PartName="/xl/threadedComments/threadedComment14.xml" ContentType="application/vnd.ms-excel.threadedcomments+xml"/>
  <Override PartName="/xl/comments62.xml" ContentType="application/vnd.openxmlformats-officedocument.spreadsheetml.comments+xml"/>
  <Override PartName="/xl/threadedComments/threadedComment15.xml" ContentType="application/vnd.ms-excel.threadedcomments+xml"/>
  <Override PartName="/xl/comments63.xml" ContentType="application/vnd.openxmlformats-officedocument.spreadsheetml.comments+xml"/>
  <Override PartName="/xl/threadedComments/threadedComment16.xml" ContentType="application/vnd.ms-excel.threadedcomments+xml"/>
  <Override PartName="/xl/comments64.xml" ContentType="application/vnd.openxmlformats-officedocument.spreadsheetml.comments+xml"/>
  <Override PartName="/xl/threadedComments/threadedComment17.xml" ContentType="application/vnd.ms-excel.threadedcomments+xml"/>
  <Override PartName="/xl/comments65.xml" ContentType="application/vnd.openxmlformats-officedocument.spreadsheetml.comments+xml"/>
  <Override PartName="/xl/threadedComments/threadedComment18.xml" ContentType="application/vnd.ms-excel.threadedcomments+xml"/>
  <Override PartName="/xl/comments66.xml" ContentType="application/vnd.openxmlformats-officedocument.spreadsheetml.comments+xml"/>
  <Override PartName="/xl/threadedComments/threadedComment19.xml" ContentType="application/vnd.ms-excel.threadedcomments+xml"/>
  <Override PartName="/xl/comments67.xml" ContentType="application/vnd.openxmlformats-officedocument.spreadsheetml.comments+xml"/>
  <Override PartName="/xl/comments68.xml" ContentType="application/vnd.openxmlformats-officedocument.spreadsheetml.comments+xml"/>
  <Override PartName="/xl/comments69.xml" ContentType="application/vnd.openxmlformats-officedocument.spreadsheetml.comments+xml"/>
  <Override PartName="/xl/comments7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octafoodsa-my.sharepoint.com/personal/alshareef_ka_octafoodksa_com/Documents/Octa File/SOPs &amp; Operation/Tokyo Project/Tokyo Files/August/W3/"/>
    </mc:Choice>
  </mc:AlternateContent>
  <xr:revisionPtr revIDLastSave="101298" documentId="6_{E329D82C-C147-4323-BA39-074953EDAED5}" xr6:coauthVersionLast="47" xr6:coauthVersionMax="47" xr10:uidLastSave="{F131B050-3379-45A6-99CE-9A8479547BA8}"/>
  <bookViews>
    <workbookView xWindow="-120" yWindow="-120" windowWidth="29040" windowHeight="15840" tabRatio="836" firstSheet="78" activeTab="80" xr2:uid="{00000000-000D-0000-FFFF-FFFF00000000}"/>
  </bookViews>
  <sheets>
    <sheet name="Butchery" sheetId="80" r:id="rId1"/>
    <sheet name="All_Ingredients" sheetId="1" r:id="rId2"/>
    <sheet name="Marination_Ordering" sheetId="2" r:id="rId3"/>
    <sheet name="Cutting_Shapes_Ordering" sheetId="116" r:id="rId4"/>
    <sheet name="Curry Chicken" sheetId="3" r:id="rId5"/>
    <sheet name="Kabsa Lahm" sheetId="4" r:id="rId6"/>
    <sheet name="Pan Fried Fish" sheetId="6" r:id="rId7"/>
    <sheet name="Beef Chilli Dry" sheetId="5" r:id="rId8"/>
    <sheet name="Meat with Bamiya" sheetId="7" r:id="rId9"/>
    <sheet name="Chinese Chicken" sheetId="8" r:id="rId10"/>
    <sheet name="Herbal Chicken" sheetId="9" r:id="rId11"/>
    <sheet name="Asian Chicken Sandwich" sheetId="11" r:id="rId12"/>
    <sheet name="Jollof Sauce" sheetId="87" r:id="rId13"/>
    <sheet name="Arabic Chicken Burger" sheetId="96" r:id="rId14"/>
    <sheet name="Chicken Mandi (1)" sheetId="10" r:id="rId15"/>
    <sheet name="Asian Potato Cubes" sheetId="89" r:id="rId16"/>
    <sheet name="Herbal Potato Wedges" sheetId="12" r:id="rId17"/>
    <sheet name="Spaghetti pasta" sheetId="82" r:id="rId18"/>
    <sheet name="Sautee Vegetables (1)" sheetId="13" r:id="rId19"/>
    <sheet name="Mached Potato(1)" sheetId="14" r:id="rId20"/>
    <sheet name="Chicken Alfredo" sheetId="15" r:id="rId21"/>
    <sheet name="Fettuccine Pasta Sauce" sheetId="16" r:id="rId22"/>
    <sheet name="Blankwet Fish" sheetId="19" r:id="rId23"/>
    <sheet name="Coconut Chicken" sheetId="17" r:id="rId24"/>
    <sheet name="Chicken 65" sheetId="18" r:id="rId25"/>
    <sheet name="Mkhtoum Lahm" sheetId="20" r:id="rId26"/>
    <sheet name="BBQ Chicken Skewers" sheetId="21" r:id="rId27"/>
    <sheet name="Meat Mashroom" sheetId="97" r:id="rId28"/>
    <sheet name="Beef Burger BBQ" sheetId="98" r:id="rId29"/>
    <sheet name="Honey Chicken Burger" sheetId="99" r:id="rId30"/>
    <sheet name="Beef Zurbian" sheetId="23" r:id="rId31"/>
    <sheet name="Grilled Vegetables(2)" sheetId="24" r:id="rId32"/>
    <sheet name="Almond Chicken" sheetId="25" r:id="rId33"/>
    <sheet name="Chicken Pasta with Vegetable" sheetId="26" r:id="rId34"/>
    <sheet name="Pasta with Vegetable(Pasta)" sheetId="27" r:id="rId35"/>
    <sheet name="Changezi Chicken" sheetId="28" r:id="rId36"/>
    <sheet name="Daoud Basha" sheetId="29" r:id="rId37"/>
    <sheet name="Fish with cream" sheetId="30" r:id="rId38"/>
    <sheet name="Moussaka Vegi" sheetId="31" r:id="rId39"/>
    <sheet name="Moussaka Meat" sheetId="32" r:id="rId40"/>
    <sheet name="Laham Oriental" sheetId="33" r:id="rId41"/>
    <sheet name="Beef Oriental rice" sheetId="92" r:id="rId42"/>
    <sheet name="Chicken Saleeq (3)" sheetId="34" r:id="rId43"/>
    <sheet name="Chicken Mandi (3)" sheetId="35" r:id="rId44"/>
    <sheet name="Chicken Caesar Salad" sheetId="36" r:id="rId45"/>
    <sheet name="Smoky Beef Burger" sheetId="100" r:id="rId46"/>
    <sheet name="Chicken Fajita" sheetId="37" r:id="rId47"/>
    <sheet name="Mached Potato(3)" sheetId="38" r:id="rId48"/>
    <sheet name="Potato Wedges" sheetId="39" r:id="rId49"/>
    <sheet name="Oven Vegetables (3)" sheetId="40" r:id="rId50"/>
    <sheet name="Chicken Steak Sauce" sheetId="41" r:id="rId51"/>
    <sheet name="Chicken Steak Topping" sheetId="42" r:id="rId52"/>
    <sheet name="Chicken Mushroom" sheetId="43" r:id="rId53"/>
    <sheet name="Stroganoff Beef" sheetId="44" r:id="rId54"/>
    <sheet name="Stroganoff pasta" sheetId="45" r:id="rId55"/>
    <sheet name="Beef Amansi" sheetId="46" r:id="rId56"/>
    <sheet name="Chicken Tikka" sheetId="47" r:id="rId57"/>
    <sheet name="Lahm Fasooliya" sheetId="48" r:id="rId58"/>
    <sheet name="Lemon Fish" sheetId="49" r:id="rId59"/>
    <sheet name="Orzo Pasta" sheetId="50" r:id="rId60"/>
    <sheet name="Octa Poki Bowl" sheetId="79" r:id="rId61"/>
    <sheet name="Chicken Makloba" sheetId="51" r:id="rId62"/>
    <sheet name="Makloba Veggi" sheetId="52" r:id="rId63"/>
    <sheet name="BBQ Chicken" sheetId="53" r:id="rId64"/>
    <sheet name="Classic Chicken Burger" sheetId="101" r:id="rId65"/>
    <sheet name="Chicken Noodles" sheetId="102" r:id="rId66"/>
    <sheet name="Noodles" sheetId="103" r:id="rId67"/>
    <sheet name="Noodles Veggie" sheetId="104" r:id="rId68"/>
    <sheet name="Mached Potato(4)" sheetId="54" r:id="rId69"/>
    <sheet name="Sautee Vegetables (4)" sheetId="55" r:id="rId70"/>
    <sheet name="Oriental Vegetables" sheetId="105" r:id="rId71"/>
    <sheet name="Sriracha Chicken" sheetId="56" r:id="rId72"/>
    <sheet name="Butter Chicken" sheetId="57" r:id="rId73"/>
    <sheet name="Meat Kebab" sheetId="58" r:id="rId74"/>
    <sheet name="Curry Fish" sheetId="59" r:id="rId75"/>
    <sheet name="Kebab Hindi" sheetId="60" r:id="rId76"/>
    <sheet name="Pizziola Chicken" sheetId="61" r:id="rId77"/>
    <sheet name="Lahm Bolognese" sheetId="62" r:id="rId78"/>
    <sheet name="Lasagne Bachamel" sheetId="64" r:id="rId79"/>
    <sheet name="Beef Lasagne Sauce" sheetId="65" r:id="rId80"/>
    <sheet name="Chicken Burger BBQ" sheetId="94" r:id="rId81"/>
    <sheet name="Oriental Chicken" sheetId="95" r:id="rId82"/>
    <sheet name="Beef Bokhary" sheetId="66" r:id="rId83"/>
    <sheet name="Beef philly cheese steak" sheetId="67" r:id="rId84"/>
    <sheet name="Spaghetti pasta (2)" sheetId="83" r:id="rId85"/>
    <sheet name="Grilled Vegetables(5)" sheetId="68" r:id="rId86"/>
    <sheet name="Sigapore Vegetables" sheetId="86" r:id="rId87"/>
    <sheet name="Mexican Vegetables" sheetId="85" r:id="rId88"/>
    <sheet name="Pink Chicken" sheetId="69" r:id="rId89"/>
    <sheet name="Ginger Chicken" sheetId="70" r:id="rId90"/>
    <sheet name="French Meatball" sheetId="106" r:id="rId91"/>
    <sheet name="Singapore Chicken" sheetId="107" r:id="rId92"/>
    <sheet name="Fish with Shabat and Lemon" sheetId="108" r:id="rId93"/>
    <sheet name="Chicken Molokeya" sheetId="109" r:id="rId94"/>
    <sheet name="Beef Kebab Sandwich" sheetId="110" r:id="rId95"/>
    <sheet name="Beef Burger Arabic" sheetId="111" r:id="rId96"/>
    <sheet name="Chicken Saleeq (6)" sheetId="112" r:id="rId97"/>
    <sheet name="Beef Kabli" sheetId="113" r:id="rId98"/>
    <sheet name="Spaghetti pasta (3)" sheetId="114" r:id="rId99"/>
    <sheet name="Oven Vegetables (6)" sheetId="115" r:id="rId100"/>
  </sheets>
  <functionGroups builtInGroupCount="19"/>
  <definedNames>
    <definedName name="_xlnm._FilterDatabase" localSheetId="1" hidden="1">All_Ingredients!$A$1:$O$306</definedName>
    <definedName name="_xlnm._FilterDatabase" localSheetId="0" hidden="1">Butchery!$A$2:$E$155</definedName>
    <definedName name="_xlnm._FilterDatabase" localSheetId="2" hidden="1">Marination_Ordering!$A$1:$O$80</definedName>
    <definedName name="_xleta.COUNTIF" localSheetId="13" hidden="1">none</definedName>
    <definedName name="_xleta.COUNTIF" localSheetId="15" hidden="1">none</definedName>
    <definedName name="_xleta.COUNTIF" localSheetId="95" hidden="1">none</definedName>
    <definedName name="_xleta.COUNTIF" localSheetId="97" hidden="1">none</definedName>
    <definedName name="_xleta.COUNTIF" localSheetId="41" hidden="1">none</definedName>
    <definedName name="_xleta.COUNTIF" localSheetId="80" hidden="1">none</definedName>
    <definedName name="_xleta.COUNTIF" localSheetId="65" hidden="1">none</definedName>
    <definedName name="_xleta.COUNTIF" localSheetId="64" hidden="1">none</definedName>
    <definedName name="_xleta.COUNTIF" localSheetId="29" hidden="1">none</definedName>
    <definedName name="_xleta.COUNTIF" localSheetId="12" hidden="1">none</definedName>
    <definedName name="_xleta.COUNTIF" localSheetId="27" hidden="1">none</definedName>
    <definedName name="_xleta.COUNTIF" localSheetId="66" hidden="1">none</definedName>
    <definedName name="_xleta.COUNTIF" localSheetId="67" hidden="1">none</definedName>
    <definedName name="_xleta.COUNTIF" localSheetId="60" hidden="1">none</definedName>
    <definedName name="_xleta.COUNTIF" localSheetId="81" hidden="1">none</definedName>
    <definedName name="_xleta.COUNTIF" localSheetId="70" hidden="1">none</definedName>
    <definedName name="_xleta.COUNTIF" localSheetId="45" hidden="1">none</definedName>
    <definedName name="_xleta.COUNTIF" localSheetId="84" hidden="1">none</definedName>
    <definedName name="_xleta.COUNTIF" localSheetId="98" hidden="1">none</definedName>
    <definedName name="_xleta.COUNTIF" hidden="1">none</definedName>
    <definedName name="_xleta.IF" localSheetId="13" hidden="1">none</definedName>
    <definedName name="_xleta.IF" localSheetId="15" hidden="1">none</definedName>
    <definedName name="_xleta.IF" localSheetId="95" hidden="1">none</definedName>
    <definedName name="_xleta.IF" localSheetId="97" hidden="1">none</definedName>
    <definedName name="_xleta.IF" localSheetId="41" hidden="1">none</definedName>
    <definedName name="_xleta.IF" localSheetId="80" hidden="1">none</definedName>
    <definedName name="_xleta.IF" localSheetId="65" hidden="1">none</definedName>
    <definedName name="_xleta.IF" localSheetId="64" hidden="1">none</definedName>
    <definedName name="_xleta.IF" localSheetId="29" hidden="1">none</definedName>
    <definedName name="_xleta.IF" localSheetId="12" hidden="1">none</definedName>
    <definedName name="_xleta.IF" localSheetId="27" hidden="1">none</definedName>
    <definedName name="_xleta.IF" localSheetId="66" hidden="1">none</definedName>
    <definedName name="_xleta.IF" localSheetId="67" hidden="1">none</definedName>
    <definedName name="_xleta.IF" localSheetId="60" hidden="1">none</definedName>
    <definedName name="_xleta.IF" localSheetId="81" hidden="1">none</definedName>
    <definedName name="_xleta.IF" localSheetId="70" hidden="1">none</definedName>
    <definedName name="_xleta.IF" localSheetId="45" hidden="1">none</definedName>
    <definedName name="_xleta.IF" localSheetId="84" hidden="1">none</definedName>
    <definedName name="_xleta.IF" localSheetId="98" hidden="1">none</definedName>
    <definedName name="_xleta.IF" hidden="1">none</definedName>
    <definedName name="_xleta.MAX" localSheetId="13" hidden="1">none</definedName>
    <definedName name="_xleta.MAX" localSheetId="15" hidden="1">none</definedName>
    <definedName name="_xleta.MAX" localSheetId="95" hidden="1">none</definedName>
    <definedName name="_xleta.MAX" localSheetId="97" hidden="1">none</definedName>
    <definedName name="_xleta.MAX" localSheetId="41" hidden="1">none</definedName>
    <definedName name="_xleta.MAX" localSheetId="80" hidden="1">none</definedName>
    <definedName name="_xleta.MAX" localSheetId="65" hidden="1">none</definedName>
    <definedName name="_xleta.MAX" localSheetId="64" hidden="1">none</definedName>
    <definedName name="_xleta.MAX" localSheetId="29" hidden="1">none</definedName>
    <definedName name="_xleta.MAX" localSheetId="12" hidden="1">none</definedName>
    <definedName name="_xleta.MAX" localSheetId="27" hidden="1">none</definedName>
    <definedName name="_xleta.MAX" localSheetId="66" hidden="1">none</definedName>
    <definedName name="_xleta.MAX" localSheetId="67" hidden="1">none</definedName>
    <definedName name="_xleta.MAX" localSheetId="60" hidden="1">none</definedName>
    <definedName name="_xleta.MAX" localSheetId="81" hidden="1">none</definedName>
    <definedName name="_xleta.MAX" localSheetId="70" hidden="1">none</definedName>
    <definedName name="_xleta.MAX" localSheetId="45" hidden="1">none</definedName>
    <definedName name="_xleta.MAX" localSheetId="84" hidden="1">none</definedName>
    <definedName name="_xleta.MAX" localSheetId="98" hidden="1">none</definedName>
    <definedName name="_xleta.MAX" hidden="1">none</definedName>
    <definedName name="_xleta.MIN" localSheetId="13" hidden="1">none</definedName>
    <definedName name="_xleta.MIN" localSheetId="15" hidden="1">none</definedName>
    <definedName name="_xleta.MIN" localSheetId="95" hidden="1">none</definedName>
    <definedName name="_xleta.MIN" localSheetId="97" hidden="1">none</definedName>
    <definedName name="_xleta.MIN" localSheetId="41" hidden="1">none</definedName>
    <definedName name="_xleta.MIN" localSheetId="80" hidden="1">none</definedName>
    <definedName name="_xleta.MIN" localSheetId="65" hidden="1">none</definedName>
    <definedName name="_xleta.MIN" localSheetId="64" hidden="1">none</definedName>
    <definedName name="_xleta.MIN" localSheetId="29" hidden="1">none</definedName>
    <definedName name="_xleta.MIN" localSheetId="12" hidden="1">none</definedName>
    <definedName name="_xleta.MIN" localSheetId="27" hidden="1">none</definedName>
    <definedName name="_xleta.MIN" localSheetId="66" hidden="1">none</definedName>
    <definedName name="_xleta.MIN" localSheetId="67" hidden="1">none</definedName>
    <definedName name="_xleta.MIN" localSheetId="60" hidden="1">none</definedName>
    <definedName name="_xleta.MIN" localSheetId="81" hidden="1">none</definedName>
    <definedName name="_xleta.MIN" localSheetId="70" hidden="1">none</definedName>
    <definedName name="_xleta.MIN" localSheetId="45" hidden="1">none</definedName>
    <definedName name="_xleta.MIN" localSheetId="84" hidden="1">none</definedName>
    <definedName name="_xleta.MIN" localSheetId="98" hidden="1">none</definedName>
    <definedName name="_xleta.MIN" hidden="1">none</definedName>
    <definedName name="_xleta.N" localSheetId="13" hidden="1">none</definedName>
    <definedName name="_xleta.N" localSheetId="15" hidden="1">none</definedName>
    <definedName name="_xleta.N" localSheetId="95" hidden="1">none</definedName>
    <definedName name="_xleta.N" localSheetId="97" hidden="1">none</definedName>
    <definedName name="_xleta.N" localSheetId="41" hidden="1">none</definedName>
    <definedName name="_xleta.N" localSheetId="80" hidden="1">none</definedName>
    <definedName name="_xleta.N" localSheetId="65" hidden="1">none</definedName>
    <definedName name="_xleta.N" localSheetId="64" hidden="1">none</definedName>
    <definedName name="_xleta.N" localSheetId="29" hidden="1">none</definedName>
    <definedName name="_xleta.N" localSheetId="12" hidden="1">none</definedName>
    <definedName name="_xleta.N" localSheetId="27" hidden="1">none</definedName>
    <definedName name="_xleta.N" localSheetId="66" hidden="1">none</definedName>
    <definedName name="_xleta.N" localSheetId="67" hidden="1">none</definedName>
    <definedName name="_xleta.N" localSheetId="60" hidden="1">none</definedName>
    <definedName name="_xleta.N" localSheetId="81" hidden="1">none</definedName>
    <definedName name="_xleta.N" localSheetId="70" hidden="1">none</definedName>
    <definedName name="_xleta.N" localSheetId="45" hidden="1">none</definedName>
    <definedName name="_xleta.N" localSheetId="84" hidden="1">none</definedName>
    <definedName name="_xleta.N" localSheetId="98" hidden="1">none</definedName>
    <definedName name="_xleta.N" hidden="1">none</definedName>
    <definedName name="_xleta.SUM" localSheetId="13" hidden="1">none</definedName>
    <definedName name="_xleta.SUM" localSheetId="15" hidden="1">none</definedName>
    <definedName name="_xleta.SUM" localSheetId="95" hidden="1">none</definedName>
    <definedName name="_xleta.SUM" localSheetId="97" hidden="1">none</definedName>
    <definedName name="_xleta.SUM" localSheetId="80" hidden="1">none</definedName>
    <definedName name="_xleta.SUM" localSheetId="65" hidden="1">none</definedName>
    <definedName name="_xleta.SUM" localSheetId="64" hidden="1">none</definedName>
    <definedName name="_xleta.SUM" localSheetId="29" hidden="1">none</definedName>
    <definedName name="_xleta.SUM" localSheetId="12" hidden="1">none</definedName>
    <definedName name="_xleta.SUM" localSheetId="27" hidden="1">none</definedName>
    <definedName name="_xleta.SUM" localSheetId="66" hidden="1">none</definedName>
    <definedName name="_xleta.SUM" localSheetId="67" hidden="1">none</definedName>
    <definedName name="_xleta.SUM" localSheetId="60" hidden="1">none</definedName>
    <definedName name="_xleta.SUM" localSheetId="81" hidden="1">none</definedName>
    <definedName name="_xleta.SUM" localSheetId="70" hidden="1">none</definedName>
    <definedName name="_xleta.SUM" localSheetId="45" hidden="1">none</definedName>
    <definedName name="_xleta.SUM" localSheetId="84" hidden="1">none</definedName>
    <definedName name="_xleta.SUM" localSheetId="98" hidden="1">none</definedName>
    <definedName name="_xleta.SUM" hidden="1">none</definedName>
    <definedName name="_xleta.SUMPRODUCT" hidden="1" xlm="1">#NAME?</definedName>
    <definedName name="_xleta.T" localSheetId="13" hidden="1">none</definedName>
    <definedName name="_xleta.T" localSheetId="15" hidden="1">none</definedName>
    <definedName name="_xleta.T" localSheetId="95" hidden="1">none</definedName>
    <definedName name="_xleta.T" localSheetId="97" hidden="1">none</definedName>
    <definedName name="_xleta.T" localSheetId="41" hidden="1">none</definedName>
    <definedName name="_xleta.T" localSheetId="80" hidden="1">none</definedName>
    <definedName name="_xleta.T" localSheetId="65" hidden="1">none</definedName>
    <definedName name="_xleta.T" localSheetId="64" hidden="1">none</definedName>
    <definedName name="_xleta.T" localSheetId="29" hidden="1">none</definedName>
    <definedName name="_xleta.T" localSheetId="12" hidden="1">none</definedName>
    <definedName name="_xleta.T" localSheetId="27" hidden="1">none</definedName>
    <definedName name="_xleta.T" localSheetId="66" hidden="1">none</definedName>
    <definedName name="_xleta.T" localSheetId="67" hidden="1">none</definedName>
    <definedName name="_xleta.T" localSheetId="60" hidden="1">none</definedName>
    <definedName name="_xleta.T" localSheetId="81" hidden="1">none</definedName>
    <definedName name="_xleta.T" localSheetId="70" hidden="1">none</definedName>
    <definedName name="_xleta.T" localSheetId="45" hidden="1">none</definedName>
    <definedName name="_xleta.T" localSheetId="84" hidden="1">none</definedName>
    <definedName name="_xleta.T" localSheetId="98" hidden="1">none</definedName>
    <definedName name="_xleta.T" hidden="1" xlm="1">#NAME?</definedName>
    <definedName name="_xlpm.s" localSheetId="13" hidden="1">none</definedName>
    <definedName name="_xlpm.s" localSheetId="15" hidden="1">none</definedName>
    <definedName name="_xlpm.s" localSheetId="95" hidden="1">none</definedName>
    <definedName name="_xlpm.s" localSheetId="97" hidden="1">none</definedName>
    <definedName name="_xlpm.s" localSheetId="41" hidden="1">none</definedName>
    <definedName name="_xlpm.s" localSheetId="80" hidden="1">none</definedName>
    <definedName name="_xlpm.s" localSheetId="65" hidden="1">none</definedName>
    <definedName name="_xlpm.s" localSheetId="64" hidden="1">none</definedName>
    <definedName name="_xlpm.s" localSheetId="29" hidden="1">none</definedName>
    <definedName name="_xlpm.s" localSheetId="12" hidden="1">none</definedName>
    <definedName name="_xlpm.s" localSheetId="27" hidden="1">none</definedName>
    <definedName name="_xlpm.s" localSheetId="66" hidden="1">none</definedName>
    <definedName name="_xlpm.s" localSheetId="67" hidden="1">none</definedName>
    <definedName name="_xlpm.s" localSheetId="60" hidden="1">none</definedName>
    <definedName name="_xlpm.s" localSheetId="81" hidden="1">none</definedName>
    <definedName name="_xlpm.s" localSheetId="70" hidden="1">none</definedName>
    <definedName name="_xlpm.s" localSheetId="45" hidden="1">none</definedName>
    <definedName name="_xlpm.s" localSheetId="84" hidden="1">none</definedName>
    <definedName name="_xlpm.s" localSheetId="98" hidden="1">none</definedName>
    <definedName name="_xlpm.s" hidden="1">none</definedName>
    <definedName name="_xlnm.Print_Area" localSheetId="32">'Almond Chicken'!$A$62:$P$79</definedName>
    <definedName name="_xlnm.Print_Area" localSheetId="13">'Arabic Chicken Burger'!$A$62:$P$74</definedName>
    <definedName name="_xlnm.Print_Area" localSheetId="11">'Asian Chicken Sandwich'!$A$62:$P$75</definedName>
    <definedName name="_xlnm.Print_Area" localSheetId="15">'Asian Potato Cubes'!$A$64:$P$103</definedName>
    <definedName name="_xlnm.Print_Area" localSheetId="63">'BBQ Chicken'!$A$62:$P$70</definedName>
    <definedName name="_xlnm.Print_Area" localSheetId="26">'BBQ Chicken Skewers'!$A$62:$P$77</definedName>
    <definedName name="_xlnm.Print_Area" localSheetId="55">'Beef Amansi'!$A$62:$P$75</definedName>
    <definedName name="_xlnm.Print_Area" localSheetId="82">'Beef Bokhary'!$A$62:$P$158</definedName>
    <definedName name="_xlnm.Print_Area" localSheetId="95">'Beef Burger Arabic'!$A$62:$P$74</definedName>
    <definedName name="_xlnm.Print_Area" localSheetId="28">'Beef Burger BBQ'!$A$62:$P$74</definedName>
    <definedName name="_xlnm.Print_Area" localSheetId="7">'Beef Chilli Dry'!$A$62:$P$90</definedName>
    <definedName name="_xlnm.Print_Area" localSheetId="97">'Beef Kabli'!$A$62:$P$145</definedName>
    <definedName name="_xlnm.Print_Area" localSheetId="94">'Beef Kebab Sandwich'!$A$62:$P$92</definedName>
    <definedName name="_xlnm.Print_Area" localSheetId="79">'Beef Lasagne Sauce'!$A$62:$P$143</definedName>
    <definedName name="_xlnm.Print_Area" localSheetId="41">'Beef Oriental rice'!$A$62:$H$81</definedName>
    <definedName name="_xlnm.Print_Area" localSheetId="83">'Beef philly cheese steak'!$A$62:$P$93</definedName>
    <definedName name="_xlnm.Print_Area" localSheetId="30">'Beef Zurbian'!$A$62:$P$120</definedName>
    <definedName name="_xlnm.Print_Area" localSheetId="22">'Blankwet Fish'!$A$62:$P$99</definedName>
    <definedName name="_xlnm.Print_Area" localSheetId="0">Butchery!$A$62:$S$104</definedName>
    <definedName name="_xlnm.Print_Area" localSheetId="72">'Butter Chicken'!$A$62:$H$143</definedName>
    <definedName name="_xlnm.Print_Area" localSheetId="35">'Changezi Chicken'!$A$62:$H$87,'Changezi Chicken'!$A$89:$H$114</definedName>
    <definedName name="_xlnm.Print_Area" localSheetId="24">'Chicken 65'!$A$62:$P$105</definedName>
    <definedName name="_xlnm.Print_Area" localSheetId="20">'Chicken Alfredo'!$A$62:$P$121</definedName>
    <definedName name="_xlnm.Print_Area" localSheetId="80">'Chicken Burger BBQ'!$A$62:$P$74</definedName>
    <definedName name="_xlnm.Print_Area" localSheetId="46">'Chicken Fajita'!$A$62:$H$78</definedName>
    <definedName name="_xlnm.Print_Area" localSheetId="61">'Chicken Makloba'!$A$62:$P$117</definedName>
    <definedName name="_xlnm.Print_Area" localSheetId="14">'Chicken Mandi (1)'!$A$62:$P$104</definedName>
    <definedName name="_xlnm.Print_Area" localSheetId="43">'Chicken Mandi (3)'!$A$62:$H$71,'Chicken Mandi (3)'!$A$73:$H$81</definedName>
    <definedName name="_xlnm.Print_Area" localSheetId="93">'Chicken Molokeya'!$A$62:$P$129</definedName>
    <definedName name="_xlnm.Print_Area" localSheetId="52">'Chicken Mushroom'!$A$62:$P$96</definedName>
    <definedName name="_xlnm.Print_Area" localSheetId="65">'Chicken Noodles'!$A$62:$P$104</definedName>
    <definedName name="_xlnm.Print_Area" localSheetId="33">'Chicken Pasta with Vegetable'!$A$62:$H$82</definedName>
    <definedName name="_xlnm.Print_Area" localSheetId="42">'Chicken Saleeq (3)'!$A$62:$H$72,'Chicken Saleeq (3)'!$A$74:$H$84</definedName>
    <definedName name="_xlnm.Print_Area" localSheetId="96">'Chicken Saleeq (6)'!$A$62:$P$96</definedName>
    <definedName name="_xlnm.Print_Area" localSheetId="50">'Chicken Steak Sauce'!$A$62:$P$90</definedName>
    <definedName name="_xlnm.Print_Area" localSheetId="51">'Chicken Steak Topping'!$A$62:$P$86</definedName>
    <definedName name="_xlnm.Print_Area" localSheetId="56">'Chicken Tikka'!$A$62:$P$105</definedName>
    <definedName name="_xlnm.Print_Area" localSheetId="9">'Chinese Chicken'!$A$62:$P$108</definedName>
    <definedName name="_xlnm.Print_Area" localSheetId="64">'Classic Chicken Burger'!$A$62:$P$74</definedName>
    <definedName name="_xlnm.Print_Area" localSheetId="23">'Coconut Chicken'!$A$62:$P$119</definedName>
    <definedName name="_xlnm.Print_Area" localSheetId="4">'Curry Chicken'!$A$62:$P$134</definedName>
    <definedName name="_xlnm.Print_Area" localSheetId="74">'Curry Fish'!$A$62:$P$105</definedName>
    <definedName name="_xlnm.Print_Area" localSheetId="36">'Daoud Basha'!$A$62:$H$81,'Daoud Basha'!$A$84:$H$103</definedName>
    <definedName name="_xlnm.Print_Area" localSheetId="21">'Fettuccine Pasta Sauce'!$A$62:$P$122</definedName>
    <definedName name="_xlnm.Print_Area" localSheetId="37">'Fish with cream'!$A$62:$H$75,'Fish with cream'!$A$77:$H$90</definedName>
    <definedName name="_xlnm.Print_Area" localSheetId="92">'Fish with Shabat and Lemon'!$A$62:$P$70</definedName>
    <definedName name="_xlnm.Print_Area" localSheetId="90">'French Meatball'!$A$62:$P$92</definedName>
    <definedName name="_xlnm.Print_Area" localSheetId="89">'Ginger Chicken'!$A$62:$P$134</definedName>
    <definedName name="_xlnm.Print_Area" localSheetId="31">'Grilled Vegetables(2)'!$A$62:$P$103</definedName>
    <definedName name="_xlnm.Print_Area" localSheetId="85">'Grilled Vegetables(5)'!$A$62:$P$104</definedName>
    <definedName name="_xlnm.Print_Area" localSheetId="10">'Herbal Chicken'!$A$62:$P$104</definedName>
    <definedName name="_xlnm.Print_Area" localSheetId="16">'Herbal Potato Wedges'!$A$62:$P$101</definedName>
    <definedName name="_xlnm.Print_Area" localSheetId="29">'Honey Chicken Burger'!$A$62:$P$74</definedName>
    <definedName name="_xlnm.Print_Area" localSheetId="5">'Kabsa Lahm'!$A$62:$P$169</definedName>
    <definedName name="_xlnm.Print_Area" localSheetId="75">'Kebab Hindi'!$A$62:$P$96</definedName>
    <definedName name="_xlnm.Print_Area" localSheetId="40">'Laham Oriental'!$A$62:$H$88</definedName>
    <definedName name="_xlnm.Print_Area" localSheetId="77">'Lahm Bolognese'!$A$62:$P$83</definedName>
    <definedName name="_xlnm.Print_Area" localSheetId="57">'Lahm Fasooliya'!$A$62:$P$99</definedName>
    <definedName name="_xlnm.Print_Area" localSheetId="78">'Lasagne Bachamel'!$A$62:$P$169</definedName>
    <definedName name="_xlnm.Print_Area" localSheetId="58">'Lemon Fish'!$A$62:$P$97</definedName>
    <definedName name="_xlnm.Print_Area" localSheetId="19">'Mached Potato(1)'!$A$62:$P$126</definedName>
    <definedName name="_xlnm.Print_Area" localSheetId="47">'Mached Potato(3)'!$A$62:$H$73</definedName>
    <definedName name="_xlnm.Print_Area" localSheetId="68">'Mached Potato(4)'!$A$62:$P$127</definedName>
    <definedName name="_xlnm.Print_Area" localSheetId="73">'Meat Kebab'!$A$62:$P$107</definedName>
    <definedName name="_xlnm.Print_Area" localSheetId="27">'Meat Mashroom'!$A$62:$P$122</definedName>
    <definedName name="_xlnm.Print_Area" localSheetId="8">'Meat with Bamiya'!$A$62:$P$123</definedName>
    <definedName name="_xlnm.Print_Area" localSheetId="25">'Mkhtoum Lahm'!$A$62:$P$122</definedName>
    <definedName name="_xlnm.Print_Area" localSheetId="39">'Moussaka Meat'!$A$63:$H$82</definedName>
    <definedName name="_xlnm.Print_Area" localSheetId="38">'Moussaka Vegi'!$A$63:$H$86</definedName>
    <definedName name="_xlnm.Print_Area" localSheetId="67">'Noodles Veggie'!$A$62:$P$106</definedName>
    <definedName name="_xlnm.Print_Area" localSheetId="60">'Octa Poki Bowl'!$A$62:$P$75</definedName>
    <definedName name="_xlnm.Print_Area" localSheetId="81">'Oriental Chicken'!$A$62:$P$104</definedName>
    <definedName name="_xlnm.Print_Area" localSheetId="59">'Orzo Pasta'!$A$62:$P$104</definedName>
    <definedName name="_xlnm.Print_Area" localSheetId="49">'Oven Vegetables (3)'!$A$62:$H$75</definedName>
    <definedName name="_xlnm.Print_Area" localSheetId="99">'Oven Vegetables (6)'!$A$62:$P$104</definedName>
    <definedName name="_xlnm.Print_Area" localSheetId="6">'Pan Fried Fish'!$A$62:$P$71</definedName>
    <definedName name="_xlnm.Print_Area" localSheetId="34">'Pasta with Vegetable(Pasta)'!$A$62:$H$81</definedName>
    <definedName name="_xlnm.Print_Area" localSheetId="88">'Pink Chicken'!$A$62:$P$109</definedName>
    <definedName name="_xlnm.Print_Area" localSheetId="76">'Pizziola Chicken'!$A$62:$P$81</definedName>
    <definedName name="_xlnm.Print_Area" localSheetId="48">'Potato Wedges'!$A$63:$H$73</definedName>
    <definedName name="_xlnm.Print_Area" localSheetId="18">'Sautee Vegetables (1)'!$A$62:$P$105</definedName>
    <definedName name="_xlnm.Print_Area" localSheetId="69">'Sautee Vegetables (4)'!$A$62:$P$106</definedName>
    <definedName name="_xlnm.Print_Area" localSheetId="91">'Singapore Chicken'!$A$62:$P$116</definedName>
    <definedName name="_xlnm.Print_Area" localSheetId="45">'Smoky Beef Burger'!$A$62:$H$71</definedName>
    <definedName name="_xlnm.Print_Area" localSheetId="71">'Sriracha Chicken'!$A$62:$H$100</definedName>
    <definedName name="_xlnm.Print_Area" localSheetId="53">'Stroganoff Beef'!$A$62:$P$105</definedName>
    <definedName name="_xlnm.Print_Area" localSheetId="54">'Stroganoff pasta'!$A$62:$P$127</definedName>
    <definedName name="SheetList" localSheetId="13">none</definedName>
    <definedName name="SheetList" localSheetId="15">none</definedName>
    <definedName name="SheetList" localSheetId="95">none</definedName>
    <definedName name="SheetList" localSheetId="97">none</definedName>
    <definedName name="SheetList" localSheetId="41">none</definedName>
    <definedName name="SheetList" localSheetId="80">none</definedName>
    <definedName name="SheetList" localSheetId="65">none</definedName>
    <definedName name="SheetList" localSheetId="64">none</definedName>
    <definedName name="SheetList" localSheetId="29">none</definedName>
    <definedName name="SheetList" localSheetId="12">none</definedName>
    <definedName name="SheetList" localSheetId="27">none</definedName>
    <definedName name="SheetList" localSheetId="66">none</definedName>
    <definedName name="SheetList" localSheetId="67">none</definedName>
    <definedName name="SheetList" localSheetId="60">none</definedName>
    <definedName name="SheetList" localSheetId="81">none</definedName>
    <definedName name="SheetList" localSheetId="70">none</definedName>
    <definedName name="SheetList" localSheetId="45">none</definedName>
    <definedName name="SheetList" localSheetId="84">none</definedName>
    <definedName name="SheetList" localSheetId="98">none</definedName>
    <definedName name="SheetList">none</definedName>
    <definedName name="ww" localSheetId="13" hidden="1">none</definedName>
    <definedName name="ww" localSheetId="95" hidden="1">none</definedName>
    <definedName name="ww" localSheetId="80" hidden="1">none</definedName>
    <definedName name="ww" localSheetId="65" hidden="1">none</definedName>
    <definedName name="ww" localSheetId="64" hidden="1">none</definedName>
    <definedName name="ww" localSheetId="29" hidden="1">none</definedName>
    <definedName name="ww" localSheetId="27" hidden="1">none</definedName>
    <definedName name="ww" localSheetId="66" hidden="1">none</definedName>
    <definedName name="ww" localSheetId="67" hidden="1">none</definedName>
    <definedName name="ww" localSheetId="81" hidden="1">none</definedName>
    <definedName name="ww" localSheetId="70" hidden="1">none</definedName>
    <definedName name="ww" localSheetId="45" hidden="1">none</definedName>
    <definedName name="ww" hidden="1">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8" i="101" l="1"/>
  <c r="AO1" i="101"/>
  <c r="AM1" i="101"/>
  <c r="AM1" i="100"/>
  <c r="AO1" i="100"/>
  <c r="AM1" i="99"/>
  <c r="AO1" i="99"/>
  <c r="M157" i="116"/>
  <c r="M153" i="116"/>
  <c r="H91" i="116"/>
  <c r="H90" i="116"/>
  <c r="H89" i="116"/>
  <c r="H88" i="116"/>
  <c r="H87" i="116"/>
  <c r="H86" i="116"/>
  <c r="H85" i="116"/>
  <c r="H84" i="116"/>
  <c r="H83" i="116"/>
  <c r="H82" i="116"/>
  <c r="H81" i="116"/>
  <c r="H80" i="116"/>
  <c r="H79" i="116"/>
  <c r="H78" i="116"/>
  <c r="H77" i="116"/>
  <c r="H76" i="116"/>
  <c r="H75" i="116"/>
  <c r="H74" i="116"/>
  <c r="H73" i="116"/>
  <c r="H72" i="116"/>
  <c r="H71" i="116"/>
  <c r="H70" i="116"/>
  <c r="H69" i="116"/>
  <c r="H68" i="116"/>
  <c r="H67" i="116"/>
  <c r="H66" i="116"/>
  <c r="H65" i="116"/>
  <c r="H64" i="116"/>
  <c r="H63" i="116"/>
  <c r="H62" i="116"/>
  <c r="H61" i="116"/>
  <c r="H60" i="116"/>
  <c r="H59" i="116"/>
  <c r="H58" i="116"/>
  <c r="H57" i="116"/>
  <c r="H56" i="116"/>
  <c r="H55" i="116"/>
  <c r="H54" i="116"/>
  <c r="H53" i="116"/>
  <c r="H52" i="116"/>
  <c r="H51" i="116"/>
  <c r="H50" i="116"/>
  <c r="H49" i="116"/>
  <c r="H48" i="116"/>
  <c r="H47" i="116"/>
  <c r="H46" i="116"/>
  <c r="H45" i="116"/>
  <c r="H44" i="116"/>
  <c r="H43" i="116"/>
  <c r="H42" i="116"/>
  <c r="H41" i="116"/>
  <c r="H40" i="116"/>
  <c r="H39" i="116"/>
  <c r="H38" i="116"/>
  <c r="H37" i="116"/>
  <c r="H36" i="116"/>
  <c r="H35" i="116"/>
  <c r="H34" i="116"/>
  <c r="H33" i="116"/>
  <c r="H32" i="116"/>
  <c r="H31" i="116"/>
  <c r="H30" i="116"/>
  <c r="H29" i="116"/>
  <c r="H28" i="116"/>
  <c r="H27" i="116"/>
  <c r="H26" i="116"/>
  <c r="H25" i="116"/>
  <c r="H24" i="116"/>
  <c r="H23" i="116"/>
  <c r="H22" i="116"/>
  <c r="H21" i="116"/>
  <c r="H20" i="116"/>
  <c r="H19" i="116"/>
  <c r="H18" i="116"/>
  <c r="H17" i="116"/>
  <c r="H16" i="116"/>
  <c r="H15" i="116"/>
  <c r="H14" i="116"/>
  <c r="H13" i="116"/>
  <c r="H12" i="116"/>
  <c r="H11" i="116"/>
  <c r="H10" i="116"/>
  <c r="H9" i="116"/>
  <c r="H8" i="116"/>
  <c r="H7" i="116"/>
  <c r="H6" i="116"/>
  <c r="H5" i="116"/>
  <c r="H4" i="116"/>
  <c r="H3" i="116"/>
  <c r="K6" i="1"/>
  <c r="K5" i="1"/>
  <c r="AL83" i="1"/>
  <c r="AL79" i="1"/>
  <c r="AL70" i="1"/>
  <c r="B65" i="102"/>
  <c r="C65" i="102"/>
  <c r="D65" i="102"/>
  <c r="F65" i="102"/>
  <c r="J51" i="102"/>
  <c r="I51" i="102" s="1"/>
  <c r="W44" i="41"/>
  <c r="AL82" i="1"/>
  <c r="AL81" i="1"/>
  <c r="AL71" i="1"/>
  <c r="J96" i="80"/>
  <c r="M79" i="116"/>
  <c r="J51" i="20"/>
  <c r="J51" i="97"/>
  <c r="M56" i="116" l="1"/>
  <c r="M57" i="116"/>
  <c r="M24" i="116"/>
  <c r="M29" i="116"/>
  <c r="AL26" i="1"/>
  <c r="M6" i="116"/>
  <c r="J19" i="80"/>
  <c r="O6" i="80" s="1"/>
  <c r="AL6" i="1"/>
  <c r="AL8" i="1"/>
  <c r="AL17" i="1"/>
  <c r="AL15" i="1"/>
  <c r="AL16" i="1"/>
  <c r="AL9" i="1"/>
  <c r="AL10" i="1"/>
  <c r="AL11" i="1"/>
  <c r="AL12" i="1"/>
  <c r="AL3" i="1"/>
  <c r="AL5" i="1"/>
  <c r="AL98" i="1"/>
  <c r="B80" i="105"/>
  <c r="C80" i="105"/>
  <c r="D80" i="105"/>
  <c r="F80" i="105"/>
  <c r="B68" i="105"/>
  <c r="C68" i="105"/>
  <c r="D68" i="105"/>
  <c r="F68" i="105"/>
  <c r="B69" i="105"/>
  <c r="C69" i="105"/>
  <c r="D69" i="105"/>
  <c r="F69" i="105"/>
  <c r="B70" i="105"/>
  <c r="C70" i="105"/>
  <c r="D70" i="105"/>
  <c r="F70" i="105"/>
  <c r="B71" i="105"/>
  <c r="C71" i="105"/>
  <c r="D71" i="105"/>
  <c r="F71" i="105"/>
  <c r="B72" i="105"/>
  <c r="C72" i="105"/>
  <c r="D72" i="105"/>
  <c r="F72" i="105"/>
  <c r="B73" i="105"/>
  <c r="C73" i="105"/>
  <c r="D73" i="105"/>
  <c r="F73" i="105"/>
  <c r="B74" i="105"/>
  <c r="C74" i="105"/>
  <c r="D74" i="105"/>
  <c r="F74" i="105"/>
  <c r="B75" i="105"/>
  <c r="C75" i="105"/>
  <c r="D75" i="105"/>
  <c r="F75" i="105"/>
  <c r="B76" i="105"/>
  <c r="C76" i="105"/>
  <c r="D76" i="105"/>
  <c r="F76" i="105"/>
  <c r="B77" i="105"/>
  <c r="C77" i="105"/>
  <c r="D77" i="105"/>
  <c r="F77" i="105"/>
  <c r="B78" i="105"/>
  <c r="C78" i="105"/>
  <c r="D78" i="105"/>
  <c r="F78" i="105"/>
  <c r="B79" i="105"/>
  <c r="C79" i="105"/>
  <c r="D79" i="105"/>
  <c r="F79" i="105"/>
  <c r="B65" i="105"/>
  <c r="F67" i="105"/>
  <c r="D67" i="105"/>
  <c r="C67" i="105"/>
  <c r="B67" i="105"/>
  <c r="F66" i="105"/>
  <c r="D66" i="105"/>
  <c r="C66" i="105"/>
  <c r="B66" i="105"/>
  <c r="F65" i="105"/>
  <c r="D65" i="105"/>
  <c r="C65" i="105"/>
  <c r="AL85" i="1"/>
  <c r="AL84" i="1"/>
  <c r="AL80" i="1"/>
  <c r="AN79" i="1"/>
  <c r="AN81" i="1"/>
  <c r="AN82" i="1"/>
  <c r="AN83" i="1"/>
  <c r="AN84" i="1"/>
  <c r="AN85" i="1"/>
  <c r="AN86" i="1"/>
  <c r="AL86" i="1"/>
  <c r="AN80" i="1"/>
  <c r="AN78" i="1"/>
  <c r="AL78" i="1"/>
  <c r="AL77" i="1"/>
  <c r="AL76" i="1"/>
  <c r="AL75" i="1"/>
  <c r="AL74" i="1"/>
  <c r="AL73" i="1"/>
  <c r="AL72" i="1"/>
  <c r="AL69" i="1"/>
  <c r="J27" i="1"/>
  <c r="AQ7" i="106"/>
  <c r="AQ8" i="106"/>
  <c r="AQ9" i="106"/>
  <c r="AQ10" i="106"/>
  <c r="AQ11" i="106"/>
  <c r="AQ12" i="106"/>
  <c r="AQ13" i="106"/>
  <c r="AQ6" i="106"/>
  <c r="AQ7" i="107"/>
  <c r="AQ8" i="107"/>
  <c r="AQ9" i="107"/>
  <c r="AQ10" i="107"/>
  <c r="AQ11" i="107"/>
  <c r="AQ12" i="107"/>
  <c r="AQ13" i="107"/>
  <c r="AQ14" i="107"/>
  <c r="AQ15" i="107"/>
  <c r="AQ16" i="107"/>
  <c r="AQ17" i="107"/>
  <c r="AQ18" i="107"/>
  <c r="AQ19" i="107"/>
  <c r="AQ6" i="107"/>
  <c r="AQ7" i="108"/>
  <c r="AQ8" i="108"/>
  <c r="AQ9" i="108"/>
  <c r="AQ10" i="108"/>
  <c r="AQ11" i="108"/>
  <c r="AQ12" i="108"/>
  <c r="AQ13" i="108"/>
  <c r="AQ6" i="108"/>
  <c r="AQ7" i="111"/>
  <c r="AQ8" i="111"/>
  <c r="AQ9" i="111"/>
  <c r="AQ10" i="111"/>
  <c r="AQ11" i="111"/>
  <c r="AR11" i="111"/>
  <c r="AQ12" i="111"/>
  <c r="AQ13" i="111"/>
  <c r="AQ14" i="111"/>
  <c r="AQ6" i="111"/>
  <c r="I14" i="110"/>
  <c r="I15" i="110"/>
  <c r="I16" i="110"/>
  <c r="I17" i="110"/>
  <c r="I18" i="110"/>
  <c r="I19" i="110"/>
  <c r="I20" i="110"/>
  <c r="I21" i="110"/>
  <c r="I22" i="110"/>
  <c r="I23" i="110"/>
  <c r="I24" i="110"/>
  <c r="I13" i="110"/>
  <c r="I6" i="107"/>
  <c r="I7" i="107"/>
  <c r="I8" i="107"/>
  <c r="I9" i="107"/>
  <c r="I10" i="107"/>
  <c r="I11" i="107"/>
  <c r="I12" i="107"/>
  <c r="I13" i="107"/>
  <c r="I14" i="107"/>
  <c r="I15" i="107"/>
  <c r="I16" i="107"/>
  <c r="I17" i="107"/>
  <c r="I18" i="107"/>
  <c r="I19" i="107"/>
  <c r="I20" i="107"/>
  <c r="I21" i="107"/>
  <c r="I22" i="107"/>
  <c r="I23" i="107"/>
  <c r="I24" i="107"/>
  <c r="I25" i="107"/>
  <c r="I26" i="107"/>
  <c r="I27" i="107"/>
  <c r="I10" i="108"/>
  <c r="I10" i="109"/>
  <c r="I11" i="109"/>
  <c r="I12" i="109"/>
  <c r="I13" i="109"/>
  <c r="I14" i="109"/>
  <c r="I15" i="109"/>
  <c r="I16" i="109"/>
  <c r="I17" i="109"/>
  <c r="I18" i="109"/>
  <c r="I19" i="109"/>
  <c r="I20" i="109"/>
  <c r="I21" i="109"/>
  <c r="I6" i="110"/>
  <c r="I7" i="110"/>
  <c r="I6" i="111"/>
  <c r="I7" i="111"/>
  <c r="I8" i="111"/>
  <c r="I9" i="111"/>
  <c r="I6" i="112"/>
  <c r="I7" i="112"/>
  <c r="I8" i="112"/>
  <c r="I9" i="112"/>
  <c r="I10" i="112"/>
  <c r="I6" i="113"/>
  <c r="I7" i="113"/>
  <c r="I8" i="113"/>
  <c r="I9" i="113"/>
  <c r="I10" i="113"/>
  <c r="I11" i="113"/>
  <c r="I12" i="113"/>
  <c r="I13" i="113"/>
  <c r="I14" i="113"/>
  <c r="I15" i="113"/>
  <c r="I7" i="115"/>
  <c r="I8" i="115"/>
  <c r="I9" i="115"/>
  <c r="I10" i="115"/>
  <c r="I11" i="115"/>
  <c r="I12" i="115"/>
  <c r="I13" i="115"/>
  <c r="I14" i="115"/>
  <c r="I37" i="113"/>
  <c r="J37" i="110"/>
  <c r="I37" i="110"/>
  <c r="I37" i="107"/>
  <c r="I38" i="106"/>
  <c r="I37" i="106"/>
  <c r="I10" i="106"/>
  <c r="I11" i="106"/>
  <c r="I12" i="106"/>
  <c r="I13" i="106"/>
  <c r="I14" i="106"/>
  <c r="I15" i="106"/>
  <c r="I6" i="108"/>
  <c r="I7" i="108"/>
  <c r="I8" i="108"/>
  <c r="I9" i="108"/>
  <c r="I6" i="109"/>
  <c r="I7" i="109"/>
  <c r="I8" i="109"/>
  <c r="I9" i="109"/>
  <c r="I6" i="114"/>
  <c r="I7" i="114"/>
  <c r="I8" i="114"/>
  <c r="I9" i="114"/>
  <c r="I6" i="115"/>
  <c r="I6" i="106"/>
  <c r="I7" i="106"/>
  <c r="I8" i="106"/>
  <c r="I9" i="106"/>
  <c r="I5" i="107"/>
  <c r="I5" i="108"/>
  <c r="I5" i="109"/>
  <c r="I5" i="110"/>
  <c r="I5" i="111"/>
  <c r="I5" i="112"/>
  <c r="I5" i="113"/>
  <c r="I5" i="106"/>
  <c r="F74" i="115"/>
  <c r="D74" i="115"/>
  <c r="C74" i="115"/>
  <c r="B74" i="115"/>
  <c r="F73" i="115"/>
  <c r="D73" i="115"/>
  <c r="C73" i="115"/>
  <c r="B73" i="115"/>
  <c r="F72" i="115"/>
  <c r="D72" i="115"/>
  <c r="C72" i="115"/>
  <c r="B72" i="115"/>
  <c r="F71" i="115"/>
  <c r="D71" i="115"/>
  <c r="C71" i="115"/>
  <c r="B71" i="115"/>
  <c r="F70" i="115"/>
  <c r="D70" i="115"/>
  <c r="C70" i="115"/>
  <c r="B70" i="115"/>
  <c r="F69" i="115"/>
  <c r="D69" i="115"/>
  <c r="C69" i="115"/>
  <c r="B69" i="115"/>
  <c r="F68" i="115"/>
  <c r="D68" i="115"/>
  <c r="C68" i="115"/>
  <c r="B68" i="115"/>
  <c r="F67" i="115"/>
  <c r="D67" i="115"/>
  <c r="C67" i="115"/>
  <c r="B67" i="115"/>
  <c r="F66" i="115"/>
  <c r="D66" i="115"/>
  <c r="C66" i="115"/>
  <c r="B66" i="115"/>
  <c r="D51" i="115"/>
  <c r="C51" i="115"/>
  <c r="S29" i="115"/>
  <c r="S28" i="115"/>
  <c r="F68" i="114"/>
  <c r="D68" i="114"/>
  <c r="C68" i="114"/>
  <c r="B68" i="114"/>
  <c r="F67" i="114"/>
  <c r="D67" i="114"/>
  <c r="C67" i="114"/>
  <c r="B67" i="114"/>
  <c r="F66" i="114"/>
  <c r="D66" i="114"/>
  <c r="C66" i="114"/>
  <c r="B66" i="114"/>
  <c r="F65" i="114"/>
  <c r="D65" i="114"/>
  <c r="C65" i="114"/>
  <c r="B65" i="114"/>
  <c r="D51" i="114"/>
  <c r="C51" i="114"/>
  <c r="S28" i="114"/>
  <c r="S27" i="114"/>
  <c r="G147" i="113"/>
  <c r="E147" i="113"/>
  <c r="C147" i="113"/>
  <c r="F145" i="113"/>
  <c r="D145" i="113"/>
  <c r="C145" i="113"/>
  <c r="B145" i="113"/>
  <c r="F144" i="113"/>
  <c r="D144" i="113"/>
  <c r="C144" i="113"/>
  <c r="B144" i="113"/>
  <c r="F143" i="113"/>
  <c r="D143" i="113"/>
  <c r="C143" i="113"/>
  <c r="B143" i="113"/>
  <c r="F142" i="113"/>
  <c r="D142" i="113"/>
  <c r="C142" i="113"/>
  <c r="B142" i="113"/>
  <c r="F141" i="113"/>
  <c r="D141" i="113"/>
  <c r="C141" i="113"/>
  <c r="B141" i="113"/>
  <c r="F140" i="113"/>
  <c r="D140" i="113"/>
  <c r="C140" i="113"/>
  <c r="B140" i="113"/>
  <c r="F139" i="113"/>
  <c r="D139" i="113"/>
  <c r="C139" i="113"/>
  <c r="B139" i="113"/>
  <c r="F138" i="113"/>
  <c r="D138" i="113"/>
  <c r="C138" i="113"/>
  <c r="B138" i="113"/>
  <c r="F137" i="113"/>
  <c r="D137" i="113"/>
  <c r="C137" i="113"/>
  <c r="B137" i="113"/>
  <c r="F136" i="113"/>
  <c r="D136" i="113"/>
  <c r="C136" i="113"/>
  <c r="B136" i="113"/>
  <c r="F135" i="113"/>
  <c r="C135" i="113"/>
  <c r="B135" i="113"/>
  <c r="G130" i="113"/>
  <c r="E130" i="113"/>
  <c r="C130" i="113"/>
  <c r="F128" i="113"/>
  <c r="D128" i="113"/>
  <c r="C128" i="113"/>
  <c r="B128" i="113"/>
  <c r="F127" i="113"/>
  <c r="D127" i="113"/>
  <c r="C127" i="113"/>
  <c r="B127" i="113"/>
  <c r="F126" i="113"/>
  <c r="D126" i="113"/>
  <c r="C126" i="113"/>
  <c r="B126" i="113"/>
  <c r="F125" i="113"/>
  <c r="D125" i="113"/>
  <c r="C125" i="113"/>
  <c r="B125" i="113"/>
  <c r="F124" i="113"/>
  <c r="D124" i="113"/>
  <c r="C124" i="113"/>
  <c r="B124" i="113"/>
  <c r="F123" i="113"/>
  <c r="D123" i="113"/>
  <c r="C123" i="113"/>
  <c r="B123" i="113"/>
  <c r="F122" i="113"/>
  <c r="D122" i="113"/>
  <c r="C122" i="113"/>
  <c r="B122" i="113"/>
  <c r="F121" i="113"/>
  <c r="D121" i="113"/>
  <c r="C121" i="113"/>
  <c r="B121" i="113"/>
  <c r="F120" i="113"/>
  <c r="D120" i="113"/>
  <c r="C120" i="113"/>
  <c r="B120" i="113"/>
  <c r="F119" i="113"/>
  <c r="D119" i="113"/>
  <c r="C119" i="113"/>
  <c r="B119" i="113"/>
  <c r="F118" i="113"/>
  <c r="C118" i="113"/>
  <c r="B118" i="113"/>
  <c r="G113" i="113"/>
  <c r="E113" i="113"/>
  <c r="C113" i="113"/>
  <c r="F111" i="113"/>
  <c r="D111" i="113"/>
  <c r="C111" i="113"/>
  <c r="B111" i="113"/>
  <c r="F110" i="113"/>
  <c r="D110" i="113"/>
  <c r="C110" i="113"/>
  <c r="B110" i="113"/>
  <c r="F109" i="113"/>
  <c r="D109" i="113"/>
  <c r="C109" i="113"/>
  <c r="B109" i="113"/>
  <c r="F108" i="113"/>
  <c r="D108" i="113"/>
  <c r="C108" i="113"/>
  <c r="B108" i="113"/>
  <c r="F107" i="113"/>
  <c r="D107" i="113"/>
  <c r="C107" i="113"/>
  <c r="B107" i="113"/>
  <c r="F106" i="113"/>
  <c r="D106" i="113"/>
  <c r="C106" i="113"/>
  <c r="B106" i="113"/>
  <c r="F105" i="113"/>
  <c r="D105" i="113"/>
  <c r="C105" i="113"/>
  <c r="B105" i="113"/>
  <c r="F104" i="113"/>
  <c r="D104" i="113"/>
  <c r="C104" i="113"/>
  <c r="B104" i="113"/>
  <c r="F103" i="113"/>
  <c r="D103" i="113"/>
  <c r="C103" i="113"/>
  <c r="B103" i="113"/>
  <c r="F102" i="113"/>
  <c r="D102" i="113"/>
  <c r="C102" i="113"/>
  <c r="B102" i="113"/>
  <c r="F101" i="113"/>
  <c r="C101" i="113"/>
  <c r="B101" i="113"/>
  <c r="G94" i="113"/>
  <c r="E94" i="113"/>
  <c r="C94" i="113"/>
  <c r="F92" i="113"/>
  <c r="D92" i="113"/>
  <c r="C92" i="113"/>
  <c r="B92" i="113"/>
  <c r="F91" i="113"/>
  <c r="D91" i="113"/>
  <c r="C91" i="113"/>
  <c r="B91" i="113"/>
  <c r="F90" i="113"/>
  <c r="D90" i="113"/>
  <c r="C90" i="113"/>
  <c r="B90" i="113"/>
  <c r="F89" i="113"/>
  <c r="D89" i="113"/>
  <c r="C89" i="113"/>
  <c r="B89" i="113"/>
  <c r="F88" i="113"/>
  <c r="D88" i="113"/>
  <c r="C88" i="113"/>
  <c r="B88" i="113"/>
  <c r="F87" i="113"/>
  <c r="D87" i="113"/>
  <c r="C87" i="113"/>
  <c r="B87" i="113"/>
  <c r="F86" i="113"/>
  <c r="D86" i="113"/>
  <c r="C86" i="113"/>
  <c r="B86" i="113"/>
  <c r="F85" i="113"/>
  <c r="D85" i="113"/>
  <c r="C85" i="113"/>
  <c r="B85" i="113"/>
  <c r="F84" i="113"/>
  <c r="D84" i="113"/>
  <c r="C84" i="113"/>
  <c r="B84" i="113"/>
  <c r="F83" i="113"/>
  <c r="D83" i="113"/>
  <c r="C83" i="113"/>
  <c r="B83" i="113"/>
  <c r="F82" i="113"/>
  <c r="C82" i="113"/>
  <c r="B82" i="113"/>
  <c r="G77" i="113"/>
  <c r="E77" i="113"/>
  <c r="C77" i="113"/>
  <c r="F75" i="113"/>
  <c r="D75" i="113"/>
  <c r="C75" i="113"/>
  <c r="B75" i="113"/>
  <c r="F74" i="113"/>
  <c r="D74" i="113"/>
  <c r="C74" i="113"/>
  <c r="B74" i="113"/>
  <c r="F73" i="113"/>
  <c r="D73" i="113"/>
  <c r="C73" i="113"/>
  <c r="B73" i="113"/>
  <c r="F72" i="113"/>
  <c r="D72" i="113"/>
  <c r="C72" i="113"/>
  <c r="B72" i="113"/>
  <c r="F71" i="113"/>
  <c r="D71" i="113"/>
  <c r="C71" i="113"/>
  <c r="B71" i="113"/>
  <c r="F70" i="113"/>
  <c r="D70" i="113"/>
  <c r="C70" i="113"/>
  <c r="B70" i="113"/>
  <c r="F69" i="113"/>
  <c r="D69" i="113"/>
  <c r="C69" i="113"/>
  <c r="B69" i="113"/>
  <c r="F68" i="113"/>
  <c r="D68" i="113"/>
  <c r="C68" i="113"/>
  <c r="B68" i="113"/>
  <c r="F67" i="113"/>
  <c r="D67" i="113"/>
  <c r="C67" i="113"/>
  <c r="B67" i="113"/>
  <c r="F66" i="113"/>
  <c r="D66" i="113"/>
  <c r="C66" i="113"/>
  <c r="B66" i="113"/>
  <c r="F65" i="113"/>
  <c r="C65" i="113"/>
  <c r="B65" i="113"/>
  <c r="V44" i="113"/>
  <c r="U44" i="113"/>
  <c r="W44" i="113" s="1"/>
  <c r="J51" i="113" s="1"/>
  <c r="I51" i="113" s="1"/>
  <c r="D5" i="113" s="1"/>
  <c r="E37" i="113"/>
  <c r="F37" i="113" s="1"/>
  <c r="H37" i="113" s="1"/>
  <c r="S29" i="113"/>
  <c r="T29" i="113" s="1"/>
  <c r="AA28" i="113"/>
  <c r="AC28" i="113" s="1"/>
  <c r="AC29" i="113" s="1"/>
  <c r="S28" i="113"/>
  <c r="R25" i="113"/>
  <c r="G98" i="112"/>
  <c r="E98" i="112"/>
  <c r="C98" i="112"/>
  <c r="F96" i="112"/>
  <c r="D96" i="112"/>
  <c r="C96" i="112"/>
  <c r="B96" i="112"/>
  <c r="F95" i="112"/>
  <c r="D95" i="112"/>
  <c r="C95" i="112"/>
  <c r="B95" i="112"/>
  <c r="F94" i="112"/>
  <c r="D94" i="112"/>
  <c r="C94" i="112"/>
  <c r="B94" i="112"/>
  <c r="F93" i="112"/>
  <c r="D93" i="112"/>
  <c r="C93" i="112"/>
  <c r="B93" i="112"/>
  <c r="F92" i="112"/>
  <c r="D92" i="112"/>
  <c r="C92" i="112"/>
  <c r="B92" i="112"/>
  <c r="F91" i="112"/>
  <c r="C91" i="112"/>
  <c r="B91" i="112"/>
  <c r="G84" i="112"/>
  <c r="E84" i="112"/>
  <c r="C84" i="112"/>
  <c r="F82" i="112"/>
  <c r="D82" i="112"/>
  <c r="C82" i="112"/>
  <c r="B82" i="112"/>
  <c r="F81" i="112"/>
  <c r="D81" i="112"/>
  <c r="C81" i="112"/>
  <c r="B81" i="112"/>
  <c r="F80" i="112"/>
  <c r="D80" i="112"/>
  <c r="C80" i="112"/>
  <c r="B80" i="112"/>
  <c r="F79" i="112"/>
  <c r="D79" i="112"/>
  <c r="C79" i="112"/>
  <c r="B79" i="112"/>
  <c r="F78" i="112"/>
  <c r="D78" i="112"/>
  <c r="C78" i="112"/>
  <c r="B78" i="112"/>
  <c r="F77" i="112"/>
  <c r="C77" i="112"/>
  <c r="B77" i="112"/>
  <c r="G72" i="112"/>
  <c r="E72" i="112"/>
  <c r="C72" i="112"/>
  <c r="F70" i="112"/>
  <c r="D70" i="112"/>
  <c r="C70" i="112"/>
  <c r="B70" i="112"/>
  <c r="F69" i="112"/>
  <c r="D69" i="112"/>
  <c r="C69" i="112"/>
  <c r="B69" i="112"/>
  <c r="F68" i="112"/>
  <c r="D68" i="112"/>
  <c r="C68" i="112"/>
  <c r="B68" i="112"/>
  <c r="F67" i="112"/>
  <c r="D67" i="112"/>
  <c r="C67" i="112"/>
  <c r="B67" i="112"/>
  <c r="F66" i="112"/>
  <c r="D66" i="112"/>
  <c r="C66" i="112"/>
  <c r="B66" i="112"/>
  <c r="F65" i="112"/>
  <c r="C65" i="112"/>
  <c r="B65" i="112"/>
  <c r="V44" i="112"/>
  <c r="U44" i="112"/>
  <c r="W44" i="112" s="1"/>
  <c r="J51" i="112" s="1"/>
  <c r="I51" i="112" s="1"/>
  <c r="D5" i="112" s="1"/>
  <c r="S29" i="112"/>
  <c r="T29" i="112" s="1"/>
  <c r="AA28" i="112"/>
  <c r="S28" i="112"/>
  <c r="R25" i="112"/>
  <c r="F69" i="111"/>
  <c r="D69" i="111"/>
  <c r="C69" i="111"/>
  <c r="B69" i="111"/>
  <c r="F68" i="111"/>
  <c r="D68" i="111"/>
  <c r="C68" i="111"/>
  <c r="B68" i="111"/>
  <c r="F67" i="111"/>
  <c r="D67" i="111"/>
  <c r="C67" i="111"/>
  <c r="B67" i="111"/>
  <c r="F66" i="111"/>
  <c r="D66" i="111"/>
  <c r="C66" i="111"/>
  <c r="B66" i="111"/>
  <c r="F65" i="111"/>
  <c r="C65" i="111"/>
  <c r="B65" i="111"/>
  <c r="C52" i="111"/>
  <c r="D51" i="111"/>
  <c r="C51" i="111"/>
  <c r="R44" i="111"/>
  <c r="V40" i="111"/>
  <c r="T35" i="111"/>
  <c r="T33" i="111"/>
  <c r="T34" i="111" s="1"/>
  <c r="T32" i="111"/>
  <c r="S30" i="111"/>
  <c r="U29" i="111"/>
  <c r="AB28" i="111"/>
  <c r="X28" i="111"/>
  <c r="S28" i="111"/>
  <c r="G9" i="111"/>
  <c r="H9" i="111" s="1"/>
  <c r="G8" i="111"/>
  <c r="H8" i="111" s="1"/>
  <c r="G7" i="111"/>
  <c r="H7" i="111" s="1"/>
  <c r="E6" i="111"/>
  <c r="G6" i="111" s="1"/>
  <c r="H6" i="111" s="1"/>
  <c r="AF1" i="111"/>
  <c r="R44" i="110"/>
  <c r="V40" i="110"/>
  <c r="E37" i="110"/>
  <c r="F37" i="110" s="1"/>
  <c r="H37" i="110" s="1"/>
  <c r="S29" i="110"/>
  <c r="AB28" i="110"/>
  <c r="S28" i="110"/>
  <c r="G7" i="110"/>
  <c r="E7" i="110"/>
  <c r="D6" i="110"/>
  <c r="D5" i="110"/>
  <c r="AF1" i="110"/>
  <c r="AC30" i="110" s="1"/>
  <c r="E1" i="110"/>
  <c r="G1" i="110" s="1"/>
  <c r="F129" i="109"/>
  <c r="D129" i="109"/>
  <c r="C129" i="109"/>
  <c r="B129" i="109"/>
  <c r="F128" i="109"/>
  <c r="D128" i="109"/>
  <c r="C128" i="109"/>
  <c r="B128" i="109"/>
  <c r="F127" i="109"/>
  <c r="D127" i="109"/>
  <c r="C127" i="109"/>
  <c r="B127" i="109"/>
  <c r="F126" i="109"/>
  <c r="D126" i="109"/>
  <c r="C126" i="109"/>
  <c r="B126" i="109"/>
  <c r="F125" i="109"/>
  <c r="D125" i="109"/>
  <c r="C125" i="109"/>
  <c r="B125" i="109"/>
  <c r="F124" i="109"/>
  <c r="D124" i="109"/>
  <c r="C124" i="109"/>
  <c r="B124" i="109"/>
  <c r="F123" i="109"/>
  <c r="D123" i="109"/>
  <c r="C123" i="109"/>
  <c r="B123" i="109"/>
  <c r="F122" i="109"/>
  <c r="D122" i="109"/>
  <c r="C122" i="109"/>
  <c r="B122" i="109"/>
  <c r="F121" i="109"/>
  <c r="D121" i="109"/>
  <c r="C121" i="109"/>
  <c r="B121" i="109"/>
  <c r="F120" i="109"/>
  <c r="D120" i="109"/>
  <c r="C120" i="109"/>
  <c r="B120" i="109"/>
  <c r="F119" i="109"/>
  <c r="D119" i="109"/>
  <c r="C119" i="109"/>
  <c r="B119" i="109"/>
  <c r="F118" i="109"/>
  <c r="D118" i="109"/>
  <c r="C118" i="109"/>
  <c r="B118" i="109"/>
  <c r="F117" i="109"/>
  <c r="D117" i="109"/>
  <c r="C117" i="109"/>
  <c r="B117" i="109"/>
  <c r="F116" i="109"/>
  <c r="D116" i="109"/>
  <c r="C116" i="109"/>
  <c r="B116" i="109"/>
  <c r="F115" i="109"/>
  <c r="D115" i="109"/>
  <c r="C115" i="109"/>
  <c r="B115" i="109"/>
  <c r="F114" i="109"/>
  <c r="D114" i="109"/>
  <c r="C114" i="109"/>
  <c r="B114" i="109"/>
  <c r="F113" i="109"/>
  <c r="C113" i="109"/>
  <c r="B113" i="109"/>
  <c r="F104" i="109"/>
  <c r="D104" i="109"/>
  <c r="C104" i="109"/>
  <c r="B104" i="109"/>
  <c r="F103" i="109"/>
  <c r="D103" i="109"/>
  <c r="C103" i="109"/>
  <c r="B103" i="109"/>
  <c r="F102" i="109"/>
  <c r="D102" i="109"/>
  <c r="C102" i="109"/>
  <c r="B102" i="109"/>
  <c r="F101" i="109"/>
  <c r="D101" i="109"/>
  <c r="C101" i="109"/>
  <c r="B101" i="109"/>
  <c r="F100" i="109"/>
  <c r="D100" i="109"/>
  <c r="C100" i="109"/>
  <c r="B100" i="109"/>
  <c r="F99" i="109"/>
  <c r="D99" i="109"/>
  <c r="C99" i="109"/>
  <c r="B99" i="109"/>
  <c r="F98" i="109"/>
  <c r="D98" i="109"/>
  <c r="C98" i="109"/>
  <c r="B98" i="109"/>
  <c r="F97" i="109"/>
  <c r="D97" i="109"/>
  <c r="C97" i="109"/>
  <c r="B97" i="109"/>
  <c r="F96" i="109"/>
  <c r="D96" i="109"/>
  <c r="C96" i="109"/>
  <c r="B96" i="109"/>
  <c r="F95" i="109"/>
  <c r="D95" i="109"/>
  <c r="C95" i="109"/>
  <c r="B95" i="109"/>
  <c r="F94" i="109"/>
  <c r="D94" i="109"/>
  <c r="C94" i="109"/>
  <c r="B94" i="109"/>
  <c r="F93" i="109"/>
  <c r="D93" i="109"/>
  <c r="C93" i="109"/>
  <c r="B93" i="109"/>
  <c r="F92" i="109"/>
  <c r="D92" i="109"/>
  <c r="C92" i="109"/>
  <c r="B92" i="109"/>
  <c r="F91" i="109"/>
  <c r="D91" i="109"/>
  <c r="C91" i="109"/>
  <c r="B91" i="109"/>
  <c r="F90" i="109"/>
  <c r="D90" i="109"/>
  <c r="C90" i="109"/>
  <c r="B90" i="109"/>
  <c r="F89" i="109"/>
  <c r="D89" i="109"/>
  <c r="C89" i="109"/>
  <c r="B89" i="109"/>
  <c r="F88" i="109"/>
  <c r="C88" i="109"/>
  <c r="B88" i="109"/>
  <c r="F81" i="109"/>
  <c r="D81" i="109"/>
  <c r="C81" i="109"/>
  <c r="B81" i="109"/>
  <c r="F80" i="109"/>
  <c r="D80" i="109"/>
  <c r="C80" i="109"/>
  <c r="B80" i="109"/>
  <c r="F79" i="109"/>
  <c r="D79" i="109"/>
  <c r="C79" i="109"/>
  <c r="B79" i="109"/>
  <c r="F78" i="109"/>
  <c r="D78" i="109"/>
  <c r="C78" i="109"/>
  <c r="B78" i="109"/>
  <c r="F77" i="109"/>
  <c r="D77" i="109"/>
  <c r="C77" i="109"/>
  <c r="B77" i="109"/>
  <c r="F76" i="109"/>
  <c r="D76" i="109"/>
  <c r="C76" i="109"/>
  <c r="B76" i="109"/>
  <c r="F75" i="109"/>
  <c r="D75" i="109"/>
  <c r="C75" i="109"/>
  <c r="B75" i="109"/>
  <c r="F74" i="109"/>
  <c r="D74" i="109"/>
  <c r="C74" i="109"/>
  <c r="B74" i="109"/>
  <c r="F73" i="109"/>
  <c r="D73" i="109"/>
  <c r="C73" i="109"/>
  <c r="B73" i="109"/>
  <c r="F72" i="109"/>
  <c r="D72" i="109"/>
  <c r="C72" i="109"/>
  <c r="B72" i="109"/>
  <c r="F71" i="109"/>
  <c r="D71" i="109"/>
  <c r="C71" i="109"/>
  <c r="B71" i="109"/>
  <c r="F70" i="109"/>
  <c r="D70" i="109"/>
  <c r="C70" i="109"/>
  <c r="B70" i="109"/>
  <c r="F69" i="109"/>
  <c r="D69" i="109"/>
  <c r="C69" i="109"/>
  <c r="B69" i="109"/>
  <c r="F68" i="109"/>
  <c r="D68" i="109"/>
  <c r="C68" i="109"/>
  <c r="B68" i="109"/>
  <c r="F67" i="109"/>
  <c r="D67" i="109"/>
  <c r="C67" i="109"/>
  <c r="B67" i="109"/>
  <c r="F66" i="109"/>
  <c r="D66" i="109"/>
  <c r="C66" i="109"/>
  <c r="B66" i="109"/>
  <c r="F65" i="109"/>
  <c r="C65" i="109"/>
  <c r="B65" i="109"/>
  <c r="D51" i="109"/>
  <c r="R44" i="109"/>
  <c r="V40" i="109"/>
  <c r="V35" i="109"/>
  <c r="V32" i="109"/>
  <c r="S30" i="109"/>
  <c r="AB28" i="109"/>
  <c r="AA28" i="109"/>
  <c r="V28" i="109"/>
  <c r="S28" i="109"/>
  <c r="K1" i="109"/>
  <c r="C51" i="109" s="1"/>
  <c r="F70" i="108"/>
  <c r="D70" i="108"/>
  <c r="C70" i="108"/>
  <c r="B70" i="108"/>
  <c r="F69" i="108"/>
  <c r="D69" i="108"/>
  <c r="C69" i="108"/>
  <c r="B69" i="108"/>
  <c r="F68" i="108"/>
  <c r="D68" i="108"/>
  <c r="C68" i="108"/>
  <c r="B68" i="108"/>
  <c r="F67" i="108"/>
  <c r="D67" i="108"/>
  <c r="C67" i="108"/>
  <c r="B67" i="108"/>
  <c r="F66" i="108"/>
  <c r="D66" i="108"/>
  <c r="C66" i="108"/>
  <c r="B66" i="108"/>
  <c r="F65" i="108"/>
  <c r="C65" i="108"/>
  <c r="B65" i="108"/>
  <c r="D51" i="108"/>
  <c r="C51" i="108"/>
  <c r="R44" i="108"/>
  <c r="V40" i="108"/>
  <c r="W35" i="108"/>
  <c r="T33" i="108"/>
  <c r="S30" i="108"/>
  <c r="AC28" i="108"/>
  <c r="AB28" i="108"/>
  <c r="W28" i="108"/>
  <c r="W32" i="108" s="1"/>
  <c r="S28" i="108"/>
  <c r="F116" i="107"/>
  <c r="D116" i="107"/>
  <c r="C116" i="107"/>
  <c r="B116" i="107"/>
  <c r="F115" i="107"/>
  <c r="D115" i="107"/>
  <c r="C115" i="107"/>
  <c r="B115" i="107"/>
  <c r="F114" i="107"/>
  <c r="D114" i="107"/>
  <c r="C114" i="107"/>
  <c r="B114" i="107"/>
  <c r="F113" i="107"/>
  <c r="D113" i="107"/>
  <c r="C113" i="107"/>
  <c r="B113" i="107"/>
  <c r="F112" i="107"/>
  <c r="D112" i="107"/>
  <c r="C112" i="107"/>
  <c r="B112" i="107"/>
  <c r="F111" i="107"/>
  <c r="D111" i="107"/>
  <c r="C111" i="107"/>
  <c r="B111" i="107"/>
  <c r="F110" i="107"/>
  <c r="D110" i="107"/>
  <c r="C110" i="107"/>
  <c r="B110" i="107"/>
  <c r="F109" i="107"/>
  <c r="D109" i="107"/>
  <c r="C109" i="107"/>
  <c r="B109" i="107"/>
  <c r="F108" i="107"/>
  <c r="D108" i="107"/>
  <c r="C108" i="107"/>
  <c r="B108" i="107"/>
  <c r="F107" i="107"/>
  <c r="D107" i="107"/>
  <c r="C107" i="107"/>
  <c r="B107" i="107"/>
  <c r="F106" i="107"/>
  <c r="D106" i="107"/>
  <c r="C106" i="107"/>
  <c r="B106" i="107"/>
  <c r="F105" i="107"/>
  <c r="D105" i="107"/>
  <c r="C105" i="107"/>
  <c r="B105" i="107"/>
  <c r="F104" i="107"/>
  <c r="D104" i="107"/>
  <c r="C104" i="107"/>
  <c r="B104" i="107"/>
  <c r="F103" i="107"/>
  <c r="D103" i="107"/>
  <c r="C103" i="107"/>
  <c r="B103" i="107"/>
  <c r="F102" i="107"/>
  <c r="D102" i="107"/>
  <c r="C102" i="107"/>
  <c r="B102" i="107"/>
  <c r="F101" i="107"/>
  <c r="D101" i="107"/>
  <c r="C101" i="107"/>
  <c r="B101" i="107"/>
  <c r="F100" i="107"/>
  <c r="D100" i="107"/>
  <c r="C100" i="107"/>
  <c r="B100" i="107"/>
  <c r="F99" i="107"/>
  <c r="D99" i="107"/>
  <c r="C99" i="107"/>
  <c r="B99" i="107"/>
  <c r="F98" i="107"/>
  <c r="D98" i="107"/>
  <c r="C98" i="107"/>
  <c r="B98" i="107"/>
  <c r="F97" i="107"/>
  <c r="D97" i="107"/>
  <c r="C97" i="107"/>
  <c r="B97" i="107"/>
  <c r="F96" i="107"/>
  <c r="D96" i="107"/>
  <c r="C96" i="107"/>
  <c r="B96" i="107"/>
  <c r="F95" i="107"/>
  <c r="D95" i="107"/>
  <c r="C95" i="107"/>
  <c r="B95" i="107"/>
  <c r="F94" i="107"/>
  <c r="C94" i="107"/>
  <c r="B94" i="107"/>
  <c r="F87" i="107"/>
  <c r="D87" i="107"/>
  <c r="C87" i="107"/>
  <c r="B87" i="107"/>
  <c r="F86" i="107"/>
  <c r="D86" i="107"/>
  <c r="C86" i="107"/>
  <c r="B86" i="107"/>
  <c r="F85" i="107"/>
  <c r="D85" i="107"/>
  <c r="C85" i="107"/>
  <c r="B85" i="107"/>
  <c r="F84" i="107"/>
  <c r="D84" i="107"/>
  <c r="C84" i="107"/>
  <c r="B84" i="107"/>
  <c r="F83" i="107"/>
  <c r="D83" i="107"/>
  <c r="C83" i="107"/>
  <c r="B83" i="107"/>
  <c r="F82" i="107"/>
  <c r="D82" i="107"/>
  <c r="C82" i="107"/>
  <c r="B82" i="107"/>
  <c r="F81" i="107"/>
  <c r="D81" i="107"/>
  <c r="C81" i="107"/>
  <c r="B81" i="107"/>
  <c r="F80" i="107"/>
  <c r="D80" i="107"/>
  <c r="C80" i="107"/>
  <c r="B80" i="107"/>
  <c r="F79" i="107"/>
  <c r="D79" i="107"/>
  <c r="C79" i="107"/>
  <c r="B79" i="107"/>
  <c r="F78" i="107"/>
  <c r="D78" i="107"/>
  <c r="C78" i="107"/>
  <c r="B78" i="107"/>
  <c r="F77" i="107"/>
  <c r="D77" i="107"/>
  <c r="C77" i="107"/>
  <c r="B77" i="107"/>
  <c r="F76" i="107"/>
  <c r="D76" i="107"/>
  <c r="C76" i="107"/>
  <c r="B76" i="107"/>
  <c r="F75" i="107"/>
  <c r="D75" i="107"/>
  <c r="C75" i="107"/>
  <c r="B75" i="107"/>
  <c r="F74" i="107"/>
  <c r="D74" i="107"/>
  <c r="C74" i="107"/>
  <c r="B74" i="107"/>
  <c r="F73" i="107"/>
  <c r="D73" i="107"/>
  <c r="C73" i="107"/>
  <c r="B73" i="107"/>
  <c r="F72" i="107"/>
  <c r="D72" i="107"/>
  <c r="C72" i="107"/>
  <c r="B72" i="107"/>
  <c r="F71" i="107"/>
  <c r="D71" i="107"/>
  <c r="C71" i="107"/>
  <c r="B71" i="107"/>
  <c r="F70" i="107"/>
  <c r="D70" i="107"/>
  <c r="C70" i="107"/>
  <c r="B70" i="107"/>
  <c r="F69" i="107"/>
  <c r="D69" i="107"/>
  <c r="C69" i="107"/>
  <c r="B69" i="107"/>
  <c r="F68" i="107"/>
  <c r="D68" i="107"/>
  <c r="C68" i="107"/>
  <c r="B68" i="107"/>
  <c r="F67" i="107"/>
  <c r="D67" i="107"/>
  <c r="C67" i="107"/>
  <c r="B67" i="107"/>
  <c r="F66" i="107"/>
  <c r="D66" i="107"/>
  <c r="C66" i="107"/>
  <c r="B66" i="107"/>
  <c r="F65" i="107"/>
  <c r="C65" i="107"/>
  <c r="B65" i="107"/>
  <c r="D51" i="107"/>
  <c r="C51" i="107"/>
  <c r="R44" i="107"/>
  <c r="V40" i="107"/>
  <c r="E37" i="107"/>
  <c r="F37" i="107" s="1"/>
  <c r="H37" i="107" s="1"/>
  <c r="U30" i="107"/>
  <c r="T30" i="107" s="1"/>
  <c r="AD28" i="107"/>
  <c r="AC28" i="107"/>
  <c r="AB28" i="107"/>
  <c r="U28" i="107"/>
  <c r="S28" i="107" s="1"/>
  <c r="F110" i="106"/>
  <c r="D110" i="106"/>
  <c r="C110" i="106"/>
  <c r="B110" i="106"/>
  <c r="F109" i="106"/>
  <c r="D109" i="106"/>
  <c r="C109" i="106"/>
  <c r="B109" i="106"/>
  <c r="F108" i="106"/>
  <c r="D108" i="106"/>
  <c r="C108" i="106"/>
  <c r="B108" i="106"/>
  <c r="F107" i="106"/>
  <c r="D107" i="106"/>
  <c r="C107" i="106"/>
  <c r="B107" i="106"/>
  <c r="F106" i="106"/>
  <c r="D106" i="106"/>
  <c r="C106" i="106"/>
  <c r="B106" i="106"/>
  <c r="F105" i="106"/>
  <c r="D105" i="106"/>
  <c r="C105" i="106"/>
  <c r="B105" i="106"/>
  <c r="F104" i="106"/>
  <c r="D104" i="106"/>
  <c r="C104" i="106"/>
  <c r="B104" i="106"/>
  <c r="F103" i="106"/>
  <c r="D103" i="106"/>
  <c r="C103" i="106"/>
  <c r="B103" i="106"/>
  <c r="F102" i="106"/>
  <c r="D102" i="106"/>
  <c r="C102" i="106"/>
  <c r="B102" i="106"/>
  <c r="F101" i="106"/>
  <c r="D101" i="106"/>
  <c r="C101" i="106"/>
  <c r="B101" i="106"/>
  <c r="F100" i="106"/>
  <c r="C100" i="106"/>
  <c r="B100" i="106"/>
  <c r="F92" i="106"/>
  <c r="D92" i="106"/>
  <c r="C92" i="106"/>
  <c r="B92" i="106"/>
  <c r="F91" i="106"/>
  <c r="D91" i="106"/>
  <c r="C91" i="106"/>
  <c r="B91" i="106"/>
  <c r="F90" i="106"/>
  <c r="D90" i="106"/>
  <c r="C90" i="106"/>
  <c r="B90" i="106"/>
  <c r="F89" i="106"/>
  <c r="D89" i="106"/>
  <c r="C89" i="106"/>
  <c r="B89" i="106"/>
  <c r="F88" i="106"/>
  <c r="D88" i="106"/>
  <c r="C88" i="106"/>
  <c r="B88" i="106"/>
  <c r="F87" i="106"/>
  <c r="D87" i="106"/>
  <c r="C87" i="106"/>
  <c r="B87" i="106"/>
  <c r="F86" i="106"/>
  <c r="D86" i="106"/>
  <c r="C86" i="106"/>
  <c r="B86" i="106"/>
  <c r="F85" i="106"/>
  <c r="D85" i="106"/>
  <c r="C85" i="106"/>
  <c r="B85" i="106"/>
  <c r="F84" i="106"/>
  <c r="D84" i="106"/>
  <c r="C84" i="106"/>
  <c r="B84" i="106"/>
  <c r="F83" i="106"/>
  <c r="D83" i="106"/>
  <c r="C83" i="106"/>
  <c r="B83" i="106"/>
  <c r="F82" i="106"/>
  <c r="C82" i="106"/>
  <c r="B82" i="106"/>
  <c r="F75" i="106"/>
  <c r="D75" i="106"/>
  <c r="C75" i="106"/>
  <c r="B75" i="106"/>
  <c r="F74" i="106"/>
  <c r="D74" i="106"/>
  <c r="C74" i="106"/>
  <c r="B74" i="106"/>
  <c r="F73" i="106"/>
  <c r="D73" i="106"/>
  <c r="C73" i="106"/>
  <c r="B73" i="106"/>
  <c r="F72" i="106"/>
  <c r="D72" i="106"/>
  <c r="C72" i="106"/>
  <c r="B72" i="106"/>
  <c r="F71" i="106"/>
  <c r="D71" i="106"/>
  <c r="C71" i="106"/>
  <c r="B71" i="106"/>
  <c r="F70" i="106"/>
  <c r="D70" i="106"/>
  <c r="C70" i="106"/>
  <c r="B70" i="106"/>
  <c r="F69" i="106"/>
  <c r="D69" i="106"/>
  <c r="C69" i="106"/>
  <c r="B69" i="106"/>
  <c r="F68" i="106"/>
  <c r="D68" i="106"/>
  <c r="C68" i="106"/>
  <c r="B68" i="106"/>
  <c r="F67" i="106"/>
  <c r="D67" i="106"/>
  <c r="C67" i="106"/>
  <c r="B67" i="106"/>
  <c r="F66" i="106"/>
  <c r="D66" i="106"/>
  <c r="C66" i="106"/>
  <c r="B66" i="106"/>
  <c r="F65" i="106"/>
  <c r="C65" i="106"/>
  <c r="B65" i="106"/>
  <c r="D51" i="106"/>
  <c r="C51" i="106"/>
  <c r="R44" i="106"/>
  <c r="V40" i="106"/>
  <c r="E38" i="106"/>
  <c r="F38" i="106" s="1"/>
  <c r="H38" i="106" s="1"/>
  <c r="E37" i="106"/>
  <c r="F37" i="106" s="1"/>
  <c r="U30" i="106"/>
  <c r="T30" i="106" s="1"/>
  <c r="AD28" i="106"/>
  <c r="AC28" i="106"/>
  <c r="AB28" i="106"/>
  <c r="U28" i="106"/>
  <c r="L1" i="106"/>
  <c r="K1" i="29"/>
  <c r="D5" i="92"/>
  <c r="T28" i="92"/>
  <c r="F67" i="104"/>
  <c r="F68" i="104"/>
  <c r="F69" i="104"/>
  <c r="F70" i="104"/>
  <c r="F71" i="104"/>
  <c r="F72" i="104"/>
  <c r="F73" i="104"/>
  <c r="F74" i="104"/>
  <c r="F75" i="104"/>
  <c r="F76" i="104"/>
  <c r="F77" i="104"/>
  <c r="F66" i="104"/>
  <c r="C67" i="104"/>
  <c r="D67" i="104"/>
  <c r="C68" i="104"/>
  <c r="D68" i="104"/>
  <c r="C69" i="104"/>
  <c r="D69" i="104"/>
  <c r="C70" i="104"/>
  <c r="D70" i="104"/>
  <c r="C71" i="104"/>
  <c r="D71" i="104"/>
  <c r="C72" i="104"/>
  <c r="D72" i="104"/>
  <c r="C73" i="104"/>
  <c r="D73" i="104"/>
  <c r="C74" i="104"/>
  <c r="D74" i="104"/>
  <c r="C75" i="104"/>
  <c r="D75" i="104"/>
  <c r="C76" i="104"/>
  <c r="D76" i="104"/>
  <c r="C77" i="104"/>
  <c r="D77" i="104"/>
  <c r="D66" i="104"/>
  <c r="C66" i="104"/>
  <c r="B77" i="104"/>
  <c r="B67" i="104"/>
  <c r="B68" i="104"/>
  <c r="B69" i="104"/>
  <c r="B70" i="104"/>
  <c r="B71" i="104"/>
  <c r="B72" i="104"/>
  <c r="B73" i="104"/>
  <c r="B74" i="104"/>
  <c r="B75" i="104"/>
  <c r="B76" i="104"/>
  <c r="B66" i="104"/>
  <c r="T28" i="104"/>
  <c r="AQ14" i="100"/>
  <c r="J56" i="80"/>
  <c r="AL31" i="1"/>
  <c r="AL44" i="1"/>
  <c r="AL45" i="1"/>
  <c r="AL48" i="1"/>
  <c r="AL47" i="1"/>
  <c r="AL46" i="1"/>
  <c r="AL43" i="1"/>
  <c r="AL42" i="1"/>
  <c r="AL41" i="1"/>
  <c r="AL40" i="1"/>
  <c r="AL39" i="1"/>
  <c r="AL37" i="1"/>
  <c r="AL36" i="1"/>
  <c r="AL35" i="1"/>
  <c r="AL34" i="1"/>
  <c r="AL32" i="1"/>
  <c r="B90" i="3"/>
  <c r="C90" i="3"/>
  <c r="D90" i="3"/>
  <c r="F90" i="3"/>
  <c r="B126" i="16"/>
  <c r="J131" i="80"/>
  <c r="AL97" i="1"/>
  <c r="AL96" i="1"/>
  <c r="AL95" i="1"/>
  <c r="AL94" i="1"/>
  <c r="AL93" i="1"/>
  <c r="AL92" i="1"/>
  <c r="AL91" i="1"/>
  <c r="AL90" i="1"/>
  <c r="AL89" i="1"/>
  <c r="AL88" i="1"/>
  <c r="AL87" i="1"/>
  <c r="AL68" i="1"/>
  <c r="AL67" i="1"/>
  <c r="AL62" i="1"/>
  <c r="AL60" i="1"/>
  <c r="AL59" i="1"/>
  <c r="AL58" i="1"/>
  <c r="AL57" i="1"/>
  <c r="AL56" i="1"/>
  <c r="AL55" i="1"/>
  <c r="AL54" i="1"/>
  <c r="AL52" i="1"/>
  <c r="AL51" i="1"/>
  <c r="AL49" i="1"/>
  <c r="AL30" i="1"/>
  <c r="AL27" i="1"/>
  <c r="AL25" i="1"/>
  <c r="AL24" i="1"/>
  <c r="AL23" i="1"/>
  <c r="AL22" i="1"/>
  <c r="AL21" i="1"/>
  <c r="AL20" i="1"/>
  <c r="AL19" i="1"/>
  <c r="J61" i="1"/>
  <c r="K61" i="1"/>
  <c r="N61" i="1" s="1"/>
  <c r="L61" i="1"/>
  <c r="O61" i="1" s="1"/>
  <c r="AL7" i="1"/>
  <c r="AL4" i="1"/>
  <c r="AL13" i="1"/>
  <c r="AL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87" i="1"/>
  <c r="AN88" i="1"/>
  <c r="AN89" i="1"/>
  <c r="AN90" i="1"/>
  <c r="AN91" i="1"/>
  <c r="AN92" i="1"/>
  <c r="AN93" i="1"/>
  <c r="AN94" i="1"/>
  <c r="AN95" i="1"/>
  <c r="AN96" i="1"/>
  <c r="AN97" i="1"/>
  <c r="AN98" i="1"/>
  <c r="AL18" i="1"/>
  <c r="AN14" i="1"/>
  <c r="AN13" i="1"/>
  <c r="AN12" i="1"/>
  <c r="AN11" i="1"/>
  <c r="J76" i="80"/>
  <c r="AL33" i="1"/>
  <c r="AL29" i="1"/>
  <c r="AL38" i="1"/>
  <c r="AL50" i="1"/>
  <c r="AL53" i="1"/>
  <c r="AL61" i="1"/>
  <c r="AL63" i="1"/>
  <c r="AL64" i="1"/>
  <c r="AL65" i="1"/>
  <c r="AL66" i="1"/>
  <c r="AL28" i="1"/>
  <c r="S32" i="109" l="1"/>
  <c r="J52" i="109" s="1"/>
  <c r="S30" i="115"/>
  <c r="E1" i="115" s="1"/>
  <c r="G1" i="115" s="1"/>
  <c r="S29" i="114"/>
  <c r="E1" i="114" s="1"/>
  <c r="S30" i="110"/>
  <c r="S30" i="107"/>
  <c r="S32" i="107" s="1"/>
  <c r="S30" i="106"/>
  <c r="K37" i="107"/>
  <c r="T29" i="107"/>
  <c r="U29" i="107" s="1"/>
  <c r="T28" i="107"/>
  <c r="K38" i="106"/>
  <c r="T29" i="106"/>
  <c r="U29" i="106" s="1"/>
  <c r="T28" i="106"/>
  <c r="S28" i="106"/>
  <c r="K37" i="113"/>
  <c r="K6" i="111"/>
  <c r="K7" i="111"/>
  <c r="K8" i="111"/>
  <c r="K9" i="111"/>
  <c r="K37" i="110"/>
  <c r="L37" i="110" s="1"/>
  <c r="D82" i="113"/>
  <c r="D101" i="113"/>
  <c r="D118" i="113"/>
  <c r="D65" i="113"/>
  <c r="D135" i="113"/>
  <c r="U28" i="113"/>
  <c r="U30" i="113" s="1"/>
  <c r="T28" i="113"/>
  <c r="T30" i="113" s="1"/>
  <c r="S30" i="113"/>
  <c r="D65" i="112"/>
  <c r="D77" i="112"/>
  <c r="D91" i="112"/>
  <c r="AB28" i="112"/>
  <c r="AC28" i="112" s="1"/>
  <c r="T28" i="112"/>
  <c r="T30" i="112" s="1"/>
  <c r="S30" i="112"/>
  <c r="C53" i="111"/>
  <c r="V44" i="111"/>
  <c r="U44" i="111"/>
  <c r="W44" i="111" s="1"/>
  <c r="J51" i="111" s="1"/>
  <c r="I51" i="111" s="1"/>
  <c r="H51" i="111" s="1"/>
  <c r="AE28" i="111"/>
  <c r="S32" i="111"/>
  <c r="U28" i="111"/>
  <c r="D65" i="111"/>
  <c r="U44" i="110"/>
  <c r="W44" i="110" s="1"/>
  <c r="J52" i="110" s="1"/>
  <c r="I52" i="110" s="1"/>
  <c r="H52" i="110" s="1"/>
  <c r="V44" i="110"/>
  <c r="AE28" i="110"/>
  <c r="W28" i="110"/>
  <c r="H7" i="110"/>
  <c r="K7" i="110" s="1"/>
  <c r="U44" i="109"/>
  <c r="W44" i="109" s="1"/>
  <c r="J51" i="109" s="1"/>
  <c r="I51" i="109" s="1"/>
  <c r="V44" i="109"/>
  <c r="U30" i="109"/>
  <c r="T30" i="109"/>
  <c r="AD28" i="109"/>
  <c r="AA29" i="109" s="1"/>
  <c r="U28" i="109"/>
  <c r="T29" i="109"/>
  <c r="U44" i="108"/>
  <c r="W44" i="108" s="1"/>
  <c r="J51" i="108" s="1"/>
  <c r="I51" i="108" s="1"/>
  <c r="V44" i="108"/>
  <c r="U30" i="108"/>
  <c r="T30" i="108"/>
  <c r="AE28" i="108"/>
  <c r="AB29" i="108" s="1"/>
  <c r="T29" i="108"/>
  <c r="U28" i="108"/>
  <c r="S32" i="108"/>
  <c r="V44" i="107"/>
  <c r="U44" i="107"/>
  <c r="W44" i="107" s="1"/>
  <c r="J51" i="107" s="1"/>
  <c r="I51" i="107" s="1"/>
  <c r="W28" i="107"/>
  <c r="W32" i="107" s="1"/>
  <c r="AF28" i="107"/>
  <c r="AB29" i="107" s="1"/>
  <c r="V44" i="106"/>
  <c r="U44" i="106"/>
  <c r="W44" i="106" s="1"/>
  <c r="J51" i="106" s="1"/>
  <c r="I51" i="106" s="1"/>
  <c r="H37" i="106"/>
  <c r="K37" i="106" s="1"/>
  <c r="W28" i="106"/>
  <c r="W32" i="106" s="1"/>
  <c r="AF28" i="106"/>
  <c r="AB29" i="106" s="1"/>
  <c r="L110" i="1"/>
  <c r="O110" i="1" s="1"/>
  <c r="K110" i="1"/>
  <c r="N110" i="1" s="1"/>
  <c r="J110" i="1"/>
  <c r="L145" i="1"/>
  <c r="O145" i="1" s="1"/>
  <c r="J145" i="1"/>
  <c r="D51" i="105"/>
  <c r="C51" i="105"/>
  <c r="AA31" i="105"/>
  <c r="S28" i="105"/>
  <c r="S27" i="105"/>
  <c r="I20" i="105"/>
  <c r="I19" i="105"/>
  <c r="I18" i="105"/>
  <c r="I17" i="105"/>
  <c r="I16" i="105"/>
  <c r="I15" i="105"/>
  <c r="I14" i="105"/>
  <c r="I13" i="105"/>
  <c r="I12" i="105"/>
  <c r="I11" i="105"/>
  <c r="I10" i="105"/>
  <c r="I9" i="105"/>
  <c r="I8" i="105"/>
  <c r="I7" i="105"/>
  <c r="I6" i="105"/>
  <c r="I5" i="105"/>
  <c r="J78" i="80"/>
  <c r="J77" i="80"/>
  <c r="G26" i="1"/>
  <c r="L68" i="1"/>
  <c r="O68" i="1" s="1"/>
  <c r="K68" i="1"/>
  <c r="N68" i="1" s="1"/>
  <c r="J68" i="1"/>
  <c r="J37" i="102" s="1"/>
  <c r="L50" i="2"/>
  <c r="O50" i="2" s="1"/>
  <c r="K50" i="2"/>
  <c r="N50" i="2" s="1"/>
  <c r="J50" i="2"/>
  <c r="G19" i="2"/>
  <c r="G18" i="2"/>
  <c r="L22" i="2"/>
  <c r="O22" i="2" s="1"/>
  <c r="K22" i="2"/>
  <c r="N22" i="2" s="1"/>
  <c r="J22" i="2"/>
  <c r="I6" i="104"/>
  <c r="I7" i="104"/>
  <c r="I8" i="104"/>
  <c r="I9" i="104"/>
  <c r="I10" i="104"/>
  <c r="I11" i="104"/>
  <c r="I12" i="104"/>
  <c r="J12" i="104"/>
  <c r="I13" i="104"/>
  <c r="J13" i="104"/>
  <c r="I14" i="104"/>
  <c r="I15" i="104"/>
  <c r="I16" i="104"/>
  <c r="I5" i="104"/>
  <c r="I7" i="103"/>
  <c r="J6" i="103"/>
  <c r="I6" i="103"/>
  <c r="D51" i="104"/>
  <c r="C51" i="104"/>
  <c r="S29" i="104"/>
  <c r="T29" i="104" s="1"/>
  <c r="S28" i="104"/>
  <c r="F66" i="103"/>
  <c r="D66" i="103"/>
  <c r="C66" i="103"/>
  <c r="B66" i="103"/>
  <c r="F65" i="103"/>
  <c r="C65" i="103"/>
  <c r="B65" i="103"/>
  <c r="D51" i="103"/>
  <c r="C51" i="103"/>
  <c r="S28" i="103"/>
  <c r="S27" i="103"/>
  <c r="D6" i="103"/>
  <c r="I37" i="102"/>
  <c r="AQ7" i="102"/>
  <c r="AQ8" i="102"/>
  <c r="AR8" i="102"/>
  <c r="AQ9" i="102"/>
  <c r="AQ10" i="102"/>
  <c r="AQ11" i="102"/>
  <c r="AQ12" i="102"/>
  <c r="AR12" i="102"/>
  <c r="AQ6" i="102"/>
  <c r="AQ7" i="101"/>
  <c r="AQ8" i="101"/>
  <c r="AQ9" i="101"/>
  <c r="AQ10" i="101"/>
  <c r="AQ11" i="101"/>
  <c r="AQ12" i="101"/>
  <c r="AQ13" i="101"/>
  <c r="AQ14" i="101"/>
  <c r="AQ15" i="101"/>
  <c r="AQ6" i="101"/>
  <c r="I5" i="102"/>
  <c r="I6" i="101"/>
  <c r="I7" i="101"/>
  <c r="I5" i="101"/>
  <c r="D51" i="102"/>
  <c r="C51" i="102"/>
  <c r="R44" i="102"/>
  <c r="V40" i="102"/>
  <c r="E37" i="102"/>
  <c r="F37" i="102" s="1"/>
  <c r="H37" i="102" s="1"/>
  <c r="U31" i="102"/>
  <c r="S30" i="102"/>
  <c r="U30" i="102" s="1"/>
  <c r="U29" i="102"/>
  <c r="AF28" i="102"/>
  <c r="AF29" i="102" s="1"/>
  <c r="AB28" i="102"/>
  <c r="AB29" i="102" s="1"/>
  <c r="S28" i="102"/>
  <c r="D5" i="102"/>
  <c r="F67" i="101"/>
  <c r="D67" i="101"/>
  <c r="C67" i="101"/>
  <c r="B67" i="101"/>
  <c r="F66" i="101"/>
  <c r="D66" i="101"/>
  <c r="C66" i="101"/>
  <c r="B66" i="101"/>
  <c r="F65" i="101"/>
  <c r="C65" i="101"/>
  <c r="B65" i="101"/>
  <c r="C52" i="101"/>
  <c r="D51" i="101"/>
  <c r="C51" i="101"/>
  <c r="C53" i="101" s="1"/>
  <c r="V44" i="101"/>
  <c r="U44" i="101"/>
  <c r="W44" i="101" s="1"/>
  <c r="J51" i="101" s="1"/>
  <c r="I51" i="101" s="1"/>
  <c r="R44" i="101"/>
  <c r="V40" i="101"/>
  <c r="T35" i="101"/>
  <c r="T33" i="101"/>
  <c r="T34" i="101" s="1"/>
  <c r="T32" i="101"/>
  <c r="S30" i="101"/>
  <c r="U29" i="101"/>
  <c r="AB28" i="101"/>
  <c r="X28" i="101"/>
  <c r="G7" i="101"/>
  <c r="H7" i="101" s="1"/>
  <c r="D65" i="101"/>
  <c r="AF1" i="101"/>
  <c r="J65" i="80"/>
  <c r="O48" i="80" s="1"/>
  <c r="I38" i="97"/>
  <c r="I37" i="97"/>
  <c r="AQ7" i="100"/>
  <c r="AQ8" i="100"/>
  <c r="AQ9" i="100"/>
  <c r="AQ10" i="100"/>
  <c r="AQ11" i="100"/>
  <c r="AQ12" i="100"/>
  <c r="AQ13" i="100"/>
  <c r="AQ6" i="100"/>
  <c r="I6" i="100"/>
  <c r="I7" i="100"/>
  <c r="I8" i="100"/>
  <c r="I9" i="100"/>
  <c r="I5" i="100"/>
  <c r="F69" i="100"/>
  <c r="D69" i="100"/>
  <c r="C69" i="100"/>
  <c r="B69" i="100"/>
  <c r="F68" i="100"/>
  <c r="D68" i="100"/>
  <c r="C68" i="100"/>
  <c r="B68" i="100"/>
  <c r="F67" i="100"/>
  <c r="D67" i="100"/>
  <c r="C67" i="100"/>
  <c r="B67" i="100"/>
  <c r="F66" i="100"/>
  <c r="D66" i="100"/>
  <c r="C66" i="100"/>
  <c r="B66" i="100"/>
  <c r="F65" i="100"/>
  <c r="C65" i="100"/>
  <c r="B65" i="100"/>
  <c r="C53" i="100"/>
  <c r="C52" i="100"/>
  <c r="D51" i="100"/>
  <c r="C51" i="100"/>
  <c r="R44" i="100"/>
  <c r="V40" i="100"/>
  <c r="T35" i="100"/>
  <c r="T33" i="100"/>
  <c r="T34" i="100" s="1"/>
  <c r="T32" i="100"/>
  <c r="S30" i="100"/>
  <c r="U29" i="100"/>
  <c r="AE28" i="100"/>
  <c r="AE29" i="100" s="1"/>
  <c r="AB28" i="100"/>
  <c r="AB29" i="100" s="1"/>
  <c r="X28" i="100"/>
  <c r="S28" i="100"/>
  <c r="G9" i="100"/>
  <c r="H9" i="100" s="1"/>
  <c r="G8" i="100"/>
  <c r="H8" i="100" s="1"/>
  <c r="G7" i="100"/>
  <c r="H7" i="100" s="1"/>
  <c r="E7" i="100"/>
  <c r="AF1" i="100"/>
  <c r="J28" i="80"/>
  <c r="J95" i="80"/>
  <c r="J118" i="80"/>
  <c r="J33" i="80"/>
  <c r="AQ7" i="99"/>
  <c r="AQ8" i="99"/>
  <c r="AQ9" i="99"/>
  <c r="AQ10" i="99"/>
  <c r="AQ11" i="99"/>
  <c r="AQ12" i="99"/>
  <c r="AQ13" i="99"/>
  <c r="AQ14" i="99"/>
  <c r="AQ6" i="99"/>
  <c r="AQ7" i="98"/>
  <c r="AQ8" i="98"/>
  <c r="AQ9" i="98"/>
  <c r="AQ10" i="98"/>
  <c r="AQ11" i="98"/>
  <c r="AQ12" i="98"/>
  <c r="AQ13" i="98"/>
  <c r="AQ6" i="98"/>
  <c r="I10" i="99"/>
  <c r="I10" i="97"/>
  <c r="I11" i="97"/>
  <c r="I12" i="97"/>
  <c r="I13" i="97"/>
  <c r="I9" i="97"/>
  <c r="I9" i="99"/>
  <c r="I9" i="98"/>
  <c r="I6" i="98"/>
  <c r="I7" i="98"/>
  <c r="I8" i="98"/>
  <c r="I6" i="99"/>
  <c r="I7" i="99"/>
  <c r="I8" i="99"/>
  <c r="I6" i="97"/>
  <c r="I7" i="97"/>
  <c r="I8" i="97"/>
  <c r="I5" i="98"/>
  <c r="I5" i="99"/>
  <c r="I5" i="97"/>
  <c r="F70" i="99"/>
  <c r="D70" i="99"/>
  <c r="C70" i="99"/>
  <c r="B70" i="99"/>
  <c r="F69" i="99"/>
  <c r="D69" i="99"/>
  <c r="C69" i="99"/>
  <c r="B69" i="99"/>
  <c r="F68" i="99"/>
  <c r="D68" i="99"/>
  <c r="C68" i="99"/>
  <c r="B68" i="99"/>
  <c r="F67" i="99"/>
  <c r="D67" i="99"/>
  <c r="C67" i="99"/>
  <c r="B67" i="99"/>
  <c r="F66" i="99"/>
  <c r="D66" i="99"/>
  <c r="C66" i="99"/>
  <c r="B66" i="99"/>
  <c r="F65" i="99"/>
  <c r="C65" i="99"/>
  <c r="B65" i="99"/>
  <c r="C53" i="99"/>
  <c r="C52" i="99"/>
  <c r="D51" i="99"/>
  <c r="C51" i="99"/>
  <c r="R44" i="99"/>
  <c r="V40" i="99"/>
  <c r="T35" i="99"/>
  <c r="T33" i="99"/>
  <c r="T34" i="99" s="1"/>
  <c r="T32" i="99"/>
  <c r="S30" i="99"/>
  <c r="U29" i="99"/>
  <c r="AE28" i="99"/>
  <c r="AE29" i="99" s="1"/>
  <c r="AB28" i="99"/>
  <c r="AB29" i="99" s="1"/>
  <c r="X28" i="99"/>
  <c r="S28" i="99"/>
  <c r="G9" i="99"/>
  <c r="H9" i="99" s="1"/>
  <c r="G7" i="99"/>
  <c r="H7" i="99" s="1"/>
  <c r="D5" i="99"/>
  <c r="AF1" i="99"/>
  <c r="F69" i="98"/>
  <c r="D69" i="98"/>
  <c r="C69" i="98"/>
  <c r="B69" i="98"/>
  <c r="F68" i="98"/>
  <c r="D68" i="98"/>
  <c r="C68" i="98"/>
  <c r="B68" i="98"/>
  <c r="F67" i="98"/>
  <c r="D67" i="98"/>
  <c r="C67" i="98"/>
  <c r="B67" i="98"/>
  <c r="F66" i="98"/>
  <c r="D66" i="98"/>
  <c r="C66" i="98"/>
  <c r="B66" i="98"/>
  <c r="F65" i="98"/>
  <c r="C65" i="98"/>
  <c r="B65" i="98"/>
  <c r="C52" i="98"/>
  <c r="D51" i="98"/>
  <c r="C51" i="98"/>
  <c r="R44" i="98"/>
  <c r="V40" i="98"/>
  <c r="T35" i="98"/>
  <c r="T33" i="98"/>
  <c r="T34" i="98" s="1"/>
  <c r="T32" i="98"/>
  <c r="S30" i="98"/>
  <c r="U29" i="98"/>
  <c r="AB28" i="98"/>
  <c r="X28" i="98"/>
  <c r="S28" i="98"/>
  <c r="G9" i="98"/>
  <c r="H9" i="98" s="1"/>
  <c r="G8" i="98"/>
  <c r="H8" i="98" s="1"/>
  <c r="G7" i="98"/>
  <c r="H7" i="98" s="1"/>
  <c r="E7" i="98"/>
  <c r="AF1" i="98"/>
  <c r="F104" i="97"/>
  <c r="D104" i="97"/>
  <c r="C104" i="97"/>
  <c r="B104" i="97"/>
  <c r="F103" i="97"/>
  <c r="D103" i="97"/>
  <c r="C103" i="97"/>
  <c r="B103" i="97"/>
  <c r="F102" i="97"/>
  <c r="D102" i="97"/>
  <c r="C102" i="97"/>
  <c r="B102" i="97"/>
  <c r="F101" i="97"/>
  <c r="D101" i="97"/>
  <c r="C101" i="97"/>
  <c r="B101" i="97"/>
  <c r="F100" i="97"/>
  <c r="D100" i="97"/>
  <c r="C100" i="97"/>
  <c r="B100" i="97"/>
  <c r="F99" i="97"/>
  <c r="D99" i="97"/>
  <c r="C99" i="97"/>
  <c r="B99" i="97"/>
  <c r="F98" i="97"/>
  <c r="D98" i="97"/>
  <c r="C98" i="97"/>
  <c r="B98" i="97"/>
  <c r="F97" i="97"/>
  <c r="D97" i="97"/>
  <c r="C97" i="97"/>
  <c r="B97" i="97"/>
  <c r="F96" i="97"/>
  <c r="C96" i="97"/>
  <c r="B96" i="97"/>
  <c r="F89" i="97"/>
  <c r="D89" i="97"/>
  <c r="C89" i="97"/>
  <c r="B89" i="97"/>
  <c r="F88" i="97"/>
  <c r="D88" i="97"/>
  <c r="C88" i="97"/>
  <c r="B88" i="97"/>
  <c r="F87" i="97"/>
  <c r="D87" i="97"/>
  <c r="C87" i="97"/>
  <c r="B87" i="97"/>
  <c r="F86" i="97"/>
  <c r="D86" i="97"/>
  <c r="C86" i="97"/>
  <c r="B86" i="97"/>
  <c r="F85" i="97"/>
  <c r="D85" i="97"/>
  <c r="C85" i="97"/>
  <c r="B85" i="97"/>
  <c r="F84" i="97"/>
  <c r="D84" i="97"/>
  <c r="C84" i="97"/>
  <c r="B84" i="97"/>
  <c r="F83" i="97"/>
  <c r="D83" i="97"/>
  <c r="C83" i="97"/>
  <c r="B83" i="97"/>
  <c r="F82" i="97"/>
  <c r="D82" i="97"/>
  <c r="C82" i="97"/>
  <c r="B82" i="97"/>
  <c r="F81" i="97"/>
  <c r="C81" i="97"/>
  <c r="B81" i="97"/>
  <c r="F73" i="97"/>
  <c r="D73" i="97"/>
  <c r="C73" i="97"/>
  <c r="B73" i="97"/>
  <c r="F72" i="97"/>
  <c r="D72" i="97"/>
  <c r="C72" i="97"/>
  <c r="B72" i="97"/>
  <c r="F71" i="97"/>
  <c r="D71" i="97"/>
  <c r="C71" i="97"/>
  <c r="B71" i="97"/>
  <c r="F70" i="97"/>
  <c r="D70" i="97"/>
  <c r="C70" i="97"/>
  <c r="B70" i="97"/>
  <c r="F69" i="97"/>
  <c r="D69" i="97"/>
  <c r="C69" i="97"/>
  <c r="B69" i="97"/>
  <c r="F68" i="97"/>
  <c r="D68" i="97"/>
  <c r="C68" i="97"/>
  <c r="B68" i="97"/>
  <c r="F67" i="97"/>
  <c r="D67" i="97"/>
  <c r="C67" i="97"/>
  <c r="B67" i="97"/>
  <c r="F66" i="97"/>
  <c r="D66" i="97"/>
  <c r="C66" i="97"/>
  <c r="B66" i="97"/>
  <c r="F65" i="97"/>
  <c r="C65" i="97"/>
  <c r="B65" i="97"/>
  <c r="I51" i="97"/>
  <c r="D5" i="97" s="1"/>
  <c r="D51" i="97"/>
  <c r="R44" i="97"/>
  <c r="V40" i="97"/>
  <c r="E38" i="97"/>
  <c r="F38" i="97" s="1"/>
  <c r="H38" i="97" s="1"/>
  <c r="E37" i="97"/>
  <c r="F37" i="97" s="1"/>
  <c r="H37" i="97" s="1"/>
  <c r="T33" i="97"/>
  <c r="U30" i="97"/>
  <c r="AC28" i="97"/>
  <c r="AB28" i="97"/>
  <c r="AA28" i="97"/>
  <c r="U28" i="97"/>
  <c r="T29" i="97" s="1"/>
  <c r="U29" i="97" s="1"/>
  <c r="K1" i="97"/>
  <c r="C51" i="97" s="1"/>
  <c r="W44" i="56"/>
  <c r="V40" i="56"/>
  <c r="U28" i="56"/>
  <c r="U30" i="56"/>
  <c r="I39" i="23"/>
  <c r="E39" i="23"/>
  <c r="F39" i="23" s="1"/>
  <c r="H39" i="23" s="1"/>
  <c r="L23" i="2"/>
  <c r="O23" i="2" s="1"/>
  <c r="K23" i="2"/>
  <c r="N23" i="2" s="1"/>
  <c r="J23" i="2"/>
  <c r="AR6" i="101" s="1"/>
  <c r="L57" i="2"/>
  <c r="O57" i="2" s="1"/>
  <c r="K57" i="2"/>
  <c r="N57" i="2" s="1"/>
  <c r="J57" i="2"/>
  <c r="J70" i="2"/>
  <c r="AR11" i="96" s="1"/>
  <c r="K70" i="2"/>
  <c r="N70" i="2" s="1"/>
  <c r="L70" i="2"/>
  <c r="O70" i="2" s="1"/>
  <c r="J8" i="80"/>
  <c r="AQ7" i="96"/>
  <c r="AQ8" i="96"/>
  <c r="AQ9" i="96"/>
  <c r="AR9" i="96"/>
  <c r="AQ10" i="96"/>
  <c r="AR10" i="96"/>
  <c r="AQ11" i="96"/>
  <c r="AQ12" i="96"/>
  <c r="AQ13" i="96"/>
  <c r="AQ14" i="96"/>
  <c r="AR14" i="96"/>
  <c r="AQ15" i="96"/>
  <c r="AQ6" i="96"/>
  <c r="L116" i="1"/>
  <c r="O116" i="1" s="1"/>
  <c r="K116" i="1"/>
  <c r="N116" i="1" s="1"/>
  <c r="J116" i="1"/>
  <c r="J9" i="96" s="1"/>
  <c r="I10" i="96"/>
  <c r="J10" i="96"/>
  <c r="I6" i="96"/>
  <c r="I7" i="96"/>
  <c r="I8" i="96"/>
  <c r="I9" i="96"/>
  <c r="I5" i="96"/>
  <c r="F70" i="96"/>
  <c r="D70" i="96"/>
  <c r="C70" i="96"/>
  <c r="B70" i="96"/>
  <c r="F69" i="96"/>
  <c r="D69" i="96"/>
  <c r="C69" i="96"/>
  <c r="B69" i="96"/>
  <c r="F68" i="96"/>
  <c r="D68" i="96"/>
  <c r="C68" i="96"/>
  <c r="B68" i="96"/>
  <c r="F67" i="96"/>
  <c r="D67" i="96"/>
  <c r="C67" i="96"/>
  <c r="B67" i="96"/>
  <c r="F66" i="96"/>
  <c r="D66" i="96"/>
  <c r="C66" i="96"/>
  <c r="B66" i="96"/>
  <c r="F65" i="96"/>
  <c r="C65" i="96"/>
  <c r="B65" i="96"/>
  <c r="C53" i="96"/>
  <c r="C52" i="96"/>
  <c r="D51" i="96"/>
  <c r="C51" i="96"/>
  <c r="V44" i="96"/>
  <c r="R44" i="96"/>
  <c r="U44" i="96" s="1"/>
  <c r="W44" i="96" s="1"/>
  <c r="J51" i="96" s="1"/>
  <c r="I51" i="96" s="1"/>
  <c r="V40" i="96"/>
  <c r="T35" i="96"/>
  <c r="T33" i="96"/>
  <c r="T34" i="96" s="1"/>
  <c r="T32" i="96"/>
  <c r="S30" i="96"/>
  <c r="U29" i="96"/>
  <c r="AE28" i="96"/>
  <c r="AE29" i="96" s="1"/>
  <c r="AB28" i="96"/>
  <c r="AB29" i="96" s="1"/>
  <c r="X28" i="96"/>
  <c r="S28" i="96"/>
  <c r="G9" i="96"/>
  <c r="H9" i="96" s="1"/>
  <c r="G7" i="96"/>
  <c r="H7" i="96" s="1"/>
  <c r="D5" i="96"/>
  <c r="D65" i="96" s="1"/>
  <c r="AF1" i="96"/>
  <c r="L144" i="1"/>
  <c r="O144" i="1" s="1"/>
  <c r="K144" i="1"/>
  <c r="N144" i="1" s="1"/>
  <c r="L149" i="1"/>
  <c r="O149" i="1" s="1"/>
  <c r="K149" i="1"/>
  <c r="N149" i="1" s="1"/>
  <c r="J149" i="1"/>
  <c r="J5" i="101" s="1"/>
  <c r="S30" i="49"/>
  <c r="S28" i="49"/>
  <c r="W44" i="59"/>
  <c r="V44" i="59"/>
  <c r="R44" i="59"/>
  <c r="T32" i="107" l="1"/>
  <c r="D52" i="115"/>
  <c r="B76" i="115" s="1"/>
  <c r="AO1" i="111"/>
  <c r="AM1" i="111"/>
  <c r="E9" i="110"/>
  <c r="J53" i="110"/>
  <c r="I53" i="110" s="1"/>
  <c r="H53" i="110" s="1"/>
  <c r="G9" i="110"/>
  <c r="E17" i="110" s="1"/>
  <c r="G17" i="110" s="1"/>
  <c r="H17" i="110" s="1"/>
  <c r="K17" i="110" s="1"/>
  <c r="G1" i="114"/>
  <c r="I1" i="114" s="1"/>
  <c r="D52" i="114"/>
  <c r="B70" i="114" s="1"/>
  <c r="S32" i="106"/>
  <c r="AM1" i="106" s="1"/>
  <c r="T32" i="106"/>
  <c r="E1" i="106" s="1"/>
  <c r="AM1" i="107"/>
  <c r="AO1" i="107"/>
  <c r="J52" i="107"/>
  <c r="I52" i="107" s="1"/>
  <c r="I1" i="115"/>
  <c r="C52" i="115"/>
  <c r="D1" i="113"/>
  <c r="J52" i="113"/>
  <c r="J52" i="112"/>
  <c r="D1" i="112"/>
  <c r="D53" i="111"/>
  <c r="G71" i="111" s="1"/>
  <c r="E71" i="111"/>
  <c r="U32" i="111"/>
  <c r="D5" i="109"/>
  <c r="H51" i="109"/>
  <c r="J53" i="109"/>
  <c r="I52" i="109"/>
  <c r="H52" i="109" s="1"/>
  <c r="AB29" i="109"/>
  <c r="AD29" i="109"/>
  <c r="U29" i="109"/>
  <c r="T32" i="109"/>
  <c r="D5" i="108"/>
  <c r="H51" i="108" s="1"/>
  <c r="AC29" i="108"/>
  <c r="AE29" i="108"/>
  <c r="T34" i="108"/>
  <c r="U29" i="108"/>
  <c r="T32" i="108"/>
  <c r="J52" i="108"/>
  <c r="AM1" i="108"/>
  <c r="AO1" i="108"/>
  <c r="D5" i="107"/>
  <c r="H51" i="107"/>
  <c r="AC29" i="107"/>
  <c r="AD29" i="107"/>
  <c r="AF29" i="107"/>
  <c r="D5" i="106"/>
  <c r="H51" i="106"/>
  <c r="AD29" i="106"/>
  <c r="AC29" i="106"/>
  <c r="AF29" i="106"/>
  <c r="AB29" i="112"/>
  <c r="AC29" i="112"/>
  <c r="C54" i="111"/>
  <c r="AE29" i="111"/>
  <c r="AB29" i="111"/>
  <c r="AE29" i="110"/>
  <c r="AB29" i="110"/>
  <c r="S30" i="97"/>
  <c r="T30" i="97"/>
  <c r="AR12" i="99"/>
  <c r="AR10" i="100"/>
  <c r="H51" i="96"/>
  <c r="K38" i="97"/>
  <c r="K37" i="97"/>
  <c r="S28" i="97"/>
  <c r="T28" i="97"/>
  <c r="H51" i="101"/>
  <c r="S29" i="103"/>
  <c r="E1" i="103" s="1"/>
  <c r="G1" i="103" s="1"/>
  <c r="S30" i="104"/>
  <c r="T30" i="104" s="1"/>
  <c r="K37" i="102"/>
  <c r="L37" i="102" s="1"/>
  <c r="W35" i="102" s="1"/>
  <c r="K7" i="101"/>
  <c r="Z32" i="105"/>
  <c r="Y32" i="105"/>
  <c r="S29" i="105"/>
  <c r="T29" i="105" s="1"/>
  <c r="E1" i="105" s="1"/>
  <c r="T27" i="105"/>
  <c r="L27" i="1"/>
  <c r="O27" i="1" s="1"/>
  <c r="K27" i="1"/>
  <c r="N27" i="1" s="1"/>
  <c r="J8" i="104"/>
  <c r="L26" i="1"/>
  <c r="O26" i="1" s="1"/>
  <c r="K26" i="1"/>
  <c r="N26" i="1" s="1"/>
  <c r="J26" i="1"/>
  <c r="L19" i="2"/>
  <c r="O19" i="2" s="1"/>
  <c r="K19" i="2"/>
  <c r="N19" i="2" s="1"/>
  <c r="J19" i="2"/>
  <c r="AR7" i="102" s="1"/>
  <c r="L18" i="2"/>
  <c r="O18" i="2" s="1"/>
  <c r="K18" i="2"/>
  <c r="N18" i="2" s="1"/>
  <c r="J18" i="2"/>
  <c r="AR6" i="102" s="1"/>
  <c r="D65" i="103"/>
  <c r="U44" i="102"/>
  <c r="W44" i="102" s="1"/>
  <c r="V44" i="102"/>
  <c r="W28" i="102"/>
  <c r="W32" i="102" s="1"/>
  <c r="U28" i="102"/>
  <c r="S32" i="102"/>
  <c r="J52" i="102" s="1"/>
  <c r="C54" i="101"/>
  <c r="D53" i="101"/>
  <c r="G69" i="101" s="1"/>
  <c r="E69" i="101"/>
  <c r="C69" i="101" s="1"/>
  <c r="AE28" i="101"/>
  <c r="AE29" i="101" s="1"/>
  <c r="AB29" i="101"/>
  <c r="U28" i="101"/>
  <c r="S32" i="101"/>
  <c r="T30" i="56"/>
  <c r="S30" i="56"/>
  <c r="T28" i="56"/>
  <c r="S28" i="56"/>
  <c r="T30" i="49"/>
  <c r="U30" i="49"/>
  <c r="U28" i="49"/>
  <c r="T29" i="49"/>
  <c r="U29" i="49" s="1"/>
  <c r="K8" i="100"/>
  <c r="K9" i="100"/>
  <c r="K7" i="100"/>
  <c r="K9" i="99"/>
  <c r="K7" i="99"/>
  <c r="S32" i="99"/>
  <c r="U28" i="99"/>
  <c r="K9" i="98"/>
  <c r="K7" i="98"/>
  <c r="K8" i="98"/>
  <c r="E71" i="100"/>
  <c r="C54" i="100"/>
  <c r="D53" i="100"/>
  <c r="G71" i="100" s="1"/>
  <c r="V44" i="100"/>
  <c r="U44" i="100"/>
  <c r="W44" i="100" s="1"/>
  <c r="J51" i="100" s="1"/>
  <c r="I51" i="100" s="1"/>
  <c r="H51" i="100" s="1"/>
  <c r="S32" i="100"/>
  <c r="U28" i="100"/>
  <c r="D65" i="100"/>
  <c r="D53" i="99"/>
  <c r="G72" i="99" s="1"/>
  <c r="E72" i="99"/>
  <c r="C72" i="99" s="1"/>
  <c r="C54" i="99"/>
  <c r="V44" i="99"/>
  <c r="U44" i="99"/>
  <c r="W44" i="99" s="1"/>
  <c r="J51" i="99" s="1"/>
  <c r="I51" i="99" s="1"/>
  <c r="H51" i="99" s="1"/>
  <c r="D65" i="99"/>
  <c r="C53" i="98"/>
  <c r="U44" i="98"/>
  <c r="W44" i="98" s="1"/>
  <c r="J51" i="98" s="1"/>
  <c r="I51" i="98" s="1"/>
  <c r="H51" i="98" s="1"/>
  <c r="V44" i="98"/>
  <c r="AE28" i="98"/>
  <c r="U28" i="98"/>
  <c r="S32" i="98"/>
  <c r="D65" i="98"/>
  <c r="V44" i="97"/>
  <c r="U44" i="97"/>
  <c r="W44" i="97" s="1"/>
  <c r="V28" i="97"/>
  <c r="V32" i="97" s="1"/>
  <c r="AE28" i="97"/>
  <c r="AA29" i="97" s="1"/>
  <c r="D65" i="97"/>
  <c r="D81" i="97"/>
  <c r="H51" i="97"/>
  <c r="D96" i="97"/>
  <c r="K39" i="23"/>
  <c r="S32" i="49"/>
  <c r="K7" i="96"/>
  <c r="K9" i="96"/>
  <c r="L9" i="96" s="1"/>
  <c r="D53" i="96"/>
  <c r="G72" i="96" s="1"/>
  <c r="E72" i="96"/>
  <c r="C54" i="96"/>
  <c r="U28" i="96"/>
  <c r="S32" i="96"/>
  <c r="B68" i="94"/>
  <c r="C68" i="94"/>
  <c r="D68" i="94"/>
  <c r="F68" i="94"/>
  <c r="I37" i="95"/>
  <c r="L140" i="1"/>
  <c r="O140" i="1" s="1"/>
  <c r="K140" i="1"/>
  <c r="N140" i="1" s="1"/>
  <c r="J140" i="1"/>
  <c r="J8" i="111" s="1"/>
  <c r="L8" i="111" s="1"/>
  <c r="L43" i="2"/>
  <c r="O43" i="2" s="1"/>
  <c r="K43" i="2"/>
  <c r="N43" i="2" s="1"/>
  <c r="J43" i="2"/>
  <c r="L42" i="2"/>
  <c r="O42" i="2" s="1"/>
  <c r="K42" i="2"/>
  <c r="N42" i="2" s="1"/>
  <c r="J42" i="2"/>
  <c r="AR10" i="101" s="1"/>
  <c r="L53" i="2"/>
  <c r="O53" i="2" s="1"/>
  <c r="K53" i="2"/>
  <c r="N53" i="2" s="1"/>
  <c r="J53" i="2"/>
  <c r="L59" i="2"/>
  <c r="O59" i="2" s="1"/>
  <c r="K59" i="2"/>
  <c r="N59" i="2" s="1"/>
  <c r="J59" i="2"/>
  <c r="AR15" i="101" s="1"/>
  <c r="G17" i="2"/>
  <c r="L76" i="2"/>
  <c r="O76" i="2" s="1"/>
  <c r="K76" i="2"/>
  <c r="N76" i="2" s="1"/>
  <c r="J76" i="2"/>
  <c r="AR14" i="111" s="1"/>
  <c r="L75" i="2"/>
  <c r="O75" i="2" s="1"/>
  <c r="K75" i="2"/>
  <c r="N75" i="2" s="1"/>
  <c r="J75" i="2"/>
  <c r="AR12" i="111" s="1"/>
  <c r="J97" i="80"/>
  <c r="AQ7" i="94"/>
  <c r="AQ8" i="94"/>
  <c r="AR8" i="94"/>
  <c r="AQ9" i="94"/>
  <c r="AQ10" i="94"/>
  <c r="AR10" i="94"/>
  <c r="AQ11" i="94"/>
  <c r="AR11" i="94"/>
  <c r="AQ12" i="94"/>
  <c r="AQ13" i="94"/>
  <c r="AQ14" i="94"/>
  <c r="AQ15" i="94"/>
  <c r="AR15" i="94"/>
  <c r="AQ6" i="94"/>
  <c r="AQ7" i="95"/>
  <c r="AQ8" i="95"/>
  <c r="AQ9" i="95"/>
  <c r="AQ10" i="95"/>
  <c r="AQ11" i="95"/>
  <c r="AQ12" i="95"/>
  <c r="AQ6" i="95"/>
  <c r="I5" i="95"/>
  <c r="I6" i="94"/>
  <c r="I7" i="94"/>
  <c r="I8" i="94"/>
  <c r="I5" i="94"/>
  <c r="F65" i="95"/>
  <c r="C65" i="95"/>
  <c r="B65" i="95"/>
  <c r="D51" i="95"/>
  <c r="R44" i="95" s="1"/>
  <c r="C51" i="95"/>
  <c r="V40" i="95"/>
  <c r="E37" i="95"/>
  <c r="F37" i="95" s="1"/>
  <c r="H37" i="95" s="1"/>
  <c r="U31" i="95"/>
  <c r="T30" i="95"/>
  <c r="U30" i="95" s="1"/>
  <c r="U29" i="95"/>
  <c r="AB28" i="95"/>
  <c r="S28" i="95"/>
  <c r="D5" i="95"/>
  <c r="F67" i="94"/>
  <c r="D67" i="94"/>
  <c r="C67" i="94"/>
  <c r="B67" i="94"/>
  <c r="F66" i="94"/>
  <c r="D66" i="94"/>
  <c r="C66" i="94"/>
  <c r="B66" i="94"/>
  <c r="F65" i="94"/>
  <c r="C65" i="94"/>
  <c r="B65" i="94"/>
  <c r="C53" i="94"/>
  <c r="C52" i="94"/>
  <c r="D51" i="94"/>
  <c r="C51" i="94"/>
  <c r="R44" i="94"/>
  <c r="V40" i="94"/>
  <c r="T35" i="94"/>
  <c r="T33" i="94"/>
  <c r="T34" i="94" s="1"/>
  <c r="T32" i="94"/>
  <c r="S30" i="94"/>
  <c r="U29" i="94"/>
  <c r="AB28" i="94"/>
  <c r="X28" i="94"/>
  <c r="S28" i="94"/>
  <c r="G8" i="94"/>
  <c r="H8" i="94" s="1"/>
  <c r="G7" i="94"/>
  <c r="H7" i="94" s="1"/>
  <c r="D5" i="94"/>
  <c r="AF1" i="94"/>
  <c r="O117" i="80"/>
  <c r="J128" i="80"/>
  <c r="O116" i="80" s="1"/>
  <c r="T28" i="42"/>
  <c r="S30" i="42"/>
  <c r="R44" i="19"/>
  <c r="V40" i="19"/>
  <c r="V40" i="59"/>
  <c r="R44" i="49"/>
  <c r="V40" i="49"/>
  <c r="L134" i="1"/>
  <c r="L71" i="2"/>
  <c r="B137" i="70"/>
  <c r="C137" i="70"/>
  <c r="D137" i="70"/>
  <c r="F137" i="70"/>
  <c r="B110" i="70"/>
  <c r="C110" i="70"/>
  <c r="D110" i="70"/>
  <c r="F110" i="70"/>
  <c r="B84" i="70"/>
  <c r="C84" i="70"/>
  <c r="D84" i="70"/>
  <c r="F84" i="70"/>
  <c r="S30" i="19"/>
  <c r="S28" i="19"/>
  <c r="T33" i="19"/>
  <c r="S30" i="59"/>
  <c r="S28" i="59"/>
  <c r="T29" i="59" s="1"/>
  <c r="U29" i="59" s="1"/>
  <c r="B103" i="42"/>
  <c r="H103" i="42" s="1"/>
  <c r="B88" i="42"/>
  <c r="H88" i="42" s="1"/>
  <c r="B74" i="42"/>
  <c r="H74" i="42" s="1"/>
  <c r="F148" i="57"/>
  <c r="F149" i="57"/>
  <c r="F150" i="57"/>
  <c r="F151" i="57"/>
  <c r="F152" i="57"/>
  <c r="F153" i="57"/>
  <c r="F154" i="57"/>
  <c r="F155" i="57"/>
  <c r="F156" i="57"/>
  <c r="F157" i="57"/>
  <c r="F158" i="57"/>
  <c r="F159" i="57"/>
  <c r="F160" i="57"/>
  <c r="F161" i="57"/>
  <c r="F162" i="57"/>
  <c r="F163" i="57"/>
  <c r="F164" i="57"/>
  <c r="F165" i="57"/>
  <c r="F166" i="57"/>
  <c r="F167" i="57"/>
  <c r="F147" i="57"/>
  <c r="B148" i="57"/>
  <c r="C148" i="57"/>
  <c r="D148" i="57"/>
  <c r="B149" i="57"/>
  <c r="C149" i="57"/>
  <c r="D149" i="57"/>
  <c r="B150" i="57"/>
  <c r="C150" i="57"/>
  <c r="D150" i="57"/>
  <c r="B151" i="57"/>
  <c r="C151" i="57"/>
  <c r="D151" i="57"/>
  <c r="B152" i="57"/>
  <c r="C152" i="57"/>
  <c r="D152" i="57"/>
  <c r="B153" i="57"/>
  <c r="C153" i="57"/>
  <c r="D153" i="57"/>
  <c r="B154" i="57"/>
  <c r="C154" i="57"/>
  <c r="D154" i="57"/>
  <c r="B155" i="57"/>
  <c r="C155" i="57"/>
  <c r="D155" i="57"/>
  <c r="B156" i="57"/>
  <c r="C156" i="57"/>
  <c r="D156" i="57"/>
  <c r="B157" i="57"/>
  <c r="C157" i="57"/>
  <c r="D157" i="57"/>
  <c r="B158" i="57"/>
  <c r="C158" i="57"/>
  <c r="D158" i="57"/>
  <c r="B159" i="57"/>
  <c r="C159" i="57"/>
  <c r="D159" i="57"/>
  <c r="B160" i="57"/>
  <c r="C160" i="57"/>
  <c r="D160" i="57"/>
  <c r="B161" i="57"/>
  <c r="C161" i="57"/>
  <c r="D161" i="57"/>
  <c r="B162" i="57"/>
  <c r="C162" i="57"/>
  <c r="D162" i="57"/>
  <c r="B163" i="57"/>
  <c r="C163" i="57"/>
  <c r="D163" i="57"/>
  <c r="B164" i="57"/>
  <c r="C164" i="57"/>
  <c r="D164" i="57"/>
  <c r="B165" i="57"/>
  <c r="C165" i="57"/>
  <c r="D165" i="57"/>
  <c r="B166" i="57"/>
  <c r="C166" i="57"/>
  <c r="D166" i="57"/>
  <c r="B167" i="57"/>
  <c r="C167" i="57"/>
  <c r="D167" i="57"/>
  <c r="C147" i="57"/>
  <c r="D147" i="57"/>
  <c r="B147" i="57"/>
  <c r="AO1" i="98" l="1"/>
  <c r="AM1" i="98"/>
  <c r="AO1" i="96"/>
  <c r="AM1" i="96"/>
  <c r="E1" i="107"/>
  <c r="U32" i="107"/>
  <c r="I52" i="102"/>
  <c r="H52" i="102" s="1"/>
  <c r="J53" i="102"/>
  <c r="AM8" i="107"/>
  <c r="AO8" i="107" s="1"/>
  <c r="AP8" i="107" s="1"/>
  <c r="AS8" i="107" s="1"/>
  <c r="AM12" i="107"/>
  <c r="AO12" i="107" s="1"/>
  <c r="AP12" i="107" s="1"/>
  <c r="AS12" i="107" s="1"/>
  <c r="C52" i="114"/>
  <c r="E65" i="114" s="1"/>
  <c r="G65" i="114" s="1"/>
  <c r="H65" i="114" s="1"/>
  <c r="J53" i="107"/>
  <c r="J54" i="107" s="1"/>
  <c r="AM14" i="107"/>
  <c r="AO14" i="107" s="1"/>
  <c r="AP14" i="107" s="1"/>
  <c r="AS14" i="107" s="1"/>
  <c r="AM13" i="107"/>
  <c r="AO13" i="107" s="1"/>
  <c r="AP13" i="107" s="1"/>
  <c r="AS13" i="107" s="1"/>
  <c r="E23" i="110"/>
  <c r="G23" i="110" s="1"/>
  <c r="H23" i="110" s="1"/>
  <c r="K23" i="110" s="1"/>
  <c r="E24" i="110"/>
  <c r="G24" i="110" s="1"/>
  <c r="H24" i="110" s="1"/>
  <c r="K24" i="110" s="1"/>
  <c r="E22" i="110"/>
  <c r="G22" i="110" s="1"/>
  <c r="H22" i="110" s="1"/>
  <c r="K22" i="110" s="1"/>
  <c r="E21" i="110"/>
  <c r="G21" i="110" s="1"/>
  <c r="H21" i="110" s="1"/>
  <c r="K21" i="110" s="1"/>
  <c r="E20" i="110"/>
  <c r="G20" i="110" s="1"/>
  <c r="H20" i="110" s="1"/>
  <c r="K20" i="110" s="1"/>
  <c r="E19" i="110"/>
  <c r="G19" i="110" s="1"/>
  <c r="H19" i="110" s="1"/>
  <c r="K19" i="110" s="1"/>
  <c r="E16" i="110"/>
  <c r="G16" i="110" s="1"/>
  <c r="H16" i="110" s="1"/>
  <c r="K16" i="110" s="1"/>
  <c r="E15" i="110"/>
  <c r="G15" i="110" s="1"/>
  <c r="H15" i="110" s="1"/>
  <c r="K15" i="110" s="1"/>
  <c r="AM10" i="107"/>
  <c r="AO10" i="107" s="1"/>
  <c r="AP10" i="107" s="1"/>
  <c r="AS10" i="107" s="1"/>
  <c r="AM19" i="107"/>
  <c r="AO19" i="107" s="1"/>
  <c r="AP19" i="107" s="1"/>
  <c r="AS19" i="107" s="1"/>
  <c r="J54" i="110"/>
  <c r="I54" i="110" s="1"/>
  <c r="E14" i="110"/>
  <c r="G14" i="110" s="1"/>
  <c r="H14" i="110" s="1"/>
  <c r="K14" i="110" s="1"/>
  <c r="AO1" i="106"/>
  <c r="AM8" i="106" s="1"/>
  <c r="AO8" i="106" s="1"/>
  <c r="AP8" i="106" s="1"/>
  <c r="AS8" i="106" s="1"/>
  <c r="J52" i="106"/>
  <c r="I52" i="106" s="1"/>
  <c r="H52" i="106" s="1"/>
  <c r="H53" i="106" s="1"/>
  <c r="E13" i="110"/>
  <c r="G13" i="110" s="1"/>
  <c r="H13" i="110" s="1"/>
  <c r="K13" i="110" s="1"/>
  <c r="E18" i="110"/>
  <c r="G18" i="110" s="1"/>
  <c r="H18" i="110" s="1"/>
  <c r="K18" i="110" s="1"/>
  <c r="U32" i="106"/>
  <c r="AM11" i="107"/>
  <c r="AO11" i="107" s="1"/>
  <c r="AP11" i="107" s="1"/>
  <c r="AS11" i="107" s="1"/>
  <c r="AM15" i="107"/>
  <c r="AO15" i="107" s="1"/>
  <c r="AP15" i="107" s="1"/>
  <c r="AS15" i="107" s="1"/>
  <c r="AM9" i="107"/>
  <c r="AO9" i="107" s="1"/>
  <c r="AP9" i="107" s="1"/>
  <c r="AS9" i="107" s="1"/>
  <c r="AM7" i="107"/>
  <c r="AO7" i="107" s="1"/>
  <c r="AP7" i="107" s="1"/>
  <c r="AS7" i="107" s="1"/>
  <c r="AM17" i="107"/>
  <c r="AO17" i="107" s="1"/>
  <c r="AP17" i="107" s="1"/>
  <c r="AS17" i="107" s="1"/>
  <c r="AM16" i="107"/>
  <c r="AO16" i="107" s="1"/>
  <c r="AP16" i="107" s="1"/>
  <c r="AS16" i="107" s="1"/>
  <c r="AM18" i="107"/>
  <c r="AO18" i="107" s="1"/>
  <c r="AP18" i="107" s="1"/>
  <c r="AS18" i="107" s="1"/>
  <c r="AM6" i="107"/>
  <c r="AO6" i="107" s="1"/>
  <c r="AP6" i="107" s="1"/>
  <c r="AS6" i="107" s="1"/>
  <c r="AM5" i="107"/>
  <c r="AO5" i="107" s="1"/>
  <c r="AP5" i="107" s="1"/>
  <c r="D52" i="106"/>
  <c r="G1" i="106"/>
  <c r="I1" i="106" s="1"/>
  <c r="E6" i="115"/>
  <c r="G6" i="115" s="1"/>
  <c r="H6" i="115" s="1"/>
  <c r="K6" i="115" s="1"/>
  <c r="E7" i="115"/>
  <c r="G7" i="115" s="1"/>
  <c r="H7" i="115" s="1"/>
  <c r="K7" i="115" s="1"/>
  <c r="E9" i="115"/>
  <c r="G9" i="115" s="1"/>
  <c r="H9" i="115" s="1"/>
  <c r="K9" i="115" s="1"/>
  <c r="E10" i="115"/>
  <c r="G10" i="115" s="1"/>
  <c r="H10" i="115" s="1"/>
  <c r="K10" i="115" s="1"/>
  <c r="E11" i="115"/>
  <c r="G11" i="115" s="1"/>
  <c r="H11" i="115" s="1"/>
  <c r="K11" i="115" s="1"/>
  <c r="E12" i="115"/>
  <c r="G12" i="115" s="1"/>
  <c r="H12" i="115" s="1"/>
  <c r="K12" i="115" s="1"/>
  <c r="E13" i="115"/>
  <c r="G13" i="115" s="1"/>
  <c r="H13" i="115" s="1"/>
  <c r="K13" i="115" s="1"/>
  <c r="E14" i="115"/>
  <c r="G14" i="115" s="1"/>
  <c r="H14" i="115" s="1"/>
  <c r="K14" i="115" s="1"/>
  <c r="E8" i="115"/>
  <c r="G8" i="115" s="1"/>
  <c r="H8" i="115" s="1"/>
  <c r="K8" i="115" s="1"/>
  <c r="E66" i="115"/>
  <c r="G66" i="115" s="1"/>
  <c r="H66" i="115" s="1"/>
  <c r="C53" i="115"/>
  <c r="E67" i="115"/>
  <c r="G67" i="115" s="1"/>
  <c r="H67" i="115" s="1"/>
  <c r="E68" i="115"/>
  <c r="G68" i="115" s="1"/>
  <c r="H68" i="115" s="1"/>
  <c r="E69" i="115"/>
  <c r="G69" i="115" s="1"/>
  <c r="H69" i="115" s="1"/>
  <c r="E70" i="115"/>
  <c r="G70" i="115" s="1"/>
  <c r="H70" i="115" s="1"/>
  <c r="E71" i="115"/>
  <c r="G71" i="115" s="1"/>
  <c r="H71" i="115" s="1"/>
  <c r="E72" i="115"/>
  <c r="G72" i="115" s="1"/>
  <c r="H72" i="115" s="1"/>
  <c r="E73" i="115"/>
  <c r="G73" i="115" s="1"/>
  <c r="H73" i="115" s="1"/>
  <c r="E74" i="115"/>
  <c r="G74" i="115" s="1"/>
  <c r="H74" i="115" s="1"/>
  <c r="E6" i="114"/>
  <c r="G6" i="114" s="1"/>
  <c r="H6" i="114" s="1"/>
  <c r="K6" i="114" s="1"/>
  <c r="E9" i="114"/>
  <c r="G9" i="114" s="1"/>
  <c r="H9" i="114" s="1"/>
  <c r="K9" i="114" s="1"/>
  <c r="E7" i="114"/>
  <c r="G7" i="114" s="1"/>
  <c r="H7" i="114" s="1"/>
  <c r="K7" i="114" s="1"/>
  <c r="E8" i="114"/>
  <c r="G8" i="114" s="1"/>
  <c r="H8" i="114" s="1"/>
  <c r="K8" i="114" s="1"/>
  <c r="G5" i="113"/>
  <c r="H5" i="113"/>
  <c r="K5" i="113" s="1"/>
  <c r="J53" i="113"/>
  <c r="I52" i="113"/>
  <c r="E5" i="113" s="1"/>
  <c r="H52" i="113" s="1"/>
  <c r="J53" i="112"/>
  <c r="J54" i="112" s="1"/>
  <c r="J55" i="112" s="1"/>
  <c r="I52" i="112"/>
  <c r="E5" i="112" s="1"/>
  <c r="H52" i="112" s="1"/>
  <c r="G5" i="112"/>
  <c r="H5" i="112"/>
  <c r="K5" i="112" s="1"/>
  <c r="E1" i="111"/>
  <c r="J52" i="111"/>
  <c r="AM12" i="111"/>
  <c r="AO12" i="111" s="1"/>
  <c r="AP12" i="111" s="1"/>
  <c r="AS12" i="111" s="1"/>
  <c r="AT12" i="111" s="1"/>
  <c r="AM9" i="111"/>
  <c r="AO9" i="111" s="1"/>
  <c r="AP9" i="111" s="1"/>
  <c r="AS9" i="111" s="1"/>
  <c r="AM10" i="111"/>
  <c r="AO10" i="111" s="1"/>
  <c r="AP10" i="111" s="1"/>
  <c r="AS10" i="111" s="1"/>
  <c r="AM5" i="111"/>
  <c r="AO5" i="111" s="1"/>
  <c r="AP5" i="111" s="1"/>
  <c r="AM7" i="111"/>
  <c r="AO7" i="111" s="1"/>
  <c r="AP7" i="111" s="1"/>
  <c r="AS7" i="111" s="1"/>
  <c r="AM6" i="111"/>
  <c r="AO6" i="111" s="1"/>
  <c r="AP6" i="111" s="1"/>
  <c r="AS6" i="111" s="1"/>
  <c r="AM8" i="111"/>
  <c r="AO8" i="111" s="1"/>
  <c r="AP8" i="111" s="1"/>
  <c r="AS8" i="111" s="1"/>
  <c r="AM11" i="111"/>
  <c r="AO11" i="111" s="1"/>
  <c r="AP11" i="111" s="1"/>
  <c r="AS11" i="111" s="1"/>
  <c r="AT11" i="111" s="1"/>
  <c r="AM13" i="111"/>
  <c r="AO13" i="111" s="1"/>
  <c r="AP13" i="111" s="1"/>
  <c r="AS13" i="111" s="1"/>
  <c r="AM14" i="111"/>
  <c r="AO14" i="111" s="1"/>
  <c r="AP14" i="111" s="1"/>
  <c r="AS14" i="111" s="1"/>
  <c r="AT14" i="111" s="1"/>
  <c r="H54" i="110"/>
  <c r="E5" i="110"/>
  <c r="G5" i="110" s="1"/>
  <c r="H5" i="110" s="1"/>
  <c r="K5" i="110" s="1"/>
  <c r="D65" i="109"/>
  <c r="D88" i="109"/>
  <c r="D113" i="109"/>
  <c r="B83" i="109"/>
  <c r="I53" i="109"/>
  <c r="H53" i="109"/>
  <c r="E5" i="109"/>
  <c r="G5" i="109" s="1"/>
  <c r="H5" i="109" s="1"/>
  <c r="K5" i="109" s="1"/>
  <c r="U32" i="109"/>
  <c r="AC30" i="109" s="1"/>
  <c r="E1" i="109"/>
  <c r="D65" i="108"/>
  <c r="J53" i="108"/>
  <c r="J54" i="108" s="1"/>
  <c r="I52" i="108"/>
  <c r="H52" i="108" s="1"/>
  <c r="AM8" i="108"/>
  <c r="AO8" i="108" s="1"/>
  <c r="AP8" i="108" s="1"/>
  <c r="AS8" i="108" s="1"/>
  <c r="AM6" i="108"/>
  <c r="AO6" i="108" s="1"/>
  <c r="AP6" i="108" s="1"/>
  <c r="AS6" i="108" s="1"/>
  <c r="AM7" i="108"/>
  <c r="AO7" i="108" s="1"/>
  <c r="AP7" i="108" s="1"/>
  <c r="AS7" i="108" s="1"/>
  <c r="AM5" i="108"/>
  <c r="AO5" i="108" s="1"/>
  <c r="AP5" i="108" s="1"/>
  <c r="AM9" i="108"/>
  <c r="AO9" i="108" s="1"/>
  <c r="AP9" i="108" s="1"/>
  <c r="AS9" i="108" s="1"/>
  <c r="AM10" i="108"/>
  <c r="AO10" i="108" s="1"/>
  <c r="AP10" i="108" s="1"/>
  <c r="AS10" i="108" s="1"/>
  <c r="AM11" i="108"/>
  <c r="AO11" i="108" s="1"/>
  <c r="AP11" i="108" s="1"/>
  <c r="AS11" i="108" s="1"/>
  <c r="AM12" i="108"/>
  <c r="AO12" i="108" s="1"/>
  <c r="AP12" i="108" s="1"/>
  <c r="AS12" i="108" s="1"/>
  <c r="AM13" i="108"/>
  <c r="AO13" i="108" s="1"/>
  <c r="AP13" i="108" s="1"/>
  <c r="AS13" i="108" s="1"/>
  <c r="D65" i="107"/>
  <c r="D94" i="107"/>
  <c r="D65" i="106"/>
  <c r="D82" i="106"/>
  <c r="D100" i="106"/>
  <c r="H52" i="107"/>
  <c r="C71" i="111"/>
  <c r="J54" i="109"/>
  <c r="J55" i="109" s="1"/>
  <c r="E1" i="108"/>
  <c r="U32" i="108"/>
  <c r="AD30" i="108" s="1"/>
  <c r="D54" i="111"/>
  <c r="C55" i="111"/>
  <c r="D55" i="111" s="1"/>
  <c r="U32" i="97"/>
  <c r="T32" i="97"/>
  <c r="E1" i="97" s="1"/>
  <c r="S32" i="97"/>
  <c r="J52" i="97" s="1"/>
  <c r="AM14" i="100"/>
  <c r="AO14" i="100" s="1"/>
  <c r="AP14" i="100" s="1"/>
  <c r="AS14" i="100" s="1"/>
  <c r="E1" i="104"/>
  <c r="G1" i="104" s="1"/>
  <c r="T34" i="97"/>
  <c r="D52" i="103"/>
  <c r="B68" i="103" s="1"/>
  <c r="T32" i="49"/>
  <c r="U32" i="49" s="1"/>
  <c r="S32" i="56"/>
  <c r="G1" i="105"/>
  <c r="D52" i="105"/>
  <c r="B82" i="105" s="1"/>
  <c r="AR9" i="100"/>
  <c r="AR11" i="101"/>
  <c r="I1" i="103"/>
  <c r="C52" i="103"/>
  <c r="U32" i="102"/>
  <c r="AM1" i="102"/>
  <c r="AO1" i="102"/>
  <c r="U32" i="101"/>
  <c r="D54" i="101"/>
  <c r="C55" i="101"/>
  <c r="D55" i="101" s="1"/>
  <c r="AR9" i="99"/>
  <c r="AR7" i="100"/>
  <c r="U32" i="99"/>
  <c r="U30" i="19"/>
  <c r="T30" i="19"/>
  <c r="U28" i="19"/>
  <c r="T29" i="19"/>
  <c r="J8" i="98"/>
  <c r="L8" i="98" s="1"/>
  <c r="J8" i="100"/>
  <c r="L8" i="100" s="1"/>
  <c r="U32" i="100"/>
  <c r="C71" i="100"/>
  <c r="D54" i="100"/>
  <c r="C55" i="100"/>
  <c r="D55" i="100" s="1"/>
  <c r="AR15" i="96"/>
  <c r="AR14" i="99"/>
  <c r="D53" i="98"/>
  <c r="G71" i="98" s="1"/>
  <c r="E71" i="98"/>
  <c r="C71" i="98" s="1"/>
  <c r="U32" i="98"/>
  <c r="AB29" i="97"/>
  <c r="AC29" i="97"/>
  <c r="AE29" i="97"/>
  <c r="D54" i="99"/>
  <c r="C55" i="99"/>
  <c r="D55" i="99" s="1"/>
  <c r="C54" i="98"/>
  <c r="AE29" i="98"/>
  <c r="AB29" i="98"/>
  <c r="T30" i="59"/>
  <c r="U30" i="59" s="1"/>
  <c r="U32" i="96"/>
  <c r="C72" i="96"/>
  <c r="D54" i="96"/>
  <c r="C55" i="96"/>
  <c r="D55" i="96" s="1"/>
  <c r="S32" i="59"/>
  <c r="U28" i="59"/>
  <c r="K37" i="95"/>
  <c r="L17" i="2"/>
  <c r="O17" i="2" s="1"/>
  <c r="K17" i="2"/>
  <c r="N17" i="2" s="1"/>
  <c r="J17" i="2"/>
  <c r="AR6" i="95" s="1"/>
  <c r="K7" i="94"/>
  <c r="K8" i="94"/>
  <c r="U44" i="95"/>
  <c r="W44" i="95" s="1"/>
  <c r="J51" i="95" s="1"/>
  <c r="I51" i="95" s="1"/>
  <c r="V44" i="95"/>
  <c r="W28" i="95"/>
  <c r="W32" i="95" s="1"/>
  <c r="AF28" i="95"/>
  <c r="S32" i="95"/>
  <c r="U28" i="95"/>
  <c r="D65" i="95"/>
  <c r="E70" i="94"/>
  <c r="D53" i="94"/>
  <c r="G70" i="94" s="1"/>
  <c r="C54" i="94"/>
  <c r="U44" i="94"/>
  <c r="W44" i="94" s="1"/>
  <c r="J51" i="94" s="1"/>
  <c r="I51" i="94" s="1"/>
  <c r="H51" i="94" s="1"/>
  <c r="V44" i="94"/>
  <c r="AE28" i="94"/>
  <c r="S32" i="94"/>
  <c r="AO1" i="94" s="1"/>
  <c r="U28" i="94"/>
  <c r="D65" i="94"/>
  <c r="V44" i="19"/>
  <c r="U44" i="19"/>
  <c r="W44" i="19" s="1"/>
  <c r="U44" i="59"/>
  <c r="U44" i="49"/>
  <c r="W44" i="49" s="1"/>
  <c r="V44" i="49"/>
  <c r="S32" i="19"/>
  <c r="L152" i="1"/>
  <c r="AQ13" i="59"/>
  <c r="AQ12" i="59"/>
  <c r="AQ11" i="59"/>
  <c r="AQ10" i="59"/>
  <c r="AQ9" i="59"/>
  <c r="AQ8" i="59"/>
  <c r="AQ7" i="59"/>
  <c r="AQ6" i="59"/>
  <c r="AQ13" i="49"/>
  <c r="AQ12" i="49"/>
  <c r="AQ11" i="49"/>
  <c r="AQ10" i="49"/>
  <c r="AQ9" i="49"/>
  <c r="AQ8" i="49"/>
  <c r="AQ7" i="49"/>
  <c r="AQ6" i="49"/>
  <c r="AQ13" i="30"/>
  <c r="AQ12" i="30"/>
  <c r="AQ11" i="30"/>
  <c r="AQ10" i="30"/>
  <c r="AQ9" i="30"/>
  <c r="AQ8" i="30"/>
  <c r="AQ7" i="30"/>
  <c r="AQ6" i="30"/>
  <c r="AQ13" i="19"/>
  <c r="AQ12" i="19"/>
  <c r="AQ11" i="19"/>
  <c r="AQ10" i="19"/>
  <c r="AQ9" i="19"/>
  <c r="AQ8" i="19"/>
  <c r="AQ7" i="19"/>
  <c r="AQ6" i="19"/>
  <c r="G1" i="107" l="1"/>
  <c r="I1" i="107" s="1"/>
  <c r="D52" i="107"/>
  <c r="C53" i="114"/>
  <c r="E68" i="114"/>
  <c r="G68" i="114" s="1"/>
  <c r="H68" i="114" s="1"/>
  <c r="E67" i="114"/>
  <c r="G67" i="114" s="1"/>
  <c r="H67" i="114" s="1"/>
  <c r="E66" i="114"/>
  <c r="G66" i="114" s="1"/>
  <c r="H66" i="114" s="1"/>
  <c r="H53" i="102"/>
  <c r="H54" i="102" s="1"/>
  <c r="H55" i="102" s="1"/>
  <c r="E65" i="102"/>
  <c r="G65" i="102" s="1"/>
  <c r="H65" i="102" s="1"/>
  <c r="I53" i="102"/>
  <c r="J54" i="102"/>
  <c r="B89" i="107"/>
  <c r="I53" i="107"/>
  <c r="AM11" i="106"/>
  <c r="AO11" i="106" s="1"/>
  <c r="AP11" i="106" s="1"/>
  <c r="AS11" i="106" s="1"/>
  <c r="AM5" i="106"/>
  <c r="AO5" i="106" s="1"/>
  <c r="AP5" i="106" s="1"/>
  <c r="AM12" i="106"/>
  <c r="AO12" i="106" s="1"/>
  <c r="AP12" i="106" s="1"/>
  <c r="AS12" i="106" s="1"/>
  <c r="AM13" i="106"/>
  <c r="AO13" i="106" s="1"/>
  <c r="AP13" i="106" s="1"/>
  <c r="AS13" i="106" s="1"/>
  <c r="AM9" i="106"/>
  <c r="AO9" i="106" s="1"/>
  <c r="AP9" i="106" s="1"/>
  <c r="AS9" i="106" s="1"/>
  <c r="J55" i="110"/>
  <c r="J56" i="110" s="1"/>
  <c r="I56" i="110" s="1"/>
  <c r="E5" i="106"/>
  <c r="G5" i="106" s="1"/>
  <c r="H5" i="106" s="1"/>
  <c r="K5" i="106" s="1"/>
  <c r="AM6" i="106"/>
  <c r="AO6" i="106" s="1"/>
  <c r="AP6" i="106" s="1"/>
  <c r="AS6" i="106" s="1"/>
  <c r="AM7" i="106"/>
  <c r="AO7" i="106" s="1"/>
  <c r="AP7" i="106" s="1"/>
  <c r="AS7" i="106" s="1"/>
  <c r="AM10" i="106"/>
  <c r="AO10" i="106" s="1"/>
  <c r="AP10" i="106" s="1"/>
  <c r="AS10" i="106" s="1"/>
  <c r="J53" i="106"/>
  <c r="U28" i="110"/>
  <c r="V28" i="107"/>
  <c r="E13" i="106"/>
  <c r="G13" i="106" s="1"/>
  <c r="H13" i="106" s="1"/>
  <c r="K13" i="106" s="1"/>
  <c r="E8" i="106"/>
  <c r="G8" i="106" s="1"/>
  <c r="H8" i="106" s="1"/>
  <c r="K8" i="106" s="1"/>
  <c r="E6" i="106"/>
  <c r="G6" i="106" s="1"/>
  <c r="H6" i="106" s="1"/>
  <c r="K6" i="106" s="1"/>
  <c r="E15" i="106"/>
  <c r="G15" i="106" s="1"/>
  <c r="H15" i="106" s="1"/>
  <c r="K15" i="106" s="1"/>
  <c r="E14" i="106"/>
  <c r="G14" i="106" s="1"/>
  <c r="H14" i="106" s="1"/>
  <c r="K14" i="106" s="1"/>
  <c r="C52" i="106"/>
  <c r="E12" i="106"/>
  <c r="G12" i="106" s="1"/>
  <c r="H12" i="106" s="1"/>
  <c r="K12" i="106" s="1"/>
  <c r="E11" i="106"/>
  <c r="G11" i="106" s="1"/>
  <c r="H11" i="106" s="1"/>
  <c r="K11" i="106" s="1"/>
  <c r="E10" i="106"/>
  <c r="G10" i="106" s="1"/>
  <c r="H10" i="106" s="1"/>
  <c r="K10" i="106" s="1"/>
  <c r="E9" i="106"/>
  <c r="G9" i="106" s="1"/>
  <c r="H9" i="106" s="1"/>
  <c r="K9" i="106" s="1"/>
  <c r="E7" i="106"/>
  <c r="G7" i="106" s="1"/>
  <c r="H7" i="106" s="1"/>
  <c r="K7" i="106" s="1"/>
  <c r="J54" i="113"/>
  <c r="E6" i="110"/>
  <c r="G6" i="110" s="1"/>
  <c r="H6" i="110" s="1"/>
  <c r="K6" i="110" s="1"/>
  <c r="H55" i="110"/>
  <c r="H56" i="110" s="1"/>
  <c r="J55" i="107"/>
  <c r="I55" i="107" s="1"/>
  <c r="I54" i="107"/>
  <c r="B118" i="107"/>
  <c r="E65" i="106"/>
  <c r="G65" i="106" s="1"/>
  <c r="H65" i="106" s="1"/>
  <c r="H54" i="106"/>
  <c r="B77" i="113"/>
  <c r="H77" i="113" s="1"/>
  <c r="I53" i="113"/>
  <c r="H53" i="113"/>
  <c r="E7" i="113"/>
  <c r="G7" i="113" s="1"/>
  <c r="H7" i="113" s="1"/>
  <c r="K7" i="113" s="1"/>
  <c r="E6" i="113"/>
  <c r="G6" i="113" s="1"/>
  <c r="H6" i="113" s="1"/>
  <c r="K6" i="113" s="1"/>
  <c r="E8" i="113"/>
  <c r="G8" i="113" s="1"/>
  <c r="H8" i="113" s="1"/>
  <c r="K8" i="113" s="1"/>
  <c r="E11" i="113"/>
  <c r="G11" i="113" s="1"/>
  <c r="H11" i="113" s="1"/>
  <c r="K11" i="113" s="1"/>
  <c r="E12" i="113"/>
  <c r="G12" i="113" s="1"/>
  <c r="H12" i="113" s="1"/>
  <c r="K12" i="113" s="1"/>
  <c r="E13" i="113"/>
  <c r="G13" i="113" s="1"/>
  <c r="H13" i="113" s="1"/>
  <c r="K13" i="113" s="1"/>
  <c r="H1" i="113"/>
  <c r="E9" i="113"/>
  <c r="G9" i="113" s="1"/>
  <c r="H9" i="113" s="1"/>
  <c r="K9" i="113" s="1"/>
  <c r="E10" i="113"/>
  <c r="G10" i="113" s="1"/>
  <c r="H10" i="113" s="1"/>
  <c r="K10" i="113" s="1"/>
  <c r="E14" i="113"/>
  <c r="G14" i="113" s="1"/>
  <c r="H14" i="113" s="1"/>
  <c r="K14" i="113" s="1"/>
  <c r="E15" i="113"/>
  <c r="G15" i="113" s="1"/>
  <c r="H15" i="113" s="1"/>
  <c r="K15" i="113" s="1"/>
  <c r="B72" i="112"/>
  <c r="H72" i="112" s="1"/>
  <c r="I53" i="112"/>
  <c r="B84" i="112"/>
  <c r="H84" i="112" s="1"/>
  <c r="I54" i="112"/>
  <c r="B98" i="112"/>
  <c r="H98" i="112" s="1"/>
  <c r="I55" i="112"/>
  <c r="H53" i="112"/>
  <c r="H1" i="112"/>
  <c r="E6" i="112"/>
  <c r="G6" i="112" s="1"/>
  <c r="H6" i="112" s="1"/>
  <c r="K6" i="112" s="1"/>
  <c r="E7" i="112"/>
  <c r="G7" i="112" s="1"/>
  <c r="H7" i="112" s="1"/>
  <c r="K7" i="112" s="1"/>
  <c r="E8" i="112"/>
  <c r="G8" i="112" s="1"/>
  <c r="H8" i="112" s="1"/>
  <c r="K8" i="112" s="1"/>
  <c r="E9" i="112"/>
  <c r="G9" i="112" s="1"/>
  <c r="H9" i="112" s="1"/>
  <c r="K9" i="112" s="1"/>
  <c r="E10" i="112"/>
  <c r="G10" i="112" s="1"/>
  <c r="H10" i="112" s="1"/>
  <c r="K10" i="112" s="1"/>
  <c r="G1" i="111"/>
  <c r="D52" i="111"/>
  <c r="J53" i="111"/>
  <c r="I52" i="111"/>
  <c r="H52" i="111" s="1"/>
  <c r="G1" i="109"/>
  <c r="I1" i="109" s="1"/>
  <c r="D52" i="109"/>
  <c r="B72" i="108"/>
  <c r="I53" i="108"/>
  <c r="H53" i="108"/>
  <c r="E5" i="108"/>
  <c r="G5" i="108" s="1"/>
  <c r="E13" i="107"/>
  <c r="G13" i="107" s="1"/>
  <c r="H13" i="107" s="1"/>
  <c r="K13" i="107" s="1"/>
  <c r="E14" i="107"/>
  <c r="G14" i="107" s="1"/>
  <c r="H14" i="107" s="1"/>
  <c r="K14" i="107" s="1"/>
  <c r="E19" i="107"/>
  <c r="G19" i="107" s="1"/>
  <c r="H19" i="107" s="1"/>
  <c r="K19" i="107" s="1"/>
  <c r="E21" i="107"/>
  <c r="G21" i="107" s="1"/>
  <c r="H21" i="107" s="1"/>
  <c r="K21" i="107" s="1"/>
  <c r="E22" i="107"/>
  <c r="G22" i="107" s="1"/>
  <c r="H22" i="107" s="1"/>
  <c r="K22" i="107" s="1"/>
  <c r="E24" i="107"/>
  <c r="G24" i="107" s="1"/>
  <c r="H24" i="107" s="1"/>
  <c r="K24" i="107" s="1"/>
  <c r="E25" i="107"/>
  <c r="G25" i="107" s="1"/>
  <c r="H25" i="107" s="1"/>
  <c r="K25" i="107" s="1"/>
  <c r="E26" i="107"/>
  <c r="G26" i="107" s="1"/>
  <c r="H26" i="107" s="1"/>
  <c r="K26" i="107" s="1"/>
  <c r="E27" i="107"/>
  <c r="G27" i="107" s="1"/>
  <c r="H27" i="107" s="1"/>
  <c r="K27" i="107" s="1"/>
  <c r="E6" i="107"/>
  <c r="G6" i="107" s="1"/>
  <c r="H6" i="107" s="1"/>
  <c r="K6" i="107" s="1"/>
  <c r="E9" i="107"/>
  <c r="G9" i="107" s="1"/>
  <c r="H9" i="107" s="1"/>
  <c r="K9" i="107" s="1"/>
  <c r="E11" i="107"/>
  <c r="G11" i="107" s="1"/>
  <c r="H11" i="107" s="1"/>
  <c r="K11" i="107" s="1"/>
  <c r="C52" i="107"/>
  <c r="E18" i="107"/>
  <c r="G18" i="107" s="1"/>
  <c r="H18" i="107" s="1"/>
  <c r="K18" i="107" s="1"/>
  <c r="E23" i="107"/>
  <c r="G23" i="107" s="1"/>
  <c r="H23" i="107" s="1"/>
  <c r="K23" i="107" s="1"/>
  <c r="E17" i="107"/>
  <c r="G17" i="107" s="1"/>
  <c r="H17" i="107" s="1"/>
  <c r="K17" i="107" s="1"/>
  <c r="E20" i="107"/>
  <c r="G20" i="107" s="1"/>
  <c r="H20" i="107" s="1"/>
  <c r="K20" i="107" s="1"/>
  <c r="E12" i="107"/>
  <c r="G12" i="107" s="1"/>
  <c r="H12" i="107" s="1"/>
  <c r="K12" i="107" s="1"/>
  <c r="E8" i="107"/>
  <c r="G8" i="107" s="1"/>
  <c r="H8" i="107" s="1"/>
  <c r="K8" i="107" s="1"/>
  <c r="E16" i="107"/>
  <c r="G16" i="107" s="1"/>
  <c r="H16" i="107" s="1"/>
  <c r="K16" i="107" s="1"/>
  <c r="E10" i="107"/>
  <c r="G10" i="107" s="1"/>
  <c r="H10" i="107" s="1"/>
  <c r="K10" i="107" s="1"/>
  <c r="E15" i="107"/>
  <c r="G15" i="107" s="1"/>
  <c r="H15" i="107" s="1"/>
  <c r="K15" i="107" s="1"/>
  <c r="E7" i="107"/>
  <c r="G7" i="107" s="1"/>
  <c r="H7" i="107" s="1"/>
  <c r="K7" i="107" s="1"/>
  <c r="E5" i="107"/>
  <c r="G5" i="107" s="1"/>
  <c r="H5" i="107" s="1"/>
  <c r="K5" i="107" s="1"/>
  <c r="H53" i="107"/>
  <c r="I54" i="109"/>
  <c r="B106" i="109"/>
  <c r="I55" i="109"/>
  <c r="B131" i="109"/>
  <c r="D52" i="108"/>
  <c r="G1" i="108"/>
  <c r="I1" i="108" s="1"/>
  <c r="V28" i="111"/>
  <c r="V28" i="108"/>
  <c r="D53" i="115"/>
  <c r="C54" i="115"/>
  <c r="J56" i="112"/>
  <c r="E65" i="109"/>
  <c r="G65" i="109" s="1"/>
  <c r="H65" i="109" s="1"/>
  <c r="H54" i="109"/>
  <c r="J55" i="108"/>
  <c r="I55" i="108" s="1"/>
  <c r="I54" i="108"/>
  <c r="G1" i="97"/>
  <c r="I1" i="97" s="1"/>
  <c r="D52" i="97"/>
  <c r="I52" i="97"/>
  <c r="H52" i="97" s="1"/>
  <c r="J53" i="97"/>
  <c r="D52" i="104"/>
  <c r="B79" i="104" s="1"/>
  <c r="T32" i="19"/>
  <c r="U32" i="19" s="1"/>
  <c r="I1" i="105"/>
  <c r="E20" i="105" s="1"/>
  <c r="G20" i="105" s="1"/>
  <c r="H20" i="105" s="1"/>
  <c r="K20" i="105" s="1"/>
  <c r="E5" i="105"/>
  <c r="G5" i="105" s="1"/>
  <c r="H5" i="105" s="1"/>
  <c r="K5" i="105" s="1"/>
  <c r="E12" i="105"/>
  <c r="G12" i="105" s="1"/>
  <c r="H12" i="105" s="1"/>
  <c r="K12" i="105" s="1"/>
  <c r="E7" i="105"/>
  <c r="G7" i="105" s="1"/>
  <c r="H7" i="105" s="1"/>
  <c r="K7" i="105" s="1"/>
  <c r="E18" i="105"/>
  <c r="G18" i="105" s="1"/>
  <c r="H18" i="105" s="1"/>
  <c r="K18" i="105" s="1"/>
  <c r="C52" i="105"/>
  <c r="E6" i="105"/>
  <c r="G6" i="105" s="1"/>
  <c r="H6" i="105" s="1"/>
  <c r="K6" i="105" s="1"/>
  <c r="E15" i="105"/>
  <c r="G15" i="105" s="1"/>
  <c r="H15" i="105" s="1"/>
  <c r="K15" i="105" s="1"/>
  <c r="E10" i="105"/>
  <c r="G10" i="105" s="1"/>
  <c r="H10" i="105" s="1"/>
  <c r="K10" i="105" s="1"/>
  <c r="E17" i="105"/>
  <c r="G17" i="105" s="1"/>
  <c r="H17" i="105" s="1"/>
  <c r="K17" i="105" s="1"/>
  <c r="E13" i="105"/>
  <c r="G13" i="105" s="1"/>
  <c r="H13" i="105" s="1"/>
  <c r="K13" i="105" s="1"/>
  <c r="E8" i="105"/>
  <c r="G8" i="105" s="1"/>
  <c r="H8" i="105" s="1"/>
  <c r="K8" i="105" s="1"/>
  <c r="E9" i="105"/>
  <c r="G9" i="105" s="1"/>
  <c r="H9" i="105" s="1"/>
  <c r="K9" i="105" s="1"/>
  <c r="E11" i="105"/>
  <c r="G11" i="105" s="1"/>
  <c r="H11" i="105" s="1"/>
  <c r="K11" i="105" s="1"/>
  <c r="E19" i="105"/>
  <c r="G19" i="105" s="1"/>
  <c r="H19" i="105" s="1"/>
  <c r="K19" i="105" s="1"/>
  <c r="E16" i="105"/>
  <c r="G16" i="105" s="1"/>
  <c r="H16" i="105" s="1"/>
  <c r="K16" i="105" s="1"/>
  <c r="E14" i="105"/>
  <c r="G14" i="105" s="1"/>
  <c r="H14" i="105" s="1"/>
  <c r="K14" i="105" s="1"/>
  <c r="E5" i="104"/>
  <c r="G5" i="104" s="1"/>
  <c r="H5" i="104" s="1"/>
  <c r="K5" i="104" s="1"/>
  <c r="E15" i="104"/>
  <c r="G15" i="104" s="1"/>
  <c r="H15" i="104" s="1"/>
  <c r="K15" i="104" s="1"/>
  <c r="E16" i="104"/>
  <c r="G16" i="104" s="1"/>
  <c r="H16" i="104" s="1"/>
  <c r="K16" i="104" s="1"/>
  <c r="E10" i="104"/>
  <c r="G10" i="104" s="1"/>
  <c r="H10" i="104" s="1"/>
  <c r="K10" i="104" s="1"/>
  <c r="C52" i="104"/>
  <c r="E13" i="104"/>
  <c r="G13" i="104" s="1"/>
  <c r="H13" i="104" s="1"/>
  <c r="K13" i="104" s="1"/>
  <c r="L13" i="104" s="1"/>
  <c r="E11" i="104"/>
  <c r="G11" i="104" s="1"/>
  <c r="H11" i="104" s="1"/>
  <c r="K11" i="104" s="1"/>
  <c r="E6" i="104"/>
  <c r="G6" i="104" s="1"/>
  <c r="H6" i="104" s="1"/>
  <c r="K6" i="104" s="1"/>
  <c r="E8" i="104"/>
  <c r="G8" i="104" s="1"/>
  <c r="H8" i="104" s="1"/>
  <c r="K8" i="104" s="1"/>
  <c r="L8" i="104" s="1"/>
  <c r="I1" i="104"/>
  <c r="E14" i="104"/>
  <c r="G14" i="104" s="1"/>
  <c r="H14" i="104" s="1"/>
  <c r="K14" i="104" s="1"/>
  <c r="E12" i="104"/>
  <c r="G12" i="104" s="1"/>
  <c r="H12" i="104" s="1"/>
  <c r="K12" i="104" s="1"/>
  <c r="L12" i="104" s="1"/>
  <c r="E7" i="104"/>
  <c r="G7" i="104" s="1"/>
  <c r="H7" i="104" s="1"/>
  <c r="K7" i="104" s="1"/>
  <c r="E9" i="104"/>
  <c r="G9" i="104" s="1"/>
  <c r="H9" i="104" s="1"/>
  <c r="K9" i="104" s="1"/>
  <c r="E6" i="103"/>
  <c r="G6" i="103" s="1"/>
  <c r="H6" i="103" s="1"/>
  <c r="K6" i="103" s="1"/>
  <c r="L6" i="103" s="1"/>
  <c r="E7" i="103"/>
  <c r="G7" i="103" s="1"/>
  <c r="H7" i="103" s="1"/>
  <c r="K7" i="103" s="1"/>
  <c r="C53" i="103"/>
  <c r="E65" i="103"/>
  <c r="G65" i="103" s="1"/>
  <c r="H65" i="103" s="1"/>
  <c r="E66" i="103"/>
  <c r="G66" i="103" s="1"/>
  <c r="H66" i="103" s="1"/>
  <c r="AE30" i="102"/>
  <c r="E1" i="102"/>
  <c r="AM5" i="102"/>
  <c r="AO5" i="102" s="1"/>
  <c r="AP5" i="102" s="1"/>
  <c r="AM8" i="102"/>
  <c r="AO8" i="102" s="1"/>
  <c r="AP8" i="102" s="1"/>
  <c r="AS8" i="102" s="1"/>
  <c r="AT8" i="102" s="1"/>
  <c r="AM7" i="102"/>
  <c r="AO7" i="102" s="1"/>
  <c r="AP7" i="102" s="1"/>
  <c r="AS7" i="102" s="1"/>
  <c r="AT7" i="102" s="1"/>
  <c r="AM12" i="102"/>
  <c r="AO12" i="102" s="1"/>
  <c r="AP12" i="102" s="1"/>
  <c r="AS12" i="102" s="1"/>
  <c r="AT12" i="102" s="1"/>
  <c r="AM11" i="102"/>
  <c r="AO11" i="102" s="1"/>
  <c r="AP11" i="102" s="1"/>
  <c r="AS11" i="102" s="1"/>
  <c r="AM6" i="102"/>
  <c r="AO6" i="102" s="1"/>
  <c r="AP6" i="102" s="1"/>
  <c r="AS6" i="102" s="1"/>
  <c r="AT6" i="102" s="1"/>
  <c r="AM9" i="102"/>
  <c r="AO9" i="102" s="1"/>
  <c r="AP9" i="102" s="1"/>
  <c r="AS9" i="102" s="1"/>
  <c r="AM10" i="102"/>
  <c r="AO10" i="102" s="1"/>
  <c r="AP10" i="102" s="1"/>
  <c r="AS10" i="102" s="1"/>
  <c r="E1" i="101"/>
  <c r="J52" i="101"/>
  <c r="AM9" i="101"/>
  <c r="AO9" i="101" s="1"/>
  <c r="AP9" i="101" s="1"/>
  <c r="AS9" i="101" s="1"/>
  <c r="AM5" i="101"/>
  <c r="AO5" i="101" s="1"/>
  <c r="AP5" i="101" s="1"/>
  <c r="AM7" i="101"/>
  <c r="AO7" i="101" s="1"/>
  <c r="AP7" i="101" s="1"/>
  <c r="AS7" i="101" s="1"/>
  <c r="AM6" i="101"/>
  <c r="AO6" i="101" s="1"/>
  <c r="AP6" i="101" s="1"/>
  <c r="AS6" i="101" s="1"/>
  <c r="AT6" i="101" s="1"/>
  <c r="AM12" i="101"/>
  <c r="AO12" i="101" s="1"/>
  <c r="AP12" i="101" s="1"/>
  <c r="AS12" i="101" s="1"/>
  <c r="AM15" i="101"/>
  <c r="AO15" i="101" s="1"/>
  <c r="AP15" i="101" s="1"/>
  <c r="AS15" i="101" s="1"/>
  <c r="AT15" i="101" s="1"/>
  <c r="AM10" i="101"/>
  <c r="AO10" i="101" s="1"/>
  <c r="AP10" i="101" s="1"/>
  <c r="AS10" i="101" s="1"/>
  <c r="AT10" i="101" s="1"/>
  <c r="AM8" i="101"/>
  <c r="AO8" i="101" s="1"/>
  <c r="AP8" i="101" s="1"/>
  <c r="AS8" i="101" s="1"/>
  <c r="AM13" i="101"/>
  <c r="AO13" i="101" s="1"/>
  <c r="AP13" i="101" s="1"/>
  <c r="AS13" i="101" s="1"/>
  <c r="AM11" i="101"/>
  <c r="AO11" i="101" s="1"/>
  <c r="AP11" i="101" s="1"/>
  <c r="AS11" i="101" s="1"/>
  <c r="AT11" i="101" s="1"/>
  <c r="AM14" i="101"/>
  <c r="AO14" i="101" s="1"/>
  <c r="AP14" i="101" s="1"/>
  <c r="AS14" i="101" s="1"/>
  <c r="AM13" i="99"/>
  <c r="AO13" i="99" s="1"/>
  <c r="AP13" i="99" s="1"/>
  <c r="AS13" i="99" s="1"/>
  <c r="AM14" i="99"/>
  <c r="AO14" i="99" s="1"/>
  <c r="AP14" i="99" s="1"/>
  <c r="AS14" i="99" s="1"/>
  <c r="AT14" i="99" s="1"/>
  <c r="AM5" i="99"/>
  <c r="AO5" i="99" s="1"/>
  <c r="AP5" i="99" s="1"/>
  <c r="AM11" i="99"/>
  <c r="AO11" i="99" s="1"/>
  <c r="AP11" i="99" s="1"/>
  <c r="AS11" i="99" s="1"/>
  <c r="AM8" i="99"/>
  <c r="AO8" i="99" s="1"/>
  <c r="AP8" i="99" s="1"/>
  <c r="AS8" i="99" s="1"/>
  <c r="AM10" i="99"/>
  <c r="AO10" i="99" s="1"/>
  <c r="AP10" i="99" s="1"/>
  <c r="AS10" i="99" s="1"/>
  <c r="AM6" i="99"/>
  <c r="AO6" i="99" s="1"/>
  <c r="AP6" i="99" s="1"/>
  <c r="AS6" i="99" s="1"/>
  <c r="AM12" i="99"/>
  <c r="AO12" i="99" s="1"/>
  <c r="AP12" i="99" s="1"/>
  <c r="AS12" i="99" s="1"/>
  <c r="AT12" i="99" s="1"/>
  <c r="AM7" i="99"/>
  <c r="AO7" i="99" s="1"/>
  <c r="AP7" i="99" s="1"/>
  <c r="AS7" i="99" s="1"/>
  <c r="AM9" i="99"/>
  <c r="AO9" i="99" s="1"/>
  <c r="AP9" i="99" s="1"/>
  <c r="AS9" i="99" s="1"/>
  <c r="AT9" i="99" s="1"/>
  <c r="E1" i="99"/>
  <c r="J52" i="99"/>
  <c r="J52" i="100"/>
  <c r="E1" i="100"/>
  <c r="AM8" i="100"/>
  <c r="AO8" i="100" s="1"/>
  <c r="AP8" i="100" s="1"/>
  <c r="AS8" i="100" s="1"/>
  <c r="AM6" i="100"/>
  <c r="AO6" i="100" s="1"/>
  <c r="AP6" i="100" s="1"/>
  <c r="AM7" i="100"/>
  <c r="AO7" i="100" s="1"/>
  <c r="AP7" i="100" s="1"/>
  <c r="AS7" i="100" s="1"/>
  <c r="AT7" i="100" s="1"/>
  <c r="AM5" i="100"/>
  <c r="AO5" i="100" s="1"/>
  <c r="AP5" i="100" s="1"/>
  <c r="AM9" i="100"/>
  <c r="AO9" i="100" s="1"/>
  <c r="AP9" i="100" s="1"/>
  <c r="AS9" i="100" s="1"/>
  <c r="AT9" i="100" s="1"/>
  <c r="AM13" i="100"/>
  <c r="AO13" i="100" s="1"/>
  <c r="AP13" i="100" s="1"/>
  <c r="AS13" i="100" s="1"/>
  <c r="AM11" i="100"/>
  <c r="AO11" i="100" s="1"/>
  <c r="AP11" i="100" s="1"/>
  <c r="AS11" i="100" s="1"/>
  <c r="AM10" i="100"/>
  <c r="AO10" i="100" s="1"/>
  <c r="AP10" i="100" s="1"/>
  <c r="AS10" i="100" s="1"/>
  <c r="AT10" i="100" s="1"/>
  <c r="AM12" i="100"/>
  <c r="AO12" i="100" s="1"/>
  <c r="AP12" i="100" s="1"/>
  <c r="AS12" i="100" s="1"/>
  <c r="E1" i="98"/>
  <c r="J52" i="98"/>
  <c r="AM12" i="98"/>
  <c r="AO12" i="98" s="1"/>
  <c r="AP12" i="98" s="1"/>
  <c r="AS12" i="98" s="1"/>
  <c r="AM11" i="98"/>
  <c r="AO11" i="98" s="1"/>
  <c r="AP11" i="98" s="1"/>
  <c r="AS11" i="98" s="1"/>
  <c r="AM9" i="98"/>
  <c r="AO9" i="98" s="1"/>
  <c r="AP9" i="98" s="1"/>
  <c r="AS9" i="98" s="1"/>
  <c r="AM10" i="98"/>
  <c r="AO10" i="98" s="1"/>
  <c r="AP10" i="98" s="1"/>
  <c r="AS10" i="98" s="1"/>
  <c r="AM6" i="98"/>
  <c r="AO6" i="98" s="1"/>
  <c r="AP6" i="98" s="1"/>
  <c r="AS6" i="98" s="1"/>
  <c r="AM5" i="98"/>
  <c r="AO5" i="98" s="1"/>
  <c r="AP5" i="98" s="1"/>
  <c r="AM7" i="98"/>
  <c r="AO7" i="98" s="1"/>
  <c r="AP7" i="98" s="1"/>
  <c r="AS7" i="98" s="1"/>
  <c r="AM13" i="98"/>
  <c r="AO13" i="98" s="1"/>
  <c r="AP13" i="98" s="1"/>
  <c r="AS13" i="98" s="1"/>
  <c r="AM8" i="98"/>
  <c r="AO8" i="98" s="1"/>
  <c r="AP8" i="98" s="1"/>
  <c r="AS8" i="98" s="1"/>
  <c r="D54" i="98"/>
  <c r="C55" i="98"/>
  <c r="D55" i="98" s="1"/>
  <c r="AM1" i="95"/>
  <c r="AO1" i="95"/>
  <c r="AM5" i="95" s="1"/>
  <c r="AO5" i="95" s="1"/>
  <c r="AP5" i="95" s="1"/>
  <c r="E1" i="96"/>
  <c r="J52" i="96"/>
  <c r="AM12" i="96"/>
  <c r="AO12" i="96" s="1"/>
  <c r="AP12" i="96" s="1"/>
  <c r="AS12" i="96" s="1"/>
  <c r="AM9" i="96"/>
  <c r="AO9" i="96" s="1"/>
  <c r="AP9" i="96" s="1"/>
  <c r="AS9" i="96" s="1"/>
  <c r="AT9" i="96" s="1"/>
  <c r="AM10" i="96"/>
  <c r="AO10" i="96" s="1"/>
  <c r="AP10" i="96" s="1"/>
  <c r="AS10" i="96" s="1"/>
  <c r="AT10" i="96" s="1"/>
  <c r="AM15" i="96"/>
  <c r="AO15" i="96" s="1"/>
  <c r="AP15" i="96" s="1"/>
  <c r="AS15" i="96" s="1"/>
  <c r="AT15" i="96" s="1"/>
  <c r="AM7" i="96"/>
  <c r="AO7" i="96" s="1"/>
  <c r="AP7" i="96" s="1"/>
  <c r="AS7" i="96" s="1"/>
  <c r="AM11" i="96"/>
  <c r="AO11" i="96" s="1"/>
  <c r="AP11" i="96" s="1"/>
  <c r="AS11" i="96" s="1"/>
  <c r="AT11" i="96" s="1"/>
  <c r="AM5" i="96"/>
  <c r="AO5" i="96" s="1"/>
  <c r="AP5" i="96" s="1"/>
  <c r="AM13" i="96"/>
  <c r="AO13" i="96" s="1"/>
  <c r="AP13" i="96" s="1"/>
  <c r="AS13" i="96" s="1"/>
  <c r="AM6" i="96"/>
  <c r="AO6" i="96" s="1"/>
  <c r="AP6" i="96" s="1"/>
  <c r="AS6" i="96" s="1"/>
  <c r="AM14" i="96"/>
  <c r="AO14" i="96" s="1"/>
  <c r="AP14" i="96" s="1"/>
  <c r="AS14" i="96" s="1"/>
  <c r="AT14" i="96" s="1"/>
  <c r="AM8" i="96"/>
  <c r="AO8" i="96" s="1"/>
  <c r="AP8" i="96" s="1"/>
  <c r="AS8" i="96" s="1"/>
  <c r="T32" i="59"/>
  <c r="U32" i="59" s="1"/>
  <c r="J52" i="59"/>
  <c r="D54" i="94"/>
  <c r="C55" i="94"/>
  <c r="D55" i="94" s="1"/>
  <c r="U32" i="95"/>
  <c r="J52" i="95"/>
  <c r="U32" i="94"/>
  <c r="AM1" i="94"/>
  <c r="C70" i="94"/>
  <c r="AF29" i="95"/>
  <c r="AB29" i="95"/>
  <c r="AE29" i="94"/>
  <c r="AB29" i="94"/>
  <c r="T34" i="19"/>
  <c r="U29" i="19"/>
  <c r="B104" i="59"/>
  <c r="C104" i="59"/>
  <c r="D104" i="59"/>
  <c r="F104" i="59"/>
  <c r="B105" i="59"/>
  <c r="C105" i="59"/>
  <c r="D105" i="59"/>
  <c r="F105" i="59"/>
  <c r="B80" i="59"/>
  <c r="C80" i="59"/>
  <c r="D80" i="59"/>
  <c r="F80" i="59"/>
  <c r="B81" i="59"/>
  <c r="C81" i="59"/>
  <c r="D81" i="59"/>
  <c r="F81" i="59"/>
  <c r="I21" i="59"/>
  <c r="B139" i="28"/>
  <c r="C139" i="28"/>
  <c r="D139" i="28"/>
  <c r="F139" i="28"/>
  <c r="B140" i="28"/>
  <c r="C140" i="28"/>
  <c r="D140" i="28"/>
  <c r="F140" i="28"/>
  <c r="B111" i="28"/>
  <c r="C111" i="28"/>
  <c r="D111" i="28"/>
  <c r="F111" i="28"/>
  <c r="B112" i="28"/>
  <c r="C112" i="28"/>
  <c r="D112" i="28"/>
  <c r="F112" i="28"/>
  <c r="B84" i="28"/>
  <c r="C84" i="28"/>
  <c r="D84" i="28"/>
  <c r="F84" i="28"/>
  <c r="B85" i="28"/>
  <c r="C85" i="28"/>
  <c r="D85" i="28"/>
  <c r="F85" i="28"/>
  <c r="I25" i="28"/>
  <c r="B79" i="26"/>
  <c r="C79" i="26"/>
  <c r="D79" i="26"/>
  <c r="F79" i="26"/>
  <c r="B80" i="26"/>
  <c r="C80" i="26"/>
  <c r="D80" i="26"/>
  <c r="F80" i="26"/>
  <c r="I20" i="26"/>
  <c r="B113" i="33"/>
  <c r="C113" i="33"/>
  <c r="D113" i="33"/>
  <c r="F113" i="33"/>
  <c r="B114" i="33"/>
  <c r="C114" i="33"/>
  <c r="D114" i="33"/>
  <c r="F114" i="33"/>
  <c r="B85" i="33"/>
  <c r="C85" i="33"/>
  <c r="D85" i="33"/>
  <c r="F85" i="33"/>
  <c r="B86" i="33"/>
  <c r="C86" i="33"/>
  <c r="D86" i="33"/>
  <c r="F86" i="33"/>
  <c r="I26" i="33"/>
  <c r="I24" i="70"/>
  <c r="K150" i="1"/>
  <c r="J81" i="80"/>
  <c r="O72" i="80" s="1"/>
  <c r="R44" i="58"/>
  <c r="R44" i="56"/>
  <c r="R44" i="30"/>
  <c r="R44" i="29"/>
  <c r="R44" i="17"/>
  <c r="R44" i="8"/>
  <c r="R44" i="3"/>
  <c r="C54" i="114" l="1"/>
  <c r="D53" i="114"/>
  <c r="I54" i="102"/>
  <c r="J55" i="102"/>
  <c r="I55" i="102" s="1"/>
  <c r="I55" i="110"/>
  <c r="B77" i="106"/>
  <c r="J54" i="106"/>
  <c r="B94" i="106" s="1"/>
  <c r="V28" i="106"/>
  <c r="I53" i="106"/>
  <c r="E80" i="105"/>
  <c r="G80" i="105" s="1"/>
  <c r="H80" i="105" s="1"/>
  <c r="E70" i="105"/>
  <c r="G70" i="105" s="1"/>
  <c r="H70" i="105" s="1"/>
  <c r="E71" i="105"/>
  <c r="G71" i="105" s="1"/>
  <c r="H71" i="105" s="1"/>
  <c r="E73" i="105"/>
  <c r="G73" i="105" s="1"/>
  <c r="H73" i="105" s="1"/>
  <c r="E75" i="105"/>
  <c r="G75" i="105" s="1"/>
  <c r="H75" i="105" s="1"/>
  <c r="E76" i="105"/>
  <c r="G76" i="105" s="1"/>
  <c r="H76" i="105" s="1"/>
  <c r="E68" i="105"/>
  <c r="G68" i="105" s="1"/>
  <c r="H68" i="105" s="1"/>
  <c r="E69" i="105"/>
  <c r="G69" i="105" s="1"/>
  <c r="H69" i="105" s="1"/>
  <c r="E72" i="105"/>
  <c r="G72" i="105" s="1"/>
  <c r="H72" i="105" s="1"/>
  <c r="E74" i="105"/>
  <c r="G74" i="105" s="1"/>
  <c r="H74" i="105" s="1"/>
  <c r="E77" i="105"/>
  <c r="G77" i="105" s="1"/>
  <c r="H77" i="105" s="1"/>
  <c r="E78" i="105"/>
  <c r="G78" i="105" s="1"/>
  <c r="H78" i="105" s="1"/>
  <c r="E79" i="105"/>
  <c r="G79" i="105" s="1"/>
  <c r="H79" i="105" s="1"/>
  <c r="E67" i="105"/>
  <c r="G67" i="105" s="1"/>
  <c r="H67" i="105" s="1"/>
  <c r="E66" i="105"/>
  <c r="G66" i="105" s="1"/>
  <c r="H66" i="105" s="1"/>
  <c r="E65" i="105"/>
  <c r="G65" i="105" s="1"/>
  <c r="H65" i="105" s="1"/>
  <c r="C53" i="106"/>
  <c r="C54" i="106" s="1"/>
  <c r="D54" i="115"/>
  <c r="C55" i="115"/>
  <c r="D55" i="115" s="1"/>
  <c r="J55" i="113"/>
  <c r="B94" i="113"/>
  <c r="H94" i="113" s="1"/>
  <c r="I54" i="113"/>
  <c r="H55" i="106"/>
  <c r="E100" i="106" s="1"/>
  <c r="G100" i="106" s="1"/>
  <c r="H100" i="106" s="1"/>
  <c r="E82" i="106"/>
  <c r="G82" i="106" s="1"/>
  <c r="H82" i="106" s="1"/>
  <c r="E65" i="113"/>
  <c r="G65" i="113" s="1"/>
  <c r="H65" i="113" s="1"/>
  <c r="E66" i="113"/>
  <c r="G66" i="113" s="1"/>
  <c r="H66" i="113" s="1"/>
  <c r="E67" i="113"/>
  <c r="G67" i="113" s="1"/>
  <c r="H67" i="113" s="1"/>
  <c r="E68" i="113"/>
  <c r="G68" i="113" s="1"/>
  <c r="H68" i="113" s="1"/>
  <c r="E69" i="113"/>
  <c r="G69" i="113" s="1"/>
  <c r="H69" i="113" s="1"/>
  <c r="E70" i="113"/>
  <c r="G70" i="113" s="1"/>
  <c r="H70" i="113" s="1"/>
  <c r="E71" i="113"/>
  <c r="G71" i="113" s="1"/>
  <c r="H71" i="113" s="1"/>
  <c r="E72" i="113"/>
  <c r="G72" i="113" s="1"/>
  <c r="H72" i="113" s="1"/>
  <c r="E73" i="113"/>
  <c r="G73" i="113" s="1"/>
  <c r="H73" i="113" s="1"/>
  <c r="E74" i="113"/>
  <c r="G74" i="113" s="1"/>
  <c r="H74" i="113" s="1"/>
  <c r="E75" i="113"/>
  <c r="G75" i="113" s="1"/>
  <c r="H75" i="113" s="1"/>
  <c r="E65" i="112"/>
  <c r="G65" i="112" s="1"/>
  <c r="H65" i="112" s="1"/>
  <c r="E66" i="112"/>
  <c r="G66" i="112" s="1"/>
  <c r="H66" i="112" s="1"/>
  <c r="E67" i="112"/>
  <c r="G67" i="112" s="1"/>
  <c r="H67" i="112" s="1"/>
  <c r="E68" i="112"/>
  <c r="G68" i="112" s="1"/>
  <c r="H68" i="112" s="1"/>
  <c r="E69" i="112"/>
  <c r="G69" i="112" s="1"/>
  <c r="H69" i="112" s="1"/>
  <c r="E70" i="112"/>
  <c r="G70" i="112" s="1"/>
  <c r="H70" i="112" s="1"/>
  <c r="E5" i="111"/>
  <c r="G5" i="111" s="1"/>
  <c r="H5" i="111" s="1"/>
  <c r="K5" i="111" s="1"/>
  <c r="E7" i="111"/>
  <c r="E9" i="111"/>
  <c r="E8" i="111"/>
  <c r="E65" i="111"/>
  <c r="G65" i="111" s="1"/>
  <c r="H65" i="111" s="1"/>
  <c r="E66" i="111"/>
  <c r="G66" i="111" s="1"/>
  <c r="H66" i="111" s="1"/>
  <c r="E67" i="111"/>
  <c r="G67" i="111" s="1"/>
  <c r="H67" i="111" s="1"/>
  <c r="E68" i="111"/>
  <c r="G68" i="111" s="1"/>
  <c r="H68" i="111" s="1"/>
  <c r="E69" i="111"/>
  <c r="G69" i="111" s="1"/>
  <c r="H69" i="111" s="1"/>
  <c r="B71" i="111"/>
  <c r="H71" i="111" s="1"/>
  <c r="I53" i="111"/>
  <c r="H53" i="111"/>
  <c r="E6" i="109"/>
  <c r="G6" i="109" s="1"/>
  <c r="H6" i="109" s="1"/>
  <c r="K6" i="109" s="1"/>
  <c r="E8" i="109"/>
  <c r="G8" i="109" s="1"/>
  <c r="H8" i="109" s="1"/>
  <c r="K8" i="109" s="1"/>
  <c r="E10" i="109"/>
  <c r="G10" i="109" s="1"/>
  <c r="H10" i="109" s="1"/>
  <c r="K10" i="109" s="1"/>
  <c r="E15" i="109"/>
  <c r="G15" i="109" s="1"/>
  <c r="H15" i="109" s="1"/>
  <c r="K15" i="109" s="1"/>
  <c r="E17" i="109"/>
  <c r="G17" i="109" s="1"/>
  <c r="H17" i="109" s="1"/>
  <c r="K17" i="109" s="1"/>
  <c r="E18" i="109"/>
  <c r="G18" i="109" s="1"/>
  <c r="H18" i="109" s="1"/>
  <c r="K18" i="109" s="1"/>
  <c r="E20" i="109"/>
  <c r="G20" i="109" s="1"/>
  <c r="H20" i="109" s="1"/>
  <c r="K20" i="109" s="1"/>
  <c r="E19" i="109"/>
  <c r="G19" i="109" s="1"/>
  <c r="H19" i="109" s="1"/>
  <c r="K19" i="109" s="1"/>
  <c r="E14" i="109"/>
  <c r="G14" i="109" s="1"/>
  <c r="H14" i="109" s="1"/>
  <c r="K14" i="109" s="1"/>
  <c r="E21" i="109"/>
  <c r="G21" i="109" s="1"/>
  <c r="H21" i="109" s="1"/>
  <c r="K21" i="109" s="1"/>
  <c r="C52" i="109"/>
  <c r="E7" i="109"/>
  <c r="G7" i="109" s="1"/>
  <c r="H7" i="109" s="1"/>
  <c r="K7" i="109" s="1"/>
  <c r="E9" i="109"/>
  <c r="G9" i="109" s="1"/>
  <c r="H9" i="109" s="1"/>
  <c r="K9" i="109" s="1"/>
  <c r="E11" i="109"/>
  <c r="G11" i="109" s="1"/>
  <c r="H11" i="109" s="1"/>
  <c r="K11" i="109" s="1"/>
  <c r="E12" i="109"/>
  <c r="G12" i="109" s="1"/>
  <c r="H12" i="109" s="1"/>
  <c r="K12" i="109" s="1"/>
  <c r="E13" i="109"/>
  <c r="G13" i="109" s="1"/>
  <c r="H13" i="109" s="1"/>
  <c r="K13" i="109" s="1"/>
  <c r="E16" i="109"/>
  <c r="G16" i="109" s="1"/>
  <c r="H16" i="109" s="1"/>
  <c r="K16" i="109" s="1"/>
  <c r="G65" i="108"/>
  <c r="H5" i="108"/>
  <c r="K5" i="108" s="1"/>
  <c r="C53" i="107"/>
  <c r="C54" i="107" s="1"/>
  <c r="C55" i="107" s="1"/>
  <c r="D55" i="107" s="1"/>
  <c r="E8" i="108"/>
  <c r="G8" i="108" s="1"/>
  <c r="H8" i="108" s="1"/>
  <c r="K8" i="108" s="1"/>
  <c r="C52" i="108"/>
  <c r="E7" i="108"/>
  <c r="G7" i="108" s="1"/>
  <c r="H7" i="108" s="1"/>
  <c r="K7" i="108" s="1"/>
  <c r="E6" i="108"/>
  <c r="G6" i="108" s="1"/>
  <c r="H6" i="108" s="1"/>
  <c r="K6" i="108" s="1"/>
  <c r="E9" i="108"/>
  <c r="G9" i="108" s="1"/>
  <c r="H9" i="108" s="1"/>
  <c r="K9" i="108" s="1"/>
  <c r="E10" i="108"/>
  <c r="G10" i="108" s="1"/>
  <c r="H10" i="108" s="1"/>
  <c r="K10" i="108" s="1"/>
  <c r="H55" i="109"/>
  <c r="E113" i="109" s="1"/>
  <c r="G113" i="109" s="1"/>
  <c r="H113" i="109" s="1"/>
  <c r="E88" i="109"/>
  <c r="G88" i="109" s="1"/>
  <c r="H88" i="109" s="1"/>
  <c r="H54" i="113"/>
  <c r="H54" i="112"/>
  <c r="J54" i="111"/>
  <c r="E65" i="108"/>
  <c r="H54" i="108"/>
  <c r="H55" i="108" s="1"/>
  <c r="E65" i="107"/>
  <c r="G65" i="107" s="1"/>
  <c r="H65" i="107" s="1"/>
  <c r="H54" i="107"/>
  <c r="I56" i="112"/>
  <c r="J57" i="112"/>
  <c r="E11" i="97"/>
  <c r="G11" i="97" s="1"/>
  <c r="H11" i="97" s="1"/>
  <c r="K11" i="97" s="1"/>
  <c r="E13" i="97"/>
  <c r="G13" i="97" s="1"/>
  <c r="H13" i="97" s="1"/>
  <c r="K13" i="97" s="1"/>
  <c r="E10" i="97"/>
  <c r="G10" i="97" s="1"/>
  <c r="H10" i="97" s="1"/>
  <c r="K10" i="97" s="1"/>
  <c r="E12" i="97"/>
  <c r="G12" i="97" s="1"/>
  <c r="H12" i="97" s="1"/>
  <c r="K12" i="97" s="1"/>
  <c r="E8" i="97"/>
  <c r="G8" i="97" s="1"/>
  <c r="H8" i="97" s="1"/>
  <c r="K8" i="97" s="1"/>
  <c r="E7" i="97"/>
  <c r="G7" i="97" s="1"/>
  <c r="H7" i="97" s="1"/>
  <c r="K7" i="97" s="1"/>
  <c r="E9" i="97"/>
  <c r="G9" i="97" s="1"/>
  <c r="H9" i="97" s="1"/>
  <c r="K9" i="97" s="1"/>
  <c r="E6" i="97"/>
  <c r="G6" i="97" s="1"/>
  <c r="H6" i="97" s="1"/>
  <c r="K6" i="97" s="1"/>
  <c r="C52" i="97"/>
  <c r="H53" i="97"/>
  <c r="E5" i="97"/>
  <c r="G5" i="97" s="1"/>
  <c r="H5" i="97" s="1"/>
  <c r="K5" i="97" s="1"/>
  <c r="J54" i="97"/>
  <c r="J55" i="97" s="1"/>
  <c r="B75" i="97"/>
  <c r="I53" i="97"/>
  <c r="E66" i="104"/>
  <c r="G66" i="104" s="1"/>
  <c r="H66" i="104" s="1"/>
  <c r="E77" i="104"/>
  <c r="G77" i="104" s="1"/>
  <c r="H77" i="104" s="1"/>
  <c r="AS6" i="100"/>
  <c r="V28" i="99"/>
  <c r="C53" i="105"/>
  <c r="E69" i="104"/>
  <c r="G69" i="104" s="1"/>
  <c r="H69" i="104" s="1"/>
  <c r="E70" i="104"/>
  <c r="G70" i="104" s="1"/>
  <c r="H70" i="104" s="1"/>
  <c r="E73" i="104"/>
  <c r="G73" i="104" s="1"/>
  <c r="H73" i="104" s="1"/>
  <c r="E76" i="104"/>
  <c r="G76" i="104" s="1"/>
  <c r="H76" i="104" s="1"/>
  <c r="E74" i="104"/>
  <c r="G74" i="104" s="1"/>
  <c r="H74" i="104" s="1"/>
  <c r="E67" i="104"/>
  <c r="G67" i="104" s="1"/>
  <c r="H67" i="104" s="1"/>
  <c r="E72" i="104"/>
  <c r="G72" i="104" s="1"/>
  <c r="H72" i="104" s="1"/>
  <c r="E75" i="104"/>
  <c r="G75" i="104" s="1"/>
  <c r="H75" i="104" s="1"/>
  <c r="C53" i="104"/>
  <c r="E71" i="104"/>
  <c r="G71" i="104" s="1"/>
  <c r="H71" i="104" s="1"/>
  <c r="E68" i="104"/>
  <c r="G68" i="104" s="1"/>
  <c r="H68" i="104" s="1"/>
  <c r="D53" i="103"/>
  <c r="C54" i="103"/>
  <c r="G1" i="102"/>
  <c r="I1" i="102" s="1"/>
  <c r="C52" i="102" s="1"/>
  <c r="D52" i="102"/>
  <c r="E5" i="102"/>
  <c r="G5" i="102" s="1"/>
  <c r="H5" i="102" s="1"/>
  <c r="K5" i="102" s="1"/>
  <c r="G1" i="101"/>
  <c r="D52" i="101"/>
  <c r="I52" i="101"/>
  <c r="H52" i="101" s="1"/>
  <c r="J53" i="101"/>
  <c r="J54" i="101" s="1"/>
  <c r="V28" i="102"/>
  <c r="V28" i="101"/>
  <c r="D52" i="99"/>
  <c r="G1" i="99"/>
  <c r="J53" i="99"/>
  <c r="I52" i="99"/>
  <c r="H52" i="99" s="1"/>
  <c r="H53" i="99" s="1"/>
  <c r="I52" i="100"/>
  <c r="H52" i="100" s="1"/>
  <c r="J53" i="100"/>
  <c r="G1" i="100"/>
  <c r="D52" i="100"/>
  <c r="V28" i="100"/>
  <c r="G1" i="98"/>
  <c r="D52" i="98"/>
  <c r="J53" i="98"/>
  <c r="J54" i="98" s="1"/>
  <c r="I52" i="98"/>
  <c r="H52" i="98" s="1"/>
  <c r="V28" i="98"/>
  <c r="G1" i="96"/>
  <c r="E6" i="96" s="1"/>
  <c r="G6" i="96" s="1"/>
  <c r="H6" i="96" s="1"/>
  <c r="K6" i="96" s="1"/>
  <c r="D52" i="96"/>
  <c r="I52" i="96"/>
  <c r="H52" i="96" s="1"/>
  <c r="J53" i="96"/>
  <c r="V28" i="96"/>
  <c r="AM6" i="95"/>
  <c r="AO6" i="95" s="1"/>
  <c r="AP6" i="95" s="1"/>
  <c r="AM7" i="95"/>
  <c r="AO7" i="95" s="1"/>
  <c r="AP7" i="95" s="1"/>
  <c r="AS7" i="95" s="1"/>
  <c r="AM8" i="95"/>
  <c r="AO8" i="95" s="1"/>
  <c r="AP8" i="95" s="1"/>
  <c r="AS8" i="95" s="1"/>
  <c r="AM9" i="95"/>
  <c r="AO9" i="95" s="1"/>
  <c r="AP9" i="95" s="1"/>
  <c r="AS9" i="95" s="1"/>
  <c r="AM10" i="95"/>
  <c r="AO10" i="95" s="1"/>
  <c r="AP10" i="95" s="1"/>
  <c r="AS10" i="95" s="1"/>
  <c r="AM11" i="95"/>
  <c r="AO11" i="95" s="1"/>
  <c r="AP11" i="95" s="1"/>
  <c r="AS11" i="95" s="1"/>
  <c r="AM12" i="95"/>
  <c r="AO12" i="95" s="1"/>
  <c r="AP12" i="95" s="1"/>
  <c r="AS12" i="95" s="1"/>
  <c r="E1" i="95"/>
  <c r="I52" i="95"/>
  <c r="H52" i="95" s="1"/>
  <c r="J53" i="95"/>
  <c r="J52" i="94"/>
  <c r="E1" i="94"/>
  <c r="AM8" i="94"/>
  <c r="AO8" i="94" s="1"/>
  <c r="AP8" i="94" s="1"/>
  <c r="AS8" i="94" s="1"/>
  <c r="AT8" i="94" s="1"/>
  <c r="AM13" i="94"/>
  <c r="AO13" i="94" s="1"/>
  <c r="AP13" i="94" s="1"/>
  <c r="AS13" i="94" s="1"/>
  <c r="AM6" i="94"/>
  <c r="AO6" i="94" s="1"/>
  <c r="AP6" i="94" s="1"/>
  <c r="AS6" i="94" s="1"/>
  <c r="AM11" i="94"/>
  <c r="AO11" i="94" s="1"/>
  <c r="AP11" i="94" s="1"/>
  <c r="AS11" i="94" s="1"/>
  <c r="AT11" i="94" s="1"/>
  <c r="AM7" i="94"/>
  <c r="AO7" i="94" s="1"/>
  <c r="AP7" i="94" s="1"/>
  <c r="AS7" i="94" s="1"/>
  <c r="AM12" i="94"/>
  <c r="AO12" i="94" s="1"/>
  <c r="AP12" i="94" s="1"/>
  <c r="AS12" i="94" s="1"/>
  <c r="AM9" i="94"/>
  <c r="AO9" i="94" s="1"/>
  <c r="AP9" i="94" s="1"/>
  <c r="AS9" i="94" s="1"/>
  <c r="AM14" i="94"/>
  <c r="AO14" i="94" s="1"/>
  <c r="AP14" i="94" s="1"/>
  <c r="AS14" i="94" s="1"/>
  <c r="AM10" i="94"/>
  <c r="AO10" i="94" s="1"/>
  <c r="AP10" i="94" s="1"/>
  <c r="AS10" i="94" s="1"/>
  <c r="AT10" i="94" s="1"/>
  <c r="AM15" i="94"/>
  <c r="AO15" i="94" s="1"/>
  <c r="AP15" i="94" s="1"/>
  <c r="AS15" i="94" s="1"/>
  <c r="AT15" i="94" s="1"/>
  <c r="AM5" i="94"/>
  <c r="AO5" i="94" s="1"/>
  <c r="AP5" i="94" s="1"/>
  <c r="C55" i="114" l="1"/>
  <c r="D54" i="114"/>
  <c r="J55" i="106"/>
  <c r="I54" i="106"/>
  <c r="B113" i="113"/>
  <c r="H113" i="113" s="1"/>
  <c r="J56" i="113"/>
  <c r="I55" i="113"/>
  <c r="E75" i="106"/>
  <c r="G75" i="106" s="1"/>
  <c r="H75" i="106" s="1"/>
  <c r="E74" i="106"/>
  <c r="G74" i="106" s="1"/>
  <c r="H74" i="106" s="1"/>
  <c r="E73" i="106"/>
  <c r="G73" i="106" s="1"/>
  <c r="H73" i="106" s="1"/>
  <c r="E72" i="106"/>
  <c r="G72" i="106" s="1"/>
  <c r="H72" i="106" s="1"/>
  <c r="E71" i="106"/>
  <c r="G71" i="106" s="1"/>
  <c r="H71" i="106" s="1"/>
  <c r="E70" i="106"/>
  <c r="G70" i="106" s="1"/>
  <c r="H70" i="106" s="1"/>
  <c r="E69" i="106"/>
  <c r="G69" i="106" s="1"/>
  <c r="H69" i="106" s="1"/>
  <c r="E68" i="106"/>
  <c r="G68" i="106" s="1"/>
  <c r="H68" i="106" s="1"/>
  <c r="E67" i="106"/>
  <c r="G67" i="106" s="1"/>
  <c r="H67" i="106" s="1"/>
  <c r="E66" i="106"/>
  <c r="G66" i="106" s="1"/>
  <c r="H66" i="106" s="1"/>
  <c r="D53" i="106"/>
  <c r="E92" i="106"/>
  <c r="G92" i="106" s="1"/>
  <c r="H92" i="106" s="1"/>
  <c r="E91" i="106"/>
  <c r="G91" i="106" s="1"/>
  <c r="H91" i="106" s="1"/>
  <c r="E90" i="106"/>
  <c r="G90" i="106" s="1"/>
  <c r="H90" i="106" s="1"/>
  <c r="E89" i="106"/>
  <c r="G89" i="106" s="1"/>
  <c r="H89" i="106" s="1"/>
  <c r="E88" i="106"/>
  <c r="G88" i="106" s="1"/>
  <c r="H88" i="106" s="1"/>
  <c r="E87" i="106"/>
  <c r="G87" i="106" s="1"/>
  <c r="H87" i="106" s="1"/>
  <c r="E86" i="106"/>
  <c r="G86" i="106" s="1"/>
  <c r="H86" i="106" s="1"/>
  <c r="E85" i="106"/>
  <c r="G85" i="106" s="1"/>
  <c r="H85" i="106" s="1"/>
  <c r="E84" i="106"/>
  <c r="G84" i="106" s="1"/>
  <c r="H84" i="106" s="1"/>
  <c r="E83" i="106"/>
  <c r="G83" i="106" s="1"/>
  <c r="H83" i="106" s="1"/>
  <c r="D54" i="106"/>
  <c r="C55" i="106"/>
  <c r="H55" i="113"/>
  <c r="H55" i="112"/>
  <c r="C53" i="109"/>
  <c r="C54" i="109" s="1"/>
  <c r="C55" i="109" s="1"/>
  <c r="H65" i="108"/>
  <c r="D53" i="107"/>
  <c r="B62" i="107"/>
  <c r="B63" i="107"/>
  <c r="E66" i="107"/>
  <c r="G66" i="107" s="1"/>
  <c r="H66" i="107" s="1"/>
  <c r="E67" i="107"/>
  <c r="G67" i="107" s="1"/>
  <c r="H67" i="107" s="1"/>
  <c r="E68" i="107"/>
  <c r="G68" i="107" s="1"/>
  <c r="H68" i="107" s="1"/>
  <c r="E69" i="107"/>
  <c r="G69" i="107" s="1"/>
  <c r="H69" i="107" s="1"/>
  <c r="E70" i="107"/>
  <c r="G70" i="107" s="1"/>
  <c r="H70" i="107" s="1"/>
  <c r="E71" i="107"/>
  <c r="G71" i="107" s="1"/>
  <c r="H71" i="107" s="1"/>
  <c r="E74" i="107"/>
  <c r="G74" i="107" s="1"/>
  <c r="H74" i="107" s="1"/>
  <c r="E75" i="107"/>
  <c r="G75" i="107" s="1"/>
  <c r="H75" i="107" s="1"/>
  <c r="E76" i="107"/>
  <c r="G76" i="107" s="1"/>
  <c r="H76" i="107" s="1"/>
  <c r="E77" i="107"/>
  <c r="G77" i="107" s="1"/>
  <c r="H77" i="107" s="1"/>
  <c r="E78" i="107"/>
  <c r="G78" i="107" s="1"/>
  <c r="H78" i="107" s="1"/>
  <c r="E79" i="107"/>
  <c r="G79" i="107" s="1"/>
  <c r="H79" i="107" s="1"/>
  <c r="E80" i="107"/>
  <c r="G80" i="107" s="1"/>
  <c r="H80" i="107" s="1"/>
  <c r="E81" i="107"/>
  <c r="G81" i="107" s="1"/>
  <c r="H81" i="107" s="1"/>
  <c r="E82" i="107"/>
  <c r="G82" i="107" s="1"/>
  <c r="H82" i="107" s="1"/>
  <c r="E83" i="107"/>
  <c r="G83" i="107" s="1"/>
  <c r="H83" i="107" s="1"/>
  <c r="E84" i="107"/>
  <c r="G84" i="107" s="1"/>
  <c r="H84" i="107" s="1"/>
  <c r="E85" i="107"/>
  <c r="G85" i="107" s="1"/>
  <c r="H85" i="107" s="1"/>
  <c r="E86" i="107"/>
  <c r="G86" i="107" s="1"/>
  <c r="H86" i="107" s="1"/>
  <c r="E87" i="107"/>
  <c r="G87" i="107" s="1"/>
  <c r="H87" i="107" s="1"/>
  <c r="B91" i="107"/>
  <c r="B92" i="107"/>
  <c r="E72" i="107"/>
  <c r="G72" i="107" s="1"/>
  <c r="H72" i="107" s="1"/>
  <c r="E73" i="107"/>
  <c r="G73" i="107" s="1"/>
  <c r="H73" i="107" s="1"/>
  <c r="D54" i="107"/>
  <c r="E95" i="107"/>
  <c r="G95" i="107" s="1"/>
  <c r="H95" i="107" s="1"/>
  <c r="E96" i="107"/>
  <c r="G96" i="107" s="1"/>
  <c r="H96" i="107" s="1"/>
  <c r="E97" i="107"/>
  <c r="G97" i="107" s="1"/>
  <c r="H97" i="107" s="1"/>
  <c r="E98" i="107"/>
  <c r="G98" i="107" s="1"/>
  <c r="H98" i="107" s="1"/>
  <c r="E99" i="107"/>
  <c r="G99" i="107" s="1"/>
  <c r="H99" i="107" s="1"/>
  <c r="E100" i="107"/>
  <c r="G100" i="107" s="1"/>
  <c r="H100" i="107" s="1"/>
  <c r="E101" i="107"/>
  <c r="G101" i="107" s="1"/>
  <c r="H101" i="107" s="1"/>
  <c r="E102" i="107"/>
  <c r="G102" i="107" s="1"/>
  <c r="H102" i="107" s="1"/>
  <c r="E103" i="107"/>
  <c r="G103" i="107" s="1"/>
  <c r="H103" i="107" s="1"/>
  <c r="E104" i="107"/>
  <c r="G104" i="107" s="1"/>
  <c r="H104" i="107" s="1"/>
  <c r="E105" i="107"/>
  <c r="G105" i="107" s="1"/>
  <c r="H105" i="107" s="1"/>
  <c r="E106" i="107"/>
  <c r="G106" i="107" s="1"/>
  <c r="H106" i="107" s="1"/>
  <c r="E107" i="107"/>
  <c r="G107" i="107" s="1"/>
  <c r="H107" i="107" s="1"/>
  <c r="E108" i="107"/>
  <c r="G108" i="107" s="1"/>
  <c r="H108" i="107" s="1"/>
  <c r="E109" i="107"/>
  <c r="G109" i="107" s="1"/>
  <c r="H109" i="107" s="1"/>
  <c r="E110" i="107"/>
  <c r="G110" i="107" s="1"/>
  <c r="H110" i="107" s="1"/>
  <c r="E111" i="107"/>
  <c r="G111" i="107" s="1"/>
  <c r="H111" i="107" s="1"/>
  <c r="E112" i="107"/>
  <c r="G112" i="107" s="1"/>
  <c r="H112" i="107" s="1"/>
  <c r="E113" i="107"/>
  <c r="G113" i="107" s="1"/>
  <c r="H113" i="107" s="1"/>
  <c r="E114" i="107"/>
  <c r="G114" i="107" s="1"/>
  <c r="H114" i="107" s="1"/>
  <c r="E115" i="107"/>
  <c r="G115" i="107" s="1"/>
  <c r="H115" i="107" s="1"/>
  <c r="E116" i="107"/>
  <c r="G116" i="107" s="1"/>
  <c r="H116" i="107" s="1"/>
  <c r="C53" i="108"/>
  <c r="E92" i="113"/>
  <c r="G92" i="113" s="1"/>
  <c r="H92" i="113" s="1"/>
  <c r="E91" i="113"/>
  <c r="G91" i="113" s="1"/>
  <c r="H91" i="113" s="1"/>
  <c r="E90" i="113"/>
  <c r="G90" i="113" s="1"/>
  <c r="H90" i="113" s="1"/>
  <c r="E88" i="113"/>
  <c r="G88" i="113" s="1"/>
  <c r="H88" i="113" s="1"/>
  <c r="E89" i="113"/>
  <c r="G89" i="113" s="1"/>
  <c r="H89" i="113" s="1"/>
  <c r="E87" i="113"/>
  <c r="G87" i="113" s="1"/>
  <c r="H87" i="113" s="1"/>
  <c r="E86" i="113"/>
  <c r="G86" i="113" s="1"/>
  <c r="H86" i="113" s="1"/>
  <c r="E85" i="113"/>
  <c r="G85" i="113" s="1"/>
  <c r="H85" i="113" s="1"/>
  <c r="E84" i="113"/>
  <c r="G84" i="113" s="1"/>
  <c r="H84" i="113" s="1"/>
  <c r="E83" i="113"/>
  <c r="G83" i="113" s="1"/>
  <c r="H83" i="113" s="1"/>
  <c r="E82" i="113"/>
  <c r="G82" i="113" s="1"/>
  <c r="H82" i="113" s="1"/>
  <c r="E82" i="112"/>
  <c r="G82" i="112" s="1"/>
  <c r="H82" i="112" s="1"/>
  <c r="E81" i="112"/>
  <c r="G81" i="112" s="1"/>
  <c r="H81" i="112" s="1"/>
  <c r="E80" i="112"/>
  <c r="G80" i="112" s="1"/>
  <c r="H80" i="112" s="1"/>
  <c r="E79" i="112"/>
  <c r="G79" i="112" s="1"/>
  <c r="H79" i="112" s="1"/>
  <c r="E78" i="112"/>
  <c r="G78" i="112" s="1"/>
  <c r="H78" i="112" s="1"/>
  <c r="E77" i="112"/>
  <c r="G77" i="112" s="1"/>
  <c r="H77" i="112" s="1"/>
  <c r="H54" i="111"/>
  <c r="H55" i="111" s="1"/>
  <c r="I54" i="111"/>
  <c r="J55" i="111"/>
  <c r="I55" i="111" s="1"/>
  <c r="E94" i="107"/>
  <c r="G94" i="107" s="1"/>
  <c r="H94" i="107" s="1"/>
  <c r="H55" i="107"/>
  <c r="I57" i="112"/>
  <c r="J58" i="112"/>
  <c r="I58" i="112" s="1"/>
  <c r="C53" i="97"/>
  <c r="C54" i="97" s="1"/>
  <c r="H54" i="97"/>
  <c r="E65" i="97"/>
  <c r="G65" i="97" s="1"/>
  <c r="H65" i="97" s="1"/>
  <c r="B91" i="97"/>
  <c r="I54" i="97"/>
  <c r="B106" i="97"/>
  <c r="I55" i="97"/>
  <c r="D53" i="105"/>
  <c r="C54" i="105"/>
  <c r="D54" i="105" s="1"/>
  <c r="D53" i="104"/>
  <c r="C54" i="104"/>
  <c r="D54" i="103"/>
  <c r="C55" i="103"/>
  <c r="C53" i="102"/>
  <c r="E5" i="101"/>
  <c r="G5" i="101" s="1"/>
  <c r="H5" i="101" s="1"/>
  <c r="K5" i="101" s="1"/>
  <c r="L5" i="101" s="1"/>
  <c r="S35" i="101" s="1"/>
  <c r="E6" i="101"/>
  <c r="G6" i="101" s="1"/>
  <c r="H6" i="101" s="1"/>
  <c r="K6" i="101" s="1"/>
  <c r="E7" i="101"/>
  <c r="E65" i="101"/>
  <c r="G65" i="101" s="1"/>
  <c r="H65" i="101" s="1"/>
  <c r="E66" i="101"/>
  <c r="G66" i="101" s="1"/>
  <c r="H66" i="101" s="1"/>
  <c r="E67" i="101"/>
  <c r="G67" i="101" s="1"/>
  <c r="H67" i="101" s="1"/>
  <c r="H53" i="101"/>
  <c r="I53" i="101"/>
  <c r="B69" i="101"/>
  <c r="H69" i="101" s="1"/>
  <c r="I54" i="101"/>
  <c r="J55" i="101"/>
  <c r="I55" i="101" s="1"/>
  <c r="E66" i="99"/>
  <c r="G66" i="99" s="1"/>
  <c r="H66" i="99" s="1"/>
  <c r="E70" i="99"/>
  <c r="G70" i="99" s="1"/>
  <c r="H70" i="99" s="1"/>
  <c r="E65" i="99"/>
  <c r="G65" i="99" s="1"/>
  <c r="H65" i="99" s="1"/>
  <c r="E67" i="99"/>
  <c r="G67" i="99" s="1"/>
  <c r="H67" i="99" s="1"/>
  <c r="E69" i="99"/>
  <c r="G69" i="99" s="1"/>
  <c r="H69" i="99" s="1"/>
  <c r="E68" i="99"/>
  <c r="G68" i="99" s="1"/>
  <c r="H68" i="99" s="1"/>
  <c r="E5" i="99"/>
  <c r="G5" i="99" s="1"/>
  <c r="H5" i="99" s="1"/>
  <c r="K5" i="99" s="1"/>
  <c r="E6" i="99"/>
  <c r="G6" i="99" s="1"/>
  <c r="H6" i="99" s="1"/>
  <c r="K6" i="99" s="1"/>
  <c r="E9" i="99"/>
  <c r="E8" i="99"/>
  <c r="G8" i="99" s="1"/>
  <c r="H8" i="99" s="1"/>
  <c r="K8" i="99" s="1"/>
  <c r="E10" i="99"/>
  <c r="G10" i="99" s="1"/>
  <c r="H10" i="99" s="1"/>
  <c r="K10" i="99" s="1"/>
  <c r="E7" i="99"/>
  <c r="I53" i="99"/>
  <c r="J54" i="99"/>
  <c r="B72" i="99"/>
  <c r="H72" i="99" s="1"/>
  <c r="H53" i="100"/>
  <c r="I53" i="100"/>
  <c r="B71" i="100"/>
  <c r="H71" i="100" s="1"/>
  <c r="E8" i="100"/>
  <c r="E6" i="100"/>
  <c r="G6" i="100" s="1"/>
  <c r="H6" i="100" s="1"/>
  <c r="K6" i="100" s="1"/>
  <c r="E9" i="100"/>
  <c r="E5" i="100"/>
  <c r="G5" i="100" s="1"/>
  <c r="H5" i="100" s="1"/>
  <c r="K5" i="100" s="1"/>
  <c r="E66" i="100"/>
  <c r="G66" i="100" s="1"/>
  <c r="H66" i="100" s="1"/>
  <c r="E68" i="100"/>
  <c r="G68" i="100" s="1"/>
  <c r="H68" i="100" s="1"/>
  <c r="E65" i="100"/>
  <c r="G65" i="100" s="1"/>
  <c r="H65" i="100" s="1"/>
  <c r="E67" i="100"/>
  <c r="G67" i="100" s="1"/>
  <c r="H67" i="100" s="1"/>
  <c r="E69" i="100"/>
  <c r="G69" i="100" s="1"/>
  <c r="H69" i="100" s="1"/>
  <c r="J54" i="100"/>
  <c r="E9" i="98"/>
  <c r="E6" i="98"/>
  <c r="G6" i="98" s="1"/>
  <c r="H6" i="98" s="1"/>
  <c r="K6" i="98" s="1"/>
  <c r="E8" i="98"/>
  <c r="E5" i="98"/>
  <c r="G5" i="98" s="1"/>
  <c r="H5" i="98" s="1"/>
  <c r="K5" i="98" s="1"/>
  <c r="E65" i="98"/>
  <c r="G65" i="98" s="1"/>
  <c r="H65" i="98" s="1"/>
  <c r="E66" i="98"/>
  <c r="G66" i="98" s="1"/>
  <c r="H66" i="98" s="1"/>
  <c r="E67" i="98"/>
  <c r="G67" i="98" s="1"/>
  <c r="H67" i="98" s="1"/>
  <c r="E68" i="98"/>
  <c r="G68" i="98" s="1"/>
  <c r="H68" i="98" s="1"/>
  <c r="E69" i="98"/>
  <c r="G69" i="98" s="1"/>
  <c r="H69" i="98" s="1"/>
  <c r="B71" i="98"/>
  <c r="H71" i="98" s="1"/>
  <c r="I53" i="98"/>
  <c r="H53" i="98"/>
  <c r="I54" i="98"/>
  <c r="J55" i="98"/>
  <c r="I55" i="98" s="1"/>
  <c r="H54" i="99"/>
  <c r="H55" i="99" s="1"/>
  <c r="E5" i="96"/>
  <c r="G5" i="96" s="1"/>
  <c r="H5" i="96" s="1"/>
  <c r="K5" i="96" s="1"/>
  <c r="E9" i="96"/>
  <c r="E8" i="96"/>
  <c r="G8" i="96" s="1"/>
  <c r="H8" i="96" s="1"/>
  <c r="K8" i="96" s="1"/>
  <c r="E7" i="96"/>
  <c r="E10" i="96"/>
  <c r="G10" i="96" s="1"/>
  <c r="H10" i="96" s="1"/>
  <c r="K10" i="96" s="1"/>
  <c r="L10" i="96" s="1"/>
  <c r="E66" i="96"/>
  <c r="G66" i="96" s="1"/>
  <c r="H66" i="96" s="1"/>
  <c r="E68" i="96"/>
  <c r="G68" i="96" s="1"/>
  <c r="H68" i="96" s="1"/>
  <c r="E70" i="96"/>
  <c r="G70" i="96" s="1"/>
  <c r="H70" i="96" s="1"/>
  <c r="E65" i="96"/>
  <c r="G65" i="96" s="1"/>
  <c r="H65" i="96" s="1"/>
  <c r="E67" i="96"/>
  <c r="G67" i="96" s="1"/>
  <c r="H67" i="96" s="1"/>
  <c r="E69" i="96"/>
  <c r="G69" i="96" s="1"/>
  <c r="H69" i="96" s="1"/>
  <c r="H53" i="96"/>
  <c r="I53" i="96"/>
  <c r="B72" i="96"/>
  <c r="H72" i="96" s="1"/>
  <c r="J54" i="96"/>
  <c r="V28" i="95"/>
  <c r="AS6" i="95"/>
  <c r="AT6" i="95" s="1"/>
  <c r="V28" i="94"/>
  <c r="D52" i="95"/>
  <c r="G1" i="95"/>
  <c r="I1" i="95" s="1"/>
  <c r="C52" i="95" s="1"/>
  <c r="H53" i="95"/>
  <c r="E5" i="95"/>
  <c r="G5" i="95" s="1"/>
  <c r="H5" i="95" s="1"/>
  <c r="K5" i="95" s="1"/>
  <c r="E65" i="95"/>
  <c r="G65" i="95" s="1"/>
  <c r="H65" i="95" s="1"/>
  <c r="I52" i="94"/>
  <c r="H52" i="94" s="1"/>
  <c r="J53" i="94"/>
  <c r="G1" i="94"/>
  <c r="D52" i="94"/>
  <c r="E68" i="94" s="1"/>
  <c r="G68" i="94" s="1"/>
  <c r="H68" i="94" s="1"/>
  <c r="I53" i="95"/>
  <c r="J54" i="95"/>
  <c r="B71" i="37"/>
  <c r="C71" i="37"/>
  <c r="D71" i="37"/>
  <c r="F71" i="37"/>
  <c r="B72" i="37"/>
  <c r="C72" i="37"/>
  <c r="D72" i="37"/>
  <c r="F72" i="37"/>
  <c r="B73" i="37"/>
  <c r="C73" i="37"/>
  <c r="D73" i="37"/>
  <c r="F73" i="37"/>
  <c r="B74" i="37"/>
  <c r="C74" i="37"/>
  <c r="D74" i="37"/>
  <c r="F74" i="37"/>
  <c r="B75" i="37"/>
  <c r="C75" i="37"/>
  <c r="D75" i="37"/>
  <c r="F75" i="37"/>
  <c r="B76" i="37"/>
  <c r="C76" i="37"/>
  <c r="D76" i="37"/>
  <c r="F76" i="37"/>
  <c r="I14" i="37"/>
  <c r="I15" i="37"/>
  <c r="I16" i="37"/>
  <c r="G12" i="1"/>
  <c r="L12" i="1" s="1"/>
  <c r="O12" i="1" s="1"/>
  <c r="I152" i="1"/>
  <c r="I151" i="1"/>
  <c r="J151" i="1" s="1"/>
  <c r="C56" i="114" l="1"/>
  <c r="D56" i="114" s="1"/>
  <c r="D55" i="114"/>
  <c r="B112" i="106"/>
  <c r="I55" i="106"/>
  <c r="J5" i="97"/>
  <c r="L5" i="97" s="1"/>
  <c r="S35" i="97" s="1"/>
  <c r="AA30" i="97" s="1"/>
  <c r="J5" i="113"/>
  <c r="L5" i="113" s="1"/>
  <c r="E95" i="112"/>
  <c r="G95" i="112" s="1"/>
  <c r="H95" i="112" s="1"/>
  <c r="E96" i="112"/>
  <c r="G96" i="112" s="1"/>
  <c r="H96" i="112" s="1"/>
  <c r="B98" i="106"/>
  <c r="B63" i="106"/>
  <c r="B80" i="106"/>
  <c r="B62" i="106"/>
  <c r="E94" i="106"/>
  <c r="G94" i="106"/>
  <c r="E109" i="106"/>
  <c r="G109" i="106" s="1"/>
  <c r="H109" i="106" s="1"/>
  <c r="E110" i="106"/>
  <c r="G110" i="106" s="1"/>
  <c r="H110" i="106" s="1"/>
  <c r="B97" i="106"/>
  <c r="B79" i="106"/>
  <c r="B130" i="113"/>
  <c r="H130" i="113" s="1"/>
  <c r="I56" i="113"/>
  <c r="J57" i="113"/>
  <c r="J58" i="113" s="1"/>
  <c r="I58" i="113" s="1"/>
  <c r="E94" i="112"/>
  <c r="G94" i="112" s="1"/>
  <c r="H94" i="112" s="1"/>
  <c r="E93" i="112"/>
  <c r="G93" i="112" s="1"/>
  <c r="H93" i="112" s="1"/>
  <c r="E92" i="112"/>
  <c r="G92" i="112" s="1"/>
  <c r="H92" i="112" s="1"/>
  <c r="E91" i="112"/>
  <c r="G91" i="112" s="1"/>
  <c r="H91" i="112" s="1"/>
  <c r="G77" i="106"/>
  <c r="E77" i="106"/>
  <c r="D55" i="106"/>
  <c r="E101" i="106"/>
  <c r="G101" i="106" s="1"/>
  <c r="H101" i="106" s="1"/>
  <c r="E102" i="106"/>
  <c r="G102" i="106" s="1"/>
  <c r="H102" i="106" s="1"/>
  <c r="E103" i="106"/>
  <c r="G103" i="106" s="1"/>
  <c r="H103" i="106" s="1"/>
  <c r="E104" i="106"/>
  <c r="G104" i="106" s="1"/>
  <c r="H104" i="106" s="1"/>
  <c r="E105" i="106"/>
  <c r="G105" i="106" s="1"/>
  <c r="H105" i="106" s="1"/>
  <c r="E106" i="106"/>
  <c r="G106" i="106" s="1"/>
  <c r="H106" i="106" s="1"/>
  <c r="E107" i="106"/>
  <c r="G107" i="106" s="1"/>
  <c r="H107" i="106" s="1"/>
  <c r="E108" i="106"/>
  <c r="G108" i="106" s="1"/>
  <c r="H108" i="106" s="1"/>
  <c r="E111" i="113"/>
  <c r="G111" i="113" s="1"/>
  <c r="H111" i="113" s="1"/>
  <c r="E110" i="113"/>
  <c r="G110" i="113" s="1"/>
  <c r="H110" i="113" s="1"/>
  <c r="E109" i="113"/>
  <c r="G109" i="113" s="1"/>
  <c r="H109" i="113" s="1"/>
  <c r="E108" i="113"/>
  <c r="G108" i="113" s="1"/>
  <c r="H108" i="113" s="1"/>
  <c r="E107" i="113"/>
  <c r="G107" i="113" s="1"/>
  <c r="H107" i="113" s="1"/>
  <c r="E106" i="113"/>
  <c r="G106" i="113" s="1"/>
  <c r="H106" i="113" s="1"/>
  <c r="E105" i="113"/>
  <c r="G105" i="113" s="1"/>
  <c r="H105" i="113" s="1"/>
  <c r="E104" i="113"/>
  <c r="G104" i="113" s="1"/>
  <c r="H104" i="113" s="1"/>
  <c r="E103" i="113"/>
  <c r="G103" i="113" s="1"/>
  <c r="H103" i="113" s="1"/>
  <c r="E102" i="113"/>
  <c r="G102" i="113" s="1"/>
  <c r="H102" i="113" s="1"/>
  <c r="E101" i="113"/>
  <c r="G101" i="113" s="1"/>
  <c r="H101" i="113" s="1"/>
  <c r="H56" i="113"/>
  <c r="H56" i="112"/>
  <c r="C54" i="108"/>
  <c r="B62" i="108" s="1"/>
  <c r="B62" i="109"/>
  <c r="B110" i="109"/>
  <c r="B111" i="109"/>
  <c r="B63" i="109"/>
  <c r="E66" i="109"/>
  <c r="G66" i="109" s="1"/>
  <c r="H66" i="109" s="1"/>
  <c r="E67" i="109"/>
  <c r="G67" i="109" s="1"/>
  <c r="H67" i="109" s="1"/>
  <c r="E68" i="109"/>
  <c r="G68" i="109" s="1"/>
  <c r="H68" i="109" s="1"/>
  <c r="E69" i="109"/>
  <c r="G69" i="109" s="1"/>
  <c r="H69" i="109" s="1"/>
  <c r="E70" i="109"/>
  <c r="G70" i="109" s="1"/>
  <c r="H70" i="109" s="1"/>
  <c r="E71" i="109"/>
  <c r="G71" i="109" s="1"/>
  <c r="H71" i="109" s="1"/>
  <c r="E72" i="109"/>
  <c r="G72" i="109" s="1"/>
  <c r="H72" i="109" s="1"/>
  <c r="E73" i="109"/>
  <c r="G73" i="109" s="1"/>
  <c r="H73" i="109" s="1"/>
  <c r="E74" i="109"/>
  <c r="G74" i="109" s="1"/>
  <c r="H74" i="109" s="1"/>
  <c r="E75" i="109"/>
  <c r="G75" i="109" s="1"/>
  <c r="H75" i="109" s="1"/>
  <c r="E76" i="109"/>
  <c r="G76" i="109" s="1"/>
  <c r="H76" i="109" s="1"/>
  <c r="D53" i="109"/>
  <c r="E77" i="109"/>
  <c r="G77" i="109" s="1"/>
  <c r="H77" i="109" s="1"/>
  <c r="E78" i="109"/>
  <c r="G78" i="109" s="1"/>
  <c r="H78" i="109" s="1"/>
  <c r="E79" i="109"/>
  <c r="G79" i="109" s="1"/>
  <c r="H79" i="109" s="1"/>
  <c r="E80" i="109"/>
  <c r="G80" i="109" s="1"/>
  <c r="H80" i="109" s="1"/>
  <c r="E81" i="109"/>
  <c r="G81" i="109" s="1"/>
  <c r="H81" i="109" s="1"/>
  <c r="B85" i="109"/>
  <c r="B86" i="109"/>
  <c r="E100" i="109"/>
  <c r="G100" i="109" s="1"/>
  <c r="H100" i="109" s="1"/>
  <c r="E101" i="109"/>
  <c r="G101" i="109" s="1"/>
  <c r="H101" i="109" s="1"/>
  <c r="E102" i="109"/>
  <c r="G102" i="109" s="1"/>
  <c r="H102" i="109" s="1"/>
  <c r="E103" i="109"/>
  <c r="G103" i="109" s="1"/>
  <c r="H103" i="109" s="1"/>
  <c r="E104" i="109"/>
  <c r="G104" i="109" s="1"/>
  <c r="H104" i="109" s="1"/>
  <c r="D54" i="109"/>
  <c r="E89" i="109"/>
  <c r="G89" i="109" s="1"/>
  <c r="H89" i="109" s="1"/>
  <c r="E90" i="109"/>
  <c r="G90" i="109" s="1"/>
  <c r="H90" i="109" s="1"/>
  <c r="E91" i="109"/>
  <c r="G91" i="109" s="1"/>
  <c r="H91" i="109" s="1"/>
  <c r="E92" i="109"/>
  <c r="G92" i="109" s="1"/>
  <c r="H92" i="109" s="1"/>
  <c r="E93" i="109"/>
  <c r="G93" i="109" s="1"/>
  <c r="H93" i="109" s="1"/>
  <c r="E94" i="109"/>
  <c r="G94" i="109" s="1"/>
  <c r="H94" i="109" s="1"/>
  <c r="E95" i="109"/>
  <c r="G95" i="109" s="1"/>
  <c r="H95" i="109" s="1"/>
  <c r="E96" i="109"/>
  <c r="G96" i="109" s="1"/>
  <c r="H96" i="109" s="1"/>
  <c r="E97" i="109"/>
  <c r="G97" i="109" s="1"/>
  <c r="H97" i="109" s="1"/>
  <c r="E98" i="109"/>
  <c r="G98" i="109" s="1"/>
  <c r="H98" i="109" s="1"/>
  <c r="E99" i="109"/>
  <c r="G99" i="109" s="1"/>
  <c r="H99" i="109" s="1"/>
  <c r="E114" i="109"/>
  <c r="G114" i="109" s="1"/>
  <c r="H114" i="109" s="1"/>
  <c r="E115" i="109"/>
  <c r="G115" i="109" s="1"/>
  <c r="H115" i="109" s="1"/>
  <c r="E116" i="109"/>
  <c r="G116" i="109" s="1"/>
  <c r="H116" i="109" s="1"/>
  <c r="E117" i="109"/>
  <c r="G117" i="109" s="1"/>
  <c r="H117" i="109" s="1"/>
  <c r="E118" i="109"/>
  <c r="G118" i="109" s="1"/>
  <c r="H118" i="109" s="1"/>
  <c r="E119" i="109"/>
  <c r="G119" i="109" s="1"/>
  <c r="H119" i="109" s="1"/>
  <c r="E120" i="109"/>
  <c r="G120" i="109" s="1"/>
  <c r="H120" i="109" s="1"/>
  <c r="E121" i="109"/>
  <c r="G121" i="109" s="1"/>
  <c r="H121" i="109" s="1"/>
  <c r="E122" i="109"/>
  <c r="G122" i="109" s="1"/>
  <c r="H122" i="109" s="1"/>
  <c r="E123" i="109"/>
  <c r="G123" i="109" s="1"/>
  <c r="H123" i="109" s="1"/>
  <c r="E124" i="109"/>
  <c r="G124" i="109" s="1"/>
  <c r="H124" i="109" s="1"/>
  <c r="E125" i="109"/>
  <c r="G125" i="109" s="1"/>
  <c r="H125" i="109" s="1"/>
  <c r="E127" i="109"/>
  <c r="G127" i="109" s="1"/>
  <c r="H127" i="109" s="1"/>
  <c r="E129" i="109"/>
  <c r="G129" i="109" s="1"/>
  <c r="H129" i="109" s="1"/>
  <c r="E126" i="109"/>
  <c r="G126" i="109" s="1"/>
  <c r="H126" i="109" s="1"/>
  <c r="E128" i="109"/>
  <c r="G128" i="109" s="1"/>
  <c r="H128" i="109" s="1"/>
  <c r="D55" i="109"/>
  <c r="E89" i="107"/>
  <c r="G89" i="107"/>
  <c r="E118" i="107"/>
  <c r="G118" i="107"/>
  <c r="D53" i="108"/>
  <c r="E66" i="108"/>
  <c r="G66" i="108" s="1"/>
  <c r="H66" i="108" s="1"/>
  <c r="E67" i="108"/>
  <c r="G67" i="108" s="1"/>
  <c r="H67" i="108" s="1"/>
  <c r="E68" i="108"/>
  <c r="G68" i="108" s="1"/>
  <c r="H68" i="108" s="1"/>
  <c r="E69" i="108"/>
  <c r="G69" i="108" s="1"/>
  <c r="H69" i="108" s="1"/>
  <c r="E70" i="108"/>
  <c r="G70" i="108" s="1"/>
  <c r="H70" i="108" s="1"/>
  <c r="E72" i="97"/>
  <c r="G72" i="97" s="1"/>
  <c r="H72" i="97" s="1"/>
  <c r="E71" i="97"/>
  <c r="G71" i="97" s="1"/>
  <c r="H71" i="97" s="1"/>
  <c r="E68" i="97"/>
  <c r="G68" i="97" s="1"/>
  <c r="H68" i="97" s="1"/>
  <c r="E67" i="97"/>
  <c r="G67" i="97" s="1"/>
  <c r="H67" i="97" s="1"/>
  <c r="E73" i="97"/>
  <c r="G73" i="97" s="1"/>
  <c r="H73" i="97" s="1"/>
  <c r="E69" i="97"/>
  <c r="G69" i="97" s="1"/>
  <c r="H69" i="97" s="1"/>
  <c r="D53" i="97"/>
  <c r="E66" i="97"/>
  <c r="G66" i="97" s="1"/>
  <c r="H66" i="97" s="1"/>
  <c r="E70" i="97"/>
  <c r="G70" i="97" s="1"/>
  <c r="H70" i="97" s="1"/>
  <c r="E89" i="97"/>
  <c r="G89" i="97" s="1"/>
  <c r="H89" i="97" s="1"/>
  <c r="E88" i="97"/>
  <c r="G88" i="97" s="1"/>
  <c r="H88" i="97" s="1"/>
  <c r="E86" i="97"/>
  <c r="G86" i="97" s="1"/>
  <c r="H86" i="97" s="1"/>
  <c r="E85" i="97"/>
  <c r="G85" i="97" s="1"/>
  <c r="H85" i="97" s="1"/>
  <c r="E84" i="97"/>
  <c r="G84" i="97" s="1"/>
  <c r="H84" i="97" s="1"/>
  <c r="E83" i="97"/>
  <c r="G83" i="97" s="1"/>
  <c r="H83" i="97" s="1"/>
  <c r="E82" i="97"/>
  <c r="G82" i="97" s="1"/>
  <c r="H82" i="97" s="1"/>
  <c r="D54" i="97"/>
  <c r="C55" i="97"/>
  <c r="B62" i="97" s="1"/>
  <c r="E87" i="97"/>
  <c r="G87" i="97" s="1"/>
  <c r="H87" i="97" s="1"/>
  <c r="E81" i="97"/>
  <c r="G81" i="97" s="1"/>
  <c r="H81" i="97" s="1"/>
  <c r="H55" i="97"/>
  <c r="E96" i="97" s="1"/>
  <c r="G96" i="97" s="1"/>
  <c r="H96" i="97" s="1"/>
  <c r="C55" i="105"/>
  <c r="D55" i="105" s="1"/>
  <c r="D54" i="104"/>
  <c r="C55" i="104"/>
  <c r="D55" i="104" s="1"/>
  <c r="D55" i="103"/>
  <c r="C56" i="103"/>
  <c r="D56" i="103" s="1"/>
  <c r="AB30" i="101"/>
  <c r="D53" i="102"/>
  <c r="C54" i="102"/>
  <c r="H54" i="101"/>
  <c r="H55" i="101" s="1"/>
  <c r="I54" i="99"/>
  <c r="J55" i="99"/>
  <c r="I55" i="99" s="1"/>
  <c r="H54" i="100"/>
  <c r="H55" i="100" s="1"/>
  <c r="I54" i="100"/>
  <c r="J55" i="100"/>
  <c r="I55" i="100" s="1"/>
  <c r="H54" i="98"/>
  <c r="H55" i="98" s="1"/>
  <c r="I54" i="96"/>
  <c r="J55" i="96"/>
  <c r="I55" i="96" s="1"/>
  <c r="H54" i="96"/>
  <c r="H55" i="96" s="1"/>
  <c r="C53" i="95"/>
  <c r="H53" i="94"/>
  <c r="I53" i="94"/>
  <c r="B70" i="94"/>
  <c r="H70" i="94" s="1"/>
  <c r="E5" i="94"/>
  <c r="G5" i="94" s="1"/>
  <c r="H5" i="94" s="1"/>
  <c r="K5" i="94" s="1"/>
  <c r="E7" i="94"/>
  <c r="E8" i="94"/>
  <c r="E6" i="94"/>
  <c r="G6" i="94" s="1"/>
  <c r="H6" i="94" s="1"/>
  <c r="K6" i="94" s="1"/>
  <c r="E65" i="94"/>
  <c r="G65" i="94" s="1"/>
  <c r="H65" i="94" s="1"/>
  <c r="E66" i="94"/>
  <c r="G66" i="94" s="1"/>
  <c r="H66" i="94" s="1"/>
  <c r="E67" i="94"/>
  <c r="G67" i="94" s="1"/>
  <c r="H67" i="94" s="1"/>
  <c r="H54" i="95"/>
  <c r="H55" i="95" s="1"/>
  <c r="J54" i="94"/>
  <c r="I54" i="95"/>
  <c r="J55" i="95"/>
  <c r="I55" i="95" s="1"/>
  <c r="J152" i="1"/>
  <c r="O152" i="1"/>
  <c r="J12" i="1"/>
  <c r="K12" i="1"/>
  <c r="N12" i="1" s="1"/>
  <c r="D6" i="54"/>
  <c r="O1" i="14"/>
  <c r="D71" i="53"/>
  <c r="B70" i="53"/>
  <c r="C70" i="53"/>
  <c r="D70" i="53"/>
  <c r="F70" i="53"/>
  <c r="B71" i="53"/>
  <c r="C71" i="53"/>
  <c r="F71" i="53"/>
  <c r="R44" i="57"/>
  <c r="K151" i="1"/>
  <c r="K152" i="1" s="1"/>
  <c r="I20" i="86"/>
  <c r="I21" i="85"/>
  <c r="R44" i="67"/>
  <c r="V40" i="67"/>
  <c r="R44" i="69"/>
  <c r="U28" i="3"/>
  <c r="T28" i="3" s="1"/>
  <c r="S28" i="86"/>
  <c r="S27" i="86"/>
  <c r="D51" i="86"/>
  <c r="C51" i="86"/>
  <c r="D51" i="85"/>
  <c r="C51" i="85"/>
  <c r="B93" i="97" l="1"/>
  <c r="B78" i="97"/>
  <c r="H57" i="112"/>
  <c r="J5" i="110"/>
  <c r="L5" i="110" s="1"/>
  <c r="J5" i="106"/>
  <c r="L5" i="106" s="1"/>
  <c r="S35" i="106" s="1"/>
  <c r="AB30" i="106" s="1"/>
  <c r="B63" i="97"/>
  <c r="B94" i="97"/>
  <c r="B63" i="108"/>
  <c r="H94" i="106"/>
  <c r="C94" i="106"/>
  <c r="E112" i="106"/>
  <c r="G112" i="106"/>
  <c r="B147" i="113"/>
  <c r="H147" i="113" s="1"/>
  <c r="I57" i="113"/>
  <c r="C77" i="106"/>
  <c r="H77" i="106"/>
  <c r="E118" i="113"/>
  <c r="G118" i="113" s="1"/>
  <c r="H118" i="113" s="1"/>
  <c r="E119" i="113"/>
  <c r="G119" i="113" s="1"/>
  <c r="H119" i="113" s="1"/>
  <c r="E120" i="113"/>
  <c r="G120" i="113" s="1"/>
  <c r="H120" i="113" s="1"/>
  <c r="E121" i="113"/>
  <c r="G121" i="113" s="1"/>
  <c r="H121" i="113" s="1"/>
  <c r="E122" i="113"/>
  <c r="G122" i="113" s="1"/>
  <c r="H122" i="113" s="1"/>
  <c r="E123" i="113"/>
  <c r="G123" i="113" s="1"/>
  <c r="H123" i="113" s="1"/>
  <c r="E124" i="113"/>
  <c r="G124" i="113" s="1"/>
  <c r="H124" i="113" s="1"/>
  <c r="E125" i="113"/>
  <c r="G125" i="113" s="1"/>
  <c r="H125" i="113" s="1"/>
  <c r="E126" i="113"/>
  <c r="G126" i="113" s="1"/>
  <c r="H126" i="113" s="1"/>
  <c r="E127" i="113"/>
  <c r="G127" i="113" s="1"/>
  <c r="H127" i="113" s="1"/>
  <c r="E128" i="113"/>
  <c r="G128" i="113" s="1"/>
  <c r="H128" i="113" s="1"/>
  <c r="H57" i="113"/>
  <c r="D54" i="108"/>
  <c r="C55" i="108"/>
  <c r="D55" i="108" s="1"/>
  <c r="E83" i="109"/>
  <c r="G83" i="109"/>
  <c r="E106" i="109"/>
  <c r="G106" i="109"/>
  <c r="G131" i="109"/>
  <c r="E131" i="109"/>
  <c r="H89" i="107"/>
  <c r="C89" i="107"/>
  <c r="H118" i="107"/>
  <c r="C118" i="107"/>
  <c r="E72" i="108"/>
  <c r="G72" i="108"/>
  <c r="E75" i="97"/>
  <c r="H75" i="97" s="1"/>
  <c r="G75" i="97"/>
  <c r="E91" i="97"/>
  <c r="G91" i="97"/>
  <c r="B79" i="97"/>
  <c r="E97" i="97"/>
  <c r="G97" i="97" s="1"/>
  <c r="H97" i="97" s="1"/>
  <c r="E98" i="97"/>
  <c r="G98" i="97" s="1"/>
  <c r="H98" i="97" s="1"/>
  <c r="E99" i="97"/>
  <c r="G99" i="97" s="1"/>
  <c r="H99" i="97" s="1"/>
  <c r="E100" i="97"/>
  <c r="G100" i="97" s="1"/>
  <c r="H100" i="97" s="1"/>
  <c r="E101" i="97"/>
  <c r="G101" i="97" s="1"/>
  <c r="H101" i="97" s="1"/>
  <c r="E102" i="97"/>
  <c r="G102" i="97" s="1"/>
  <c r="H102" i="97" s="1"/>
  <c r="E103" i="97"/>
  <c r="G103" i="97" s="1"/>
  <c r="H103" i="97" s="1"/>
  <c r="E104" i="97"/>
  <c r="G104" i="97" s="1"/>
  <c r="H104" i="97" s="1"/>
  <c r="D55" i="97"/>
  <c r="J9" i="100"/>
  <c r="L9" i="100" s="1"/>
  <c r="J7" i="101"/>
  <c r="L7" i="101" s="1"/>
  <c r="X35" i="101" s="1"/>
  <c r="AD30" i="101" s="1"/>
  <c r="D54" i="102"/>
  <c r="C55" i="102"/>
  <c r="D55" i="102" s="1"/>
  <c r="J8" i="94"/>
  <c r="L8" i="94" s="1"/>
  <c r="J8" i="99"/>
  <c r="L8" i="99" s="1"/>
  <c r="J9" i="98"/>
  <c r="L9" i="98" s="1"/>
  <c r="D53" i="95"/>
  <c r="C54" i="95"/>
  <c r="H54" i="94"/>
  <c r="H55" i="94" s="1"/>
  <c r="I54" i="94"/>
  <c r="J55" i="94"/>
  <c r="I55" i="94" s="1"/>
  <c r="N152" i="1"/>
  <c r="N151" i="1"/>
  <c r="S29" i="86"/>
  <c r="T29" i="86" s="1"/>
  <c r="V44" i="67"/>
  <c r="U44" i="67"/>
  <c r="W44" i="67" s="1"/>
  <c r="T29" i="3"/>
  <c r="S28" i="3"/>
  <c r="T27" i="86"/>
  <c r="H58" i="112" l="1"/>
  <c r="B75" i="112"/>
  <c r="B88" i="112"/>
  <c r="B74" i="112"/>
  <c r="B62" i="112"/>
  <c r="H112" i="106"/>
  <c r="C112" i="106"/>
  <c r="E145" i="113"/>
  <c r="G145" i="113" s="1"/>
  <c r="H145" i="113" s="1"/>
  <c r="E143" i="113"/>
  <c r="G143" i="113" s="1"/>
  <c r="H143" i="113" s="1"/>
  <c r="E142" i="113"/>
  <c r="G142" i="113" s="1"/>
  <c r="H142" i="113" s="1"/>
  <c r="E141" i="113"/>
  <c r="G141" i="113" s="1"/>
  <c r="H141" i="113" s="1"/>
  <c r="E140" i="113"/>
  <c r="G140" i="113" s="1"/>
  <c r="H140" i="113" s="1"/>
  <c r="E136" i="113"/>
  <c r="G136" i="113" s="1"/>
  <c r="H136" i="113" s="1"/>
  <c r="E144" i="113"/>
  <c r="G144" i="113" s="1"/>
  <c r="H144" i="113" s="1"/>
  <c r="E139" i="113"/>
  <c r="G139" i="113" s="1"/>
  <c r="H139" i="113" s="1"/>
  <c r="E138" i="113"/>
  <c r="G138" i="113" s="1"/>
  <c r="H138" i="113" s="1"/>
  <c r="E137" i="113"/>
  <c r="G137" i="113" s="1"/>
  <c r="H137" i="113" s="1"/>
  <c r="E135" i="113"/>
  <c r="G135" i="113" s="1"/>
  <c r="H135" i="113" s="1"/>
  <c r="H58" i="113"/>
  <c r="B80" i="113"/>
  <c r="B63" i="112"/>
  <c r="B89" i="112"/>
  <c r="H83" i="109"/>
  <c r="C83" i="109"/>
  <c r="H106" i="109"/>
  <c r="C106" i="109"/>
  <c r="H131" i="109"/>
  <c r="C131" i="109"/>
  <c r="H72" i="108"/>
  <c r="C72" i="108"/>
  <c r="H91" i="97"/>
  <c r="C91" i="97"/>
  <c r="G106" i="97"/>
  <c r="E106" i="97"/>
  <c r="C75" i="97"/>
  <c r="D54" i="95"/>
  <c r="C55" i="95"/>
  <c r="D55" i="95" s="1"/>
  <c r="AN5" i="1"/>
  <c r="AA31" i="86"/>
  <c r="Z32" i="86" s="1"/>
  <c r="Z32" i="85"/>
  <c r="Y32" i="85"/>
  <c r="AA31" i="85"/>
  <c r="B115" i="113" l="1"/>
  <c r="B98" i="113"/>
  <c r="B62" i="113"/>
  <c r="B79" i="113"/>
  <c r="B132" i="113"/>
  <c r="B63" i="113"/>
  <c r="B133" i="113"/>
  <c r="B99" i="113"/>
  <c r="B116" i="113"/>
  <c r="C106" i="97"/>
  <c r="H106" i="97"/>
  <c r="Y32" i="86"/>
  <c r="U28" i="7" l="1"/>
  <c r="S29" i="89"/>
  <c r="U44" i="56" l="1"/>
  <c r="V44" i="56"/>
  <c r="AA25" i="85"/>
  <c r="AA19" i="92"/>
  <c r="S28" i="92"/>
  <c r="S30" i="92" s="1"/>
  <c r="AB19" i="92"/>
  <c r="AC19" i="92" l="1"/>
  <c r="AA20" i="92" s="1"/>
  <c r="U28" i="92"/>
  <c r="AB20" i="92"/>
  <c r="AC20" i="92" l="1"/>
  <c r="D6" i="14" l="1"/>
  <c r="U30" i="37"/>
  <c r="L67" i="2"/>
  <c r="B133" i="4"/>
  <c r="C133" i="4"/>
  <c r="D133" i="4"/>
  <c r="F133" i="4"/>
  <c r="B130" i="4"/>
  <c r="C130" i="4"/>
  <c r="D130" i="4"/>
  <c r="F130" i="4"/>
  <c r="B131" i="4"/>
  <c r="C131" i="4"/>
  <c r="D131" i="4"/>
  <c r="F131" i="4"/>
  <c r="B132" i="4"/>
  <c r="C132" i="4"/>
  <c r="D132" i="4"/>
  <c r="F132" i="4"/>
  <c r="B111" i="4"/>
  <c r="C111" i="4"/>
  <c r="D111" i="4"/>
  <c r="F111" i="4"/>
  <c r="B112" i="4"/>
  <c r="C112" i="4"/>
  <c r="D112" i="4"/>
  <c r="F112" i="4"/>
  <c r="B113" i="4"/>
  <c r="C113" i="4"/>
  <c r="D113" i="4"/>
  <c r="F113" i="4"/>
  <c r="B114" i="4"/>
  <c r="C114" i="4"/>
  <c r="D114" i="4"/>
  <c r="F114" i="4"/>
  <c r="B91" i="4"/>
  <c r="C91" i="4"/>
  <c r="D91" i="4"/>
  <c r="F91" i="4"/>
  <c r="B92" i="4"/>
  <c r="C92" i="4"/>
  <c r="D92" i="4"/>
  <c r="F92" i="4"/>
  <c r="B93" i="4"/>
  <c r="C93" i="4"/>
  <c r="D93" i="4"/>
  <c r="F93" i="4"/>
  <c r="B94" i="4"/>
  <c r="C94" i="4"/>
  <c r="D94" i="4"/>
  <c r="F94" i="4"/>
  <c r="B73" i="4"/>
  <c r="C73" i="4"/>
  <c r="D73" i="4"/>
  <c r="F73" i="4"/>
  <c r="B74" i="4"/>
  <c r="C74" i="4"/>
  <c r="D74" i="4"/>
  <c r="F74" i="4"/>
  <c r="B75" i="4"/>
  <c r="C75" i="4"/>
  <c r="D75" i="4"/>
  <c r="F75" i="4"/>
  <c r="B76" i="4"/>
  <c r="C76" i="4"/>
  <c r="D76" i="4"/>
  <c r="F76" i="4"/>
  <c r="I15" i="4"/>
  <c r="I16" i="4"/>
  <c r="L95" i="1"/>
  <c r="L84" i="1"/>
  <c r="O84" i="1" s="1"/>
  <c r="K84" i="1"/>
  <c r="N84" i="1" s="1"/>
  <c r="J84" i="1"/>
  <c r="C51" i="4"/>
  <c r="E37" i="61"/>
  <c r="F37" i="61" s="1"/>
  <c r="H37" i="61" s="1"/>
  <c r="I39" i="61"/>
  <c r="E39" i="61"/>
  <c r="F39" i="61" s="1"/>
  <c r="H39" i="61" s="1"/>
  <c r="I38" i="61"/>
  <c r="E38" i="61"/>
  <c r="F38" i="61" s="1"/>
  <c r="H38" i="61" s="1"/>
  <c r="I37" i="61"/>
  <c r="F123" i="4"/>
  <c r="F124" i="4"/>
  <c r="F125" i="4"/>
  <c r="F126" i="4"/>
  <c r="F127" i="4"/>
  <c r="F128" i="4"/>
  <c r="F129" i="4"/>
  <c r="B123" i="4"/>
  <c r="C123" i="4"/>
  <c r="D123" i="4"/>
  <c r="B124" i="4"/>
  <c r="C124" i="4"/>
  <c r="D124" i="4"/>
  <c r="B125" i="4"/>
  <c r="C125" i="4"/>
  <c r="D125" i="4"/>
  <c r="B126" i="4"/>
  <c r="C126" i="4"/>
  <c r="D126" i="4"/>
  <c r="B127" i="4"/>
  <c r="C127" i="4"/>
  <c r="D127" i="4"/>
  <c r="B128" i="4"/>
  <c r="C128" i="4"/>
  <c r="D128" i="4"/>
  <c r="B129" i="4"/>
  <c r="C129" i="4"/>
  <c r="D129" i="4"/>
  <c r="F104" i="4"/>
  <c r="F105" i="4"/>
  <c r="F106" i="4"/>
  <c r="F107" i="4"/>
  <c r="F108" i="4"/>
  <c r="F109" i="4"/>
  <c r="F110" i="4"/>
  <c r="B104" i="4"/>
  <c r="C104" i="4"/>
  <c r="D104" i="4"/>
  <c r="B105" i="4"/>
  <c r="C105" i="4"/>
  <c r="D105" i="4"/>
  <c r="B106" i="4"/>
  <c r="C106" i="4"/>
  <c r="D106" i="4"/>
  <c r="B107" i="4"/>
  <c r="C107" i="4"/>
  <c r="D107" i="4"/>
  <c r="B108" i="4"/>
  <c r="C108" i="4"/>
  <c r="D108" i="4"/>
  <c r="B109" i="4"/>
  <c r="C109" i="4"/>
  <c r="D109" i="4"/>
  <c r="B110" i="4"/>
  <c r="C110" i="4"/>
  <c r="D110" i="4"/>
  <c r="F84" i="4"/>
  <c r="F85" i="4"/>
  <c r="F86" i="4"/>
  <c r="F87" i="4"/>
  <c r="F88" i="4"/>
  <c r="F89" i="4"/>
  <c r="F90" i="4"/>
  <c r="B84" i="4"/>
  <c r="C84" i="4"/>
  <c r="D84" i="4"/>
  <c r="B85" i="4"/>
  <c r="C85" i="4"/>
  <c r="D85" i="4"/>
  <c r="B86" i="4"/>
  <c r="C86" i="4"/>
  <c r="D86" i="4"/>
  <c r="B87" i="4"/>
  <c r="C87" i="4"/>
  <c r="D87" i="4"/>
  <c r="B88" i="4"/>
  <c r="C88" i="4"/>
  <c r="D88" i="4"/>
  <c r="B89" i="4"/>
  <c r="C89" i="4"/>
  <c r="D89" i="4"/>
  <c r="B90" i="4"/>
  <c r="C90" i="4"/>
  <c r="D90" i="4"/>
  <c r="F66" i="4"/>
  <c r="F67" i="4"/>
  <c r="F68" i="4"/>
  <c r="F69" i="4"/>
  <c r="F70" i="4"/>
  <c r="F71" i="4"/>
  <c r="F72" i="4"/>
  <c r="B66" i="4"/>
  <c r="C66" i="4"/>
  <c r="D66" i="4"/>
  <c r="B67" i="4"/>
  <c r="C67" i="4"/>
  <c r="D67" i="4"/>
  <c r="B68" i="4"/>
  <c r="C68" i="4"/>
  <c r="D68" i="4"/>
  <c r="B69" i="4"/>
  <c r="C69" i="4"/>
  <c r="D69" i="4"/>
  <c r="B70" i="4"/>
  <c r="C70" i="4"/>
  <c r="D70" i="4"/>
  <c r="B71" i="4"/>
  <c r="C71" i="4"/>
  <c r="D71" i="4"/>
  <c r="B72" i="4"/>
  <c r="C72" i="4"/>
  <c r="D72" i="4"/>
  <c r="AC28" i="70"/>
  <c r="AD28" i="70"/>
  <c r="AC28" i="69"/>
  <c r="AD28" i="69"/>
  <c r="AB28" i="65"/>
  <c r="AB28" i="62"/>
  <c r="AD28" i="60"/>
  <c r="AC28" i="60"/>
  <c r="AB28" i="60"/>
  <c r="AB28" i="59"/>
  <c r="AB28" i="58"/>
  <c r="W35" i="58"/>
  <c r="W32" i="58"/>
  <c r="W28" i="58"/>
  <c r="AD28" i="57"/>
  <c r="AC28" i="57"/>
  <c r="J15" i="113" l="1"/>
  <c r="L15" i="113" s="1"/>
  <c r="J37" i="113"/>
  <c r="L37" i="113" s="1"/>
  <c r="U33" i="113" s="1"/>
  <c r="AB30" i="113" s="1"/>
  <c r="T30" i="37"/>
  <c r="S30" i="37"/>
  <c r="K38" i="61"/>
  <c r="K39" i="61"/>
  <c r="K37" i="61"/>
  <c r="W28" i="61"/>
  <c r="W32" i="61" s="1"/>
  <c r="AB28" i="56"/>
  <c r="AC28" i="56"/>
  <c r="W28" i="53"/>
  <c r="Z55" i="52"/>
  <c r="Z54" i="52"/>
  <c r="Z53" i="52"/>
  <c r="Z52" i="52"/>
  <c r="AA55" i="52"/>
  <c r="U33" i="51"/>
  <c r="U28" i="51"/>
  <c r="U30" i="51" s="1"/>
  <c r="AB28" i="79"/>
  <c r="AA28" i="79"/>
  <c r="S28" i="79"/>
  <c r="T28" i="79" s="1"/>
  <c r="AB28" i="50"/>
  <c r="AE28" i="56" l="1"/>
  <c r="AB28" i="49"/>
  <c r="AB28" i="48"/>
  <c r="AC28" i="48"/>
  <c r="AB28" i="46"/>
  <c r="AC28" i="45"/>
  <c r="AB28" i="45"/>
  <c r="AA28" i="45"/>
  <c r="AB28" i="44"/>
  <c r="AD28" i="43"/>
  <c r="AC28" i="43"/>
  <c r="AB28" i="43"/>
  <c r="I37" i="43"/>
  <c r="AC28" i="41"/>
  <c r="U28" i="37"/>
  <c r="AQ13" i="36"/>
  <c r="AQ12" i="36"/>
  <c r="AQ11" i="36"/>
  <c r="AQ10" i="36"/>
  <c r="AQ9" i="36"/>
  <c r="AQ8" i="36"/>
  <c r="AQ7" i="36"/>
  <c r="AQ6" i="36"/>
  <c r="AA28" i="36"/>
  <c r="AC28" i="36" s="1"/>
  <c r="AC29" i="36" s="1"/>
  <c r="U28" i="34"/>
  <c r="U33" i="34"/>
  <c r="U30" i="34"/>
  <c r="AB28" i="33"/>
  <c r="AB28" i="32"/>
  <c r="AA28" i="32"/>
  <c r="AB28" i="27"/>
  <c r="AA28" i="27"/>
  <c r="AC28" i="27" s="1"/>
  <c r="AC28" i="26"/>
  <c r="AB28" i="26"/>
  <c r="AC28" i="25"/>
  <c r="AB28" i="25"/>
  <c r="AC28" i="21"/>
  <c r="W35" i="21"/>
  <c r="W32" i="21"/>
  <c r="W28" i="21"/>
  <c r="AF1" i="67"/>
  <c r="AC30" i="67" s="1"/>
  <c r="AF1" i="53"/>
  <c r="AF1" i="37"/>
  <c r="AD30" i="37" s="1"/>
  <c r="AB28" i="20"/>
  <c r="AC28" i="20"/>
  <c r="AD28" i="17"/>
  <c r="AA28" i="19"/>
  <c r="AF1" i="11"/>
  <c r="S30" i="6"/>
  <c r="T30" i="6" s="1"/>
  <c r="AD28" i="6"/>
  <c r="S9" i="54"/>
  <c r="P13" i="55"/>
  <c r="Q13" i="55"/>
  <c r="R13" i="55"/>
  <c r="S13" i="55"/>
  <c r="O13" i="55"/>
  <c r="T13" i="55" s="1"/>
  <c r="S16" i="55" s="1"/>
  <c r="D51" i="87"/>
  <c r="C51" i="87"/>
  <c r="R15" i="82"/>
  <c r="Q15" i="82"/>
  <c r="S15" i="14"/>
  <c r="R15" i="14"/>
  <c r="AA28" i="10"/>
  <c r="AC28" i="10" s="1"/>
  <c r="I16" i="67"/>
  <c r="G16" i="67"/>
  <c r="H16" i="67" s="1"/>
  <c r="W28" i="67" s="1"/>
  <c r="E16" i="67"/>
  <c r="I13" i="37"/>
  <c r="G13" i="37"/>
  <c r="H13" i="37" s="1"/>
  <c r="E13" i="37"/>
  <c r="E73" i="37" s="1"/>
  <c r="G73" i="37" s="1"/>
  <c r="H73" i="37" s="1"/>
  <c r="I11" i="53"/>
  <c r="G11" i="53"/>
  <c r="H11" i="53" s="1"/>
  <c r="E11" i="53"/>
  <c r="E71" i="53" s="1"/>
  <c r="G71" i="53" s="1"/>
  <c r="H71" i="53" s="1"/>
  <c r="X28" i="11"/>
  <c r="X28" i="37"/>
  <c r="E7" i="11"/>
  <c r="G7" i="11"/>
  <c r="H7" i="11" s="1"/>
  <c r="J91" i="1"/>
  <c r="J92" i="1"/>
  <c r="J6" i="111" s="1"/>
  <c r="L6" i="111" s="1"/>
  <c r="J90" i="1"/>
  <c r="J13" i="37" s="1"/>
  <c r="I7" i="11"/>
  <c r="L91" i="1"/>
  <c r="O91" i="1" s="1"/>
  <c r="K91" i="1"/>
  <c r="N91" i="1" s="1"/>
  <c r="L90" i="1"/>
  <c r="O90" i="1" s="1"/>
  <c r="K90" i="1"/>
  <c r="N90" i="1" s="1"/>
  <c r="I38" i="23"/>
  <c r="S30" i="11"/>
  <c r="S28" i="11"/>
  <c r="U30" i="17"/>
  <c r="T30" i="17" s="1"/>
  <c r="U28" i="17"/>
  <c r="T29" i="17" s="1"/>
  <c r="U30" i="29"/>
  <c r="S30" i="29" s="1"/>
  <c r="AD28" i="28"/>
  <c r="AC28" i="17"/>
  <c r="AB28" i="17"/>
  <c r="W35" i="17"/>
  <c r="W28" i="17"/>
  <c r="W32" i="17" s="1"/>
  <c r="U29" i="3"/>
  <c r="U28" i="8"/>
  <c r="T29" i="8" s="1"/>
  <c r="AC28" i="7"/>
  <c r="AD28" i="3"/>
  <c r="AC28" i="3"/>
  <c r="AB28" i="3"/>
  <c r="AB28" i="5"/>
  <c r="AA28" i="5"/>
  <c r="AD28" i="8"/>
  <c r="AB28" i="8"/>
  <c r="AB28" i="16"/>
  <c r="AA28" i="16"/>
  <c r="AC28" i="16" s="1"/>
  <c r="AB28" i="15"/>
  <c r="J11" i="53" l="1"/>
  <c r="J7" i="110"/>
  <c r="L7" i="110" s="1"/>
  <c r="W33" i="110" s="1"/>
  <c r="AD30" i="110" s="1"/>
  <c r="W35" i="111"/>
  <c r="AC30" i="111" s="1"/>
  <c r="W28" i="111"/>
  <c r="J7" i="100"/>
  <c r="L7" i="100" s="1"/>
  <c r="X35" i="100" s="1"/>
  <c r="AD30" i="100" s="1"/>
  <c r="J6" i="101"/>
  <c r="L6" i="101" s="1"/>
  <c r="J6" i="99"/>
  <c r="L6" i="99" s="1"/>
  <c r="J7" i="98"/>
  <c r="L7" i="98" s="1"/>
  <c r="X35" i="98" s="1"/>
  <c r="AD30" i="98" s="1"/>
  <c r="J6" i="94"/>
  <c r="L6" i="94" s="1"/>
  <c r="J6" i="96"/>
  <c r="L6" i="96" s="1"/>
  <c r="S28" i="37"/>
  <c r="T28" i="37"/>
  <c r="J16" i="67"/>
  <c r="T28" i="8"/>
  <c r="AD30" i="53"/>
  <c r="T30" i="29"/>
  <c r="S32" i="11"/>
  <c r="AF28" i="43"/>
  <c r="J7" i="11"/>
  <c r="T15" i="14"/>
  <c r="U30" i="6"/>
  <c r="K16" i="67"/>
  <c r="K13" i="37"/>
  <c r="L13" i="37" s="1"/>
  <c r="X35" i="37" s="1"/>
  <c r="AE30" i="37" s="1"/>
  <c r="K11" i="53"/>
  <c r="K7" i="11"/>
  <c r="K92" i="1"/>
  <c r="N92" i="1" s="1"/>
  <c r="L92" i="1"/>
  <c r="O92" i="1" s="1"/>
  <c r="AC28" i="8"/>
  <c r="AB29" i="16"/>
  <c r="W35" i="101" l="1"/>
  <c r="W28" i="101"/>
  <c r="W28" i="99"/>
  <c r="W35" i="99"/>
  <c r="AC30" i="99" s="1"/>
  <c r="W35" i="94"/>
  <c r="AC30" i="94" s="1"/>
  <c r="W28" i="94"/>
  <c r="W28" i="96"/>
  <c r="W35" i="96"/>
  <c r="AC30" i="96" s="1"/>
  <c r="L16" i="67"/>
  <c r="W35" i="67" s="1"/>
  <c r="AD30" i="67" s="1"/>
  <c r="L11" i="53"/>
  <c r="X35" i="53" s="1"/>
  <c r="AE30" i="53" s="1"/>
  <c r="X28" i="53"/>
  <c r="L7" i="11"/>
  <c r="X35" i="11" s="1"/>
  <c r="AF28" i="8"/>
  <c r="I10" i="87"/>
  <c r="S27" i="87"/>
  <c r="S29" i="10"/>
  <c r="AC30" i="101" l="1"/>
  <c r="AD29" i="8"/>
  <c r="AB29" i="8"/>
  <c r="AC29" i="8"/>
  <c r="AC28" i="37"/>
  <c r="AB28" i="37"/>
  <c r="AB28" i="11"/>
  <c r="D5" i="11"/>
  <c r="V32" i="5"/>
  <c r="V28" i="5"/>
  <c r="V28" i="4"/>
  <c r="V32" i="4" s="1"/>
  <c r="V28" i="61"/>
  <c r="U30" i="3"/>
  <c r="U48" i="3"/>
  <c r="T48" i="3"/>
  <c r="V40" i="60"/>
  <c r="U28" i="60"/>
  <c r="U30" i="60"/>
  <c r="T30" i="60" s="1"/>
  <c r="I38" i="70"/>
  <c r="I37" i="70"/>
  <c r="I37" i="69"/>
  <c r="I38" i="66"/>
  <c r="I37" i="66"/>
  <c r="I37" i="62"/>
  <c r="I38" i="60"/>
  <c r="I37" i="60"/>
  <c r="I37" i="59"/>
  <c r="I38" i="57"/>
  <c r="I37" i="57"/>
  <c r="I37" i="56"/>
  <c r="I37" i="79"/>
  <c r="I38" i="49"/>
  <c r="I37" i="49"/>
  <c r="I38" i="48"/>
  <c r="I37" i="48"/>
  <c r="I37" i="47"/>
  <c r="I37" i="46"/>
  <c r="I37" i="44"/>
  <c r="I37" i="41"/>
  <c r="I37" i="35"/>
  <c r="I38" i="33"/>
  <c r="I37" i="33"/>
  <c r="I37" i="32"/>
  <c r="I38" i="30"/>
  <c r="I37" i="30"/>
  <c r="I37" i="29"/>
  <c r="I38" i="28"/>
  <c r="I37" i="28"/>
  <c r="I38" i="26"/>
  <c r="I39" i="26"/>
  <c r="I37" i="26"/>
  <c r="I37" i="25"/>
  <c r="I37" i="23"/>
  <c r="I38" i="20"/>
  <c r="I37" i="20"/>
  <c r="I37" i="18"/>
  <c r="I37" i="19"/>
  <c r="I37" i="15"/>
  <c r="I37" i="10"/>
  <c r="I38" i="9"/>
  <c r="I37" i="9"/>
  <c r="I38" i="8"/>
  <c r="I37" i="8"/>
  <c r="I37" i="7"/>
  <c r="I38" i="5"/>
  <c r="I37" i="5"/>
  <c r="I37" i="6"/>
  <c r="I38" i="4"/>
  <c r="I37" i="4"/>
  <c r="I37" i="3"/>
  <c r="T28" i="60" l="1"/>
  <c r="T29" i="60"/>
  <c r="S30" i="60"/>
  <c r="S28" i="60"/>
  <c r="AE30" i="11"/>
  <c r="AF28" i="37"/>
  <c r="AB29" i="37" s="1"/>
  <c r="T32" i="60" l="1"/>
  <c r="S32" i="60"/>
  <c r="AF29" i="37"/>
  <c r="AC29" i="37"/>
  <c r="AB28" i="70"/>
  <c r="AB28" i="69"/>
  <c r="AA28" i="67"/>
  <c r="AA28" i="65"/>
  <c r="AC28" i="65" s="1"/>
  <c r="AA28" i="62"/>
  <c r="AB28" i="61"/>
  <c r="AA28" i="59"/>
  <c r="AA28" i="58"/>
  <c r="AB28" i="57"/>
  <c r="AB28" i="53"/>
  <c r="AC28" i="53" s="1"/>
  <c r="AA28" i="51"/>
  <c r="AA28" i="50"/>
  <c r="AC28" i="50" s="1"/>
  <c r="AA28" i="49"/>
  <c r="AA28" i="48"/>
  <c r="AE28" i="48" s="1"/>
  <c r="AA28" i="47"/>
  <c r="AA28" i="46"/>
  <c r="AA28" i="44"/>
  <c r="AD28" i="44" s="1"/>
  <c r="AB29" i="44" s="1"/>
  <c r="AB28" i="41"/>
  <c r="AA28" i="33"/>
  <c r="AB28" i="28"/>
  <c r="AB28" i="21"/>
  <c r="AA28" i="20"/>
  <c r="AB28" i="18"/>
  <c r="AB28" i="9"/>
  <c r="AA28" i="7"/>
  <c r="AB28" i="6"/>
  <c r="AQ8" i="70"/>
  <c r="AQ9" i="70"/>
  <c r="AQ10" i="70"/>
  <c r="AQ11" i="70"/>
  <c r="AQ12" i="70"/>
  <c r="AQ7" i="70"/>
  <c r="AQ6" i="70"/>
  <c r="AQ8" i="69"/>
  <c r="AQ9" i="69"/>
  <c r="AQ10" i="69"/>
  <c r="AQ11" i="69"/>
  <c r="AQ12" i="69"/>
  <c r="AQ7" i="69"/>
  <c r="AQ6" i="69"/>
  <c r="AQ8" i="61"/>
  <c r="AS8" i="61" s="1"/>
  <c r="AQ9" i="61"/>
  <c r="AS9" i="61" s="1"/>
  <c r="AQ10" i="61"/>
  <c r="AS10" i="61" s="1"/>
  <c r="AQ11" i="61"/>
  <c r="AS11" i="61" s="1"/>
  <c r="AQ12" i="61"/>
  <c r="AS12" i="61" s="1"/>
  <c r="AQ7" i="61"/>
  <c r="AS7" i="61" s="1"/>
  <c r="AQ6" i="61"/>
  <c r="AS6" i="61" s="1"/>
  <c r="AQ8" i="60"/>
  <c r="AQ9" i="60"/>
  <c r="AQ10" i="60"/>
  <c r="AQ11" i="60"/>
  <c r="AQ12" i="60"/>
  <c r="AQ13" i="60"/>
  <c r="AQ14" i="60"/>
  <c r="AR14" i="60"/>
  <c r="AQ7" i="60"/>
  <c r="AQ6" i="60"/>
  <c r="AQ8" i="58"/>
  <c r="AR8" i="58"/>
  <c r="AQ9" i="58"/>
  <c r="AQ10" i="58"/>
  <c r="AQ11" i="58"/>
  <c r="AQ12" i="58"/>
  <c r="AQ13" i="58"/>
  <c r="AQ14" i="58"/>
  <c r="AQ15" i="58"/>
  <c r="AQ7" i="58"/>
  <c r="AQ6" i="58"/>
  <c r="AQ8" i="57"/>
  <c r="AQ9" i="57"/>
  <c r="AQ10" i="57"/>
  <c r="AQ11" i="57"/>
  <c r="AQ12" i="57"/>
  <c r="AQ13" i="57"/>
  <c r="AQ14" i="57"/>
  <c r="AQ15" i="57"/>
  <c r="AQ16" i="57"/>
  <c r="AQ17" i="57"/>
  <c r="AQ18" i="57"/>
  <c r="AQ19" i="57"/>
  <c r="AQ7" i="57"/>
  <c r="AQ6" i="57"/>
  <c r="AQ8" i="56"/>
  <c r="AQ9" i="56"/>
  <c r="AQ10" i="56"/>
  <c r="AQ11" i="56"/>
  <c r="AQ12" i="56"/>
  <c r="AQ13" i="56"/>
  <c r="AQ7" i="56"/>
  <c r="AQ6" i="56"/>
  <c r="AQ7" i="53"/>
  <c r="AQ8" i="53"/>
  <c r="AQ9" i="53"/>
  <c r="AQ10" i="53"/>
  <c r="AQ11" i="53"/>
  <c r="AQ12" i="53"/>
  <c r="AQ6" i="53"/>
  <c r="AQ9" i="79"/>
  <c r="AQ10" i="79"/>
  <c r="AQ11" i="79"/>
  <c r="AQ12" i="79"/>
  <c r="AQ13" i="79"/>
  <c r="AQ14" i="79"/>
  <c r="AQ15" i="79"/>
  <c r="AQ16" i="79"/>
  <c r="AQ17" i="79"/>
  <c r="AQ18" i="79"/>
  <c r="AR18" i="79"/>
  <c r="AQ19" i="79"/>
  <c r="AQ8" i="79"/>
  <c r="AQ7" i="79"/>
  <c r="AQ6" i="79"/>
  <c r="AQ9" i="47"/>
  <c r="AQ10" i="47"/>
  <c r="AQ11" i="47"/>
  <c r="AQ12" i="47"/>
  <c r="AQ13" i="47"/>
  <c r="AQ14" i="47"/>
  <c r="AQ15" i="47"/>
  <c r="AQ16" i="47"/>
  <c r="AQ17" i="47"/>
  <c r="AQ8" i="47"/>
  <c r="AQ7" i="47"/>
  <c r="AQ6" i="47"/>
  <c r="AQ8" i="43"/>
  <c r="AQ9" i="43"/>
  <c r="AQ10" i="43"/>
  <c r="AQ11" i="43"/>
  <c r="AQ12" i="43"/>
  <c r="AR12" i="43"/>
  <c r="AQ13" i="43"/>
  <c r="AQ14" i="43"/>
  <c r="AQ15" i="43"/>
  <c r="AQ16" i="43"/>
  <c r="AQ17" i="43"/>
  <c r="AQ7" i="43"/>
  <c r="AQ6" i="43"/>
  <c r="AQ8" i="41"/>
  <c r="AQ9" i="41"/>
  <c r="AQ10" i="41"/>
  <c r="AQ11" i="41"/>
  <c r="AQ12" i="41"/>
  <c r="AQ7" i="41"/>
  <c r="AQ6" i="41"/>
  <c r="AQ10" i="37"/>
  <c r="AQ11" i="37"/>
  <c r="AQ12" i="37"/>
  <c r="AQ13" i="37"/>
  <c r="AQ9" i="37"/>
  <c r="AQ8" i="37"/>
  <c r="AQ7" i="37"/>
  <c r="AQ6" i="37"/>
  <c r="I9" i="92"/>
  <c r="I10" i="92"/>
  <c r="I11" i="92"/>
  <c r="I12" i="92"/>
  <c r="I13" i="92"/>
  <c r="I14" i="92"/>
  <c r="I15" i="92"/>
  <c r="I16" i="92"/>
  <c r="I17" i="92"/>
  <c r="I18" i="92"/>
  <c r="I19" i="92"/>
  <c r="I8" i="92"/>
  <c r="I7" i="92"/>
  <c r="I6" i="92"/>
  <c r="J5" i="92"/>
  <c r="I5" i="92"/>
  <c r="AQ8" i="29"/>
  <c r="AQ9" i="29"/>
  <c r="AQ10" i="29"/>
  <c r="AQ11" i="29"/>
  <c r="AQ12" i="29"/>
  <c r="AQ13" i="29"/>
  <c r="AQ7" i="29"/>
  <c r="AQ6" i="29"/>
  <c r="AQ8" i="28"/>
  <c r="AQ9" i="28"/>
  <c r="AQ10" i="28"/>
  <c r="AQ11" i="28"/>
  <c r="AQ12" i="28"/>
  <c r="AQ13" i="28"/>
  <c r="AQ14" i="28"/>
  <c r="AQ15" i="28"/>
  <c r="AQ16" i="28"/>
  <c r="AQ17" i="28"/>
  <c r="AQ18" i="28"/>
  <c r="AQ19" i="28"/>
  <c r="AQ7" i="28"/>
  <c r="AQ6" i="28"/>
  <c r="AQ9" i="26"/>
  <c r="AQ10" i="26"/>
  <c r="AQ11" i="26"/>
  <c r="AQ12" i="26"/>
  <c r="AQ8" i="26"/>
  <c r="AQ7" i="26"/>
  <c r="AQ6" i="26"/>
  <c r="AQ9" i="25"/>
  <c r="AQ10" i="25"/>
  <c r="AQ11" i="25"/>
  <c r="AQ12" i="25"/>
  <c r="AQ13" i="25"/>
  <c r="AQ14" i="25"/>
  <c r="AQ15" i="25"/>
  <c r="AQ16" i="25"/>
  <c r="AQ8" i="25"/>
  <c r="AQ7" i="25"/>
  <c r="AQ6" i="25"/>
  <c r="AQ9" i="21"/>
  <c r="AQ10" i="21"/>
  <c r="AQ11" i="21"/>
  <c r="AQ12" i="21"/>
  <c r="AQ13" i="21"/>
  <c r="AQ8" i="21"/>
  <c r="AQ7" i="21"/>
  <c r="AQ6" i="21"/>
  <c r="AQ8" i="18"/>
  <c r="AQ9" i="18"/>
  <c r="AQ10" i="18"/>
  <c r="AQ11" i="18"/>
  <c r="AQ12" i="18"/>
  <c r="AQ13" i="18"/>
  <c r="AQ14" i="18"/>
  <c r="AQ15" i="18"/>
  <c r="AQ16" i="18"/>
  <c r="AQ17" i="18"/>
  <c r="AQ18" i="18"/>
  <c r="AQ19" i="18"/>
  <c r="AQ7" i="18"/>
  <c r="AQ6" i="18"/>
  <c r="AQ7" i="15"/>
  <c r="AQ8" i="15"/>
  <c r="AQ9" i="15"/>
  <c r="AQ10" i="15"/>
  <c r="AQ11" i="15"/>
  <c r="AQ12" i="15"/>
  <c r="AQ6" i="15"/>
  <c r="I14" i="11"/>
  <c r="I15" i="11"/>
  <c r="I16" i="11"/>
  <c r="I17" i="11"/>
  <c r="I18" i="11"/>
  <c r="I19" i="11"/>
  <c r="I20" i="11"/>
  <c r="I21" i="11"/>
  <c r="I22" i="11"/>
  <c r="I23" i="11"/>
  <c r="I24" i="11"/>
  <c r="I25" i="11"/>
  <c r="I26" i="11"/>
  <c r="I27" i="11"/>
  <c r="I28" i="11"/>
  <c r="AQ8" i="9"/>
  <c r="AQ9" i="9"/>
  <c r="AQ10" i="9"/>
  <c r="AQ11" i="9"/>
  <c r="AQ12" i="9"/>
  <c r="AQ13" i="9"/>
  <c r="AQ14" i="9"/>
  <c r="AQ15" i="9"/>
  <c r="AR15" i="9"/>
  <c r="AQ16" i="9"/>
  <c r="AQ17" i="9"/>
  <c r="AQ18" i="9"/>
  <c r="AQ19" i="9"/>
  <c r="AQ20" i="9"/>
  <c r="AQ7" i="9"/>
  <c r="AQ6" i="9"/>
  <c r="AQ7" i="6"/>
  <c r="AQ8" i="6"/>
  <c r="AQ9" i="6"/>
  <c r="AQ10" i="6"/>
  <c r="AQ11" i="6"/>
  <c r="AQ12" i="6"/>
  <c r="AQ13" i="6"/>
  <c r="AQ6" i="6"/>
  <c r="AQ7" i="17"/>
  <c r="AQ8" i="17"/>
  <c r="AQ9" i="17"/>
  <c r="AQ10" i="17"/>
  <c r="AQ11" i="17"/>
  <c r="AQ12" i="17"/>
  <c r="AQ13" i="17"/>
  <c r="AQ14" i="17"/>
  <c r="AQ15" i="17"/>
  <c r="AQ16" i="17"/>
  <c r="AQ6" i="17"/>
  <c r="AQ7" i="8"/>
  <c r="AQ8" i="8"/>
  <c r="AQ9" i="8"/>
  <c r="AQ10" i="8"/>
  <c r="AQ11" i="8"/>
  <c r="AQ12" i="8"/>
  <c r="AQ6" i="8"/>
  <c r="AQ7" i="3"/>
  <c r="AQ8" i="3"/>
  <c r="AQ9" i="3"/>
  <c r="AQ10" i="3"/>
  <c r="AQ11" i="3"/>
  <c r="AQ12" i="3"/>
  <c r="AQ13" i="3"/>
  <c r="AQ6" i="3"/>
  <c r="U32" i="60" l="1"/>
  <c r="U29" i="60"/>
  <c r="AF28" i="53"/>
  <c r="AC29" i="53" s="1"/>
  <c r="L113" i="1"/>
  <c r="P6" i="16"/>
  <c r="P4" i="16"/>
  <c r="B88" i="5"/>
  <c r="C88" i="5"/>
  <c r="D88" i="5"/>
  <c r="F88" i="5"/>
  <c r="I28" i="5"/>
  <c r="T30" i="8"/>
  <c r="I20" i="3"/>
  <c r="I22" i="3"/>
  <c r="I21" i="3"/>
  <c r="F121" i="28"/>
  <c r="F122" i="28"/>
  <c r="F123" i="28"/>
  <c r="F124" i="28"/>
  <c r="F125" i="28"/>
  <c r="F126" i="28"/>
  <c r="F127" i="28"/>
  <c r="F128" i="28"/>
  <c r="F129" i="28"/>
  <c r="F130" i="28"/>
  <c r="F131" i="28"/>
  <c r="F132" i="28"/>
  <c r="F133" i="28"/>
  <c r="F134" i="28"/>
  <c r="F135" i="28"/>
  <c r="F136" i="28"/>
  <c r="F137" i="28"/>
  <c r="F138" i="28"/>
  <c r="F120" i="28"/>
  <c r="B121" i="28"/>
  <c r="C121" i="28"/>
  <c r="D121" i="28"/>
  <c r="B122" i="28"/>
  <c r="C122" i="28"/>
  <c r="D122" i="28"/>
  <c r="B123" i="28"/>
  <c r="C123" i="28"/>
  <c r="D123" i="28"/>
  <c r="B124" i="28"/>
  <c r="C124" i="28"/>
  <c r="D124" i="28"/>
  <c r="B125" i="28"/>
  <c r="C125" i="28"/>
  <c r="D125" i="28"/>
  <c r="B126" i="28"/>
  <c r="C126" i="28"/>
  <c r="D126" i="28"/>
  <c r="B127" i="28"/>
  <c r="C127" i="28"/>
  <c r="D127" i="28"/>
  <c r="B128" i="28"/>
  <c r="C128" i="28"/>
  <c r="D128" i="28"/>
  <c r="B129" i="28"/>
  <c r="C129" i="28"/>
  <c r="D129" i="28"/>
  <c r="B130" i="28"/>
  <c r="C130" i="28"/>
  <c r="D130" i="28"/>
  <c r="B131" i="28"/>
  <c r="C131" i="28"/>
  <c r="D131" i="28"/>
  <c r="B132" i="28"/>
  <c r="C132" i="28"/>
  <c r="D132" i="28"/>
  <c r="B133" i="28"/>
  <c r="C133" i="28"/>
  <c r="D133" i="28"/>
  <c r="B134" i="28"/>
  <c r="C134" i="28"/>
  <c r="D134" i="28"/>
  <c r="B135" i="28"/>
  <c r="C135" i="28"/>
  <c r="D135" i="28"/>
  <c r="B136" i="28"/>
  <c r="C136" i="28"/>
  <c r="D136" i="28"/>
  <c r="B137" i="28"/>
  <c r="C137" i="28"/>
  <c r="D137" i="28"/>
  <c r="B138" i="28"/>
  <c r="C138" i="28"/>
  <c r="D138" i="28"/>
  <c r="C120" i="28"/>
  <c r="B120" i="28"/>
  <c r="L3" i="1"/>
  <c r="T12" i="13"/>
  <c r="U12" i="13"/>
  <c r="W12" i="13"/>
  <c r="V12" i="13"/>
  <c r="S12" i="13"/>
  <c r="S28" i="6"/>
  <c r="S32" i="6" s="1"/>
  <c r="K31" i="1"/>
  <c r="N31" i="1" s="1"/>
  <c r="L31" i="1"/>
  <c r="O31" i="1" s="1"/>
  <c r="K33" i="1"/>
  <c r="N33" i="1" s="1"/>
  <c r="L33" i="1"/>
  <c r="O33" i="1" s="1"/>
  <c r="K69" i="1"/>
  <c r="N69" i="1" s="1"/>
  <c r="L69" i="1"/>
  <c r="O69" i="1" s="1"/>
  <c r="K81" i="1"/>
  <c r="N81" i="1" s="1"/>
  <c r="L81" i="1"/>
  <c r="O81" i="1" s="1"/>
  <c r="K82" i="1"/>
  <c r="N82" i="1" s="1"/>
  <c r="L82" i="1"/>
  <c r="O82" i="1" s="1"/>
  <c r="K83" i="1"/>
  <c r="N83" i="1" s="1"/>
  <c r="L83" i="1"/>
  <c r="O83" i="1" s="1"/>
  <c r="L139" i="1"/>
  <c r="L123" i="1"/>
  <c r="L121" i="1"/>
  <c r="L146" i="1"/>
  <c r="L114" i="1"/>
  <c r="L115" i="1"/>
  <c r="L117" i="1"/>
  <c r="L118" i="1"/>
  <c r="L119" i="1"/>
  <c r="L120" i="1"/>
  <c r="L122" i="1"/>
  <c r="L124" i="1"/>
  <c r="L125" i="1"/>
  <c r="L126" i="1"/>
  <c r="L127" i="1"/>
  <c r="L128" i="1"/>
  <c r="L129" i="1"/>
  <c r="L130" i="1"/>
  <c r="L131" i="1"/>
  <c r="L132" i="1"/>
  <c r="L133" i="1"/>
  <c r="L135" i="1"/>
  <c r="L136" i="1"/>
  <c r="L137" i="1"/>
  <c r="L138" i="1"/>
  <c r="L141" i="1"/>
  <c r="L142" i="1"/>
  <c r="L143" i="1"/>
  <c r="L112" i="1"/>
  <c r="L68" i="2"/>
  <c r="L62" i="2"/>
  <c r="L63" i="2"/>
  <c r="L64" i="2"/>
  <c r="L65" i="2"/>
  <c r="L66" i="2"/>
  <c r="L69" i="2"/>
  <c r="L72" i="2"/>
  <c r="L73" i="2"/>
  <c r="L74" i="2"/>
  <c r="L61" i="2"/>
  <c r="I6" i="3"/>
  <c r="I7" i="3"/>
  <c r="I8" i="3"/>
  <c r="I9" i="3"/>
  <c r="I10" i="3"/>
  <c r="I11" i="3"/>
  <c r="I12" i="3"/>
  <c r="I13" i="3"/>
  <c r="I14" i="3"/>
  <c r="I15" i="3"/>
  <c r="I16" i="3"/>
  <c r="I17" i="3"/>
  <c r="I18" i="3"/>
  <c r="I19" i="3"/>
  <c r="T32" i="4"/>
  <c r="S28" i="4"/>
  <c r="S30" i="4"/>
  <c r="I6" i="4"/>
  <c r="I7" i="4"/>
  <c r="I8" i="4"/>
  <c r="I9" i="4"/>
  <c r="I10" i="4"/>
  <c r="I11" i="4"/>
  <c r="I12" i="4"/>
  <c r="I13" i="4"/>
  <c r="I14" i="4"/>
  <c r="I6" i="6"/>
  <c r="I7" i="6"/>
  <c r="I8" i="6"/>
  <c r="I9" i="6"/>
  <c r="I10" i="6"/>
  <c r="I11" i="6"/>
  <c r="U28" i="5"/>
  <c r="U30" i="5"/>
  <c r="I6" i="5"/>
  <c r="I7" i="5"/>
  <c r="I8" i="5"/>
  <c r="I9" i="5"/>
  <c r="I10" i="5"/>
  <c r="I11" i="5"/>
  <c r="I12" i="5"/>
  <c r="I13" i="5"/>
  <c r="I14" i="5"/>
  <c r="I15" i="5"/>
  <c r="I16" i="5"/>
  <c r="I17" i="5"/>
  <c r="I18" i="5"/>
  <c r="I19" i="5"/>
  <c r="I20" i="5"/>
  <c r="I21" i="5"/>
  <c r="I22" i="5"/>
  <c r="I23" i="5"/>
  <c r="I24" i="5"/>
  <c r="I25" i="5"/>
  <c r="I26" i="5"/>
  <c r="I27" i="5"/>
  <c r="I6" i="7"/>
  <c r="I7" i="7"/>
  <c r="I8" i="7"/>
  <c r="I9" i="7"/>
  <c r="I10" i="7"/>
  <c r="I11" i="7"/>
  <c r="I12" i="7"/>
  <c r="I13" i="7"/>
  <c r="I14" i="7"/>
  <c r="I15" i="7"/>
  <c r="I16" i="7"/>
  <c r="I17" i="7"/>
  <c r="I18" i="7"/>
  <c r="I19" i="7"/>
  <c r="I6" i="8"/>
  <c r="I7" i="8"/>
  <c r="I8" i="8"/>
  <c r="I9" i="8"/>
  <c r="I10" i="8"/>
  <c r="I11" i="8"/>
  <c r="I12" i="8"/>
  <c r="I13" i="8"/>
  <c r="I14" i="8"/>
  <c r="I15" i="8"/>
  <c r="I16" i="8"/>
  <c r="I17" i="8"/>
  <c r="I18" i="8"/>
  <c r="I19" i="8"/>
  <c r="I20" i="8"/>
  <c r="I21" i="8"/>
  <c r="I22" i="8"/>
  <c r="I23" i="8"/>
  <c r="S28" i="9"/>
  <c r="S30" i="9"/>
  <c r="I6" i="11"/>
  <c r="I5" i="11"/>
  <c r="S28" i="89"/>
  <c r="I6" i="89"/>
  <c r="I7" i="89"/>
  <c r="I8" i="89"/>
  <c r="I9" i="89"/>
  <c r="I10" i="89"/>
  <c r="I6" i="10"/>
  <c r="I7" i="10"/>
  <c r="I8" i="10"/>
  <c r="I9" i="10"/>
  <c r="S28" i="10"/>
  <c r="S28" i="87"/>
  <c r="I6" i="87"/>
  <c r="I7" i="87"/>
  <c r="I8" i="87"/>
  <c r="I9" i="87"/>
  <c r="I11" i="87"/>
  <c r="I12" i="87"/>
  <c r="I13" i="87"/>
  <c r="I14" i="87"/>
  <c r="I15" i="87"/>
  <c r="I16" i="87"/>
  <c r="I17" i="87"/>
  <c r="I18" i="87"/>
  <c r="I19" i="87"/>
  <c r="I5" i="87"/>
  <c r="I7" i="82"/>
  <c r="I8" i="82"/>
  <c r="I9" i="82"/>
  <c r="S27" i="82"/>
  <c r="S28" i="82"/>
  <c r="S29" i="12"/>
  <c r="S28" i="12"/>
  <c r="I7" i="12"/>
  <c r="I8" i="12"/>
  <c r="I9" i="12"/>
  <c r="I10" i="12"/>
  <c r="I11" i="12"/>
  <c r="I12" i="12"/>
  <c r="I13" i="12"/>
  <c r="I7" i="13"/>
  <c r="I8" i="13"/>
  <c r="I9" i="13"/>
  <c r="I10" i="13"/>
  <c r="I11" i="13"/>
  <c r="I12" i="13"/>
  <c r="I13" i="13"/>
  <c r="I14" i="13"/>
  <c r="T28" i="13"/>
  <c r="S29" i="13"/>
  <c r="I6" i="82"/>
  <c r="I6" i="12"/>
  <c r="I6" i="13"/>
  <c r="I6" i="14"/>
  <c r="I7" i="14"/>
  <c r="I8" i="14"/>
  <c r="I9" i="14"/>
  <c r="I10" i="14"/>
  <c r="I11" i="14"/>
  <c r="I12" i="14"/>
  <c r="T28" i="14"/>
  <c r="S29" i="14"/>
  <c r="U30" i="15"/>
  <c r="U28" i="15"/>
  <c r="I6" i="15"/>
  <c r="I7" i="15"/>
  <c r="I8" i="15"/>
  <c r="I9" i="15"/>
  <c r="I10" i="15"/>
  <c r="I11" i="15"/>
  <c r="I12" i="15"/>
  <c r="I13" i="15"/>
  <c r="I14" i="15"/>
  <c r="I15" i="15"/>
  <c r="I16" i="15"/>
  <c r="I17" i="15"/>
  <c r="I18" i="15"/>
  <c r="I19" i="15"/>
  <c r="I20" i="15"/>
  <c r="I21" i="15"/>
  <c r="I22" i="15"/>
  <c r="I23" i="15"/>
  <c r="I24" i="15"/>
  <c r="I25" i="15"/>
  <c r="I26" i="15"/>
  <c r="I27" i="15"/>
  <c r="I28" i="15"/>
  <c r="I29" i="15"/>
  <c r="U28" i="16"/>
  <c r="U30" i="16"/>
  <c r="T30" i="16" s="1"/>
  <c r="L15" i="16"/>
  <c r="I6" i="16"/>
  <c r="I7" i="16"/>
  <c r="I8" i="16"/>
  <c r="I9" i="16"/>
  <c r="I10" i="16"/>
  <c r="I11" i="16"/>
  <c r="I12" i="16"/>
  <c r="I13" i="16"/>
  <c r="I14" i="16"/>
  <c r="I16" i="16"/>
  <c r="I17" i="16"/>
  <c r="I18" i="16"/>
  <c r="I6" i="19"/>
  <c r="I7" i="19"/>
  <c r="I8" i="19"/>
  <c r="I9" i="19"/>
  <c r="I10" i="19"/>
  <c r="I11" i="19"/>
  <c r="I12" i="19"/>
  <c r="I13" i="19"/>
  <c r="I14" i="19"/>
  <c r="I15" i="19"/>
  <c r="I16" i="19"/>
  <c r="I17" i="19"/>
  <c r="I6" i="17"/>
  <c r="I7" i="17"/>
  <c r="I8" i="17"/>
  <c r="I9" i="17"/>
  <c r="I10" i="17"/>
  <c r="I11" i="17"/>
  <c r="I12" i="17"/>
  <c r="I13" i="17"/>
  <c r="I14" i="17"/>
  <c r="I15" i="17"/>
  <c r="I16" i="17"/>
  <c r="I17" i="17"/>
  <c r="I18" i="17"/>
  <c r="I19" i="17"/>
  <c r="I20" i="17"/>
  <c r="I21" i="17"/>
  <c r="I22" i="17"/>
  <c r="I23" i="17"/>
  <c r="I24" i="17"/>
  <c r="I25" i="17"/>
  <c r="I26" i="17"/>
  <c r="I27" i="17"/>
  <c r="I28" i="17"/>
  <c r="U28" i="18"/>
  <c r="U30" i="18"/>
  <c r="I6" i="18"/>
  <c r="I7" i="18"/>
  <c r="I8" i="18"/>
  <c r="I9" i="18"/>
  <c r="I10" i="18"/>
  <c r="I11" i="18"/>
  <c r="I12" i="18"/>
  <c r="I13" i="18"/>
  <c r="I14" i="18"/>
  <c r="I15" i="18"/>
  <c r="I16" i="18"/>
  <c r="I17" i="18"/>
  <c r="I18" i="18"/>
  <c r="I19" i="18"/>
  <c r="I20" i="18"/>
  <c r="I6" i="20"/>
  <c r="I7" i="20"/>
  <c r="I8" i="20"/>
  <c r="I9" i="20"/>
  <c r="I10" i="20"/>
  <c r="I11" i="20"/>
  <c r="I12" i="20"/>
  <c r="I13" i="20"/>
  <c r="I14" i="20"/>
  <c r="I15" i="20"/>
  <c r="I16" i="20"/>
  <c r="I17" i="20"/>
  <c r="I18" i="20"/>
  <c r="I19" i="20"/>
  <c r="U28" i="20"/>
  <c r="U30" i="20"/>
  <c r="U30" i="21"/>
  <c r="U28" i="21"/>
  <c r="I6" i="21"/>
  <c r="I7" i="21"/>
  <c r="I8" i="21"/>
  <c r="I9" i="21"/>
  <c r="I10" i="21"/>
  <c r="I11" i="21"/>
  <c r="I12" i="21"/>
  <c r="I13" i="21"/>
  <c r="I14" i="21"/>
  <c r="I15" i="21"/>
  <c r="I16" i="21"/>
  <c r="I17" i="21"/>
  <c r="S29" i="23"/>
  <c r="S28" i="23"/>
  <c r="I6" i="23"/>
  <c r="I7" i="23"/>
  <c r="I8" i="23"/>
  <c r="I9" i="23"/>
  <c r="I10" i="23"/>
  <c r="I11" i="23"/>
  <c r="I12" i="23"/>
  <c r="I13" i="23"/>
  <c r="I14" i="23"/>
  <c r="I15" i="23"/>
  <c r="I16" i="23"/>
  <c r="I17" i="23"/>
  <c r="I18" i="23"/>
  <c r="T28" i="24"/>
  <c r="S29" i="24"/>
  <c r="I6" i="24"/>
  <c r="I7" i="24"/>
  <c r="I8" i="24"/>
  <c r="I9" i="24"/>
  <c r="I10" i="24"/>
  <c r="I11" i="24"/>
  <c r="I12" i="24"/>
  <c r="I13" i="24"/>
  <c r="I6" i="25"/>
  <c r="I7" i="25"/>
  <c r="I8" i="25"/>
  <c r="U30" i="25"/>
  <c r="U28" i="25"/>
  <c r="U30" i="26"/>
  <c r="U28" i="26"/>
  <c r="I6" i="26"/>
  <c r="I7" i="26"/>
  <c r="I8" i="26"/>
  <c r="I9" i="26"/>
  <c r="I10" i="26"/>
  <c r="I11" i="26"/>
  <c r="I12" i="26"/>
  <c r="I13" i="26"/>
  <c r="I14" i="26"/>
  <c r="I15" i="26"/>
  <c r="I16" i="26"/>
  <c r="I17" i="26"/>
  <c r="I18" i="26"/>
  <c r="I19" i="26"/>
  <c r="I5" i="26"/>
  <c r="I6" i="27"/>
  <c r="I7" i="27"/>
  <c r="I8" i="27"/>
  <c r="I9" i="27"/>
  <c r="I10" i="27"/>
  <c r="I11" i="27"/>
  <c r="I12" i="27"/>
  <c r="I13" i="27"/>
  <c r="I14" i="27"/>
  <c r="I15" i="27"/>
  <c r="I16" i="27"/>
  <c r="I17" i="27"/>
  <c r="I18" i="27"/>
  <c r="I19" i="27"/>
  <c r="U28" i="27"/>
  <c r="U30" i="27"/>
  <c r="U28" i="28"/>
  <c r="T29" i="28" s="1"/>
  <c r="U30" i="28"/>
  <c r="T30" i="28" s="1"/>
  <c r="I6" i="28"/>
  <c r="I7" i="28"/>
  <c r="I8" i="28"/>
  <c r="I9" i="28"/>
  <c r="I10" i="28"/>
  <c r="I11" i="28"/>
  <c r="I12" i="28"/>
  <c r="I13" i="28"/>
  <c r="I14" i="28"/>
  <c r="I15" i="28"/>
  <c r="I16" i="28"/>
  <c r="I17" i="28"/>
  <c r="I18" i="28"/>
  <c r="I19" i="28"/>
  <c r="I20" i="28"/>
  <c r="I21" i="28"/>
  <c r="I22" i="28"/>
  <c r="I23" i="28"/>
  <c r="I24" i="28"/>
  <c r="U28" i="29"/>
  <c r="I6" i="29"/>
  <c r="I7" i="29"/>
  <c r="I8" i="29"/>
  <c r="I9" i="29"/>
  <c r="I10" i="29"/>
  <c r="I11" i="29"/>
  <c r="I12" i="29"/>
  <c r="I13" i="29"/>
  <c r="I14" i="29"/>
  <c r="I15" i="29"/>
  <c r="I16" i="29"/>
  <c r="I17" i="29"/>
  <c r="I18" i="29"/>
  <c r="I19" i="29"/>
  <c r="S30" i="30"/>
  <c r="S28" i="30"/>
  <c r="I6" i="30"/>
  <c r="I7" i="30"/>
  <c r="I8" i="30"/>
  <c r="I9" i="30"/>
  <c r="I10" i="30"/>
  <c r="I11" i="30"/>
  <c r="I12" i="30"/>
  <c r="I13" i="30"/>
  <c r="T30" i="31"/>
  <c r="U30" i="31" s="1"/>
  <c r="U28" i="31"/>
  <c r="T29" i="31" s="1"/>
  <c r="I6" i="31"/>
  <c r="I7" i="31"/>
  <c r="I8" i="31"/>
  <c r="I9" i="31"/>
  <c r="I10" i="31"/>
  <c r="I11" i="31"/>
  <c r="I12" i="31"/>
  <c r="I13" i="31"/>
  <c r="I14" i="31"/>
  <c r="I15" i="31"/>
  <c r="I16" i="31"/>
  <c r="I17" i="31"/>
  <c r="I18" i="31"/>
  <c r="I19" i="31"/>
  <c r="I20" i="31"/>
  <c r="I21" i="31"/>
  <c r="I22" i="31"/>
  <c r="I23" i="31"/>
  <c r="I24" i="31"/>
  <c r="U30" i="32"/>
  <c r="U28" i="32"/>
  <c r="I6" i="32"/>
  <c r="I7" i="32"/>
  <c r="I8" i="32"/>
  <c r="I9" i="32"/>
  <c r="I10" i="32"/>
  <c r="I11" i="32"/>
  <c r="I12" i="32"/>
  <c r="I13" i="32"/>
  <c r="I14" i="32"/>
  <c r="I15" i="32"/>
  <c r="I16" i="32"/>
  <c r="I17" i="32"/>
  <c r="I18" i="32"/>
  <c r="I19" i="32"/>
  <c r="U30" i="33"/>
  <c r="U28" i="33"/>
  <c r="I6" i="33"/>
  <c r="I7" i="33"/>
  <c r="I8" i="33"/>
  <c r="I9" i="33"/>
  <c r="I10" i="33"/>
  <c r="I11" i="33"/>
  <c r="I12" i="33"/>
  <c r="I13" i="33"/>
  <c r="I14" i="33"/>
  <c r="I15" i="33"/>
  <c r="I16" i="33"/>
  <c r="I17" i="33"/>
  <c r="I18" i="33"/>
  <c r="I19" i="33"/>
  <c r="I20" i="33"/>
  <c r="I21" i="33"/>
  <c r="I22" i="33"/>
  <c r="I23" i="33"/>
  <c r="I24" i="33"/>
  <c r="I25" i="33"/>
  <c r="I5" i="33"/>
  <c r="S29" i="34"/>
  <c r="S28" i="34"/>
  <c r="I6" i="34"/>
  <c r="I7" i="34"/>
  <c r="I8" i="34"/>
  <c r="I9" i="34"/>
  <c r="I10" i="34"/>
  <c r="S29" i="35"/>
  <c r="S28" i="35"/>
  <c r="I6" i="35"/>
  <c r="I7" i="35"/>
  <c r="I8" i="35"/>
  <c r="I9" i="35"/>
  <c r="S30" i="36"/>
  <c r="S28" i="36"/>
  <c r="I5" i="36"/>
  <c r="I6" i="37"/>
  <c r="I7" i="37"/>
  <c r="I8" i="37"/>
  <c r="I9" i="37"/>
  <c r="I10" i="37"/>
  <c r="I11" i="37"/>
  <c r="I12" i="37"/>
  <c r="T28" i="38"/>
  <c r="S29" i="38"/>
  <c r="I7" i="38"/>
  <c r="I8" i="38"/>
  <c r="I9" i="38"/>
  <c r="I10" i="38"/>
  <c r="I11" i="38"/>
  <c r="I12" i="38"/>
  <c r="I6" i="38"/>
  <c r="I7" i="39"/>
  <c r="I8" i="39"/>
  <c r="I9" i="39"/>
  <c r="I10" i="39"/>
  <c r="I11" i="39"/>
  <c r="I6" i="39"/>
  <c r="S29" i="39"/>
  <c r="S28" i="39"/>
  <c r="T28" i="40"/>
  <c r="S29" i="40"/>
  <c r="I6" i="40"/>
  <c r="I7" i="40"/>
  <c r="I8" i="40"/>
  <c r="I9" i="40"/>
  <c r="I10" i="40"/>
  <c r="I11" i="40"/>
  <c r="I12" i="40"/>
  <c r="I13" i="40"/>
  <c r="I14" i="40"/>
  <c r="I6" i="41"/>
  <c r="I7" i="41"/>
  <c r="I8" i="41"/>
  <c r="I9" i="41"/>
  <c r="I10" i="41"/>
  <c r="I11" i="41"/>
  <c r="I12" i="41"/>
  <c r="I13" i="41"/>
  <c r="I14" i="41"/>
  <c r="U28" i="41"/>
  <c r="U30" i="41"/>
  <c r="S29" i="42"/>
  <c r="I6" i="42"/>
  <c r="I7" i="42"/>
  <c r="I8" i="42"/>
  <c r="I9" i="42"/>
  <c r="I10" i="42"/>
  <c r="I11" i="42"/>
  <c r="I12" i="42"/>
  <c r="I5" i="42"/>
  <c r="I6" i="43"/>
  <c r="I7" i="43"/>
  <c r="I8" i="43"/>
  <c r="I9" i="43"/>
  <c r="I10" i="43"/>
  <c r="I11" i="43"/>
  <c r="I12" i="43"/>
  <c r="I13" i="43"/>
  <c r="I14" i="43"/>
  <c r="I15" i="43"/>
  <c r="I16" i="43"/>
  <c r="I17" i="43"/>
  <c r="V28" i="43"/>
  <c r="T29" i="43" s="1"/>
  <c r="V30" i="43"/>
  <c r="U30" i="44"/>
  <c r="U28" i="44"/>
  <c r="I6" i="44"/>
  <c r="I7" i="44"/>
  <c r="I8" i="44"/>
  <c r="I9" i="44"/>
  <c r="I10" i="44"/>
  <c r="I11" i="44"/>
  <c r="I12" i="44"/>
  <c r="I13" i="44"/>
  <c r="I14" i="44"/>
  <c r="I15" i="44"/>
  <c r="I16" i="44"/>
  <c r="I17" i="44"/>
  <c r="I18" i="44"/>
  <c r="I19" i="44"/>
  <c r="I20" i="44"/>
  <c r="U30" i="45"/>
  <c r="T30" i="45" s="1"/>
  <c r="U28" i="45"/>
  <c r="I6" i="45"/>
  <c r="I7" i="45"/>
  <c r="I8" i="45"/>
  <c r="I9" i="45"/>
  <c r="I10" i="45"/>
  <c r="I11" i="45"/>
  <c r="I12" i="45"/>
  <c r="I13" i="45"/>
  <c r="I14" i="45"/>
  <c r="I15" i="45"/>
  <c r="I16" i="45"/>
  <c r="I17" i="45"/>
  <c r="I18" i="45"/>
  <c r="I19" i="45"/>
  <c r="I20" i="45"/>
  <c r="I5" i="45"/>
  <c r="U30" i="46"/>
  <c r="U28" i="46"/>
  <c r="I6" i="46"/>
  <c r="I7" i="46"/>
  <c r="I8" i="46"/>
  <c r="I9" i="46"/>
  <c r="I10" i="46"/>
  <c r="I11" i="46"/>
  <c r="I12" i="46"/>
  <c r="I13" i="46"/>
  <c r="I14" i="46"/>
  <c r="I15" i="46"/>
  <c r="I5" i="46"/>
  <c r="I6" i="47"/>
  <c r="I7" i="47"/>
  <c r="I8" i="47"/>
  <c r="I9" i="47"/>
  <c r="I10" i="47"/>
  <c r="I11" i="47"/>
  <c r="I12" i="47"/>
  <c r="I13" i="47"/>
  <c r="I14" i="47"/>
  <c r="I15" i="47"/>
  <c r="I16" i="47"/>
  <c r="I17" i="47"/>
  <c r="I18" i="47"/>
  <c r="I19" i="47"/>
  <c r="I20" i="47"/>
  <c r="I21" i="47"/>
  <c r="U28" i="47"/>
  <c r="U30" i="47"/>
  <c r="I6" i="48"/>
  <c r="I7" i="48"/>
  <c r="I8" i="48"/>
  <c r="I9" i="48"/>
  <c r="I10" i="48"/>
  <c r="I11" i="48"/>
  <c r="I12" i="48"/>
  <c r="I13" i="48"/>
  <c r="I14" i="48"/>
  <c r="I15" i="48"/>
  <c r="I16" i="48"/>
  <c r="I17" i="48"/>
  <c r="U30" i="48"/>
  <c r="U28" i="48"/>
  <c r="I6" i="49"/>
  <c r="I7" i="49"/>
  <c r="I8" i="49"/>
  <c r="I9" i="49"/>
  <c r="I10" i="49"/>
  <c r="I11" i="49"/>
  <c r="I12" i="49"/>
  <c r="I13" i="49"/>
  <c r="I14" i="49"/>
  <c r="I15" i="49"/>
  <c r="I16" i="49"/>
  <c r="I17" i="49"/>
  <c r="I5" i="49"/>
  <c r="U30" i="50"/>
  <c r="U28" i="50"/>
  <c r="I6" i="50"/>
  <c r="I7" i="50"/>
  <c r="I8" i="50"/>
  <c r="I9" i="50"/>
  <c r="I10" i="50"/>
  <c r="I11" i="50"/>
  <c r="I12" i="50"/>
  <c r="I13" i="50"/>
  <c r="I14" i="50"/>
  <c r="I15" i="50"/>
  <c r="I16" i="50"/>
  <c r="I17" i="50"/>
  <c r="I18" i="50"/>
  <c r="I19" i="50"/>
  <c r="I20" i="50"/>
  <c r="I21" i="50"/>
  <c r="S30" i="79"/>
  <c r="T30" i="79" s="1"/>
  <c r="T32" i="79" s="1"/>
  <c r="I6" i="79"/>
  <c r="I7" i="79"/>
  <c r="I8" i="79"/>
  <c r="I9" i="79"/>
  <c r="U28" i="52"/>
  <c r="U32" i="52" s="1"/>
  <c r="S30" i="52"/>
  <c r="I6" i="51"/>
  <c r="I7" i="51"/>
  <c r="I8" i="51"/>
  <c r="I9" i="51"/>
  <c r="I10" i="51"/>
  <c r="I11" i="51"/>
  <c r="I12" i="51"/>
  <c r="I13" i="51"/>
  <c r="I14" i="51"/>
  <c r="I15" i="51"/>
  <c r="I16" i="51"/>
  <c r="I17" i="51"/>
  <c r="S29" i="51"/>
  <c r="S28" i="51"/>
  <c r="I6" i="52"/>
  <c r="I7" i="52"/>
  <c r="I8" i="52"/>
  <c r="I9" i="52"/>
  <c r="I6" i="53"/>
  <c r="I7" i="53"/>
  <c r="I8" i="53"/>
  <c r="I9" i="53"/>
  <c r="I10" i="53"/>
  <c r="U28" i="53"/>
  <c r="U30" i="53"/>
  <c r="I7" i="54"/>
  <c r="I8" i="54"/>
  <c r="I9" i="54"/>
  <c r="I10" i="54"/>
  <c r="I11" i="54"/>
  <c r="I12" i="54"/>
  <c r="I6" i="54"/>
  <c r="S29" i="54"/>
  <c r="T28" i="54"/>
  <c r="S29" i="55"/>
  <c r="T28" i="55"/>
  <c r="I6" i="55"/>
  <c r="I7" i="55"/>
  <c r="I8" i="55"/>
  <c r="I9" i="55"/>
  <c r="I10" i="55"/>
  <c r="I11" i="55"/>
  <c r="I12" i="55"/>
  <c r="I13" i="55"/>
  <c r="I14" i="55"/>
  <c r="I6" i="56"/>
  <c r="I7" i="56"/>
  <c r="I8" i="56"/>
  <c r="I9" i="56"/>
  <c r="I10" i="56"/>
  <c r="I11" i="56"/>
  <c r="I12" i="56"/>
  <c r="I13" i="56"/>
  <c r="I14" i="56"/>
  <c r="I15" i="56"/>
  <c r="I16" i="56"/>
  <c r="I17" i="56"/>
  <c r="U30" i="57"/>
  <c r="T30" i="57" s="1"/>
  <c r="U28" i="57"/>
  <c r="T29" i="57" s="1"/>
  <c r="I6" i="57"/>
  <c r="I7" i="57"/>
  <c r="I8" i="57"/>
  <c r="I9" i="57"/>
  <c r="I10" i="57"/>
  <c r="I11" i="57"/>
  <c r="I12" i="57"/>
  <c r="I13" i="57"/>
  <c r="I14" i="57"/>
  <c r="I15" i="57"/>
  <c r="I16" i="57"/>
  <c r="I17" i="57"/>
  <c r="I18" i="57"/>
  <c r="I19" i="57"/>
  <c r="I20" i="57"/>
  <c r="I21" i="57"/>
  <c r="I22" i="57"/>
  <c r="I23" i="57"/>
  <c r="I24" i="57"/>
  <c r="I25" i="57"/>
  <c r="S28" i="58"/>
  <c r="S30" i="58"/>
  <c r="U28" i="61"/>
  <c r="U30" i="61"/>
  <c r="I6" i="62"/>
  <c r="I7" i="62"/>
  <c r="I8" i="62"/>
  <c r="I9" i="62"/>
  <c r="I10" i="62"/>
  <c r="I11" i="62"/>
  <c r="I12" i="62"/>
  <c r="I13" i="62"/>
  <c r="I14" i="62"/>
  <c r="I15" i="62"/>
  <c r="I16" i="62"/>
  <c r="I17" i="62"/>
  <c r="I18" i="62"/>
  <c r="I19" i="62"/>
  <c r="I20" i="62"/>
  <c r="U30" i="62"/>
  <c r="U28" i="62"/>
  <c r="T28" i="62" s="1"/>
  <c r="T30" i="64"/>
  <c r="U23" i="64"/>
  <c r="S32" i="64"/>
  <c r="T22" i="65"/>
  <c r="S30" i="65" s="1"/>
  <c r="U30" i="65" s="1"/>
  <c r="T30" i="65" s="1"/>
  <c r="R22" i="65"/>
  <c r="S28" i="65" s="1"/>
  <c r="U28" i="65" s="1"/>
  <c r="T28" i="65" s="1"/>
  <c r="S29" i="66"/>
  <c r="S28" i="66"/>
  <c r="I6" i="67"/>
  <c r="I7" i="67"/>
  <c r="I8" i="67"/>
  <c r="I9" i="67"/>
  <c r="I10" i="67"/>
  <c r="I11" i="67"/>
  <c r="I12" i="67"/>
  <c r="I13" i="67"/>
  <c r="I14" i="67"/>
  <c r="I15" i="67"/>
  <c r="U30" i="67"/>
  <c r="T30" i="67" s="1"/>
  <c r="U28" i="67"/>
  <c r="T28" i="67" s="1"/>
  <c r="S28" i="83"/>
  <c r="S27" i="83"/>
  <c r="S29" i="68"/>
  <c r="S28" i="68"/>
  <c r="S27" i="85"/>
  <c r="T27" i="85" s="1"/>
  <c r="S28" i="85"/>
  <c r="U28" i="69"/>
  <c r="T29" i="69" s="1"/>
  <c r="U30" i="69"/>
  <c r="T30" i="69" s="1"/>
  <c r="U28" i="70"/>
  <c r="T29" i="70" s="1"/>
  <c r="U30" i="70"/>
  <c r="T30" i="70" s="1"/>
  <c r="I6" i="58"/>
  <c r="I7" i="58"/>
  <c r="I8" i="58"/>
  <c r="I9" i="58"/>
  <c r="I10" i="58"/>
  <c r="I11" i="58"/>
  <c r="I12" i="58"/>
  <c r="I13" i="58"/>
  <c r="I14" i="58"/>
  <c r="I15" i="58"/>
  <c r="I16" i="58"/>
  <c r="I17" i="58"/>
  <c r="I18" i="58"/>
  <c r="I19" i="58"/>
  <c r="I20" i="58"/>
  <c r="I21" i="58"/>
  <c r="I6" i="59"/>
  <c r="I7" i="59"/>
  <c r="I8" i="59"/>
  <c r="I9" i="59"/>
  <c r="I10" i="59"/>
  <c r="I11" i="59"/>
  <c r="I12" i="59"/>
  <c r="I13" i="59"/>
  <c r="I14" i="59"/>
  <c r="I15" i="59"/>
  <c r="I16" i="59"/>
  <c r="I17" i="59"/>
  <c r="I18" i="59"/>
  <c r="I19" i="59"/>
  <c r="I20" i="59"/>
  <c r="I6" i="60"/>
  <c r="I7" i="60"/>
  <c r="I8" i="60"/>
  <c r="I9" i="60"/>
  <c r="I10" i="60"/>
  <c r="I11" i="60"/>
  <c r="I12" i="60"/>
  <c r="I13" i="60"/>
  <c r="I14" i="60"/>
  <c r="I15" i="60"/>
  <c r="I16" i="60"/>
  <c r="I17" i="60"/>
  <c r="I6" i="61"/>
  <c r="I7" i="61"/>
  <c r="I8" i="61"/>
  <c r="I9" i="61"/>
  <c r="I10" i="61"/>
  <c r="I11" i="61"/>
  <c r="I12" i="61"/>
  <c r="I13" i="61"/>
  <c r="I14" i="61"/>
  <c r="I15" i="61"/>
  <c r="I16" i="61"/>
  <c r="I17" i="61"/>
  <c r="I18" i="61"/>
  <c r="I6" i="64"/>
  <c r="I7" i="64"/>
  <c r="I8" i="64"/>
  <c r="I9" i="64"/>
  <c r="I10" i="64"/>
  <c r="I11" i="64"/>
  <c r="I12" i="64"/>
  <c r="I13" i="64"/>
  <c r="I5" i="64"/>
  <c r="I6" i="65"/>
  <c r="I7" i="65"/>
  <c r="I8" i="65"/>
  <c r="I9" i="65"/>
  <c r="I10" i="65"/>
  <c r="I11" i="65"/>
  <c r="I12" i="65"/>
  <c r="I13" i="65"/>
  <c r="I14" i="65"/>
  <c r="I15" i="65"/>
  <c r="I16" i="65"/>
  <c r="I17" i="65"/>
  <c r="I18" i="65"/>
  <c r="I19" i="65"/>
  <c r="I6" i="66"/>
  <c r="I7" i="66"/>
  <c r="I8" i="66"/>
  <c r="I9" i="66"/>
  <c r="I10" i="66"/>
  <c r="I11" i="66"/>
  <c r="I12" i="66"/>
  <c r="I13" i="66"/>
  <c r="I7" i="83"/>
  <c r="I8" i="83"/>
  <c r="I9" i="83"/>
  <c r="I6" i="83"/>
  <c r="I7" i="68"/>
  <c r="I8" i="68"/>
  <c r="I9" i="68"/>
  <c r="I10" i="68"/>
  <c r="I11" i="68"/>
  <c r="I12" i="68"/>
  <c r="I13" i="68"/>
  <c r="I6" i="68"/>
  <c r="I6" i="86"/>
  <c r="I7" i="86"/>
  <c r="I8" i="86"/>
  <c r="I9" i="86"/>
  <c r="I10" i="86"/>
  <c r="I11" i="86"/>
  <c r="I12" i="86"/>
  <c r="I13" i="86"/>
  <c r="I14" i="86"/>
  <c r="I15" i="86"/>
  <c r="I16" i="86"/>
  <c r="I17" i="86"/>
  <c r="I18" i="86"/>
  <c r="I19" i="86"/>
  <c r="I5" i="86"/>
  <c r="I6" i="85"/>
  <c r="I7" i="85"/>
  <c r="I8" i="85"/>
  <c r="I9" i="85"/>
  <c r="I10" i="85"/>
  <c r="I11" i="85"/>
  <c r="I12" i="85"/>
  <c r="I13" i="85"/>
  <c r="I14" i="85"/>
  <c r="I15" i="85"/>
  <c r="I16" i="85"/>
  <c r="I17" i="85"/>
  <c r="I18" i="85"/>
  <c r="I19" i="85"/>
  <c r="I20" i="85"/>
  <c r="I5" i="85"/>
  <c r="I6" i="69"/>
  <c r="I7" i="69"/>
  <c r="I8" i="69"/>
  <c r="I9" i="69"/>
  <c r="I10" i="69"/>
  <c r="I11" i="69"/>
  <c r="I12" i="69"/>
  <c r="I13" i="69"/>
  <c r="I14" i="69"/>
  <c r="I15" i="69"/>
  <c r="I16" i="69"/>
  <c r="I17" i="69"/>
  <c r="I18" i="69"/>
  <c r="I19" i="69"/>
  <c r="I20" i="69"/>
  <c r="I21" i="69"/>
  <c r="I22" i="69"/>
  <c r="I6" i="70"/>
  <c r="I7" i="70"/>
  <c r="I8" i="70"/>
  <c r="I9" i="70"/>
  <c r="I10" i="70"/>
  <c r="I11" i="70"/>
  <c r="I12" i="70"/>
  <c r="I13" i="70"/>
  <c r="I14" i="70"/>
  <c r="I15" i="70"/>
  <c r="I16" i="70"/>
  <c r="I17" i="70"/>
  <c r="I18" i="70"/>
  <c r="I19" i="70"/>
  <c r="I20" i="70"/>
  <c r="I21" i="70"/>
  <c r="I22" i="70"/>
  <c r="I23" i="70"/>
  <c r="J5" i="29"/>
  <c r="J5" i="32"/>
  <c r="J5" i="58"/>
  <c r="J5" i="60"/>
  <c r="J5" i="62"/>
  <c r="J5" i="65"/>
  <c r="J5" i="67"/>
  <c r="I5" i="3"/>
  <c r="I5" i="4"/>
  <c r="I5" i="6"/>
  <c r="I5" i="5"/>
  <c r="I5" i="7"/>
  <c r="I5" i="8"/>
  <c r="I5" i="9"/>
  <c r="I5" i="10"/>
  <c r="I5" i="15"/>
  <c r="I5" i="16"/>
  <c r="I5" i="19"/>
  <c r="I5" i="17"/>
  <c r="I5" i="18"/>
  <c r="I5" i="20"/>
  <c r="I5" i="21"/>
  <c r="I5" i="23"/>
  <c r="I5" i="25"/>
  <c r="I5" i="27"/>
  <c r="I5" i="28"/>
  <c r="I5" i="29"/>
  <c r="I5" i="30"/>
  <c r="I5" i="32"/>
  <c r="I5" i="34"/>
  <c r="I5" i="35"/>
  <c r="I5" i="37"/>
  <c r="I5" i="41"/>
  <c r="I5" i="43"/>
  <c r="I5" i="44"/>
  <c r="I5" i="47"/>
  <c r="I5" i="48"/>
  <c r="I5" i="50"/>
  <c r="I5" i="79"/>
  <c r="I5" i="51"/>
  <c r="I5" i="53"/>
  <c r="I5" i="56"/>
  <c r="I5" i="57"/>
  <c r="I5" i="58"/>
  <c r="I5" i="59"/>
  <c r="I5" i="60"/>
  <c r="I5" i="61"/>
  <c r="I5" i="62"/>
  <c r="I5" i="65"/>
  <c r="I5" i="66"/>
  <c r="I5" i="67"/>
  <c r="I5" i="69"/>
  <c r="I5" i="70"/>
  <c r="J94" i="1"/>
  <c r="J6" i="25" s="1"/>
  <c r="K94" i="1"/>
  <c r="N94" i="1" s="1"/>
  <c r="L94" i="1"/>
  <c r="O94" i="1" s="1"/>
  <c r="T30" i="30" l="1"/>
  <c r="U30" i="30"/>
  <c r="T29" i="30"/>
  <c r="U29" i="30" s="1"/>
  <c r="U28" i="30"/>
  <c r="S28" i="67"/>
  <c r="S30" i="35"/>
  <c r="U32" i="45"/>
  <c r="T30" i="20"/>
  <c r="S30" i="20"/>
  <c r="S30" i="51"/>
  <c r="T29" i="20"/>
  <c r="U32" i="46"/>
  <c r="S32" i="30"/>
  <c r="T29" i="29"/>
  <c r="S28" i="29"/>
  <c r="T28" i="29"/>
  <c r="T28" i="16"/>
  <c r="T32" i="16" s="1"/>
  <c r="T29" i="6"/>
  <c r="U28" i="6"/>
  <c r="S29" i="83"/>
  <c r="S30" i="68"/>
  <c r="S30" i="66"/>
  <c r="U32" i="25"/>
  <c r="S32" i="9"/>
  <c r="U32" i="9" s="1"/>
  <c r="AF29" i="53"/>
  <c r="AB29" i="53"/>
  <c r="S32" i="58"/>
  <c r="S37" i="58" s="1"/>
  <c r="S38" i="58" s="1"/>
  <c r="S30" i="39"/>
  <c r="S29" i="87"/>
  <c r="T27" i="87" s="1"/>
  <c r="T29" i="87" s="1"/>
  <c r="E1" i="87" s="1"/>
  <c r="S30" i="10"/>
  <c r="S30" i="89"/>
  <c r="S28" i="8"/>
  <c r="S32" i="36"/>
  <c r="S30" i="34"/>
  <c r="S30" i="23"/>
  <c r="S30" i="12"/>
  <c r="T30" i="12" s="1"/>
  <c r="S29" i="85"/>
  <c r="T29" i="85" s="1"/>
  <c r="S32" i="79"/>
  <c r="T32" i="31"/>
  <c r="U29" i="31"/>
  <c r="U32" i="31" s="1"/>
  <c r="S29" i="82"/>
  <c r="S32" i="4"/>
  <c r="U32" i="4" s="1"/>
  <c r="G54" i="1"/>
  <c r="J5" i="30"/>
  <c r="J154" i="1"/>
  <c r="J5" i="111" s="1"/>
  <c r="L5" i="111" s="1"/>
  <c r="S35" i="111" s="1"/>
  <c r="J153" i="1"/>
  <c r="J6" i="110" s="1"/>
  <c r="L6" i="110" s="1"/>
  <c r="S33" i="110" s="1"/>
  <c r="J150" i="1"/>
  <c r="J5" i="108" s="1"/>
  <c r="L5" i="108" s="1"/>
  <c r="S35" i="108" s="1"/>
  <c r="J148" i="1"/>
  <c r="J82" i="1"/>
  <c r="J37" i="6" s="1"/>
  <c r="G107" i="1"/>
  <c r="F116" i="8"/>
  <c r="F117" i="8"/>
  <c r="F118" i="8"/>
  <c r="F119" i="8"/>
  <c r="F120" i="8"/>
  <c r="F121" i="8"/>
  <c r="F122" i="8"/>
  <c r="F123" i="8"/>
  <c r="F124" i="8"/>
  <c r="F125" i="8"/>
  <c r="F126" i="8"/>
  <c r="F127" i="8"/>
  <c r="F128" i="8"/>
  <c r="F129" i="8"/>
  <c r="F130" i="8"/>
  <c r="F131" i="8"/>
  <c r="F132" i="8"/>
  <c r="F133" i="8"/>
  <c r="F115" i="8"/>
  <c r="B116" i="8"/>
  <c r="C116" i="8"/>
  <c r="D116" i="8"/>
  <c r="B117" i="8"/>
  <c r="C117" i="8"/>
  <c r="D117" i="8"/>
  <c r="B118" i="8"/>
  <c r="C118" i="8"/>
  <c r="D118" i="8"/>
  <c r="B119" i="8"/>
  <c r="C119" i="8"/>
  <c r="D119" i="8"/>
  <c r="B120" i="8"/>
  <c r="C120" i="8"/>
  <c r="D120" i="8"/>
  <c r="B121" i="8"/>
  <c r="C121" i="8"/>
  <c r="D121" i="8"/>
  <c r="B122" i="8"/>
  <c r="C122" i="8"/>
  <c r="D122" i="8"/>
  <c r="B123" i="8"/>
  <c r="C123" i="8"/>
  <c r="D123" i="8"/>
  <c r="B124" i="8"/>
  <c r="C124" i="8"/>
  <c r="D124" i="8"/>
  <c r="B125" i="8"/>
  <c r="C125" i="8"/>
  <c r="D125" i="8"/>
  <c r="B126" i="8"/>
  <c r="C126" i="8"/>
  <c r="D126" i="8"/>
  <c r="B127" i="8"/>
  <c r="C127" i="8"/>
  <c r="D127" i="8"/>
  <c r="B128" i="8"/>
  <c r="C128" i="8"/>
  <c r="D128" i="8"/>
  <c r="B129" i="8"/>
  <c r="C129" i="8"/>
  <c r="D129" i="8"/>
  <c r="B130" i="8"/>
  <c r="C130" i="8"/>
  <c r="D130" i="8"/>
  <c r="B131" i="8"/>
  <c r="C131" i="8"/>
  <c r="D131" i="8"/>
  <c r="B132" i="8"/>
  <c r="C132" i="8"/>
  <c r="D132" i="8"/>
  <c r="B133" i="8"/>
  <c r="C133" i="8"/>
  <c r="D133" i="8"/>
  <c r="C115" i="8"/>
  <c r="B115" i="8"/>
  <c r="N63" i="2"/>
  <c r="K13" i="2"/>
  <c r="N13" i="2" s="1"/>
  <c r="L13" i="2"/>
  <c r="O13" i="2" s="1"/>
  <c r="K73" i="2"/>
  <c r="N73" i="2" s="1"/>
  <c r="G6" i="2"/>
  <c r="K6" i="2" s="1"/>
  <c r="N6" i="2" s="1"/>
  <c r="J33" i="1"/>
  <c r="J30" i="1"/>
  <c r="J29" i="1"/>
  <c r="J28" i="5" s="1"/>
  <c r="G76" i="1"/>
  <c r="AB30" i="111" l="1"/>
  <c r="AB30" i="110"/>
  <c r="AB30" i="108"/>
  <c r="J5" i="102"/>
  <c r="L5" i="102" s="1"/>
  <c r="S35" i="102" s="1"/>
  <c r="AB30" i="102" s="1"/>
  <c r="AF30" i="102" s="1"/>
  <c r="J5" i="107"/>
  <c r="L5" i="107" s="1"/>
  <c r="S35" i="107" s="1"/>
  <c r="AB30" i="107" s="1"/>
  <c r="J5" i="109"/>
  <c r="L5" i="109" s="1"/>
  <c r="S35" i="109" s="1"/>
  <c r="J5" i="112"/>
  <c r="L5" i="112" s="1"/>
  <c r="S33" i="112" s="1"/>
  <c r="J7" i="114"/>
  <c r="L7" i="114" s="1"/>
  <c r="J23" i="107"/>
  <c r="L23" i="107" s="1"/>
  <c r="J12" i="113"/>
  <c r="L12" i="113" s="1"/>
  <c r="J10" i="112"/>
  <c r="L10" i="112" s="1"/>
  <c r="J16" i="105"/>
  <c r="L16" i="105" s="1"/>
  <c r="J7" i="109"/>
  <c r="L7" i="109" s="1"/>
  <c r="J16" i="104"/>
  <c r="L16" i="104" s="1"/>
  <c r="J20" i="105"/>
  <c r="L20" i="105" s="1"/>
  <c r="J5" i="98"/>
  <c r="L5" i="98" s="1"/>
  <c r="S35" i="98" s="1"/>
  <c r="AB30" i="98" s="1"/>
  <c r="J5" i="100"/>
  <c r="L5" i="100" s="1"/>
  <c r="S35" i="100" s="1"/>
  <c r="J5" i="96"/>
  <c r="L5" i="96" s="1"/>
  <c r="S35" i="96" s="1"/>
  <c r="AB30" i="96" s="1"/>
  <c r="J5" i="99"/>
  <c r="L5" i="99" s="1"/>
  <c r="S35" i="99" s="1"/>
  <c r="J5" i="95"/>
  <c r="L5" i="95" s="1"/>
  <c r="S35" i="95" s="1"/>
  <c r="J5" i="94"/>
  <c r="L5" i="94" s="1"/>
  <c r="S35" i="94" s="1"/>
  <c r="AO1" i="30"/>
  <c r="AM1" i="30"/>
  <c r="J20" i="86"/>
  <c r="J21" i="85"/>
  <c r="D52" i="87"/>
  <c r="G1" i="87"/>
  <c r="I1" i="87" s="1"/>
  <c r="C52" i="87" s="1"/>
  <c r="AD28" i="29"/>
  <c r="AC28" i="29"/>
  <c r="AB28" i="29"/>
  <c r="J6" i="2"/>
  <c r="AR9" i="111" s="1"/>
  <c r="AT9" i="111" s="1"/>
  <c r="AD28" i="30"/>
  <c r="AB28" i="30"/>
  <c r="L6" i="2"/>
  <c r="O6" i="2" s="1"/>
  <c r="L107" i="1"/>
  <c r="O107" i="1" s="1"/>
  <c r="K107" i="1"/>
  <c r="N107" i="1" s="1"/>
  <c r="T32" i="8"/>
  <c r="U29" i="8"/>
  <c r="U32" i="8" s="1"/>
  <c r="J5" i="19"/>
  <c r="J5" i="49"/>
  <c r="J5" i="59"/>
  <c r="J5" i="48"/>
  <c r="J5" i="33"/>
  <c r="J5" i="23"/>
  <c r="J5" i="7"/>
  <c r="J5" i="44"/>
  <c r="J5" i="46"/>
  <c r="J5" i="4"/>
  <c r="J5" i="5"/>
  <c r="J5" i="20"/>
  <c r="J5" i="66"/>
  <c r="J5" i="6"/>
  <c r="J5" i="21"/>
  <c r="J5" i="34"/>
  <c r="J5" i="26"/>
  <c r="J5" i="28"/>
  <c r="J5" i="18"/>
  <c r="J5" i="25"/>
  <c r="J5" i="47"/>
  <c r="J5" i="3"/>
  <c r="J5" i="37"/>
  <c r="J5" i="41"/>
  <c r="J5" i="10"/>
  <c r="J5" i="17"/>
  <c r="J5" i="35"/>
  <c r="J5" i="9"/>
  <c r="J5" i="11"/>
  <c r="J5" i="8"/>
  <c r="J5" i="79"/>
  <c r="J5" i="51"/>
  <c r="J5" i="53"/>
  <c r="J5" i="56"/>
  <c r="J5" i="57"/>
  <c r="J5" i="61"/>
  <c r="J5" i="15"/>
  <c r="J5" i="69"/>
  <c r="J5" i="70"/>
  <c r="J5" i="36"/>
  <c r="J5" i="43"/>
  <c r="J16" i="16"/>
  <c r="J17" i="17"/>
  <c r="J9" i="18"/>
  <c r="J15" i="21"/>
  <c r="J17" i="23"/>
  <c r="J13" i="33"/>
  <c r="J10" i="34"/>
  <c r="J11" i="45"/>
  <c r="J17" i="51"/>
  <c r="J16" i="57"/>
  <c r="J7" i="82"/>
  <c r="J7" i="66"/>
  <c r="J11" i="44"/>
  <c r="J7" i="83"/>
  <c r="J16" i="70"/>
  <c r="J20" i="3"/>
  <c r="J14" i="5"/>
  <c r="J16" i="8"/>
  <c r="J17" i="19"/>
  <c r="J19" i="59"/>
  <c r="J16" i="86"/>
  <c r="J15" i="20"/>
  <c r="J16" i="7"/>
  <c r="J31" i="1"/>
  <c r="J9" i="114" s="1"/>
  <c r="L9" i="114" s="1"/>
  <c r="G15" i="1"/>
  <c r="G32" i="1"/>
  <c r="J18" i="1"/>
  <c r="G35" i="1"/>
  <c r="J56" i="2"/>
  <c r="AR16" i="9" s="1"/>
  <c r="J74" i="2"/>
  <c r="AR7" i="9" s="1"/>
  <c r="J51" i="2"/>
  <c r="AR10" i="111" s="1"/>
  <c r="AT10" i="111" s="1"/>
  <c r="J65" i="2"/>
  <c r="AR9" i="9" s="1"/>
  <c r="J61" i="2"/>
  <c r="AR19" i="9" s="1"/>
  <c r="J63" i="2"/>
  <c r="AR11" i="18" s="1"/>
  <c r="J66" i="2"/>
  <c r="J125" i="1"/>
  <c r="J123" i="1"/>
  <c r="J112" i="1"/>
  <c r="J16" i="62" s="1"/>
  <c r="J118" i="1"/>
  <c r="J119" i="1"/>
  <c r="J6" i="108" s="1"/>
  <c r="L6" i="108" s="1"/>
  <c r="J133" i="1"/>
  <c r="J37" i="49" s="1"/>
  <c r="J115" i="1"/>
  <c r="J126" i="1"/>
  <c r="J9" i="105" s="1"/>
  <c r="L9" i="105" s="1"/>
  <c r="J117" i="1"/>
  <c r="AA30" i="109" l="1"/>
  <c r="AA30" i="112"/>
  <c r="T33" i="112"/>
  <c r="J21" i="11"/>
  <c r="J7" i="108"/>
  <c r="L7" i="108" s="1"/>
  <c r="J21" i="107"/>
  <c r="L21" i="107" s="1"/>
  <c r="J5" i="105"/>
  <c r="L5" i="105" s="1"/>
  <c r="J13" i="110"/>
  <c r="L13" i="110" s="1"/>
  <c r="J19" i="107"/>
  <c r="L19" i="107" s="1"/>
  <c r="J12" i="107"/>
  <c r="L12" i="107" s="1"/>
  <c r="J16" i="110"/>
  <c r="L16" i="110" s="1"/>
  <c r="J37" i="97"/>
  <c r="L37" i="97" s="1"/>
  <c r="J37" i="107"/>
  <c r="L37" i="107" s="1"/>
  <c r="W35" i="107" s="1"/>
  <c r="AE30" i="107" s="1"/>
  <c r="AR12" i="100"/>
  <c r="AT12" i="100" s="1"/>
  <c r="AR13" i="101"/>
  <c r="AT13" i="101" s="1"/>
  <c r="AR11" i="100"/>
  <c r="AT11" i="100" s="1"/>
  <c r="AR14" i="101"/>
  <c r="AT14" i="101" s="1"/>
  <c r="AB30" i="100"/>
  <c r="AR13" i="96"/>
  <c r="AT13" i="96" s="1"/>
  <c r="AR9" i="98"/>
  <c r="AT9" i="98" s="1"/>
  <c r="AR11" i="99"/>
  <c r="AT11" i="99" s="1"/>
  <c r="AR12" i="96"/>
  <c r="AT12" i="96" s="1"/>
  <c r="AR13" i="99"/>
  <c r="AT13" i="99" s="1"/>
  <c r="AR11" i="98"/>
  <c r="AT11" i="98" s="1"/>
  <c r="AB30" i="99"/>
  <c r="AR14" i="94"/>
  <c r="AT14" i="94" s="1"/>
  <c r="AR13" i="94"/>
  <c r="AT13" i="94" s="1"/>
  <c r="AB30" i="95"/>
  <c r="AB30" i="94"/>
  <c r="J9" i="86"/>
  <c r="AM5" i="30"/>
  <c r="AO5" i="30" s="1"/>
  <c r="AP5" i="30" s="1"/>
  <c r="AM6" i="30"/>
  <c r="AO6" i="30" s="1"/>
  <c r="AP6" i="30" s="1"/>
  <c r="AS6" i="30" s="1"/>
  <c r="AM7" i="30"/>
  <c r="AO7" i="30" s="1"/>
  <c r="AP7" i="30" s="1"/>
  <c r="AS7" i="30" s="1"/>
  <c r="AM8" i="30"/>
  <c r="AO8" i="30" s="1"/>
  <c r="AP8" i="30" s="1"/>
  <c r="AS8" i="30" s="1"/>
  <c r="AM10" i="30"/>
  <c r="AO10" i="30" s="1"/>
  <c r="AP10" i="30" s="1"/>
  <c r="AS10" i="30" s="1"/>
  <c r="AM13" i="30"/>
  <c r="AO13" i="30" s="1"/>
  <c r="AP13" i="30" s="1"/>
  <c r="AS13" i="30" s="1"/>
  <c r="AM12" i="30"/>
  <c r="AO12" i="30" s="1"/>
  <c r="AP12" i="30" s="1"/>
  <c r="AS12" i="30" s="1"/>
  <c r="AM11" i="30"/>
  <c r="AO11" i="30" s="1"/>
  <c r="AP11" i="30" s="1"/>
  <c r="AS11" i="30" s="1"/>
  <c r="AM9" i="30"/>
  <c r="AO9" i="30" s="1"/>
  <c r="AP9" i="30" s="1"/>
  <c r="AS9" i="30" s="1"/>
  <c r="J37" i="43"/>
  <c r="J14" i="11"/>
  <c r="C53" i="87"/>
  <c r="D53" i="87" s="1"/>
  <c r="J32" i="1"/>
  <c r="J11" i="113" s="1"/>
  <c r="L11" i="113" s="1"/>
  <c r="K32" i="1"/>
  <c r="N32" i="1" s="1"/>
  <c r="L32" i="1"/>
  <c r="O32" i="1" s="1"/>
  <c r="AR13" i="43"/>
  <c r="AR8" i="9"/>
  <c r="J26" i="11"/>
  <c r="J37" i="62"/>
  <c r="J37" i="35"/>
  <c r="J37" i="60"/>
  <c r="J37" i="59"/>
  <c r="J37" i="57"/>
  <c r="J37" i="48"/>
  <c r="J37" i="47"/>
  <c r="J37" i="46"/>
  <c r="J37" i="44"/>
  <c r="J37" i="41"/>
  <c r="J37" i="29"/>
  <c r="J37" i="25"/>
  <c r="J37" i="23"/>
  <c r="J37" i="20"/>
  <c r="J37" i="18"/>
  <c r="J37" i="19"/>
  <c r="J37" i="15"/>
  <c r="J37" i="10"/>
  <c r="J37" i="9"/>
  <c r="J37" i="5"/>
  <c r="J37" i="56"/>
  <c r="J37" i="4"/>
  <c r="J37" i="3"/>
  <c r="J37" i="7"/>
  <c r="J37" i="70"/>
  <c r="J37" i="69"/>
  <c r="J37" i="8"/>
  <c r="J9" i="83"/>
  <c r="J9" i="82"/>
  <c r="J20" i="50"/>
  <c r="J18" i="16"/>
  <c r="J11" i="61"/>
  <c r="J15" i="8"/>
  <c r="J16" i="32"/>
  <c r="J25" i="17"/>
  <c r="J11" i="39"/>
  <c r="J13" i="21"/>
  <c r="J10" i="89"/>
  <c r="J13" i="12"/>
  <c r="J8" i="3"/>
  <c r="J11" i="8"/>
  <c r="J7" i="27"/>
  <c r="J16" i="51"/>
  <c r="J8" i="5"/>
  <c r="J10" i="15"/>
  <c r="J7" i="14"/>
  <c r="J13" i="18"/>
  <c r="J7" i="26"/>
  <c r="J8" i="28"/>
  <c r="J5" i="86"/>
  <c r="J7" i="38"/>
  <c r="J8" i="47"/>
  <c r="J7" i="54"/>
  <c r="J13" i="56"/>
  <c r="J10" i="57"/>
  <c r="J9" i="59"/>
  <c r="J8" i="70"/>
  <c r="J15" i="87"/>
  <c r="J7" i="12"/>
  <c r="J14" i="18"/>
  <c r="J18" i="17"/>
  <c r="J19" i="58"/>
  <c r="J16" i="47"/>
  <c r="J21" i="3"/>
  <c r="J14" i="51"/>
  <c r="J8" i="38"/>
  <c r="J8" i="54"/>
  <c r="J17" i="28"/>
  <c r="J12" i="37"/>
  <c r="J12" i="57"/>
  <c r="J19" i="17"/>
  <c r="J12" i="58"/>
  <c r="J15" i="47"/>
  <c r="J15" i="18"/>
  <c r="J8" i="14"/>
  <c r="J81" i="1"/>
  <c r="J38" i="33" s="1"/>
  <c r="J83" i="1"/>
  <c r="J37" i="33" s="1"/>
  <c r="J79" i="1"/>
  <c r="J80" i="1"/>
  <c r="I96" i="1"/>
  <c r="G96" i="1"/>
  <c r="J95" i="1"/>
  <c r="J24" i="107" s="1"/>
  <c r="L24" i="107" s="1"/>
  <c r="G54" i="2"/>
  <c r="J54" i="2" s="1"/>
  <c r="AR17" i="9" s="1"/>
  <c r="J88" i="1"/>
  <c r="G87" i="1"/>
  <c r="J87" i="1" s="1"/>
  <c r="J37" i="95" l="1"/>
  <c r="L37" i="95" s="1"/>
  <c r="W35" i="95" s="1"/>
  <c r="AE30" i="95" s="1"/>
  <c r="AF30" i="95" s="1"/>
  <c r="J37" i="106"/>
  <c r="L37" i="106" s="1"/>
  <c r="J38" i="23"/>
  <c r="J14" i="105"/>
  <c r="L14" i="105" s="1"/>
  <c r="J24" i="70"/>
  <c r="J21" i="59"/>
  <c r="J20" i="26"/>
  <c r="J25" i="28"/>
  <c r="J26" i="33"/>
  <c r="C54" i="87"/>
  <c r="J7" i="25"/>
  <c r="J37" i="28"/>
  <c r="J8" i="57"/>
  <c r="J14" i="86"/>
  <c r="J11" i="28"/>
  <c r="J22" i="3"/>
  <c r="J17" i="44"/>
  <c r="J19" i="8"/>
  <c r="J15" i="19"/>
  <c r="J11" i="6"/>
  <c r="J16" i="5"/>
  <c r="J17" i="45"/>
  <c r="J12" i="49"/>
  <c r="J11" i="56"/>
  <c r="J15" i="60"/>
  <c r="J10" i="18"/>
  <c r="J18" i="20"/>
  <c r="J16" i="21"/>
  <c r="J17" i="31"/>
  <c r="J13" i="41"/>
  <c r="J17" i="5"/>
  <c r="J10" i="61"/>
  <c r="J23" i="8"/>
  <c r="J8" i="27"/>
  <c r="J11" i="19"/>
  <c r="J28" i="17"/>
  <c r="J16" i="50"/>
  <c r="J8" i="26"/>
  <c r="J14" i="56"/>
  <c r="J14" i="21"/>
  <c r="J13" i="57"/>
  <c r="J16" i="49"/>
  <c r="J8" i="18"/>
  <c r="J14" i="69"/>
  <c r="J96" i="1"/>
  <c r="J13" i="106" s="1"/>
  <c r="L13" i="106" s="1"/>
  <c r="G14" i="2"/>
  <c r="J14" i="2" s="1"/>
  <c r="G20" i="2"/>
  <c r="J20" i="2" s="1"/>
  <c r="AR6" i="100" s="1"/>
  <c r="AT6" i="100" s="1"/>
  <c r="G15" i="2"/>
  <c r="J15" i="2" s="1"/>
  <c r="AR13" i="56" s="1"/>
  <c r="G12" i="2"/>
  <c r="J12" i="2" s="1"/>
  <c r="AR12" i="98" s="1"/>
  <c r="AT12" i="98" s="1"/>
  <c r="G17" i="1"/>
  <c r="J17" i="1" s="1"/>
  <c r="J12" i="97" s="1"/>
  <c r="L12" i="97" s="1"/>
  <c r="G20" i="1"/>
  <c r="J20" i="1" s="1"/>
  <c r="G25" i="1"/>
  <c r="J25" i="1" s="1"/>
  <c r="G24" i="1"/>
  <c r="J24" i="1" s="1"/>
  <c r="G21" i="1"/>
  <c r="J21" i="1" s="1"/>
  <c r="G23" i="1"/>
  <c r="J23" i="1" s="1"/>
  <c r="J14" i="92" s="1"/>
  <c r="G19" i="1"/>
  <c r="J19" i="1" s="1"/>
  <c r="G22" i="1"/>
  <c r="J22" i="1" s="1"/>
  <c r="J15" i="105" s="1"/>
  <c r="L15" i="105" s="1"/>
  <c r="G16" i="1"/>
  <c r="J16" i="1" s="1"/>
  <c r="J107" i="1"/>
  <c r="J5" i="50" s="1"/>
  <c r="G109" i="1"/>
  <c r="G105" i="1"/>
  <c r="G104" i="1"/>
  <c r="I108" i="1"/>
  <c r="G108" i="1"/>
  <c r="G106" i="1"/>
  <c r="AR12" i="101" l="1"/>
  <c r="AT12" i="101" s="1"/>
  <c r="AR13" i="108"/>
  <c r="AT13" i="108" s="1"/>
  <c r="J7" i="112"/>
  <c r="L7" i="112" s="1"/>
  <c r="J9" i="113"/>
  <c r="L9" i="113" s="1"/>
  <c r="J17" i="105"/>
  <c r="L17" i="105" s="1"/>
  <c r="J16" i="107"/>
  <c r="L16" i="107" s="1"/>
  <c r="J7" i="104"/>
  <c r="L7" i="104" s="1"/>
  <c r="J7" i="105"/>
  <c r="L7" i="105" s="1"/>
  <c r="J12" i="5"/>
  <c r="J9" i="104"/>
  <c r="L9" i="104" s="1"/>
  <c r="AR8" i="98"/>
  <c r="AT8" i="98" s="1"/>
  <c r="AR10" i="99"/>
  <c r="AT10" i="99" s="1"/>
  <c r="AR12" i="94"/>
  <c r="AT12" i="94" s="1"/>
  <c r="AR9" i="36"/>
  <c r="AR13" i="59"/>
  <c r="AR13" i="49"/>
  <c r="AR13" i="30"/>
  <c r="AT13" i="30" s="1"/>
  <c r="AR13" i="19"/>
  <c r="D54" i="87"/>
  <c r="C55" i="87"/>
  <c r="D55" i="87" s="1"/>
  <c r="J109" i="1"/>
  <c r="J6" i="114" s="1"/>
  <c r="L6" i="114" s="1"/>
  <c r="L109" i="1"/>
  <c r="O109" i="1" s="1"/>
  <c r="K109" i="1"/>
  <c r="N109" i="1" s="1"/>
  <c r="J105" i="1"/>
  <c r="J5" i="45" s="1"/>
  <c r="L105" i="1"/>
  <c r="O105" i="1" s="1"/>
  <c r="K105" i="1"/>
  <c r="N105" i="1" s="1"/>
  <c r="J104" i="1"/>
  <c r="J5" i="16" s="1"/>
  <c r="L104" i="1"/>
  <c r="O104" i="1" s="1"/>
  <c r="K104" i="1"/>
  <c r="N104" i="1" s="1"/>
  <c r="L108" i="1"/>
  <c r="O108" i="1" s="1"/>
  <c r="K108" i="1"/>
  <c r="N108" i="1" s="1"/>
  <c r="J106" i="1"/>
  <c r="J5" i="64" s="1"/>
  <c r="L106" i="1"/>
  <c r="O106" i="1" s="1"/>
  <c r="K106" i="1"/>
  <c r="N106" i="1" s="1"/>
  <c r="AR18" i="9"/>
  <c r="AR13" i="6"/>
  <c r="AR12" i="53"/>
  <c r="AR13" i="21"/>
  <c r="J13" i="16"/>
  <c r="J19" i="65"/>
  <c r="J9" i="64"/>
  <c r="J8" i="42"/>
  <c r="J16" i="69"/>
  <c r="J9" i="30"/>
  <c r="J19" i="32"/>
  <c r="J13" i="43"/>
  <c r="J8" i="33"/>
  <c r="J8" i="46"/>
  <c r="J13" i="45"/>
  <c r="J13" i="44"/>
  <c r="J9" i="41"/>
  <c r="J13" i="26"/>
  <c r="J13" i="27"/>
  <c r="J8" i="45"/>
  <c r="J8" i="44"/>
  <c r="J7" i="34"/>
  <c r="J9" i="50"/>
  <c r="J14" i="20"/>
  <c r="J9" i="48"/>
  <c r="J9" i="44"/>
  <c r="J10" i="27"/>
  <c r="J15" i="56"/>
  <c r="J15" i="23"/>
  <c r="J10" i="41"/>
  <c r="J10" i="26"/>
  <c r="J10" i="65"/>
  <c r="J9" i="45"/>
  <c r="J9" i="61"/>
  <c r="J14" i="60"/>
  <c r="J9" i="29"/>
  <c r="J9" i="62"/>
  <c r="J14" i="7"/>
  <c r="J9" i="66"/>
  <c r="J11" i="87"/>
  <c r="J13" i="32"/>
  <c r="J10" i="51"/>
  <c r="J9" i="31"/>
  <c r="J20" i="85"/>
  <c r="J21" i="70"/>
  <c r="J9" i="19"/>
  <c r="J9" i="26"/>
  <c r="J13" i="31"/>
  <c r="J10" i="37"/>
  <c r="J8" i="41"/>
  <c r="J17" i="50"/>
  <c r="J9" i="53"/>
  <c r="J6" i="56"/>
  <c r="J15" i="61"/>
  <c r="J25" i="57"/>
  <c r="J17" i="86"/>
  <c r="J17" i="8"/>
  <c r="J22" i="69"/>
  <c r="J27" i="17"/>
  <c r="J6" i="18"/>
  <c r="J17" i="21"/>
  <c r="J9" i="27"/>
  <c r="J9" i="56"/>
  <c r="J13" i="5"/>
  <c r="J13" i="8"/>
  <c r="J8" i="56"/>
  <c r="J7" i="86"/>
  <c r="J11" i="5"/>
  <c r="J12" i="8"/>
  <c r="J16" i="43"/>
  <c r="J16" i="31"/>
  <c r="J11" i="41"/>
  <c r="J10" i="53"/>
  <c r="J11" i="37"/>
  <c r="J7" i="56"/>
  <c r="J14" i="8"/>
  <c r="J14" i="61"/>
  <c r="J18" i="32"/>
  <c r="J7" i="18"/>
  <c r="J11" i="65"/>
  <c r="J10" i="5"/>
  <c r="J20" i="44"/>
  <c r="J15" i="86"/>
  <c r="J14" i="27"/>
  <c r="J14" i="26"/>
  <c r="J20" i="45"/>
  <c r="J7" i="21"/>
  <c r="J6" i="53"/>
  <c r="J6" i="21"/>
  <c r="J6" i="82"/>
  <c r="J6" i="83"/>
  <c r="J108" i="1"/>
  <c r="J5" i="27" s="1"/>
  <c r="G77" i="1"/>
  <c r="J77" i="1" s="1"/>
  <c r="J17" i="48" s="1"/>
  <c r="J74" i="1"/>
  <c r="J38" i="9" s="1"/>
  <c r="G75" i="1"/>
  <c r="J75" i="1" s="1"/>
  <c r="J8" i="85" s="1"/>
  <c r="G71" i="1"/>
  <c r="J71" i="1" s="1"/>
  <c r="J19" i="105" s="1"/>
  <c r="L19" i="105" s="1"/>
  <c r="G73" i="1"/>
  <c r="J73" i="1" s="1"/>
  <c r="J15" i="7" s="1"/>
  <c r="G72" i="1"/>
  <c r="J72" i="1" s="1"/>
  <c r="J6" i="109" s="1"/>
  <c r="L6" i="109" s="1"/>
  <c r="J76" i="1"/>
  <c r="J10" i="87" l="1"/>
  <c r="J12" i="115"/>
  <c r="L12" i="115" s="1"/>
  <c r="J38" i="30"/>
  <c r="J8" i="79"/>
  <c r="J19" i="86"/>
  <c r="J12" i="13"/>
  <c r="J12" i="40"/>
  <c r="J6" i="79"/>
  <c r="J12" i="55"/>
  <c r="J9" i="85"/>
  <c r="J13" i="2"/>
  <c r="G16" i="2"/>
  <c r="J16" i="2" s="1"/>
  <c r="J47" i="2"/>
  <c r="J48" i="2"/>
  <c r="AR13" i="107" s="1"/>
  <c r="AT13" i="107" s="1"/>
  <c r="J66" i="1"/>
  <c r="J69" i="1"/>
  <c r="E131" i="16"/>
  <c r="E132" i="16"/>
  <c r="E133" i="16"/>
  <c r="E134" i="16"/>
  <c r="E135" i="16"/>
  <c r="E136" i="16"/>
  <c r="E137" i="16"/>
  <c r="E138" i="16"/>
  <c r="E139" i="16"/>
  <c r="E140" i="16"/>
  <c r="E141" i="16"/>
  <c r="E142" i="16"/>
  <c r="E130" i="16"/>
  <c r="E129" i="16"/>
  <c r="AR18" i="107" l="1"/>
  <c r="AT18" i="107" s="1"/>
  <c r="AR8" i="108"/>
  <c r="AT8" i="108" s="1"/>
  <c r="AR19" i="107"/>
  <c r="AT19" i="107" s="1"/>
  <c r="AR9" i="108"/>
  <c r="AT9" i="108" s="1"/>
  <c r="J18" i="105"/>
  <c r="L18" i="105" s="1"/>
  <c r="J27" i="107"/>
  <c r="L27" i="107" s="1"/>
  <c r="AR9" i="59"/>
  <c r="AR9" i="49"/>
  <c r="AR9" i="30"/>
  <c r="AT9" i="30" s="1"/>
  <c r="AR9" i="19"/>
  <c r="AR13" i="36"/>
  <c r="AR8" i="30"/>
  <c r="AT8" i="30" s="1"/>
  <c r="AR8" i="19"/>
  <c r="AR8" i="59"/>
  <c r="AR8" i="49"/>
  <c r="AR8" i="41"/>
  <c r="AR8" i="53"/>
  <c r="AR8" i="3"/>
  <c r="AR13" i="47"/>
  <c r="AR8" i="69"/>
  <c r="AR8" i="56"/>
  <c r="AR8" i="8"/>
  <c r="AR13" i="79"/>
  <c r="AR8" i="61"/>
  <c r="AT8" i="61" s="1"/>
  <c r="AR18" i="57"/>
  <c r="AR8" i="25"/>
  <c r="AR8" i="70"/>
  <c r="AR8" i="15"/>
  <c r="AR8" i="37"/>
  <c r="AR8" i="26"/>
  <c r="AR18" i="28"/>
  <c r="AR8" i="21"/>
  <c r="AR18" i="18"/>
  <c r="AR6" i="9"/>
  <c r="AR8" i="6"/>
  <c r="AR8" i="17"/>
  <c r="AR9" i="8"/>
  <c r="AR9" i="56"/>
  <c r="AR19" i="57"/>
  <c r="AR9" i="37"/>
  <c r="AR17" i="47"/>
  <c r="AR9" i="69"/>
  <c r="AR9" i="70"/>
  <c r="AR9" i="3"/>
  <c r="AR19" i="28"/>
  <c r="AR9" i="26"/>
  <c r="AR9" i="25"/>
  <c r="AR9" i="21"/>
  <c r="AR9" i="41"/>
  <c r="AR19" i="18"/>
  <c r="AR9" i="15"/>
  <c r="AR9" i="61"/>
  <c r="AT9" i="61" s="1"/>
  <c r="AR9" i="53"/>
  <c r="AR9" i="6"/>
  <c r="AR9" i="17"/>
  <c r="AR12" i="8"/>
  <c r="AR12" i="69"/>
  <c r="AR15" i="58"/>
  <c r="AR20" i="9"/>
  <c r="AR13" i="28"/>
  <c r="AR12" i="56"/>
  <c r="AR16" i="47"/>
  <c r="AR13" i="57"/>
  <c r="AR13" i="18"/>
  <c r="AR12" i="17"/>
  <c r="AR16" i="25"/>
  <c r="AR12" i="26"/>
  <c r="AR12" i="41"/>
  <c r="AR12" i="15"/>
  <c r="AR12" i="70"/>
  <c r="AR16" i="17"/>
  <c r="J19" i="18"/>
  <c r="J18" i="8"/>
  <c r="J8" i="10"/>
  <c r="J15" i="17"/>
  <c r="J19" i="28"/>
  <c r="J8" i="35"/>
  <c r="J20" i="47"/>
  <c r="J14" i="49"/>
  <c r="J15" i="50"/>
  <c r="J17" i="56"/>
  <c r="J18" i="57"/>
  <c r="J18" i="62"/>
  <c r="J16" i="65"/>
  <c r="J17" i="85"/>
  <c r="J19" i="69"/>
  <c r="J14" i="3"/>
  <c r="J15" i="15"/>
  <c r="J7" i="10"/>
  <c r="J18" i="23"/>
  <c r="J18" i="26"/>
  <c r="J18" i="27"/>
  <c r="J18" i="28"/>
  <c r="J7" i="35"/>
  <c r="J10" i="44"/>
  <c r="J10" i="45"/>
  <c r="J17" i="49"/>
  <c r="J21" i="58"/>
  <c r="J17" i="59"/>
  <c r="J18" i="86"/>
  <c r="J18" i="70"/>
  <c r="J44" i="80" l="1"/>
  <c r="J67" i="2"/>
  <c r="J68" i="2"/>
  <c r="J71" i="2"/>
  <c r="AR6" i="43" s="1"/>
  <c r="J64" i="2"/>
  <c r="AR14" i="79" s="1"/>
  <c r="J69" i="2"/>
  <c r="AR13" i="111" s="1"/>
  <c r="AT13" i="111" s="1"/>
  <c r="J72" i="2"/>
  <c r="J130" i="1"/>
  <c r="J122" i="1"/>
  <c r="J22" i="11" s="1"/>
  <c r="J114" i="1"/>
  <c r="J11" i="115" s="1"/>
  <c r="L11" i="115" s="1"/>
  <c r="J136" i="1"/>
  <c r="J10" i="113" s="1"/>
  <c r="L10" i="113" s="1"/>
  <c r="J139" i="1"/>
  <c r="J9" i="79" s="1"/>
  <c r="J146" i="1"/>
  <c r="J7" i="115" s="1"/>
  <c r="L7" i="115" s="1"/>
  <c r="J124" i="1"/>
  <c r="J129" i="1"/>
  <c r="J6" i="106" s="1"/>
  <c r="L6" i="106" s="1"/>
  <c r="J121" i="1"/>
  <c r="J14" i="50" s="1"/>
  <c r="J134" i="1"/>
  <c r="J8" i="97" s="1"/>
  <c r="L8" i="97" s="1"/>
  <c r="J128" i="1"/>
  <c r="J127" i="1"/>
  <c r="J143" i="1"/>
  <c r="J138" i="1"/>
  <c r="J120" i="1"/>
  <c r="J19" i="31" s="1"/>
  <c r="J137" i="1"/>
  <c r="J113" i="1"/>
  <c r="J142" i="1"/>
  <c r="J135" i="1"/>
  <c r="J10" i="2"/>
  <c r="AR11" i="95" s="1"/>
  <c r="AT11" i="95" s="1"/>
  <c r="J7" i="2"/>
  <c r="AR10" i="43" s="1"/>
  <c r="J3" i="2"/>
  <c r="AR7" i="95" s="1"/>
  <c r="AT7" i="95" s="1"/>
  <c r="J5" i="2"/>
  <c r="AR15" i="79" s="1"/>
  <c r="J8" i="2"/>
  <c r="AR12" i="79" s="1"/>
  <c r="J9" i="2"/>
  <c r="AR11" i="43" s="1"/>
  <c r="J4" i="2"/>
  <c r="AR8" i="107" s="1"/>
  <c r="AT8" i="107" s="1"/>
  <c r="J10" i="1"/>
  <c r="J9" i="1"/>
  <c r="J20" i="11" s="1"/>
  <c r="J6" i="1"/>
  <c r="J14" i="109" s="1"/>
  <c r="L14" i="109" s="1"/>
  <c r="J8" i="1"/>
  <c r="J13" i="1"/>
  <c r="J5" i="1"/>
  <c r="J11" i="106" s="1"/>
  <c r="L11" i="106" s="1"/>
  <c r="J7" i="1"/>
  <c r="J13" i="47" s="1"/>
  <c r="J18" i="61"/>
  <c r="J4" i="1"/>
  <c r="J8" i="107" s="1"/>
  <c r="L8" i="107" s="1"/>
  <c r="J3" i="1"/>
  <c r="AR8" i="96" l="1"/>
  <c r="AT8" i="96" s="1"/>
  <c r="AR17" i="107"/>
  <c r="AT17" i="107" s="1"/>
  <c r="AR7" i="108"/>
  <c r="AT7" i="108" s="1"/>
  <c r="AR10" i="102"/>
  <c r="AT10" i="102" s="1"/>
  <c r="AR6" i="108"/>
  <c r="AT6" i="108" s="1"/>
  <c r="AR16" i="107"/>
  <c r="AT16" i="107" s="1"/>
  <c r="AR6" i="98"/>
  <c r="AT6" i="98" s="1"/>
  <c r="AR6" i="111"/>
  <c r="AT6" i="111" s="1"/>
  <c r="J6" i="100"/>
  <c r="L6" i="100" s="1"/>
  <c r="J7" i="111"/>
  <c r="L7" i="111" s="1"/>
  <c r="X35" i="111" s="1"/>
  <c r="J14" i="110"/>
  <c r="L14" i="110" s="1"/>
  <c r="J13" i="109"/>
  <c r="L13" i="109" s="1"/>
  <c r="J20" i="107"/>
  <c r="L20" i="107" s="1"/>
  <c r="J13" i="113"/>
  <c r="L13" i="113" s="1"/>
  <c r="J7" i="106"/>
  <c r="L7" i="106" s="1"/>
  <c r="J19" i="110"/>
  <c r="L19" i="110" s="1"/>
  <c r="J11" i="107"/>
  <c r="L11" i="107" s="1"/>
  <c r="J13" i="105"/>
  <c r="L13" i="105" s="1"/>
  <c r="J10" i="115"/>
  <c r="L10" i="115" s="1"/>
  <c r="J12" i="105"/>
  <c r="L12" i="105" s="1"/>
  <c r="J9" i="115"/>
  <c r="L9" i="115" s="1"/>
  <c r="J11" i="105"/>
  <c r="L11" i="105" s="1"/>
  <c r="J8" i="115"/>
  <c r="L8" i="115" s="1"/>
  <c r="J8" i="105"/>
  <c r="L8" i="105" s="1"/>
  <c r="J6" i="115"/>
  <c r="L6" i="115" s="1"/>
  <c r="J38" i="106"/>
  <c r="L38" i="106" s="1"/>
  <c r="W35" i="106" s="1"/>
  <c r="AE30" i="106" s="1"/>
  <c r="J22" i="107"/>
  <c r="L22" i="107" s="1"/>
  <c r="J6" i="113"/>
  <c r="L6" i="113" s="1"/>
  <c r="J15" i="104"/>
  <c r="L15" i="104" s="1"/>
  <c r="J18" i="107"/>
  <c r="L18" i="107" s="1"/>
  <c r="J9" i="111"/>
  <c r="L9" i="111" s="1"/>
  <c r="J15" i="110"/>
  <c r="L15" i="110" s="1"/>
  <c r="J38" i="49"/>
  <c r="J14" i="106"/>
  <c r="L14" i="106" s="1"/>
  <c r="J6" i="97"/>
  <c r="L6" i="97" s="1"/>
  <c r="J10" i="106"/>
  <c r="L10" i="106" s="1"/>
  <c r="J25" i="11"/>
  <c r="J26" i="107"/>
  <c r="L26" i="107" s="1"/>
  <c r="J14" i="113"/>
  <c r="L14" i="113" s="1"/>
  <c r="J15" i="106"/>
  <c r="L15" i="106" s="1"/>
  <c r="J25" i="107"/>
  <c r="L25" i="107" s="1"/>
  <c r="J6" i="104"/>
  <c r="L6" i="104" s="1"/>
  <c r="J6" i="105"/>
  <c r="L6" i="105" s="1"/>
  <c r="J38" i="97"/>
  <c r="L38" i="97" s="1"/>
  <c r="V35" i="97" s="1"/>
  <c r="AD30" i="97" s="1"/>
  <c r="J14" i="104"/>
  <c r="L14" i="104" s="1"/>
  <c r="J13" i="97"/>
  <c r="L13" i="97" s="1"/>
  <c r="J5" i="104"/>
  <c r="L5" i="104" s="1"/>
  <c r="J7" i="103"/>
  <c r="L7" i="103" s="1"/>
  <c r="S33" i="103" s="1"/>
  <c r="AC25" i="103" s="1"/>
  <c r="J7" i="96"/>
  <c r="L7" i="96" s="1"/>
  <c r="X35" i="96" s="1"/>
  <c r="AD30" i="96" s="1"/>
  <c r="J6" i="98"/>
  <c r="L6" i="98" s="1"/>
  <c r="J7" i="99"/>
  <c r="L7" i="99" s="1"/>
  <c r="X35" i="99" s="1"/>
  <c r="J8" i="96"/>
  <c r="L8" i="96" s="1"/>
  <c r="J10" i="99"/>
  <c r="L10" i="99" s="1"/>
  <c r="J9" i="97"/>
  <c r="L9" i="97" s="1"/>
  <c r="J9" i="99"/>
  <c r="L9" i="99" s="1"/>
  <c r="J23" i="11"/>
  <c r="J7" i="97"/>
  <c r="L7" i="97" s="1"/>
  <c r="J39" i="23"/>
  <c r="L39" i="23" s="1"/>
  <c r="AR19" i="79"/>
  <c r="AR7" i="43"/>
  <c r="J7" i="94"/>
  <c r="L7" i="94" s="1"/>
  <c r="X35" i="94" s="1"/>
  <c r="J14" i="37"/>
  <c r="J39" i="61"/>
  <c r="L39" i="61" s="1"/>
  <c r="J37" i="61"/>
  <c r="L37" i="61" s="1"/>
  <c r="W35" i="61" s="1"/>
  <c r="AR6" i="36"/>
  <c r="AR6" i="49"/>
  <c r="AR6" i="30"/>
  <c r="AT6" i="30" s="1"/>
  <c r="AR6" i="59"/>
  <c r="AR6" i="19"/>
  <c r="AR7" i="36"/>
  <c r="AR7" i="30"/>
  <c r="AT7" i="30" s="1"/>
  <c r="AR7" i="19"/>
  <c r="AR7" i="59"/>
  <c r="AR7" i="49"/>
  <c r="J8" i="92"/>
  <c r="J15" i="37"/>
  <c r="J38" i="26"/>
  <c r="J38" i="61"/>
  <c r="L38" i="61" s="1"/>
  <c r="AR7" i="8"/>
  <c r="AR7" i="21"/>
  <c r="AR7" i="17"/>
  <c r="AR7" i="79"/>
  <c r="AR7" i="70"/>
  <c r="AR7" i="61"/>
  <c r="AT7" i="61" s="1"/>
  <c r="AR7" i="15"/>
  <c r="AR17" i="18"/>
  <c r="AR7" i="3"/>
  <c r="AR7" i="69"/>
  <c r="AR7" i="6"/>
  <c r="AR7" i="41"/>
  <c r="AR8" i="43"/>
  <c r="AR7" i="37"/>
  <c r="AR7" i="26"/>
  <c r="AR17" i="57"/>
  <c r="AR7" i="56"/>
  <c r="AR17" i="28"/>
  <c r="AR7" i="53"/>
  <c r="AR7" i="25"/>
  <c r="AR7" i="47"/>
  <c r="AR6" i="41"/>
  <c r="AR6" i="70"/>
  <c r="AR6" i="3"/>
  <c r="AR6" i="69"/>
  <c r="AR6" i="61"/>
  <c r="AT6" i="61" s="1"/>
  <c r="AR16" i="57"/>
  <c r="AR6" i="17"/>
  <c r="AR6" i="56"/>
  <c r="AR6" i="53"/>
  <c r="AR16" i="28"/>
  <c r="AR6" i="25"/>
  <c r="AR6" i="79"/>
  <c r="AR6" i="26"/>
  <c r="AR6" i="8"/>
  <c r="AR6" i="21"/>
  <c r="AR6" i="47"/>
  <c r="AR16" i="18"/>
  <c r="AR6" i="37"/>
  <c r="AR6" i="15"/>
  <c r="AR6" i="6"/>
  <c r="AR8" i="57"/>
  <c r="AR17" i="79"/>
  <c r="AR14" i="47"/>
  <c r="AR8" i="28"/>
  <c r="AR8" i="18"/>
  <c r="AR15" i="47"/>
  <c r="AR9" i="43"/>
  <c r="AR13" i="17"/>
  <c r="J7" i="92"/>
  <c r="J15" i="11"/>
  <c r="J27" i="11"/>
  <c r="J39" i="26"/>
  <c r="J28" i="11"/>
  <c r="J37" i="79"/>
  <c r="J37" i="26"/>
  <c r="J38" i="70"/>
  <c r="J38" i="66"/>
  <c r="J38" i="60"/>
  <c r="J38" i="57"/>
  <c r="J38" i="48"/>
  <c r="J37" i="32"/>
  <c r="J38" i="28"/>
  <c r="J38" i="20"/>
  <c r="J38" i="8"/>
  <c r="J6" i="92"/>
  <c r="J6" i="11"/>
  <c r="J12" i="17"/>
  <c r="J19" i="15"/>
  <c r="J11" i="13"/>
  <c r="J11" i="24"/>
  <c r="J11" i="55"/>
  <c r="J11" i="40"/>
  <c r="J11" i="68"/>
  <c r="J7" i="68"/>
  <c r="J7" i="55"/>
  <c r="J7" i="24"/>
  <c r="J7" i="40"/>
  <c r="J8" i="52"/>
  <c r="J7" i="13"/>
  <c r="J9" i="3"/>
  <c r="J7" i="45"/>
  <c r="J12" i="18"/>
  <c r="J7" i="43"/>
  <c r="J7" i="69"/>
  <c r="J8" i="23"/>
  <c r="J6" i="26"/>
  <c r="J6" i="27"/>
  <c r="J13" i="17"/>
  <c r="J9" i="5"/>
  <c r="J9" i="70"/>
  <c r="J10" i="8"/>
  <c r="J19" i="85"/>
  <c r="J9" i="28"/>
  <c r="J6" i="6"/>
  <c r="J9" i="65"/>
  <c r="J8" i="20"/>
  <c r="J27" i="5"/>
  <c r="J7" i="61"/>
  <c r="J7" i="29"/>
  <c r="J8" i="7"/>
  <c r="J7" i="49"/>
  <c r="J8" i="60"/>
  <c r="J7" i="58"/>
  <c r="J6" i="67"/>
  <c r="J7" i="59"/>
  <c r="J7" i="31"/>
  <c r="J7" i="62"/>
  <c r="J11" i="57"/>
  <c r="J9" i="47"/>
  <c r="J10" i="56"/>
  <c r="J7" i="44"/>
  <c r="J13" i="51"/>
  <c r="J9" i="15"/>
  <c r="J17" i="32"/>
  <c r="J7" i="33"/>
  <c r="J6" i="86"/>
  <c r="J14" i="16"/>
  <c r="J7" i="48"/>
  <c r="J7" i="19"/>
  <c r="J6" i="46"/>
  <c r="J7" i="41"/>
  <c r="J7" i="50"/>
  <c r="J12" i="46"/>
  <c r="J8" i="43"/>
  <c r="J18" i="45"/>
  <c r="J18" i="44"/>
  <c r="J10" i="3"/>
  <c r="J15" i="59"/>
  <c r="J22" i="15"/>
  <c r="J10" i="28"/>
  <c r="J10" i="70"/>
  <c r="J15" i="51"/>
  <c r="J10" i="24"/>
  <c r="J7" i="5"/>
  <c r="J7" i="8"/>
  <c r="J10" i="68"/>
  <c r="J9" i="67"/>
  <c r="J22" i="31"/>
  <c r="J10" i="55"/>
  <c r="J10" i="40"/>
  <c r="J5" i="85"/>
  <c r="J9" i="87"/>
  <c r="J10" i="66"/>
  <c r="J23" i="15"/>
  <c r="J9" i="37"/>
  <c r="J10" i="13"/>
  <c r="J9" i="23"/>
  <c r="J13" i="86"/>
  <c r="J21" i="31"/>
  <c r="J9" i="40"/>
  <c r="J8" i="37"/>
  <c r="J6" i="85"/>
  <c r="J25" i="15"/>
  <c r="J9" i="55"/>
  <c r="J9" i="8"/>
  <c r="J8" i="87"/>
  <c r="J8" i="67"/>
  <c r="J9" i="68"/>
  <c r="J12" i="86"/>
  <c r="J9" i="13"/>
  <c r="J9" i="24"/>
  <c r="J8" i="68"/>
  <c r="J7" i="87"/>
  <c r="J7" i="37"/>
  <c r="J7" i="85"/>
  <c r="J7" i="67"/>
  <c r="J8" i="40"/>
  <c r="J24" i="15"/>
  <c r="J8" i="13"/>
  <c r="J11" i="86"/>
  <c r="J8" i="55"/>
  <c r="J8" i="8"/>
  <c r="J8" i="24"/>
  <c r="J20" i="31"/>
  <c r="J6" i="14"/>
  <c r="J6" i="38"/>
  <c r="J6" i="39"/>
  <c r="J23" i="31"/>
  <c r="J6" i="52"/>
  <c r="J6" i="89"/>
  <c r="J6" i="54"/>
  <c r="J6" i="12"/>
  <c r="J6" i="13"/>
  <c r="J6" i="24"/>
  <c r="J8" i="86"/>
  <c r="J7" i="52"/>
  <c r="J6" i="40"/>
  <c r="J7" i="79"/>
  <c r="J10" i="4"/>
  <c r="J6" i="68"/>
  <c r="J6" i="55"/>
  <c r="J13" i="46"/>
  <c r="J20" i="18"/>
  <c r="J7" i="3"/>
  <c r="J8" i="48"/>
  <c r="J8" i="31"/>
  <c r="J18" i="31"/>
  <c r="J7" i="20"/>
  <c r="J7" i="57"/>
  <c r="J8" i="50"/>
  <c r="J11" i="51"/>
  <c r="J7" i="23"/>
  <c r="J7" i="7"/>
  <c r="J7" i="70"/>
  <c r="J7" i="28"/>
  <c r="J6" i="65"/>
  <c r="J8" i="69"/>
  <c r="J5" i="87"/>
  <c r="J8" i="29"/>
  <c r="J7" i="60"/>
  <c r="J8" i="32"/>
  <c r="J7" i="47"/>
  <c r="J8" i="61"/>
  <c r="J8" i="59"/>
  <c r="J8" i="62"/>
  <c r="J6" i="43"/>
  <c r="J6" i="69"/>
  <c r="J10" i="17"/>
  <c r="J6" i="5"/>
  <c r="J7" i="15"/>
  <c r="J12" i="42"/>
  <c r="J6" i="59"/>
  <c r="J6" i="45"/>
  <c r="J6" i="37"/>
  <c r="J6" i="58"/>
  <c r="J8" i="16"/>
  <c r="J10" i="67"/>
  <c r="J6" i="28"/>
  <c r="J7" i="46"/>
  <c r="J18" i="85"/>
  <c r="J16" i="27"/>
  <c r="J6" i="87"/>
  <c r="J6" i="47"/>
  <c r="J11" i="18"/>
  <c r="J13" i="30"/>
  <c r="J6" i="31"/>
  <c r="J6" i="48"/>
  <c r="J6" i="23"/>
  <c r="J6" i="44"/>
  <c r="J6" i="19"/>
  <c r="J6" i="49"/>
  <c r="J6" i="62"/>
  <c r="J6" i="60"/>
  <c r="J6" i="20"/>
  <c r="J6" i="70"/>
  <c r="J6" i="50"/>
  <c r="J6" i="33"/>
  <c r="J7" i="65"/>
  <c r="J6" i="57"/>
  <c r="J6" i="3"/>
  <c r="J6" i="8"/>
  <c r="J6" i="7"/>
  <c r="J6" i="29"/>
  <c r="J6" i="32"/>
  <c r="J16" i="26"/>
  <c r="J20" i="69"/>
  <c r="J17" i="62"/>
  <c r="J20" i="62"/>
  <c r="J17" i="29"/>
  <c r="J17" i="61"/>
  <c r="J13" i="64"/>
  <c r="J17" i="65"/>
  <c r="J11" i="67"/>
  <c r="J6" i="30"/>
  <c r="J14" i="43"/>
  <c r="J5" i="42"/>
  <c r="J7" i="16"/>
  <c r="J6" i="64"/>
  <c r="J12" i="33"/>
  <c r="J18" i="69"/>
  <c r="J12" i="27"/>
  <c r="J12" i="26"/>
  <c r="J21" i="15"/>
  <c r="J13" i="58"/>
  <c r="J13" i="28"/>
  <c r="J8" i="15"/>
  <c r="J22" i="70"/>
  <c r="J14" i="23"/>
  <c r="J18" i="3"/>
  <c r="J7" i="30"/>
  <c r="J14" i="44"/>
  <c r="J14" i="45"/>
  <c r="J14" i="58"/>
  <c r="J12" i="19"/>
  <c r="J6" i="16"/>
  <c r="J15" i="43"/>
  <c r="J15" i="27"/>
  <c r="J17" i="69"/>
  <c r="J9" i="49"/>
  <c r="J15" i="57"/>
  <c r="J14" i="41"/>
  <c r="J15" i="26"/>
  <c r="J9" i="33"/>
  <c r="J7" i="64"/>
  <c r="J14" i="15"/>
  <c r="J23" i="28"/>
  <c r="J13" i="29"/>
  <c r="J14" i="47"/>
  <c r="J14" i="46"/>
  <c r="J18" i="59"/>
  <c r="J19" i="3"/>
  <c r="J6" i="42"/>
  <c r="J15" i="70"/>
  <c r="J8" i="6"/>
  <c r="J11" i="17"/>
  <c r="J16" i="19"/>
  <c r="J17" i="57"/>
  <c r="J12" i="16"/>
  <c r="J16" i="48"/>
  <c r="J10" i="33"/>
  <c r="J21" i="47"/>
  <c r="J19" i="62"/>
  <c r="J9" i="54"/>
  <c r="J9" i="14"/>
  <c r="J10" i="85"/>
  <c r="J6" i="15"/>
  <c r="J19" i="27"/>
  <c r="J12" i="87"/>
  <c r="J7" i="42"/>
  <c r="J8" i="30"/>
  <c r="J19" i="45"/>
  <c r="J6" i="41"/>
  <c r="J14" i="29"/>
  <c r="J17" i="18"/>
  <c r="J15" i="67"/>
  <c r="J19" i="26"/>
  <c r="J15" i="46"/>
  <c r="J20" i="70"/>
  <c r="J16" i="58"/>
  <c r="J15" i="69"/>
  <c r="J19" i="44"/>
  <c r="J12" i="61"/>
  <c r="J24" i="31"/>
  <c r="J9" i="38"/>
  <c r="J20" i="59"/>
  <c r="J16" i="60"/>
  <c r="J12" i="43"/>
  <c r="J16" i="20"/>
  <c r="J7" i="32"/>
  <c r="J22" i="8"/>
  <c r="J16" i="56"/>
  <c r="J19" i="5"/>
  <c r="J20" i="17"/>
  <c r="J17" i="7"/>
  <c r="J8" i="65"/>
  <c r="J22" i="28"/>
  <c r="J8" i="64"/>
  <c r="J17" i="3"/>
  <c r="J18" i="50"/>
  <c r="J13" i="49"/>
  <c r="J40" i="2"/>
  <c r="AR9" i="107" s="1"/>
  <c r="AT9" i="107" s="1"/>
  <c r="J37" i="2"/>
  <c r="AR14" i="43" s="1"/>
  <c r="J36" i="2"/>
  <c r="AR6" i="106" s="1"/>
  <c r="AT6" i="106" s="1"/>
  <c r="J38" i="2"/>
  <c r="J35" i="2"/>
  <c r="AR7" i="106" s="1"/>
  <c r="AT7" i="106" s="1"/>
  <c r="J34" i="2"/>
  <c r="J33" i="2"/>
  <c r="J32" i="2"/>
  <c r="J31" i="2"/>
  <c r="AR15" i="107" s="1"/>
  <c r="AT15" i="107" s="1"/>
  <c r="J30" i="2"/>
  <c r="AR14" i="107" s="1"/>
  <c r="AT14" i="107" s="1"/>
  <c r="J29" i="2"/>
  <c r="J28" i="2"/>
  <c r="J39" i="2"/>
  <c r="J44" i="2"/>
  <c r="J41" i="2"/>
  <c r="J45" i="2"/>
  <c r="J27" i="2"/>
  <c r="AR11" i="58" s="1"/>
  <c r="J26" i="2"/>
  <c r="J25" i="2"/>
  <c r="AR9" i="106" s="1"/>
  <c r="AT9" i="106" s="1"/>
  <c r="J35" i="1"/>
  <c r="J18" i="110" s="1"/>
  <c r="L18" i="110" s="1"/>
  <c r="J49" i="1"/>
  <c r="J55" i="1"/>
  <c r="J8" i="53" s="1"/>
  <c r="J50" i="1"/>
  <c r="J9" i="12" s="1"/>
  <c r="J51" i="1"/>
  <c r="J7" i="113" s="1"/>
  <c r="L7" i="113" s="1"/>
  <c r="J53" i="1"/>
  <c r="J48" i="1"/>
  <c r="J6" i="17" s="1"/>
  <c r="J39" i="1"/>
  <c r="J40" i="1"/>
  <c r="J43" i="1"/>
  <c r="J19" i="109" s="1"/>
  <c r="L19" i="109" s="1"/>
  <c r="J41" i="1"/>
  <c r="J42" i="1"/>
  <c r="J60" i="1"/>
  <c r="J20" i="110" s="1"/>
  <c r="L20" i="110" s="1"/>
  <c r="J52" i="1"/>
  <c r="J57" i="1"/>
  <c r="J21" i="110" s="1"/>
  <c r="L21" i="110" s="1"/>
  <c r="J38" i="1"/>
  <c r="J37" i="1"/>
  <c r="J62" i="1"/>
  <c r="J8" i="106" s="1"/>
  <c r="L8" i="106" s="1"/>
  <c r="J46" i="1"/>
  <c r="J45" i="1"/>
  <c r="J44" i="1"/>
  <c r="J47" i="1"/>
  <c r="J6" i="107" s="1"/>
  <c r="L6" i="107" s="1"/>
  <c r="J56" i="1"/>
  <c r="J58" i="1"/>
  <c r="J102" i="1"/>
  <c r="J101" i="1"/>
  <c r="J100" i="1"/>
  <c r="B95" i="42"/>
  <c r="C95" i="42"/>
  <c r="D95" i="42"/>
  <c r="B96" i="42"/>
  <c r="C96" i="42"/>
  <c r="D96" i="42"/>
  <c r="B97" i="42"/>
  <c r="C97" i="42"/>
  <c r="D97" i="42"/>
  <c r="B98" i="42"/>
  <c r="C98" i="42"/>
  <c r="D98" i="42"/>
  <c r="B99" i="42"/>
  <c r="C99" i="42"/>
  <c r="D99" i="42"/>
  <c r="B100" i="42"/>
  <c r="C100" i="42"/>
  <c r="D100" i="42"/>
  <c r="B101" i="42"/>
  <c r="C101" i="42"/>
  <c r="D101" i="42"/>
  <c r="C94" i="42"/>
  <c r="D94" i="42"/>
  <c r="F95" i="42"/>
  <c r="F96" i="42"/>
  <c r="F97" i="42"/>
  <c r="F98" i="42"/>
  <c r="F99" i="42"/>
  <c r="F100" i="42"/>
  <c r="F101" i="42"/>
  <c r="F94" i="42"/>
  <c r="B94" i="42"/>
  <c r="D65" i="92"/>
  <c r="F87" i="92"/>
  <c r="F88" i="92"/>
  <c r="F89" i="92"/>
  <c r="F90" i="92"/>
  <c r="F91" i="92"/>
  <c r="F92" i="92"/>
  <c r="F93" i="92"/>
  <c r="F94" i="92"/>
  <c r="F95" i="92"/>
  <c r="F96" i="92"/>
  <c r="F97" i="92"/>
  <c r="F98" i="92"/>
  <c r="F99" i="92"/>
  <c r="F100" i="92"/>
  <c r="F86" i="92"/>
  <c r="F66" i="92"/>
  <c r="F67" i="92"/>
  <c r="F68" i="92"/>
  <c r="F69" i="92"/>
  <c r="F70" i="92"/>
  <c r="F71" i="92"/>
  <c r="F72" i="92"/>
  <c r="F73" i="92"/>
  <c r="F74" i="92"/>
  <c r="F75" i="92"/>
  <c r="F76" i="92"/>
  <c r="F77" i="92"/>
  <c r="F78" i="92"/>
  <c r="F79" i="92"/>
  <c r="F65" i="92"/>
  <c r="F133" i="7"/>
  <c r="F134" i="7"/>
  <c r="F135" i="7"/>
  <c r="F136" i="7"/>
  <c r="F137" i="7"/>
  <c r="F138" i="7"/>
  <c r="F139" i="7"/>
  <c r="F140" i="7"/>
  <c r="F141" i="7"/>
  <c r="F142" i="7"/>
  <c r="F143" i="7"/>
  <c r="F144" i="7"/>
  <c r="F145" i="7"/>
  <c r="F146" i="7"/>
  <c r="F132" i="7"/>
  <c r="B133" i="7"/>
  <c r="C133" i="7"/>
  <c r="D133" i="7"/>
  <c r="B134" i="7"/>
  <c r="C134" i="7"/>
  <c r="D134" i="7"/>
  <c r="B135" i="7"/>
  <c r="C135" i="7"/>
  <c r="D135" i="7"/>
  <c r="B136" i="7"/>
  <c r="C136" i="7"/>
  <c r="D136" i="7"/>
  <c r="B137" i="7"/>
  <c r="C137" i="7"/>
  <c r="D137" i="7"/>
  <c r="B138" i="7"/>
  <c r="C138" i="7"/>
  <c r="D138" i="7"/>
  <c r="B139" i="7"/>
  <c r="C139" i="7"/>
  <c r="D139" i="7"/>
  <c r="B140" i="7"/>
  <c r="C140" i="7"/>
  <c r="D140" i="7"/>
  <c r="B141" i="7"/>
  <c r="C141" i="7"/>
  <c r="D141" i="7"/>
  <c r="B142" i="7"/>
  <c r="C142" i="7"/>
  <c r="D142" i="7"/>
  <c r="B143" i="7"/>
  <c r="C143" i="7"/>
  <c r="D143" i="7"/>
  <c r="B144" i="7"/>
  <c r="C144" i="7"/>
  <c r="D144" i="7"/>
  <c r="B145" i="7"/>
  <c r="C145" i="7"/>
  <c r="D145" i="7"/>
  <c r="B146" i="7"/>
  <c r="C146" i="7"/>
  <c r="D146" i="7"/>
  <c r="C132" i="7"/>
  <c r="B132" i="7"/>
  <c r="D51" i="64"/>
  <c r="C51" i="64"/>
  <c r="AR9" i="95" l="1"/>
  <c r="AT9" i="95" s="1"/>
  <c r="AR8" i="106"/>
  <c r="AT8" i="106" s="1"/>
  <c r="AR6" i="107"/>
  <c r="AT6" i="107" s="1"/>
  <c r="AR12" i="108"/>
  <c r="AT12" i="108" s="1"/>
  <c r="AR10" i="95"/>
  <c r="AT10" i="95" s="1"/>
  <c r="AR12" i="106"/>
  <c r="AT12" i="106" s="1"/>
  <c r="AR7" i="107"/>
  <c r="AT7" i="107" s="1"/>
  <c r="AR10" i="107"/>
  <c r="AT10" i="107" s="1"/>
  <c r="AR13" i="106"/>
  <c r="AT13" i="106" s="1"/>
  <c r="AR7" i="101"/>
  <c r="AT7" i="101" s="1"/>
  <c r="AR10" i="108"/>
  <c r="AT10" i="108" s="1"/>
  <c r="AR14" i="100"/>
  <c r="AT14" i="100" s="1"/>
  <c r="AR10" i="106"/>
  <c r="AT10" i="106" s="1"/>
  <c r="AR8" i="111"/>
  <c r="AT8" i="111" s="1"/>
  <c r="AR12" i="107"/>
  <c r="AT12" i="107" s="1"/>
  <c r="AR11" i="107"/>
  <c r="AT11" i="107" s="1"/>
  <c r="AR11" i="106"/>
  <c r="AT11" i="106" s="1"/>
  <c r="AR7" i="111"/>
  <c r="AT7" i="111" s="1"/>
  <c r="AR11" i="108"/>
  <c r="AT11" i="108" s="1"/>
  <c r="W35" i="100"/>
  <c r="AC30" i="100" s="1"/>
  <c r="W28" i="100"/>
  <c r="AD30" i="111"/>
  <c r="J17" i="92"/>
  <c r="J21" i="109"/>
  <c r="L21" i="109" s="1"/>
  <c r="J11" i="92"/>
  <c r="J10" i="109"/>
  <c r="L10" i="109" s="1"/>
  <c r="J9" i="4"/>
  <c r="J20" i="109"/>
  <c r="L20" i="109" s="1"/>
  <c r="J19" i="92"/>
  <c r="J17" i="109"/>
  <c r="L17" i="109" s="1"/>
  <c r="J11" i="109"/>
  <c r="L11" i="109" s="1"/>
  <c r="J8" i="108"/>
  <c r="L8" i="108" s="1"/>
  <c r="J15" i="107"/>
  <c r="L15" i="107" s="1"/>
  <c r="J14" i="115"/>
  <c r="L14" i="115" s="1"/>
  <c r="J7" i="4"/>
  <c r="J18" i="109"/>
  <c r="L18" i="109" s="1"/>
  <c r="J6" i="112"/>
  <c r="L6" i="112" s="1"/>
  <c r="J8" i="109"/>
  <c r="L8" i="109" s="1"/>
  <c r="J23" i="110"/>
  <c r="L23" i="110" s="1"/>
  <c r="J13" i="107"/>
  <c r="L13" i="107" s="1"/>
  <c r="J10" i="108"/>
  <c r="L10" i="108" s="1"/>
  <c r="J8" i="113"/>
  <c r="L8" i="113" s="1"/>
  <c r="S33" i="113" s="1"/>
  <c r="J22" i="110"/>
  <c r="L22" i="110" s="1"/>
  <c r="J9" i="109"/>
  <c r="L9" i="109" s="1"/>
  <c r="J8" i="112"/>
  <c r="L8" i="112" s="1"/>
  <c r="J14" i="107"/>
  <c r="L14" i="107" s="1"/>
  <c r="J13" i="115"/>
  <c r="L13" i="115" s="1"/>
  <c r="J8" i="114"/>
  <c r="L8" i="114" s="1"/>
  <c r="S33" i="114" s="1"/>
  <c r="AC25" i="114" s="1"/>
  <c r="J9" i="112"/>
  <c r="L9" i="112" s="1"/>
  <c r="J7" i="107"/>
  <c r="L7" i="107" s="1"/>
  <c r="J9" i="108"/>
  <c r="L9" i="108" s="1"/>
  <c r="J17" i="110"/>
  <c r="L17" i="110" s="1"/>
  <c r="J12" i="109"/>
  <c r="L12" i="109" s="1"/>
  <c r="J12" i="106"/>
  <c r="L12" i="106" s="1"/>
  <c r="J10" i="97"/>
  <c r="L10" i="97" s="1"/>
  <c r="J10" i="105"/>
  <c r="L10" i="105" s="1"/>
  <c r="AR8" i="100"/>
  <c r="AT8" i="100" s="1"/>
  <c r="AR9" i="101"/>
  <c r="AT9" i="101" s="1"/>
  <c r="AR9" i="102"/>
  <c r="AT9" i="102" s="1"/>
  <c r="AR7" i="99"/>
  <c r="AT7" i="99" s="1"/>
  <c r="AR11" i="102"/>
  <c r="AT11" i="102" s="1"/>
  <c r="AR13" i="100"/>
  <c r="AT13" i="100" s="1"/>
  <c r="AR8" i="101"/>
  <c r="AT8" i="101" s="1"/>
  <c r="J19" i="11"/>
  <c r="J11" i="104"/>
  <c r="L11" i="104" s="1"/>
  <c r="AR9" i="94"/>
  <c r="AT9" i="94" s="1"/>
  <c r="AR8" i="99"/>
  <c r="AT8" i="99" s="1"/>
  <c r="AR13" i="98"/>
  <c r="AT13" i="98" s="1"/>
  <c r="AR6" i="96"/>
  <c r="AT6" i="96" s="1"/>
  <c r="AR10" i="98"/>
  <c r="AT10" i="98" s="1"/>
  <c r="AR6" i="99"/>
  <c r="AT6" i="99" s="1"/>
  <c r="AR7" i="96"/>
  <c r="AT7" i="96" s="1"/>
  <c r="AR7" i="98"/>
  <c r="AT7" i="98" s="1"/>
  <c r="W35" i="98"/>
  <c r="W28" i="98"/>
  <c r="AD30" i="99"/>
  <c r="AR12" i="36"/>
  <c r="AR12" i="95"/>
  <c r="AT12" i="95" s="1"/>
  <c r="AR6" i="94"/>
  <c r="AT6" i="94" s="1"/>
  <c r="AR8" i="95"/>
  <c r="AT8" i="95" s="1"/>
  <c r="AR7" i="94"/>
  <c r="AT7" i="94" s="1"/>
  <c r="AD30" i="94"/>
  <c r="AR10" i="36"/>
  <c r="AR10" i="59"/>
  <c r="AR10" i="30"/>
  <c r="AT10" i="30" s="1"/>
  <c r="AR10" i="49"/>
  <c r="AR10" i="19"/>
  <c r="AR8" i="36"/>
  <c r="AR12" i="30"/>
  <c r="AT12" i="30" s="1"/>
  <c r="AR12" i="59"/>
  <c r="AR12" i="49"/>
  <c r="AR12" i="19"/>
  <c r="AR11" i="36"/>
  <c r="AR11" i="19"/>
  <c r="AR11" i="30"/>
  <c r="AT11" i="30" s="1"/>
  <c r="AR11" i="59"/>
  <c r="AR11" i="49"/>
  <c r="J16" i="4"/>
  <c r="J16" i="37"/>
  <c r="J18" i="92"/>
  <c r="J8" i="4"/>
  <c r="J10" i="92"/>
  <c r="J12" i="4"/>
  <c r="J6" i="4"/>
  <c r="AR15" i="25"/>
  <c r="AR12" i="47"/>
  <c r="AR9" i="57"/>
  <c r="AR9" i="18"/>
  <c r="AR9" i="28"/>
  <c r="AR6" i="60"/>
  <c r="AR6" i="58"/>
  <c r="AR6" i="29"/>
  <c r="AR11" i="28"/>
  <c r="AR11" i="57"/>
  <c r="AR7" i="58"/>
  <c r="AR7" i="29"/>
  <c r="AR7" i="60"/>
  <c r="AR13" i="3"/>
  <c r="AR15" i="17"/>
  <c r="AR14" i="17"/>
  <c r="AR8" i="29"/>
  <c r="AR12" i="3"/>
  <c r="AR12" i="9"/>
  <c r="AR6" i="18"/>
  <c r="AR6" i="28"/>
  <c r="AR12" i="25"/>
  <c r="AR8" i="79"/>
  <c r="AR8" i="60"/>
  <c r="AR13" i="37"/>
  <c r="AR14" i="58"/>
  <c r="AR6" i="57"/>
  <c r="AR8" i="47"/>
  <c r="AR12" i="6"/>
  <c r="AR12" i="29"/>
  <c r="AR11" i="9"/>
  <c r="AR9" i="79"/>
  <c r="AR12" i="58"/>
  <c r="AR7" i="18"/>
  <c r="AR7" i="28"/>
  <c r="AR13" i="25"/>
  <c r="AR7" i="57"/>
  <c r="AR12" i="60"/>
  <c r="AR9" i="47"/>
  <c r="AR15" i="18"/>
  <c r="AR15" i="28"/>
  <c r="AR14" i="25"/>
  <c r="AR15" i="57"/>
  <c r="AR14" i="28"/>
  <c r="AR14" i="57"/>
  <c r="AR14" i="18"/>
  <c r="AR16" i="79"/>
  <c r="AR11" i="25"/>
  <c r="AR12" i="21"/>
  <c r="AR10" i="9"/>
  <c r="AR12" i="61"/>
  <c r="AT12" i="61" s="1"/>
  <c r="AR12" i="37"/>
  <c r="AR13" i="58"/>
  <c r="AR10" i="18"/>
  <c r="AR13" i="29"/>
  <c r="AR10" i="28"/>
  <c r="AR13" i="60"/>
  <c r="AR10" i="57"/>
  <c r="AR12" i="28"/>
  <c r="AR12" i="57"/>
  <c r="AR15" i="43"/>
  <c r="AR10" i="41"/>
  <c r="AR10" i="25"/>
  <c r="AR10" i="58"/>
  <c r="AR10" i="56"/>
  <c r="AR10" i="37"/>
  <c r="AR10" i="47"/>
  <c r="AR10" i="53"/>
  <c r="AR10" i="21"/>
  <c r="AR10" i="29"/>
  <c r="AR10" i="79"/>
  <c r="AR10" i="70"/>
  <c r="AR10" i="3"/>
  <c r="AR10" i="26"/>
  <c r="AR10" i="60"/>
  <c r="AR10" i="8"/>
  <c r="AR10" i="61"/>
  <c r="AT10" i="61" s="1"/>
  <c r="AR12" i="18"/>
  <c r="AR10" i="15"/>
  <c r="AR10" i="69"/>
  <c r="AR13" i="9"/>
  <c r="AR10" i="6"/>
  <c r="AR10" i="17"/>
  <c r="AR16" i="43"/>
  <c r="AR11" i="79"/>
  <c r="AR11" i="37"/>
  <c r="AR11" i="21"/>
  <c r="AR17" i="43"/>
  <c r="AR11" i="41"/>
  <c r="AR11" i="61"/>
  <c r="AT11" i="61" s="1"/>
  <c r="AR11" i="60"/>
  <c r="AR11" i="8"/>
  <c r="AR11" i="15"/>
  <c r="AR11" i="29"/>
  <c r="AR11" i="70"/>
  <c r="AR14" i="9"/>
  <c r="AR11" i="53"/>
  <c r="AR11" i="6"/>
  <c r="AR11" i="26"/>
  <c r="AR11" i="56"/>
  <c r="AR11" i="47"/>
  <c r="AR11" i="17"/>
  <c r="AR11" i="69"/>
  <c r="AR11" i="3"/>
  <c r="AR9" i="58"/>
  <c r="AR9" i="60"/>
  <c r="AR9" i="29"/>
  <c r="J17" i="58"/>
  <c r="J24" i="11"/>
  <c r="J12" i="92"/>
  <c r="J16" i="11"/>
  <c r="J13" i="92"/>
  <c r="J17" i="11"/>
  <c r="J37" i="30"/>
  <c r="J38" i="5"/>
  <c r="J9" i="92"/>
  <c r="J18" i="11"/>
  <c r="J7" i="53"/>
  <c r="J9" i="21"/>
  <c r="J6" i="51"/>
  <c r="J14" i="4"/>
  <c r="J11" i="66"/>
  <c r="J14" i="70"/>
  <c r="J13" i="59"/>
  <c r="J19" i="57"/>
  <c r="J24" i="28"/>
  <c r="J29" i="15"/>
  <c r="J21" i="33"/>
  <c r="J12" i="23"/>
  <c r="J24" i="57"/>
  <c r="J24" i="5"/>
  <c r="J8" i="17"/>
  <c r="J8" i="66"/>
  <c r="J27" i="15"/>
  <c r="J12" i="59"/>
  <c r="J20" i="33"/>
  <c r="J22" i="57"/>
  <c r="J21" i="17"/>
  <c r="J22" i="5"/>
  <c r="J9" i="17"/>
  <c r="J12" i="31"/>
  <c r="J12" i="20"/>
  <c r="J15" i="65"/>
  <c r="J12" i="7"/>
  <c r="J18" i="58"/>
  <c r="J11" i="32"/>
  <c r="J13" i="62"/>
  <c r="J13" i="48"/>
  <c r="J12" i="60"/>
  <c r="J19" i="29"/>
  <c r="J23" i="5"/>
  <c r="J23" i="57"/>
  <c r="J26" i="15"/>
  <c r="J18" i="33"/>
  <c r="J23" i="70"/>
  <c r="J24" i="17"/>
  <c r="J20" i="15"/>
  <c r="J10" i="47"/>
  <c r="J16" i="59"/>
  <c r="J14" i="17"/>
  <c r="J16" i="18"/>
  <c r="J9" i="57"/>
  <c r="J13" i="15"/>
  <c r="J13" i="85"/>
  <c r="J12" i="70"/>
  <c r="J12" i="28"/>
  <c r="J18" i="47"/>
  <c r="J17" i="33"/>
  <c r="J20" i="57"/>
  <c r="J28" i="15"/>
  <c r="J20" i="5"/>
  <c r="J14" i="19"/>
  <c r="J13" i="67"/>
  <c r="J9" i="46"/>
  <c r="J10" i="39"/>
  <c r="J18" i="87"/>
  <c r="J10" i="62"/>
  <c r="J9" i="7"/>
  <c r="J14" i="31"/>
  <c r="J13" i="69"/>
  <c r="J9" i="20"/>
  <c r="J13" i="68"/>
  <c r="J10" i="86"/>
  <c r="J11" i="21"/>
  <c r="J9" i="89"/>
  <c r="J12" i="32"/>
  <c r="J14" i="55"/>
  <c r="J14" i="65"/>
  <c r="J12" i="45"/>
  <c r="J14" i="40"/>
  <c r="J9" i="60"/>
  <c r="J10" i="43"/>
  <c r="J13" i="24"/>
  <c r="J12" i="12"/>
  <c r="J14" i="13"/>
  <c r="J19" i="50"/>
  <c r="J11" i="49"/>
  <c r="J12" i="44"/>
  <c r="J14" i="33"/>
  <c r="J10" i="48"/>
  <c r="J15" i="5"/>
  <c r="J21" i="8"/>
  <c r="J18" i="29"/>
  <c r="J14" i="85"/>
  <c r="J10" i="16"/>
  <c r="J10" i="14"/>
  <c r="J11" i="64"/>
  <c r="J10" i="38"/>
  <c r="J10" i="54"/>
  <c r="J9" i="58"/>
  <c r="J10" i="42"/>
  <c r="J9" i="6"/>
  <c r="J11" i="30"/>
  <c r="J21" i="57"/>
  <c r="J21" i="5"/>
  <c r="J19" i="33"/>
  <c r="J11" i="59"/>
  <c r="J7" i="17"/>
  <c r="J11" i="3"/>
  <c r="J9" i="10"/>
  <c r="J9" i="32"/>
  <c r="J12" i="14"/>
  <c r="J12" i="15"/>
  <c r="J10" i="7"/>
  <c r="J10" i="20"/>
  <c r="J23" i="17"/>
  <c r="J10" i="21"/>
  <c r="J10" i="23"/>
  <c r="J9" i="35"/>
  <c r="J15" i="28"/>
  <c r="J11" i="29"/>
  <c r="J11" i="31"/>
  <c r="J6" i="34"/>
  <c r="J10" i="58"/>
  <c r="J12" i="38"/>
  <c r="J11" i="47"/>
  <c r="J11" i="48"/>
  <c r="J7" i="51"/>
  <c r="J12" i="54"/>
  <c r="J11" i="62"/>
  <c r="J14" i="67"/>
  <c r="J10" i="60"/>
  <c r="J13" i="65"/>
  <c r="J6" i="66"/>
  <c r="J11" i="85"/>
  <c r="J11" i="70"/>
  <c r="J10" i="32"/>
  <c r="J12" i="3"/>
  <c r="J12" i="29"/>
  <c r="J10" i="31"/>
  <c r="J12" i="65"/>
  <c r="J13" i="23"/>
  <c r="J22" i="17"/>
  <c r="J19" i="47"/>
  <c r="J16" i="28"/>
  <c r="J12" i="62"/>
  <c r="J12" i="48"/>
  <c r="J11" i="60"/>
  <c r="J8" i="34"/>
  <c r="J11" i="58"/>
  <c r="J9" i="51"/>
  <c r="J12" i="66"/>
  <c r="J11" i="20"/>
  <c r="J17" i="70"/>
  <c r="J11" i="7"/>
  <c r="J11" i="15"/>
  <c r="J13" i="3"/>
  <c r="J8" i="58"/>
  <c r="J14" i="87"/>
  <c r="J14" i="28"/>
  <c r="J10" i="59"/>
  <c r="J8" i="25"/>
  <c r="J12" i="85"/>
  <c r="J8" i="19"/>
  <c r="J13" i="87"/>
  <c r="J8" i="21"/>
  <c r="J7" i="39"/>
  <c r="J8" i="49"/>
  <c r="J7" i="89"/>
  <c r="J10" i="50"/>
  <c r="J16" i="29"/>
  <c r="J21" i="50"/>
  <c r="J17" i="26"/>
  <c r="J12" i="51"/>
  <c r="J9" i="52"/>
  <c r="J16" i="23"/>
  <c r="J11" i="54"/>
  <c r="J13" i="55"/>
  <c r="J12" i="56"/>
  <c r="J14" i="57"/>
  <c r="J12" i="21"/>
  <c r="J19" i="20"/>
  <c r="J13" i="20"/>
  <c r="J9" i="39"/>
  <c r="J16" i="17"/>
  <c r="J15" i="62"/>
  <c r="J16" i="61"/>
  <c r="J12" i="67"/>
  <c r="J18" i="18"/>
  <c r="J9" i="34"/>
  <c r="J13" i="19"/>
  <c r="J15" i="58"/>
  <c r="J17" i="16"/>
  <c r="J11" i="16"/>
  <c r="J10" i="6"/>
  <c r="J16" i="15"/>
  <c r="J11" i="14"/>
  <c r="J13" i="13"/>
  <c r="J11" i="12"/>
  <c r="J13" i="40"/>
  <c r="J12" i="69"/>
  <c r="J13" i="60"/>
  <c r="J12" i="64"/>
  <c r="J6" i="10"/>
  <c r="J18" i="65"/>
  <c r="J8" i="89"/>
  <c r="J16" i="45"/>
  <c r="J13" i="66"/>
  <c r="J8" i="83"/>
  <c r="J12" i="68"/>
  <c r="J11" i="46"/>
  <c r="J11" i="42"/>
  <c r="J12" i="30"/>
  <c r="J11" i="38"/>
  <c r="J12" i="24"/>
  <c r="J16" i="85"/>
  <c r="J8" i="82"/>
  <c r="J19" i="87"/>
  <c r="J20" i="8"/>
  <c r="J17" i="47"/>
  <c r="J19" i="70"/>
  <c r="J19" i="7"/>
  <c r="J13" i="7"/>
  <c r="J21" i="28"/>
  <c r="J25" i="33"/>
  <c r="J6" i="35"/>
  <c r="J15" i="48"/>
  <c r="J26" i="5"/>
  <c r="J11" i="43"/>
  <c r="J11" i="33"/>
  <c r="J10" i="49"/>
  <c r="J18" i="5"/>
  <c r="J17" i="27"/>
  <c r="J13" i="4"/>
  <c r="J16" i="44"/>
  <c r="J16" i="3"/>
  <c r="J14" i="32"/>
  <c r="J13" i="50"/>
  <c r="J9" i="43"/>
  <c r="J9" i="69"/>
  <c r="J10" i="12"/>
  <c r="J11" i="50"/>
  <c r="J15" i="85"/>
  <c r="J11" i="69"/>
  <c r="J17" i="15"/>
  <c r="J12" i="41"/>
  <c r="J8" i="39"/>
  <c r="J6" i="61"/>
  <c r="J13" i="61"/>
  <c r="J10" i="69"/>
  <c r="J12" i="50"/>
  <c r="J122" i="80"/>
  <c r="O130" i="1"/>
  <c r="K130" i="1"/>
  <c r="N130" i="1" s="1"/>
  <c r="V35" i="111" l="1"/>
  <c r="V35" i="108"/>
  <c r="AA30" i="108" s="1"/>
  <c r="V35" i="106"/>
  <c r="AA30" i="106" s="1"/>
  <c r="V35" i="107"/>
  <c r="AA30" i="107" s="1"/>
  <c r="S35" i="115"/>
  <c r="AC25" i="115" s="1"/>
  <c r="AA30" i="113"/>
  <c r="AC30" i="113" s="1"/>
  <c r="AC25" i="113" s="1"/>
  <c r="T33" i="113"/>
  <c r="AB30" i="112"/>
  <c r="AC30" i="112" s="1"/>
  <c r="AC25" i="112" s="1"/>
  <c r="T35" i="108"/>
  <c r="V35" i="96"/>
  <c r="AA30" i="96" s="1"/>
  <c r="AE30" i="96" s="1"/>
  <c r="AC25" i="96" s="1"/>
  <c r="T33" i="105"/>
  <c r="AC25" i="105" s="1"/>
  <c r="S33" i="105"/>
  <c r="V35" i="102"/>
  <c r="U35" i="102" s="1"/>
  <c r="V35" i="100"/>
  <c r="V35" i="101"/>
  <c r="V35" i="98"/>
  <c r="V35" i="99"/>
  <c r="AC30" i="98"/>
  <c r="V35" i="95"/>
  <c r="V35" i="94"/>
  <c r="V35" i="61"/>
  <c r="J55" i="80"/>
  <c r="F113" i="50"/>
  <c r="F114" i="50"/>
  <c r="F115" i="50"/>
  <c r="F116" i="50"/>
  <c r="F117" i="50"/>
  <c r="F118" i="50"/>
  <c r="F119" i="50"/>
  <c r="F120" i="50"/>
  <c r="F121" i="50"/>
  <c r="F122" i="50"/>
  <c r="F123" i="50"/>
  <c r="F124" i="50"/>
  <c r="F125" i="50"/>
  <c r="F126" i="50"/>
  <c r="F127" i="50"/>
  <c r="F128" i="50"/>
  <c r="B113" i="50"/>
  <c r="C113" i="50"/>
  <c r="D113" i="50"/>
  <c r="B114" i="50"/>
  <c r="C114" i="50"/>
  <c r="D114" i="50"/>
  <c r="B115" i="50"/>
  <c r="C115" i="50"/>
  <c r="D115" i="50"/>
  <c r="B116" i="50"/>
  <c r="C116" i="50"/>
  <c r="D116" i="50"/>
  <c r="B117" i="50"/>
  <c r="C117" i="50"/>
  <c r="D117" i="50"/>
  <c r="B118" i="50"/>
  <c r="C118" i="50"/>
  <c r="D118" i="50"/>
  <c r="B119" i="50"/>
  <c r="C119" i="50"/>
  <c r="D119" i="50"/>
  <c r="B120" i="50"/>
  <c r="C120" i="50"/>
  <c r="D120" i="50"/>
  <c r="B121" i="50"/>
  <c r="C121" i="50"/>
  <c r="D121" i="50"/>
  <c r="B122" i="50"/>
  <c r="C122" i="50"/>
  <c r="D122" i="50"/>
  <c r="B123" i="50"/>
  <c r="C123" i="50"/>
  <c r="D123" i="50"/>
  <c r="B124" i="50"/>
  <c r="C124" i="50"/>
  <c r="D124" i="50"/>
  <c r="B125" i="50"/>
  <c r="C125" i="50"/>
  <c r="D125" i="50"/>
  <c r="B126" i="50"/>
  <c r="C126" i="50"/>
  <c r="D126" i="50"/>
  <c r="B127" i="50"/>
  <c r="C127" i="50"/>
  <c r="D127" i="50"/>
  <c r="B128" i="50"/>
  <c r="C128" i="50"/>
  <c r="D128" i="50"/>
  <c r="F112" i="50"/>
  <c r="C112" i="50"/>
  <c r="B112" i="50"/>
  <c r="D51" i="92"/>
  <c r="R44" i="92" s="1"/>
  <c r="U44" i="92" s="1"/>
  <c r="W44" i="92" s="1"/>
  <c r="C51" i="92"/>
  <c r="D100" i="92"/>
  <c r="C100" i="92"/>
  <c r="B100" i="92"/>
  <c r="D99" i="92"/>
  <c r="C99" i="92"/>
  <c r="B99" i="92"/>
  <c r="D98" i="92"/>
  <c r="C98" i="92"/>
  <c r="B98" i="92"/>
  <c r="D97" i="92"/>
  <c r="C97" i="92"/>
  <c r="B97" i="92"/>
  <c r="D96" i="92"/>
  <c r="C96" i="92"/>
  <c r="B96" i="92"/>
  <c r="D95" i="92"/>
  <c r="C95" i="92"/>
  <c r="B95" i="92"/>
  <c r="D94" i="92"/>
  <c r="C94" i="92"/>
  <c r="B94" i="92"/>
  <c r="D93" i="92"/>
  <c r="C93" i="92"/>
  <c r="B93" i="92"/>
  <c r="D92" i="92"/>
  <c r="C92" i="92"/>
  <c r="B92" i="92"/>
  <c r="D91" i="92"/>
  <c r="C91" i="92"/>
  <c r="B91" i="92"/>
  <c r="D90" i="92"/>
  <c r="C90" i="92"/>
  <c r="B90" i="92"/>
  <c r="D89" i="92"/>
  <c r="C89" i="92"/>
  <c r="B89" i="92"/>
  <c r="D88" i="92"/>
  <c r="C88" i="92"/>
  <c r="B88" i="92"/>
  <c r="D87" i="92"/>
  <c r="C87" i="92"/>
  <c r="B87" i="92"/>
  <c r="C86" i="92"/>
  <c r="B86" i="92"/>
  <c r="D79" i="92"/>
  <c r="C79" i="92"/>
  <c r="B79" i="92"/>
  <c r="D78" i="92"/>
  <c r="C78" i="92"/>
  <c r="B78" i="92"/>
  <c r="D77" i="92"/>
  <c r="C77" i="92"/>
  <c r="B77" i="92"/>
  <c r="D76" i="92"/>
  <c r="C76" i="92"/>
  <c r="B76" i="92"/>
  <c r="D75" i="92"/>
  <c r="C75" i="92"/>
  <c r="B75" i="92"/>
  <c r="D74" i="92"/>
  <c r="C74" i="92"/>
  <c r="B74" i="92"/>
  <c r="D73" i="92"/>
  <c r="C73" i="92"/>
  <c r="B73" i="92"/>
  <c r="D72" i="92"/>
  <c r="C72" i="92"/>
  <c r="B72" i="92"/>
  <c r="D71" i="92"/>
  <c r="C71" i="92"/>
  <c r="B71" i="92"/>
  <c r="D70" i="92"/>
  <c r="C70" i="92"/>
  <c r="B70" i="92"/>
  <c r="D69" i="92"/>
  <c r="C69" i="92"/>
  <c r="B69" i="92"/>
  <c r="D68" i="92"/>
  <c r="C68" i="92"/>
  <c r="B68" i="92"/>
  <c r="D67" i="92"/>
  <c r="C67" i="92"/>
  <c r="B67" i="92"/>
  <c r="D66" i="92"/>
  <c r="C66" i="92"/>
  <c r="B66" i="92"/>
  <c r="C65" i="92"/>
  <c r="B65" i="92"/>
  <c r="B66" i="89"/>
  <c r="C66" i="89"/>
  <c r="D66" i="89"/>
  <c r="F66" i="89"/>
  <c r="B67" i="89"/>
  <c r="C67" i="89"/>
  <c r="D67" i="89"/>
  <c r="F67" i="89"/>
  <c r="B68" i="89"/>
  <c r="C68" i="89"/>
  <c r="D68" i="89"/>
  <c r="F68" i="89"/>
  <c r="B69" i="89"/>
  <c r="C69" i="89"/>
  <c r="D69" i="89"/>
  <c r="F69" i="89"/>
  <c r="F65" i="89"/>
  <c r="C65" i="89"/>
  <c r="D65" i="89"/>
  <c r="B65" i="89"/>
  <c r="D51" i="89"/>
  <c r="C51" i="89"/>
  <c r="J3" i="80"/>
  <c r="E37" i="3"/>
  <c r="L9" i="2"/>
  <c r="K9" i="2"/>
  <c r="L7" i="2"/>
  <c r="K7" i="2"/>
  <c r="L37" i="2"/>
  <c r="K37" i="2"/>
  <c r="J114" i="80"/>
  <c r="J115" i="80"/>
  <c r="J116" i="80"/>
  <c r="J117" i="80"/>
  <c r="J125" i="80"/>
  <c r="J121" i="80"/>
  <c r="O115" i="80" s="1"/>
  <c r="J113" i="80"/>
  <c r="J108" i="80"/>
  <c r="O93" i="80" s="1"/>
  <c r="J103" i="80"/>
  <c r="J104" i="80"/>
  <c r="J105" i="80"/>
  <c r="J106" i="80"/>
  <c r="J100" i="80"/>
  <c r="O95" i="80" s="1"/>
  <c r="J102" i="80"/>
  <c r="J93" i="80"/>
  <c r="J94" i="80"/>
  <c r="J92" i="80"/>
  <c r="J85" i="80"/>
  <c r="J86" i="80"/>
  <c r="J84" i="80"/>
  <c r="J71" i="80"/>
  <c r="J72" i="80"/>
  <c r="J73" i="80"/>
  <c r="J74" i="80"/>
  <c r="J75" i="80"/>
  <c r="J70" i="80"/>
  <c r="J62" i="80"/>
  <c r="O45" i="80" s="1"/>
  <c r="J59" i="80"/>
  <c r="O47" i="80" s="1"/>
  <c r="J54" i="80"/>
  <c r="J53" i="80"/>
  <c r="J45" i="80"/>
  <c r="J46" i="80"/>
  <c r="J47" i="80"/>
  <c r="J48" i="80"/>
  <c r="J49" i="80"/>
  <c r="J50" i="80"/>
  <c r="J39" i="80"/>
  <c r="O27" i="80" s="1"/>
  <c r="J36" i="80"/>
  <c r="O26" i="80" s="1"/>
  <c r="J32" i="80"/>
  <c r="J31" i="80"/>
  <c r="J25" i="80"/>
  <c r="J26" i="80"/>
  <c r="J27" i="80"/>
  <c r="J24" i="80"/>
  <c r="J16" i="80"/>
  <c r="O5" i="80" s="1"/>
  <c r="J12" i="80"/>
  <c r="J13" i="80"/>
  <c r="J11" i="80"/>
  <c r="J4" i="80"/>
  <c r="J5" i="80"/>
  <c r="J6" i="80"/>
  <c r="J7" i="80"/>
  <c r="G144" i="16"/>
  <c r="E144" i="16"/>
  <c r="K117" i="1"/>
  <c r="K112" i="1"/>
  <c r="G90" i="66"/>
  <c r="E90" i="66"/>
  <c r="G107" i="66"/>
  <c r="E107" i="66"/>
  <c r="E123" i="66"/>
  <c r="G123" i="66"/>
  <c r="G155" i="66"/>
  <c r="G139" i="66"/>
  <c r="E155" i="66"/>
  <c r="E139" i="66"/>
  <c r="D55" i="11"/>
  <c r="D54" i="11"/>
  <c r="D53" i="11"/>
  <c r="G75" i="66"/>
  <c r="E75" i="66"/>
  <c r="E119" i="51"/>
  <c r="E138" i="51"/>
  <c r="G138" i="51"/>
  <c r="G119" i="51"/>
  <c r="G98" i="51"/>
  <c r="E98" i="51"/>
  <c r="C98" i="51"/>
  <c r="G79" i="51"/>
  <c r="C79" i="51" s="1"/>
  <c r="E79" i="51"/>
  <c r="E37" i="79"/>
  <c r="D51" i="42"/>
  <c r="C51" i="42"/>
  <c r="D5" i="36"/>
  <c r="G95" i="35"/>
  <c r="C95" i="35" s="1"/>
  <c r="E95" i="35"/>
  <c r="G81" i="35"/>
  <c r="E81" i="35"/>
  <c r="C81" i="35"/>
  <c r="G71" i="35"/>
  <c r="E71" i="35"/>
  <c r="G98" i="34"/>
  <c r="E98" i="34"/>
  <c r="G84" i="34"/>
  <c r="E84" i="34"/>
  <c r="G72" i="34"/>
  <c r="E72" i="34"/>
  <c r="D51" i="31"/>
  <c r="C51" i="31"/>
  <c r="C144" i="16"/>
  <c r="B144" i="16"/>
  <c r="B101" i="10"/>
  <c r="C101" i="10"/>
  <c r="D101" i="10"/>
  <c r="B102" i="10"/>
  <c r="C102" i="10"/>
  <c r="D102" i="10"/>
  <c r="B103" i="10"/>
  <c r="C103" i="10"/>
  <c r="D103" i="10"/>
  <c r="B104" i="10"/>
  <c r="C104" i="10"/>
  <c r="D104" i="10"/>
  <c r="C100" i="10"/>
  <c r="F101" i="10"/>
  <c r="F102" i="10"/>
  <c r="F103" i="10"/>
  <c r="F104" i="10"/>
  <c r="F100" i="10"/>
  <c r="B100" i="10"/>
  <c r="U35" i="111" l="1"/>
  <c r="AA30" i="111"/>
  <c r="AE30" i="111" s="1"/>
  <c r="AC25" i="111" s="1"/>
  <c r="U35" i="108"/>
  <c r="AC30" i="108"/>
  <c r="AE30" i="108" s="1"/>
  <c r="AC25" i="108" s="1"/>
  <c r="U35" i="96"/>
  <c r="O3" i="80"/>
  <c r="O4" i="80"/>
  <c r="O92" i="80"/>
  <c r="O70" i="80"/>
  <c r="O113" i="80"/>
  <c r="O94" i="80"/>
  <c r="O71" i="80"/>
  <c r="AA30" i="102"/>
  <c r="AC25" i="102" s="1"/>
  <c r="O25" i="80"/>
  <c r="O44" i="80"/>
  <c r="O24" i="80"/>
  <c r="AA30" i="100"/>
  <c r="AE30" i="100" s="1"/>
  <c r="AC25" i="100" s="1"/>
  <c r="U35" i="100"/>
  <c r="AA30" i="98"/>
  <c r="AE30" i="98" s="1"/>
  <c r="AC25" i="98" s="1"/>
  <c r="U35" i="98"/>
  <c r="U35" i="101"/>
  <c r="AA30" i="101"/>
  <c r="AE30" i="101" s="1"/>
  <c r="AC25" i="101" s="1"/>
  <c r="U35" i="99"/>
  <c r="AA30" i="99"/>
  <c r="AE30" i="99" s="1"/>
  <c r="AC25" i="99" s="1"/>
  <c r="AA30" i="95"/>
  <c r="AC25" i="95" s="1"/>
  <c r="U35" i="95"/>
  <c r="U35" i="94"/>
  <c r="AA30" i="94"/>
  <c r="AE30" i="94" s="1"/>
  <c r="AC25" i="94" s="1"/>
  <c r="O114" i="80"/>
  <c r="O46" i="80"/>
  <c r="D86" i="92"/>
  <c r="J51" i="92"/>
  <c r="I51" i="92" s="1"/>
  <c r="H51" i="92" s="1"/>
  <c r="V44" i="92"/>
  <c r="J52" i="92"/>
  <c r="T30" i="92"/>
  <c r="E1" i="89"/>
  <c r="T29" i="89"/>
  <c r="T28" i="89"/>
  <c r="N9" i="2"/>
  <c r="O9" i="2"/>
  <c r="N7" i="2"/>
  <c r="O7" i="2"/>
  <c r="N37" i="2"/>
  <c r="O37" i="2"/>
  <c r="N112" i="1"/>
  <c r="O117" i="1"/>
  <c r="N117" i="1"/>
  <c r="O112" i="1"/>
  <c r="C90" i="66"/>
  <c r="F37" i="79"/>
  <c r="C155" i="66"/>
  <c r="C139" i="66"/>
  <c r="C123" i="66"/>
  <c r="C107" i="66"/>
  <c r="C75" i="66"/>
  <c r="C138" i="51"/>
  <c r="C119" i="51"/>
  <c r="T28" i="39"/>
  <c r="T29" i="39"/>
  <c r="C71" i="35"/>
  <c r="C98" i="34"/>
  <c r="C84" i="34"/>
  <c r="C72" i="34"/>
  <c r="H144" i="16"/>
  <c r="AO1" i="53"/>
  <c r="G1" i="89" l="1"/>
  <c r="I1" i="89" s="1"/>
  <c r="D52" i="89"/>
  <c r="B71" i="89" s="1"/>
  <c r="J53" i="92"/>
  <c r="B81" i="92" s="1"/>
  <c r="I52" i="92"/>
  <c r="H52" i="92" s="1"/>
  <c r="U30" i="92"/>
  <c r="T30" i="89"/>
  <c r="H37" i="79"/>
  <c r="T30" i="39"/>
  <c r="D51" i="38"/>
  <c r="D51" i="39"/>
  <c r="C51" i="39"/>
  <c r="D51" i="40"/>
  <c r="D51" i="24"/>
  <c r="D51" i="14"/>
  <c r="D51" i="13"/>
  <c r="C51" i="13"/>
  <c r="D51" i="12"/>
  <c r="C51" i="12"/>
  <c r="D51" i="82"/>
  <c r="C51" i="82"/>
  <c r="B132" i="16"/>
  <c r="C132" i="16"/>
  <c r="D132" i="16"/>
  <c r="F132" i="16"/>
  <c r="G132" i="16"/>
  <c r="B133" i="16"/>
  <c r="C133" i="16"/>
  <c r="D133" i="16"/>
  <c r="F133" i="16"/>
  <c r="B134" i="16"/>
  <c r="C134" i="16"/>
  <c r="D134" i="16"/>
  <c r="F134" i="16"/>
  <c r="B135" i="16"/>
  <c r="C135" i="16"/>
  <c r="D135" i="16"/>
  <c r="F135" i="16"/>
  <c r="G135" i="16"/>
  <c r="B136" i="16"/>
  <c r="C136" i="16"/>
  <c r="D136" i="16"/>
  <c r="F136" i="16"/>
  <c r="B137" i="16"/>
  <c r="C137" i="16"/>
  <c r="D137" i="16"/>
  <c r="F137" i="16"/>
  <c r="G137" i="16"/>
  <c r="B138" i="16"/>
  <c r="C138" i="16"/>
  <c r="D138" i="16"/>
  <c r="F138" i="16"/>
  <c r="G138" i="16"/>
  <c r="B139" i="16"/>
  <c r="C139" i="16"/>
  <c r="D139" i="16"/>
  <c r="F139" i="16"/>
  <c r="B140" i="16"/>
  <c r="C140" i="16"/>
  <c r="D140" i="16"/>
  <c r="G140" i="16" s="1"/>
  <c r="F140" i="16"/>
  <c r="B141" i="16"/>
  <c r="C141" i="16"/>
  <c r="D141" i="16"/>
  <c r="F141" i="16"/>
  <c r="G141" i="16"/>
  <c r="B142" i="16"/>
  <c r="C142" i="16"/>
  <c r="D142" i="16"/>
  <c r="F142" i="16"/>
  <c r="B114" i="16"/>
  <c r="C114" i="16"/>
  <c r="D114" i="16"/>
  <c r="F114" i="16"/>
  <c r="B115" i="16"/>
  <c r="C115" i="16"/>
  <c r="D115" i="16"/>
  <c r="F115" i="16"/>
  <c r="B116" i="16"/>
  <c r="C116" i="16"/>
  <c r="D116" i="16"/>
  <c r="F116" i="16"/>
  <c r="B117" i="16"/>
  <c r="C117" i="16"/>
  <c r="D117" i="16"/>
  <c r="F117" i="16"/>
  <c r="B118" i="16"/>
  <c r="C118" i="16"/>
  <c r="D118" i="16"/>
  <c r="F118" i="16"/>
  <c r="B119" i="16"/>
  <c r="C119" i="16"/>
  <c r="D119" i="16"/>
  <c r="F119" i="16"/>
  <c r="B120" i="16"/>
  <c r="C120" i="16"/>
  <c r="D120" i="16"/>
  <c r="F120" i="16"/>
  <c r="B121" i="16"/>
  <c r="C121" i="16"/>
  <c r="D121" i="16"/>
  <c r="F121" i="16"/>
  <c r="B99" i="16"/>
  <c r="C99" i="16"/>
  <c r="D99" i="16"/>
  <c r="F99" i="16"/>
  <c r="B95" i="16"/>
  <c r="C95" i="16"/>
  <c r="D95" i="16"/>
  <c r="F95" i="16"/>
  <c r="B96" i="16"/>
  <c r="C96" i="16"/>
  <c r="D96" i="16"/>
  <c r="F96" i="16"/>
  <c r="B97" i="16"/>
  <c r="C97" i="16"/>
  <c r="D97" i="16"/>
  <c r="F97" i="16"/>
  <c r="B98" i="16"/>
  <c r="C98" i="16"/>
  <c r="D98" i="16"/>
  <c r="F98" i="16"/>
  <c r="B78" i="16"/>
  <c r="C78" i="16"/>
  <c r="D78" i="16"/>
  <c r="F78" i="16"/>
  <c r="B79" i="16"/>
  <c r="C79" i="16"/>
  <c r="D79" i="16"/>
  <c r="F79" i="16"/>
  <c r="B75" i="16"/>
  <c r="C75" i="16"/>
  <c r="D75" i="16"/>
  <c r="F75" i="16"/>
  <c r="B76" i="16"/>
  <c r="C76" i="16"/>
  <c r="D76" i="16"/>
  <c r="F76" i="16"/>
  <c r="B77" i="16"/>
  <c r="C77" i="16"/>
  <c r="D77" i="16"/>
  <c r="F77" i="16"/>
  <c r="E38" i="70"/>
  <c r="F38" i="70" s="1"/>
  <c r="E37" i="70"/>
  <c r="F37" i="70" s="1"/>
  <c r="H37" i="70" s="1"/>
  <c r="E37" i="69"/>
  <c r="F37" i="69" s="1"/>
  <c r="H37" i="69" s="1"/>
  <c r="E1" i="92" l="1"/>
  <c r="K37" i="70"/>
  <c r="L37" i="70" s="1"/>
  <c r="K37" i="69"/>
  <c r="L37" i="69" s="1"/>
  <c r="W35" i="69" s="1"/>
  <c r="W28" i="69"/>
  <c r="W32" i="69" s="1"/>
  <c r="K37" i="79"/>
  <c r="L37" i="79" s="1"/>
  <c r="W35" i="79" s="1"/>
  <c r="W28" i="79"/>
  <c r="W32" i="79" s="1"/>
  <c r="I53" i="92"/>
  <c r="H53" i="92"/>
  <c r="J54" i="92"/>
  <c r="B102" i="92" s="1"/>
  <c r="E6" i="89"/>
  <c r="G6" i="89" s="1"/>
  <c r="H6" i="89" s="1"/>
  <c r="K6" i="89" s="1"/>
  <c r="L6" i="89" s="1"/>
  <c r="E7" i="89"/>
  <c r="G7" i="89" s="1"/>
  <c r="H7" i="89" s="1"/>
  <c r="K7" i="89" s="1"/>
  <c r="L7" i="89" s="1"/>
  <c r="E8" i="89"/>
  <c r="G8" i="89" s="1"/>
  <c r="H8" i="89" s="1"/>
  <c r="K8" i="89" s="1"/>
  <c r="L8" i="89" s="1"/>
  <c r="E9" i="89"/>
  <c r="G9" i="89" s="1"/>
  <c r="H9" i="89" s="1"/>
  <c r="K9" i="89" s="1"/>
  <c r="L9" i="89" s="1"/>
  <c r="E10" i="89"/>
  <c r="G10" i="89" s="1"/>
  <c r="H10" i="89" s="1"/>
  <c r="K10" i="89" s="1"/>
  <c r="L10" i="89" s="1"/>
  <c r="C52" i="89"/>
  <c r="C51" i="38"/>
  <c r="H132" i="16"/>
  <c r="H138" i="16"/>
  <c r="G133" i="16"/>
  <c r="H133" i="16" s="1"/>
  <c r="G139" i="16"/>
  <c r="H139" i="16" s="1"/>
  <c r="H141" i="16"/>
  <c r="G136" i="16"/>
  <c r="H136" i="16" s="1"/>
  <c r="H140" i="16"/>
  <c r="G134" i="16"/>
  <c r="H134" i="16" s="1"/>
  <c r="G142" i="16"/>
  <c r="H142" i="16" s="1"/>
  <c r="H135" i="16"/>
  <c r="H137" i="16"/>
  <c r="H38" i="70"/>
  <c r="K38" i="70" s="1"/>
  <c r="L38" i="70" s="1"/>
  <c r="D51" i="54"/>
  <c r="D51" i="55"/>
  <c r="C51" i="55"/>
  <c r="G1" i="92" l="1"/>
  <c r="D52" i="92"/>
  <c r="W28" i="70"/>
  <c r="W32" i="70" s="1"/>
  <c r="W35" i="70"/>
  <c r="E66" i="89"/>
  <c r="E67" i="89"/>
  <c r="E68" i="89"/>
  <c r="E69" i="89"/>
  <c r="E65" i="89"/>
  <c r="S31" i="89"/>
  <c r="T31" i="89" s="1"/>
  <c r="AC25" i="89" s="1"/>
  <c r="H54" i="92"/>
  <c r="E65" i="92"/>
  <c r="G65" i="92" s="1"/>
  <c r="H65" i="92" s="1"/>
  <c r="I54" i="92"/>
  <c r="J55" i="92"/>
  <c r="I55" i="92" s="1"/>
  <c r="C53" i="89"/>
  <c r="E38" i="66"/>
  <c r="E37" i="66"/>
  <c r="E37" i="62"/>
  <c r="E38" i="60"/>
  <c r="E37" i="60"/>
  <c r="E37" i="59"/>
  <c r="E38" i="57"/>
  <c r="E37" i="57"/>
  <c r="E37" i="56"/>
  <c r="E38" i="49"/>
  <c r="E37" i="49"/>
  <c r="F37" i="49" s="1"/>
  <c r="H37" i="49" s="1"/>
  <c r="E38" i="48"/>
  <c r="E37" i="48"/>
  <c r="E37" i="47"/>
  <c r="E37" i="46"/>
  <c r="E37" i="44"/>
  <c r="E37" i="43"/>
  <c r="E37" i="41"/>
  <c r="F37" i="41" s="1"/>
  <c r="H37" i="41" s="1"/>
  <c r="D51" i="68"/>
  <c r="C51" i="83"/>
  <c r="D51" i="83"/>
  <c r="B79" i="42"/>
  <c r="C79" i="42"/>
  <c r="D79" i="42"/>
  <c r="F79" i="42"/>
  <c r="B80" i="42"/>
  <c r="C80" i="42"/>
  <c r="D80" i="42"/>
  <c r="F80" i="42"/>
  <c r="B81" i="42"/>
  <c r="C81" i="42"/>
  <c r="D81" i="42"/>
  <c r="F81" i="42"/>
  <c r="B82" i="42"/>
  <c r="C82" i="42"/>
  <c r="D82" i="42"/>
  <c r="F82" i="42"/>
  <c r="B83" i="42"/>
  <c r="C83" i="42"/>
  <c r="D83" i="42"/>
  <c r="F83" i="42"/>
  <c r="B84" i="42"/>
  <c r="C84" i="42"/>
  <c r="D84" i="42"/>
  <c r="F84" i="42"/>
  <c r="B85" i="42"/>
  <c r="C85" i="42"/>
  <c r="D85" i="42"/>
  <c r="F85" i="42"/>
  <c r="B86" i="42"/>
  <c r="C86" i="42"/>
  <c r="D86" i="42"/>
  <c r="F86" i="42"/>
  <c r="AN10" i="1"/>
  <c r="AN9" i="1"/>
  <c r="AN8" i="1"/>
  <c r="AN7" i="1"/>
  <c r="AN6" i="1"/>
  <c r="AN4" i="1"/>
  <c r="AN3" i="1"/>
  <c r="E37" i="35"/>
  <c r="E38" i="33"/>
  <c r="E37" i="33"/>
  <c r="E37" i="32"/>
  <c r="E38" i="30"/>
  <c r="E37" i="30"/>
  <c r="E37" i="29"/>
  <c r="E38" i="28"/>
  <c r="E37" i="28"/>
  <c r="E39" i="26"/>
  <c r="E38" i="26"/>
  <c r="E37" i="26"/>
  <c r="E37" i="25"/>
  <c r="E37" i="7"/>
  <c r="E38" i="5"/>
  <c r="E37" i="5"/>
  <c r="E37" i="6"/>
  <c r="E38" i="4"/>
  <c r="E37" i="4"/>
  <c r="E38" i="8"/>
  <c r="E37" i="8"/>
  <c r="E38" i="9"/>
  <c r="E37" i="9"/>
  <c r="E37" i="10"/>
  <c r="E37" i="15"/>
  <c r="E37" i="19"/>
  <c r="E37" i="18"/>
  <c r="E38" i="20"/>
  <c r="E37" i="20"/>
  <c r="E38" i="23"/>
  <c r="E37" i="23"/>
  <c r="Q5" i="16"/>
  <c r="E7" i="92" l="1"/>
  <c r="G7" i="92" s="1"/>
  <c r="H7" i="92" s="1"/>
  <c r="K7" i="92" s="1"/>
  <c r="L7" i="92" s="1"/>
  <c r="E13" i="92"/>
  <c r="G13" i="92" s="1"/>
  <c r="H13" i="92" s="1"/>
  <c r="K13" i="92" s="1"/>
  <c r="L13" i="92" s="1"/>
  <c r="I1" i="92"/>
  <c r="C52" i="92" s="1"/>
  <c r="C53" i="92" s="1"/>
  <c r="E15" i="92"/>
  <c r="G15" i="92" s="1"/>
  <c r="H15" i="92" s="1"/>
  <c r="K15" i="92" s="1"/>
  <c r="E10" i="92"/>
  <c r="G10" i="92" s="1"/>
  <c r="H10" i="92" s="1"/>
  <c r="K10" i="92" s="1"/>
  <c r="L10" i="92" s="1"/>
  <c r="E12" i="92"/>
  <c r="G12" i="92" s="1"/>
  <c r="H12" i="92" s="1"/>
  <c r="K12" i="92" s="1"/>
  <c r="L12" i="92" s="1"/>
  <c r="E5" i="92"/>
  <c r="G5" i="92" s="1"/>
  <c r="H5" i="92" s="1"/>
  <c r="K5" i="92" s="1"/>
  <c r="L5" i="92" s="1"/>
  <c r="S33" i="92" s="1"/>
  <c r="AA21" i="92" s="1"/>
  <c r="E17" i="92"/>
  <c r="G17" i="92" s="1"/>
  <c r="H17" i="92" s="1"/>
  <c r="K17" i="92" s="1"/>
  <c r="L17" i="92" s="1"/>
  <c r="E11" i="92"/>
  <c r="G11" i="92" s="1"/>
  <c r="H11" i="92" s="1"/>
  <c r="K11" i="92" s="1"/>
  <c r="L11" i="92" s="1"/>
  <c r="E6" i="92"/>
  <c r="G6" i="92" s="1"/>
  <c r="H6" i="92" s="1"/>
  <c r="K6" i="92" s="1"/>
  <c r="L6" i="92" s="1"/>
  <c r="E9" i="92"/>
  <c r="G9" i="92" s="1"/>
  <c r="H9" i="92" s="1"/>
  <c r="K9" i="92" s="1"/>
  <c r="L9" i="92" s="1"/>
  <c r="E8" i="92"/>
  <c r="G8" i="92" s="1"/>
  <c r="H8" i="92" s="1"/>
  <c r="K8" i="92" s="1"/>
  <c r="L8" i="92" s="1"/>
  <c r="E19" i="92"/>
  <c r="G19" i="92" s="1"/>
  <c r="H19" i="92" s="1"/>
  <c r="K19" i="92" s="1"/>
  <c r="L19" i="92" s="1"/>
  <c r="E18" i="92"/>
  <c r="G18" i="92" s="1"/>
  <c r="H18" i="92" s="1"/>
  <c r="K18" i="92" s="1"/>
  <c r="L18" i="92" s="1"/>
  <c r="E16" i="92"/>
  <c r="G16" i="92" s="1"/>
  <c r="H16" i="92" s="1"/>
  <c r="K16" i="92" s="1"/>
  <c r="E14" i="92"/>
  <c r="G14" i="92" s="1"/>
  <c r="H14" i="92" s="1"/>
  <c r="K14" i="92" s="1"/>
  <c r="L14" i="92" s="1"/>
  <c r="K37" i="49"/>
  <c r="L37" i="49" s="1"/>
  <c r="K37" i="41"/>
  <c r="L37" i="41" s="1"/>
  <c r="W35" i="41" s="1"/>
  <c r="W28" i="41"/>
  <c r="W32" i="41" s="1"/>
  <c r="E86" i="92"/>
  <c r="G86" i="92" s="1"/>
  <c r="H86" i="92" s="1"/>
  <c r="H55" i="92"/>
  <c r="G66" i="89"/>
  <c r="H66" i="89" s="1"/>
  <c r="G67" i="89"/>
  <c r="H67" i="89" s="1"/>
  <c r="G69" i="89"/>
  <c r="H69" i="89" s="1"/>
  <c r="D53" i="89"/>
  <c r="C54" i="89"/>
  <c r="Q6" i="16"/>
  <c r="F38" i="66"/>
  <c r="H38" i="66" s="1"/>
  <c r="K38" i="66" s="1"/>
  <c r="L38" i="66" s="1"/>
  <c r="F37" i="66"/>
  <c r="H37" i="66" s="1"/>
  <c r="F37" i="62"/>
  <c r="H37" i="62" s="1"/>
  <c r="F38" i="60"/>
  <c r="H38" i="60" s="1"/>
  <c r="K38" i="60" s="1"/>
  <c r="L38" i="60" s="1"/>
  <c r="F37" i="60"/>
  <c r="H37" i="60" s="1"/>
  <c r="F37" i="59"/>
  <c r="H37" i="59" s="1"/>
  <c r="W28" i="59" s="1"/>
  <c r="W32" i="59" s="1"/>
  <c r="F38" i="57"/>
  <c r="H38" i="57" s="1"/>
  <c r="K38" i="57" s="1"/>
  <c r="L38" i="57" s="1"/>
  <c r="F37" i="57"/>
  <c r="H37" i="57" s="1"/>
  <c r="F37" i="56"/>
  <c r="H37" i="56" s="1"/>
  <c r="F38" i="49"/>
  <c r="H38" i="49" s="1"/>
  <c r="V28" i="49" s="1"/>
  <c r="V32" i="49" s="1"/>
  <c r="F38" i="48"/>
  <c r="H38" i="48" s="1"/>
  <c r="K38" i="48" s="1"/>
  <c r="L38" i="48" s="1"/>
  <c r="F37" i="48"/>
  <c r="F37" i="47"/>
  <c r="H37" i="47" s="1"/>
  <c r="F37" i="46"/>
  <c r="H37" i="46" s="1"/>
  <c r="F37" i="44"/>
  <c r="H37" i="44" s="1"/>
  <c r="F37" i="43"/>
  <c r="F38" i="9"/>
  <c r="H38" i="9" s="1"/>
  <c r="K38" i="9" s="1"/>
  <c r="L38" i="9" s="1"/>
  <c r="F37" i="23"/>
  <c r="H37" i="23" s="1"/>
  <c r="F38" i="23"/>
  <c r="H38" i="23" s="1"/>
  <c r="K38" i="23" s="1"/>
  <c r="L38" i="23" s="1"/>
  <c r="F37" i="35"/>
  <c r="H37" i="35" s="1"/>
  <c r="K37" i="35" s="1"/>
  <c r="L37" i="35" s="1"/>
  <c r="F38" i="33"/>
  <c r="H38" i="33" s="1"/>
  <c r="K38" i="33" s="1"/>
  <c r="L38" i="33" s="1"/>
  <c r="F37" i="33"/>
  <c r="H37" i="33" s="1"/>
  <c r="F37" i="32"/>
  <c r="H37" i="32" s="1"/>
  <c r="F38" i="30"/>
  <c r="H38" i="30" s="1"/>
  <c r="K38" i="30" s="1"/>
  <c r="L38" i="30" s="1"/>
  <c r="F37" i="30"/>
  <c r="H37" i="30" s="1"/>
  <c r="F37" i="29"/>
  <c r="H37" i="29" s="1"/>
  <c r="F38" i="28"/>
  <c r="H38" i="28" s="1"/>
  <c r="K38" i="28" s="1"/>
  <c r="L38" i="28" s="1"/>
  <c r="F37" i="28"/>
  <c r="H37" i="28" s="1"/>
  <c r="F39" i="26"/>
  <c r="H39" i="26" s="1"/>
  <c r="K39" i="26" s="1"/>
  <c r="L39" i="26" s="1"/>
  <c r="F38" i="26"/>
  <c r="H38" i="26" s="1"/>
  <c r="K38" i="26" s="1"/>
  <c r="L38" i="26" s="1"/>
  <c r="F37" i="26"/>
  <c r="H37" i="26" s="1"/>
  <c r="F37" i="25"/>
  <c r="H37" i="25" s="1"/>
  <c r="F37" i="7"/>
  <c r="H37" i="7" s="1"/>
  <c r="F38" i="5"/>
  <c r="H38" i="5" s="1"/>
  <c r="K38" i="5" s="1"/>
  <c r="L38" i="5" s="1"/>
  <c r="F37" i="5"/>
  <c r="H37" i="5" s="1"/>
  <c r="K37" i="5" s="1"/>
  <c r="L37" i="5" s="1"/>
  <c r="V35" i="5" s="1"/>
  <c r="F37" i="6"/>
  <c r="H37" i="6" s="1"/>
  <c r="F38" i="4"/>
  <c r="H38" i="4" s="1"/>
  <c r="K38" i="4" s="1"/>
  <c r="F37" i="4"/>
  <c r="H37" i="4" s="1"/>
  <c r="K37" i="4" s="1"/>
  <c r="L37" i="4" s="1"/>
  <c r="F37" i="3"/>
  <c r="H37" i="3" s="1"/>
  <c r="F38" i="8"/>
  <c r="H38" i="8" s="1"/>
  <c r="K38" i="8" s="1"/>
  <c r="L38" i="8" s="1"/>
  <c r="F37" i="8"/>
  <c r="H37" i="8" s="1"/>
  <c r="F37" i="9"/>
  <c r="H37" i="9" s="1"/>
  <c r="F37" i="10"/>
  <c r="H37" i="10" s="1"/>
  <c r="K37" i="10" s="1"/>
  <c r="F37" i="15"/>
  <c r="H37" i="15" s="1"/>
  <c r="F37" i="19"/>
  <c r="H37" i="19" s="1"/>
  <c r="F37" i="18"/>
  <c r="H37" i="18" s="1"/>
  <c r="F38" i="20"/>
  <c r="H38" i="20" s="1"/>
  <c r="K38" i="20" s="1"/>
  <c r="L38" i="20" s="1"/>
  <c r="F37" i="20"/>
  <c r="H37" i="20" s="1"/>
  <c r="E76" i="92" l="1"/>
  <c r="G76" i="92" s="1"/>
  <c r="H76" i="92" s="1"/>
  <c r="E75" i="92"/>
  <c r="G75" i="92" s="1"/>
  <c r="H75" i="92" s="1"/>
  <c r="E77" i="92"/>
  <c r="G77" i="92" s="1"/>
  <c r="H77" i="92" s="1"/>
  <c r="E78" i="92"/>
  <c r="G78" i="92" s="1"/>
  <c r="H78" i="92" s="1"/>
  <c r="E79" i="92"/>
  <c r="G79" i="92" s="1"/>
  <c r="H79" i="92" s="1"/>
  <c r="E74" i="92"/>
  <c r="G74" i="92" s="1"/>
  <c r="H74" i="92" s="1"/>
  <c r="E73" i="92"/>
  <c r="G73" i="92" s="1"/>
  <c r="H73" i="92" s="1"/>
  <c r="E72" i="92"/>
  <c r="G72" i="92" s="1"/>
  <c r="H72" i="92" s="1"/>
  <c r="E71" i="92"/>
  <c r="G71" i="92" s="1"/>
  <c r="H71" i="92" s="1"/>
  <c r="E70" i="92"/>
  <c r="G70" i="92" s="1"/>
  <c r="H70" i="92" s="1"/>
  <c r="E69" i="92"/>
  <c r="G69" i="92" s="1"/>
  <c r="H69" i="92" s="1"/>
  <c r="E68" i="92"/>
  <c r="G68" i="92" s="1"/>
  <c r="H68" i="92" s="1"/>
  <c r="E67" i="92"/>
  <c r="G67" i="92" s="1"/>
  <c r="H67" i="92" s="1"/>
  <c r="E66" i="92"/>
  <c r="G66" i="92" s="1"/>
  <c r="H66" i="92" s="1"/>
  <c r="C54" i="92"/>
  <c r="D53" i="92"/>
  <c r="K38" i="49"/>
  <c r="L38" i="49" s="1"/>
  <c r="V35" i="49" s="1"/>
  <c r="K37" i="66"/>
  <c r="U28" i="66"/>
  <c r="U30" i="66" s="1"/>
  <c r="K37" i="62"/>
  <c r="L37" i="62" s="1"/>
  <c r="V35" i="62" s="1"/>
  <c r="V28" i="62"/>
  <c r="V32" i="62" s="1"/>
  <c r="K37" i="59"/>
  <c r="L37" i="59" s="1"/>
  <c r="W35" i="59" s="1"/>
  <c r="K37" i="57"/>
  <c r="L37" i="57" s="1"/>
  <c r="W35" i="57" s="1"/>
  <c r="W28" i="57"/>
  <c r="W32" i="57" s="1"/>
  <c r="K37" i="56"/>
  <c r="L37" i="56" s="1"/>
  <c r="W35" i="56" s="1"/>
  <c r="W28" i="56"/>
  <c r="W32" i="56" s="1"/>
  <c r="H37" i="48"/>
  <c r="K37" i="48" s="1"/>
  <c r="L37" i="48" s="1"/>
  <c r="V35" i="48" s="1"/>
  <c r="V28" i="48"/>
  <c r="V32" i="48" s="1"/>
  <c r="K37" i="47"/>
  <c r="L37" i="47" s="1"/>
  <c r="W35" i="47" s="1"/>
  <c r="W28" i="47"/>
  <c r="W32" i="47" s="1"/>
  <c r="K37" i="46"/>
  <c r="L37" i="46" s="1"/>
  <c r="V35" i="46" s="1"/>
  <c r="AC30" i="46" s="1"/>
  <c r="V28" i="46"/>
  <c r="V32" i="46" s="1"/>
  <c r="K37" i="44"/>
  <c r="L37" i="44" s="1"/>
  <c r="V35" i="44" s="1"/>
  <c r="V28" i="44"/>
  <c r="V32" i="44" s="1"/>
  <c r="H37" i="43"/>
  <c r="X28" i="43"/>
  <c r="K37" i="33"/>
  <c r="L37" i="33" s="1"/>
  <c r="V35" i="33" s="1"/>
  <c r="V28" i="33"/>
  <c r="V32" i="33" s="1"/>
  <c r="K37" i="32"/>
  <c r="L37" i="32" s="1"/>
  <c r="V35" i="32" s="1"/>
  <c r="V28" i="32"/>
  <c r="V32" i="32" s="1"/>
  <c r="K37" i="26"/>
  <c r="L37" i="26" s="1"/>
  <c r="W35" i="26" s="1"/>
  <c r="W28" i="26"/>
  <c r="W32" i="26" s="1"/>
  <c r="K37" i="25"/>
  <c r="L37" i="25" s="1"/>
  <c r="W35" i="25" s="1"/>
  <c r="AD30" i="25" s="1"/>
  <c r="W28" i="25"/>
  <c r="W32" i="25" s="1"/>
  <c r="K37" i="23"/>
  <c r="L37" i="23" s="1"/>
  <c r="U33" i="23" s="1"/>
  <c r="U28" i="23"/>
  <c r="U30" i="23" s="1"/>
  <c r="K37" i="7"/>
  <c r="L37" i="7" s="1"/>
  <c r="V35" i="7" s="1"/>
  <c r="V28" i="7"/>
  <c r="V32" i="7" s="1"/>
  <c r="K37" i="60"/>
  <c r="L37" i="60" s="1"/>
  <c r="W35" i="60" s="1"/>
  <c r="AE30" i="60" s="1"/>
  <c r="W28" i="60"/>
  <c r="W32" i="60" s="1"/>
  <c r="K37" i="20"/>
  <c r="L37" i="20" s="1"/>
  <c r="V35" i="20" s="1"/>
  <c r="V28" i="20"/>
  <c r="V32" i="20" s="1"/>
  <c r="K37" i="18"/>
  <c r="L37" i="18" s="1"/>
  <c r="W35" i="18" s="1"/>
  <c r="W28" i="18"/>
  <c r="W32" i="18" s="1"/>
  <c r="K37" i="6"/>
  <c r="L37" i="6" s="1"/>
  <c r="W35" i="6" s="1"/>
  <c r="W28" i="6"/>
  <c r="W32" i="6" s="1"/>
  <c r="K37" i="19"/>
  <c r="L37" i="19" s="1"/>
  <c r="V35" i="19" s="1"/>
  <c r="V28" i="19"/>
  <c r="V32" i="19" s="1"/>
  <c r="K37" i="28"/>
  <c r="L37" i="28" s="1"/>
  <c r="W35" i="28" s="1" a="1"/>
  <c r="W28" i="28"/>
  <c r="W32" i="28" s="1"/>
  <c r="K37" i="9"/>
  <c r="L37" i="9" s="1"/>
  <c r="W35" i="9" s="1"/>
  <c r="AE30" i="9" s="1"/>
  <c r="W28" i="9"/>
  <c r="W32" i="9" s="1"/>
  <c r="K37" i="29"/>
  <c r="L37" i="29" s="1"/>
  <c r="W35" i="29" s="1"/>
  <c r="W28" i="29"/>
  <c r="W32" i="29" s="1"/>
  <c r="K37" i="8"/>
  <c r="L37" i="8" s="1"/>
  <c r="W35" i="8" s="1"/>
  <c r="AE30" i="8" s="1"/>
  <c r="W28" i="8"/>
  <c r="W32" i="8" s="1"/>
  <c r="K37" i="30"/>
  <c r="L37" i="30" s="1"/>
  <c r="W35" i="30" s="1"/>
  <c r="W28" i="30"/>
  <c r="W32" i="30" s="1"/>
  <c r="L37" i="10"/>
  <c r="U33" i="10" s="1"/>
  <c r="U28" i="10"/>
  <c r="U30" i="10" s="1"/>
  <c r="K37" i="15"/>
  <c r="L37" i="15" s="1"/>
  <c r="W35" i="15" s="1"/>
  <c r="W28" i="15"/>
  <c r="W32" i="15" s="1"/>
  <c r="K37" i="3"/>
  <c r="L37" i="3" s="1"/>
  <c r="W35" i="3" s="1"/>
  <c r="W28" i="3"/>
  <c r="W32" i="3" s="1"/>
  <c r="G68" i="89"/>
  <c r="H68" i="89" s="1"/>
  <c r="G65" i="89"/>
  <c r="H65" i="89" s="1"/>
  <c r="D54" i="89"/>
  <c r="C55" i="89"/>
  <c r="T30" i="33"/>
  <c r="S30" i="27"/>
  <c r="S30" i="16"/>
  <c r="U30" i="4"/>
  <c r="U28" i="4"/>
  <c r="B96" i="56"/>
  <c r="C96" i="56"/>
  <c r="D96" i="56"/>
  <c r="F96" i="56"/>
  <c r="B97" i="56"/>
  <c r="C97" i="56"/>
  <c r="D97" i="56"/>
  <c r="F97" i="56"/>
  <c r="B76" i="56"/>
  <c r="C76" i="56"/>
  <c r="D76" i="56"/>
  <c r="F76" i="56"/>
  <c r="B77" i="56"/>
  <c r="C77" i="56"/>
  <c r="D77" i="56"/>
  <c r="F77" i="56"/>
  <c r="U53" i="52"/>
  <c r="D5" i="79"/>
  <c r="B125" i="51"/>
  <c r="C125" i="51"/>
  <c r="D125" i="51"/>
  <c r="B126" i="51"/>
  <c r="C126" i="51"/>
  <c r="D126" i="51"/>
  <c r="B127" i="51"/>
  <c r="C127" i="51"/>
  <c r="D127" i="51"/>
  <c r="B128" i="51"/>
  <c r="C128" i="51"/>
  <c r="D128" i="51"/>
  <c r="B129" i="51"/>
  <c r="C129" i="51"/>
  <c r="D129" i="51"/>
  <c r="B130" i="51"/>
  <c r="C130" i="51"/>
  <c r="D130" i="51"/>
  <c r="B131" i="51"/>
  <c r="C131" i="51"/>
  <c r="D131" i="51"/>
  <c r="B132" i="51"/>
  <c r="C132" i="51"/>
  <c r="D132" i="51"/>
  <c r="B133" i="51"/>
  <c r="C133" i="51"/>
  <c r="D133" i="51"/>
  <c r="B134" i="51"/>
  <c r="C134" i="51"/>
  <c r="D134" i="51"/>
  <c r="B135" i="51"/>
  <c r="C135" i="51"/>
  <c r="D135" i="51"/>
  <c r="B136" i="51"/>
  <c r="C136" i="51"/>
  <c r="D136" i="51"/>
  <c r="C124" i="51"/>
  <c r="F125" i="51"/>
  <c r="F126" i="51"/>
  <c r="F127" i="51"/>
  <c r="F128" i="51"/>
  <c r="F129" i="51"/>
  <c r="F130" i="51"/>
  <c r="F131" i="51"/>
  <c r="F132" i="51"/>
  <c r="F133" i="51"/>
  <c r="F134" i="51"/>
  <c r="F135" i="51"/>
  <c r="F136" i="51"/>
  <c r="F124" i="51"/>
  <c r="B124" i="51"/>
  <c r="F89" i="50"/>
  <c r="F90" i="50"/>
  <c r="F91" i="50"/>
  <c r="F92" i="50"/>
  <c r="F93" i="50"/>
  <c r="F94" i="50"/>
  <c r="F95" i="50"/>
  <c r="F96" i="50"/>
  <c r="F97" i="50"/>
  <c r="F98" i="50"/>
  <c r="F99" i="50"/>
  <c r="F100" i="50"/>
  <c r="F101" i="50"/>
  <c r="F102" i="50"/>
  <c r="F103" i="50"/>
  <c r="F104" i="50"/>
  <c r="F107" i="48"/>
  <c r="F108" i="48"/>
  <c r="F109" i="48"/>
  <c r="F110" i="48"/>
  <c r="F111" i="48"/>
  <c r="F112" i="48"/>
  <c r="F113" i="48"/>
  <c r="F114" i="48"/>
  <c r="F115" i="48"/>
  <c r="F116" i="48"/>
  <c r="F117" i="48"/>
  <c r="F118" i="48"/>
  <c r="F106" i="48"/>
  <c r="B107" i="48"/>
  <c r="C107" i="48"/>
  <c r="D107" i="48"/>
  <c r="B108" i="48"/>
  <c r="C108" i="48"/>
  <c r="D108" i="48"/>
  <c r="B109" i="48"/>
  <c r="C109" i="48"/>
  <c r="D109" i="48"/>
  <c r="B110" i="48"/>
  <c r="C110" i="48"/>
  <c r="D110" i="48"/>
  <c r="B111" i="48"/>
  <c r="C111" i="48"/>
  <c r="D111" i="48"/>
  <c r="B112" i="48"/>
  <c r="C112" i="48"/>
  <c r="D112" i="48"/>
  <c r="B113" i="48"/>
  <c r="C113" i="48"/>
  <c r="D113" i="48"/>
  <c r="B114" i="48"/>
  <c r="C114" i="48"/>
  <c r="D114" i="48"/>
  <c r="B115" i="48"/>
  <c r="C115" i="48"/>
  <c r="D115" i="48"/>
  <c r="B116" i="48"/>
  <c r="C116" i="48"/>
  <c r="D116" i="48"/>
  <c r="B117" i="48"/>
  <c r="C117" i="48"/>
  <c r="D117" i="48"/>
  <c r="B118" i="48"/>
  <c r="C118" i="48"/>
  <c r="D118" i="48"/>
  <c r="C106" i="48"/>
  <c r="B106" i="48"/>
  <c r="S31" i="42"/>
  <c r="T31" i="42" s="1"/>
  <c r="T30" i="42"/>
  <c r="T30" i="43"/>
  <c r="T30" i="48"/>
  <c r="U28" i="43"/>
  <c r="D94" i="33"/>
  <c r="D95" i="33"/>
  <c r="D96" i="33"/>
  <c r="D97" i="33"/>
  <c r="D98" i="33"/>
  <c r="D99" i="33"/>
  <c r="D100" i="33"/>
  <c r="D101" i="33"/>
  <c r="D102" i="33"/>
  <c r="D103" i="33"/>
  <c r="D104" i="33"/>
  <c r="D105" i="33"/>
  <c r="D106" i="33"/>
  <c r="D107" i="33"/>
  <c r="D108" i="33"/>
  <c r="D109" i="33"/>
  <c r="D110" i="33"/>
  <c r="D111" i="33"/>
  <c r="D112" i="33"/>
  <c r="V40" i="33"/>
  <c r="R12" i="32"/>
  <c r="R13" i="32" s="1"/>
  <c r="F101" i="32"/>
  <c r="F92" i="31"/>
  <c r="F93" i="31"/>
  <c r="F94" i="31"/>
  <c r="F95" i="31"/>
  <c r="F96" i="31"/>
  <c r="F97" i="31"/>
  <c r="F98" i="31"/>
  <c r="F99" i="31"/>
  <c r="F100" i="31"/>
  <c r="F101" i="31"/>
  <c r="F102" i="31"/>
  <c r="F103" i="31"/>
  <c r="F104" i="31"/>
  <c r="F105" i="31"/>
  <c r="F106" i="31"/>
  <c r="F107" i="31"/>
  <c r="F108" i="31"/>
  <c r="F109" i="31"/>
  <c r="F91" i="31"/>
  <c r="B92" i="31"/>
  <c r="C92" i="31"/>
  <c r="D92" i="31"/>
  <c r="B93" i="31"/>
  <c r="C93" i="31"/>
  <c r="D93" i="31"/>
  <c r="B94" i="31"/>
  <c r="C94" i="31"/>
  <c r="D94" i="31"/>
  <c r="B95" i="31"/>
  <c r="C95" i="31"/>
  <c r="D95" i="31"/>
  <c r="B96" i="31"/>
  <c r="C96" i="31"/>
  <c r="D96" i="31"/>
  <c r="B97" i="31"/>
  <c r="C97" i="31"/>
  <c r="D97" i="31"/>
  <c r="B98" i="31"/>
  <c r="C98" i="31"/>
  <c r="D98" i="31"/>
  <c r="B99" i="31"/>
  <c r="C99" i="31"/>
  <c r="D99" i="31"/>
  <c r="B100" i="31"/>
  <c r="C100" i="31"/>
  <c r="D100" i="31"/>
  <c r="B101" i="31"/>
  <c r="C101" i="31"/>
  <c r="D101" i="31"/>
  <c r="B102" i="31"/>
  <c r="C102" i="31"/>
  <c r="D102" i="31"/>
  <c r="B103" i="31"/>
  <c r="C103" i="31"/>
  <c r="D103" i="31"/>
  <c r="B104" i="31"/>
  <c r="C104" i="31"/>
  <c r="D104" i="31"/>
  <c r="B105" i="31"/>
  <c r="C105" i="31"/>
  <c r="D105" i="31"/>
  <c r="B106" i="31"/>
  <c r="C106" i="31"/>
  <c r="D106" i="31"/>
  <c r="B107" i="31"/>
  <c r="C107" i="31"/>
  <c r="D107" i="31"/>
  <c r="B108" i="31"/>
  <c r="C108" i="31"/>
  <c r="D108" i="31"/>
  <c r="B109" i="31"/>
  <c r="C109" i="31"/>
  <c r="D109" i="31"/>
  <c r="C91" i="31"/>
  <c r="D91" i="31"/>
  <c r="B91" i="31"/>
  <c r="C51" i="26"/>
  <c r="F148" i="23"/>
  <c r="F149" i="23"/>
  <c r="F150" i="23"/>
  <c r="F151" i="23"/>
  <c r="F152" i="23"/>
  <c r="F153" i="23"/>
  <c r="F154" i="23"/>
  <c r="F155" i="23"/>
  <c r="F156" i="23"/>
  <c r="F157" i="23"/>
  <c r="F158" i="23"/>
  <c r="F159" i="23"/>
  <c r="F160" i="23"/>
  <c r="F147" i="23"/>
  <c r="B160" i="23"/>
  <c r="C160" i="23"/>
  <c r="D160" i="23"/>
  <c r="B148" i="23"/>
  <c r="C148" i="23"/>
  <c r="D148" i="23"/>
  <c r="B149" i="23"/>
  <c r="C149" i="23"/>
  <c r="D149" i="23"/>
  <c r="B150" i="23"/>
  <c r="C150" i="23"/>
  <c r="D150" i="23"/>
  <c r="B151" i="23"/>
  <c r="C151" i="23"/>
  <c r="D151" i="23"/>
  <c r="B152" i="23"/>
  <c r="C152" i="23"/>
  <c r="D152" i="23"/>
  <c r="B153" i="23"/>
  <c r="C153" i="23"/>
  <c r="D153" i="23"/>
  <c r="B154" i="23"/>
  <c r="C154" i="23"/>
  <c r="D154" i="23"/>
  <c r="B155" i="23"/>
  <c r="C155" i="23"/>
  <c r="D155" i="23"/>
  <c r="B156" i="23"/>
  <c r="C156" i="23"/>
  <c r="D156" i="23"/>
  <c r="B157" i="23"/>
  <c r="C157" i="23"/>
  <c r="D157" i="23"/>
  <c r="B158" i="23"/>
  <c r="C158" i="23"/>
  <c r="D158" i="23"/>
  <c r="B159" i="23"/>
  <c r="C159" i="23"/>
  <c r="D159" i="23"/>
  <c r="C147" i="23"/>
  <c r="B147" i="23"/>
  <c r="C51" i="69"/>
  <c r="B128" i="23"/>
  <c r="C128" i="23"/>
  <c r="D128" i="23"/>
  <c r="B129" i="23"/>
  <c r="C129" i="23"/>
  <c r="D129" i="23"/>
  <c r="B130" i="23"/>
  <c r="C130" i="23"/>
  <c r="D130" i="23"/>
  <c r="B131" i="23"/>
  <c r="C131" i="23"/>
  <c r="D131" i="23"/>
  <c r="B132" i="23"/>
  <c r="C132" i="23"/>
  <c r="D132" i="23"/>
  <c r="B133" i="23"/>
  <c r="C133" i="23"/>
  <c r="D133" i="23"/>
  <c r="B134" i="23"/>
  <c r="C134" i="23"/>
  <c r="D134" i="23"/>
  <c r="B135" i="23"/>
  <c r="C135" i="23"/>
  <c r="D135" i="23"/>
  <c r="B136" i="23"/>
  <c r="C136" i="23"/>
  <c r="D136" i="23"/>
  <c r="B137" i="23"/>
  <c r="C137" i="23"/>
  <c r="D137" i="23"/>
  <c r="B138" i="23"/>
  <c r="C138" i="23"/>
  <c r="D138" i="23"/>
  <c r="B139" i="23"/>
  <c r="C139" i="23"/>
  <c r="D139" i="23"/>
  <c r="B140" i="23"/>
  <c r="C140" i="23"/>
  <c r="D140" i="23"/>
  <c r="C127" i="23"/>
  <c r="F128" i="23"/>
  <c r="F129" i="23"/>
  <c r="F130" i="23"/>
  <c r="F131" i="23"/>
  <c r="F132" i="23"/>
  <c r="F133" i="23"/>
  <c r="F134" i="23"/>
  <c r="F135" i="23"/>
  <c r="F136" i="23"/>
  <c r="F137" i="23"/>
  <c r="F138" i="23"/>
  <c r="F139" i="23"/>
  <c r="F140" i="23"/>
  <c r="F127" i="23"/>
  <c r="B127" i="23"/>
  <c r="B65" i="17"/>
  <c r="F68" i="83"/>
  <c r="D68" i="83"/>
  <c r="C68" i="83"/>
  <c r="B68" i="83"/>
  <c r="F67" i="83"/>
  <c r="D67" i="83"/>
  <c r="C67" i="83"/>
  <c r="B67" i="83"/>
  <c r="F66" i="83"/>
  <c r="D66" i="83"/>
  <c r="C66" i="83"/>
  <c r="B66" i="83"/>
  <c r="F65" i="83"/>
  <c r="D65" i="83"/>
  <c r="C65" i="83"/>
  <c r="B65" i="83"/>
  <c r="B79" i="6"/>
  <c r="C79" i="6"/>
  <c r="D79" i="6"/>
  <c r="B80" i="6"/>
  <c r="C80" i="6"/>
  <c r="D80" i="6"/>
  <c r="B81" i="6"/>
  <c r="C81" i="6"/>
  <c r="D81" i="6"/>
  <c r="B82" i="6"/>
  <c r="C82" i="6"/>
  <c r="D82" i="6"/>
  <c r="B83" i="6"/>
  <c r="C83" i="6"/>
  <c r="D83" i="6"/>
  <c r="B84" i="6"/>
  <c r="C84" i="6"/>
  <c r="D84" i="6"/>
  <c r="F79" i="6"/>
  <c r="F84" i="6"/>
  <c r="F78" i="6"/>
  <c r="C78" i="6"/>
  <c r="B78" i="6"/>
  <c r="B90" i="59"/>
  <c r="C90" i="59"/>
  <c r="D90" i="59"/>
  <c r="B91" i="59"/>
  <c r="C91" i="59"/>
  <c r="D91" i="59"/>
  <c r="B92" i="59"/>
  <c r="C92" i="59"/>
  <c r="D92" i="59"/>
  <c r="B93" i="59"/>
  <c r="C93" i="59"/>
  <c r="D93" i="59"/>
  <c r="B94" i="59"/>
  <c r="C94" i="59"/>
  <c r="D94" i="59"/>
  <c r="B95" i="59"/>
  <c r="C95" i="59"/>
  <c r="D95" i="59"/>
  <c r="B96" i="59"/>
  <c r="C96" i="59"/>
  <c r="D96" i="59"/>
  <c r="B97" i="59"/>
  <c r="C97" i="59"/>
  <c r="D97" i="59"/>
  <c r="B98" i="59"/>
  <c r="C98" i="59"/>
  <c r="D98" i="59"/>
  <c r="B99" i="59"/>
  <c r="C99" i="59"/>
  <c r="D99" i="59"/>
  <c r="B100" i="59"/>
  <c r="C100" i="59"/>
  <c r="D100" i="59"/>
  <c r="B101" i="59"/>
  <c r="C101" i="59"/>
  <c r="D101" i="59"/>
  <c r="B102" i="59"/>
  <c r="C102" i="59"/>
  <c r="D102" i="59"/>
  <c r="B103" i="59"/>
  <c r="C103" i="59"/>
  <c r="D103" i="59"/>
  <c r="C89" i="59"/>
  <c r="F90" i="59"/>
  <c r="F91" i="59"/>
  <c r="F92" i="59"/>
  <c r="F93" i="59"/>
  <c r="F94" i="59"/>
  <c r="F95" i="59"/>
  <c r="F96" i="59"/>
  <c r="F97" i="59"/>
  <c r="F98" i="59"/>
  <c r="F99" i="59"/>
  <c r="F100" i="59"/>
  <c r="F101" i="59"/>
  <c r="F102" i="59"/>
  <c r="F103" i="59"/>
  <c r="F89" i="59"/>
  <c r="B89" i="59"/>
  <c r="AC55" i="52"/>
  <c r="AB55" i="52"/>
  <c r="E1" i="86"/>
  <c r="O139" i="1"/>
  <c r="B104" i="50"/>
  <c r="C104" i="50"/>
  <c r="D104" i="50"/>
  <c r="B89" i="50"/>
  <c r="C89" i="50"/>
  <c r="D89" i="50"/>
  <c r="B90" i="50"/>
  <c r="C90" i="50"/>
  <c r="D90" i="50"/>
  <c r="B91" i="50"/>
  <c r="C91" i="50"/>
  <c r="D91" i="50"/>
  <c r="B92" i="50"/>
  <c r="C92" i="50"/>
  <c r="D92" i="50"/>
  <c r="B93" i="50"/>
  <c r="C93" i="50"/>
  <c r="D93" i="50"/>
  <c r="B94" i="50"/>
  <c r="C94" i="50"/>
  <c r="D94" i="50"/>
  <c r="B95" i="50"/>
  <c r="C95" i="50"/>
  <c r="D95" i="50"/>
  <c r="B96" i="50"/>
  <c r="C96" i="50"/>
  <c r="D96" i="50"/>
  <c r="B97" i="50"/>
  <c r="C97" i="50"/>
  <c r="D97" i="50"/>
  <c r="B98" i="50"/>
  <c r="C98" i="50"/>
  <c r="D98" i="50"/>
  <c r="B99" i="50"/>
  <c r="C99" i="50"/>
  <c r="D99" i="50"/>
  <c r="B100" i="50"/>
  <c r="C100" i="50"/>
  <c r="D100" i="50"/>
  <c r="B101" i="50"/>
  <c r="C101" i="50"/>
  <c r="D101" i="50"/>
  <c r="B102" i="50"/>
  <c r="C102" i="50"/>
  <c r="D102" i="50"/>
  <c r="B103" i="50"/>
  <c r="C103" i="50"/>
  <c r="D103" i="50"/>
  <c r="C88" i="50"/>
  <c r="F88" i="50"/>
  <c r="B88" i="50"/>
  <c r="B86" i="49"/>
  <c r="C86" i="49"/>
  <c r="D86" i="49"/>
  <c r="B87" i="49"/>
  <c r="C87" i="49"/>
  <c r="D87" i="49"/>
  <c r="B88" i="49"/>
  <c r="C88" i="49"/>
  <c r="D88" i="49"/>
  <c r="B89" i="49"/>
  <c r="C89" i="49"/>
  <c r="D89" i="49"/>
  <c r="B90" i="49"/>
  <c r="C90" i="49"/>
  <c r="D90" i="49"/>
  <c r="B91" i="49"/>
  <c r="C91" i="49"/>
  <c r="D91" i="49"/>
  <c r="B92" i="49"/>
  <c r="C92" i="49"/>
  <c r="D92" i="49"/>
  <c r="B93" i="49"/>
  <c r="C93" i="49"/>
  <c r="D93" i="49"/>
  <c r="B94" i="49"/>
  <c r="C94" i="49"/>
  <c r="D94" i="49"/>
  <c r="B95" i="49"/>
  <c r="C95" i="49"/>
  <c r="D95" i="49"/>
  <c r="B96" i="49"/>
  <c r="C96" i="49"/>
  <c r="D96" i="49"/>
  <c r="B97" i="49"/>
  <c r="C97" i="49"/>
  <c r="D97" i="49"/>
  <c r="C85" i="49"/>
  <c r="F86" i="49"/>
  <c r="F87" i="49"/>
  <c r="F88" i="49"/>
  <c r="F89" i="49"/>
  <c r="F90" i="49"/>
  <c r="F91" i="49"/>
  <c r="F92" i="49"/>
  <c r="F93" i="49"/>
  <c r="F94" i="49"/>
  <c r="F95" i="49"/>
  <c r="F96" i="49"/>
  <c r="F97" i="49"/>
  <c r="F85" i="49"/>
  <c r="B85" i="49"/>
  <c r="F113" i="45"/>
  <c r="F114" i="45"/>
  <c r="F115" i="45"/>
  <c r="F116" i="45"/>
  <c r="F117" i="45"/>
  <c r="F118" i="45"/>
  <c r="F119" i="45"/>
  <c r="F120" i="45"/>
  <c r="F121" i="45"/>
  <c r="F122" i="45"/>
  <c r="F123" i="45"/>
  <c r="F124" i="45"/>
  <c r="F125" i="45"/>
  <c r="F126" i="45"/>
  <c r="F127" i="45"/>
  <c r="F112" i="45"/>
  <c r="B113" i="45"/>
  <c r="C113" i="45"/>
  <c r="D113" i="45"/>
  <c r="B114" i="45"/>
  <c r="C114" i="45"/>
  <c r="D114" i="45"/>
  <c r="B115" i="45"/>
  <c r="C115" i="45"/>
  <c r="D115" i="45"/>
  <c r="B116" i="45"/>
  <c r="C116" i="45"/>
  <c r="D116" i="45"/>
  <c r="B117" i="45"/>
  <c r="C117" i="45"/>
  <c r="D117" i="45"/>
  <c r="B118" i="45"/>
  <c r="C118" i="45"/>
  <c r="D118" i="45"/>
  <c r="B119" i="45"/>
  <c r="C119" i="45"/>
  <c r="D119" i="45"/>
  <c r="B120" i="45"/>
  <c r="C120" i="45"/>
  <c r="D120" i="45"/>
  <c r="B121" i="45"/>
  <c r="C121" i="45"/>
  <c r="D121" i="45"/>
  <c r="B122" i="45"/>
  <c r="C122" i="45"/>
  <c r="D122" i="45"/>
  <c r="B123" i="45"/>
  <c r="C123" i="45"/>
  <c r="D123" i="45"/>
  <c r="B124" i="45"/>
  <c r="C124" i="45"/>
  <c r="D124" i="45"/>
  <c r="B125" i="45"/>
  <c r="C125" i="45"/>
  <c r="D125" i="45"/>
  <c r="B126" i="45"/>
  <c r="C126" i="45"/>
  <c r="D126" i="45"/>
  <c r="B127" i="45"/>
  <c r="C127" i="45"/>
  <c r="D127" i="45"/>
  <c r="C112" i="45"/>
  <c r="B112" i="45"/>
  <c r="S30" i="45"/>
  <c r="B90" i="45"/>
  <c r="C90" i="45"/>
  <c r="F90" i="45"/>
  <c r="S30" i="50"/>
  <c r="T30" i="50"/>
  <c r="F89" i="27"/>
  <c r="F90" i="27"/>
  <c r="F91" i="27"/>
  <c r="F92" i="27"/>
  <c r="F93" i="27"/>
  <c r="F94" i="27"/>
  <c r="F95" i="27"/>
  <c r="F96" i="27"/>
  <c r="F97" i="27"/>
  <c r="F98" i="27"/>
  <c r="F99" i="27"/>
  <c r="F100" i="27"/>
  <c r="F101" i="27"/>
  <c r="F102" i="27"/>
  <c r="B89" i="27"/>
  <c r="C89" i="27"/>
  <c r="D89" i="27"/>
  <c r="B90" i="27"/>
  <c r="C90" i="27"/>
  <c r="D90" i="27"/>
  <c r="B91" i="27"/>
  <c r="C91" i="27"/>
  <c r="D91" i="27"/>
  <c r="B92" i="27"/>
  <c r="C92" i="27"/>
  <c r="D92" i="27"/>
  <c r="B93" i="27"/>
  <c r="C93" i="27"/>
  <c r="D93" i="27"/>
  <c r="B94" i="27"/>
  <c r="C94" i="27"/>
  <c r="D94" i="27"/>
  <c r="B95" i="27"/>
  <c r="C95" i="27"/>
  <c r="D95" i="27"/>
  <c r="B96" i="27"/>
  <c r="C96" i="27"/>
  <c r="D96" i="27"/>
  <c r="B97" i="27"/>
  <c r="C97" i="27"/>
  <c r="D97" i="27"/>
  <c r="B98" i="27"/>
  <c r="C98" i="27"/>
  <c r="D98" i="27"/>
  <c r="B99" i="27"/>
  <c r="C99" i="27"/>
  <c r="D99" i="27"/>
  <c r="B100" i="27"/>
  <c r="C100" i="27"/>
  <c r="D100" i="27"/>
  <c r="B101" i="27"/>
  <c r="C101" i="27"/>
  <c r="D101" i="27"/>
  <c r="B102" i="27"/>
  <c r="C102" i="27"/>
  <c r="D102" i="27"/>
  <c r="C88" i="27"/>
  <c r="F88" i="27"/>
  <c r="B88" i="27"/>
  <c r="B88" i="32"/>
  <c r="C88" i="32"/>
  <c r="D88" i="32"/>
  <c r="B89" i="32"/>
  <c r="C89" i="32"/>
  <c r="D89" i="32"/>
  <c r="B90" i="32"/>
  <c r="C90" i="32"/>
  <c r="D90" i="32"/>
  <c r="B91" i="32"/>
  <c r="C91" i="32"/>
  <c r="D91" i="32"/>
  <c r="B92" i="32"/>
  <c r="C92" i="32"/>
  <c r="D92" i="32"/>
  <c r="B93" i="32"/>
  <c r="C93" i="32"/>
  <c r="D93" i="32"/>
  <c r="B94" i="32"/>
  <c r="C94" i="32"/>
  <c r="D94" i="32"/>
  <c r="B95" i="32"/>
  <c r="C95" i="32"/>
  <c r="D95" i="32"/>
  <c r="B96" i="32"/>
  <c r="C96" i="32"/>
  <c r="D96" i="32"/>
  <c r="B97" i="32"/>
  <c r="C97" i="32"/>
  <c r="D97" i="32"/>
  <c r="B98" i="32"/>
  <c r="C98" i="32"/>
  <c r="D98" i="32"/>
  <c r="B99" i="32"/>
  <c r="C99" i="32"/>
  <c r="D99" i="32"/>
  <c r="B100" i="32"/>
  <c r="C100" i="32"/>
  <c r="D100" i="32"/>
  <c r="B101" i="32"/>
  <c r="C101" i="32"/>
  <c r="D101" i="32"/>
  <c r="C87" i="32"/>
  <c r="F88" i="32"/>
  <c r="F89" i="32"/>
  <c r="F90" i="32"/>
  <c r="F91" i="32"/>
  <c r="F92" i="32"/>
  <c r="F93" i="32"/>
  <c r="F94" i="32"/>
  <c r="F95" i="32"/>
  <c r="F96" i="32"/>
  <c r="F97" i="32"/>
  <c r="F98" i="32"/>
  <c r="F99" i="32"/>
  <c r="F100" i="32"/>
  <c r="F87" i="32"/>
  <c r="B87" i="32"/>
  <c r="D8" i="25"/>
  <c r="D7" i="25"/>
  <c r="D6" i="25"/>
  <c r="O71" i="2"/>
  <c r="K71" i="2"/>
  <c r="N71" i="2" s="1"/>
  <c r="F68" i="82"/>
  <c r="D68" i="82"/>
  <c r="C68" i="82"/>
  <c r="B68" i="82"/>
  <c r="F67" i="82"/>
  <c r="D67" i="82"/>
  <c r="C67" i="82"/>
  <c r="B67" i="82"/>
  <c r="F66" i="82"/>
  <c r="D66" i="82"/>
  <c r="C66" i="82"/>
  <c r="B66" i="82"/>
  <c r="F65" i="82"/>
  <c r="D65" i="82"/>
  <c r="C65" i="82"/>
  <c r="B65" i="82"/>
  <c r="T28" i="50"/>
  <c r="S28" i="50"/>
  <c r="D51" i="50"/>
  <c r="R44" i="50" s="1"/>
  <c r="C51" i="50"/>
  <c r="V40" i="50"/>
  <c r="R44" i="27"/>
  <c r="D51" i="27"/>
  <c r="C51" i="27"/>
  <c r="V40" i="27"/>
  <c r="V40" i="16"/>
  <c r="D51" i="16"/>
  <c r="C51" i="16"/>
  <c r="G81" i="92" l="1"/>
  <c r="C81" i="92"/>
  <c r="E81" i="92"/>
  <c r="H81" i="92" s="1"/>
  <c r="D54" i="92"/>
  <c r="C55" i="92"/>
  <c r="E92" i="92"/>
  <c r="G92" i="92" s="1"/>
  <c r="H92" i="92" s="1"/>
  <c r="E96" i="92"/>
  <c r="G96" i="92" s="1"/>
  <c r="H96" i="92" s="1"/>
  <c r="E100" i="92"/>
  <c r="G100" i="92" s="1"/>
  <c r="H100" i="92" s="1"/>
  <c r="E97" i="92"/>
  <c r="G97" i="92" s="1"/>
  <c r="H97" i="92" s="1"/>
  <c r="E95" i="92"/>
  <c r="G95" i="92" s="1"/>
  <c r="H95" i="92" s="1"/>
  <c r="E94" i="92"/>
  <c r="G94" i="92" s="1"/>
  <c r="H94" i="92" s="1"/>
  <c r="E90" i="92"/>
  <c r="G90" i="92" s="1"/>
  <c r="H90" i="92" s="1"/>
  <c r="E88" i="92"/>
  <c r="G88" i="92" s="1"/>
  <c r="H88" i="92" s="1"/>
  <c r="E98" i="92"/>
  <c r="G98" i="92" s="1"/>
  <c r="H98" i="92" s="1"/>
  <c r="E99" i="92"/>
  <c r="G99" i="92" s="1"/>
  <c r="H99" i="92" s="1"/>
  <c r="E91" i="92"/>
  <c r="G91" i="92" s="1"/>
  <c r="H91" i="92" s="1"/>
  <c r="E93" i="92"/>
  <c r="G93" i="92" s="1"/>
  <c r="H93" i="92" s="1"/>
  <c r="E89" i="92"/>
  <c r="G89" i="92" s="1"/>
  <c r="H89" i="92" s="1"/>
  <c r="E87" i="92"/>
  <c r="G87" i="92" s="1"/>
  <c r="H87" i="92" s="1"/>
  <c r="G1" i="86"/>
  <c r="E8" i="86" s="1"/>
  <c r="G8" i="86" s="1"/>
  <c r="H8" i="86" s="1"/>
  <c r="K8" i="86" s="1"/>
  <c r="L8" i="86" s="1"/>
  <c r="D52" i="86"/>
  <c r="X32" i="43"/>
  <c r="K37" i="43"/>
  <c r="L37" i="43" s="1"/>
  <c r="X35" i="43" s="1"/>
  <c r="D7" i="79"/>
  <c r="D6" i="79"/>
  <c r="D8" i="79"/>
  <c r="D9" i="79"/>
  <c r="S32" i="50"/>
  <c r="T32" i="50"/>
  <c r="S28" i="33"/>
  <c r="T28" i="33"/>
  <c r="T32" i="33" s="1"/>
  <c r="D55" i="89"/>
  <c r="V53" i="52"/>
  <c r="D7" i="52" s="1"/>
  <c r="T30" i="3"/>
  <c r="T32" i="3" s="1"/>
  <c r="E1" i="3" s="1"/>
  <c r="G1" i="3" s="1"/>
  <c r="I1" i="3" s="1"/>
  <c r="S30" i="32"/>
  <c r="T30" i="32"/>
  <c r="S28" i="16"/>
  <c r="S32" i="16" s="1"/>
  <c r="J52" i="16" s="1"/>
  <c r="T29" i="42"/>
  <c r="S28" i="32"/>
  <c r="T28" i="32"/>
  <c r="T30" i="27"/>
  <c r="S28" i="27"/>
  <c r="S32" i="27" s="1"/>
  <c r="T28" i="27"/>
  <c r="R44" i="16"/>
  <c r="E1" i="83"/>
  <c r="V44" i="50"/>
  <c r="U44" i="50"/>
  <c r="W44" i="50" s="1"/>
  <c r="J51" i="50" s="1"/>
  <c r="I51" i="50" s="1"/>
  <c r="D5" i="50" s="1"/>
  <c r="V44" i="27"/>
  <c r="U44" i="27"/>
  <c r="W44" i="27" s="1"/>
  <c r="J51" i="27" s="1"/>
  <c r="I51" i="27" s="1"/>
  <c r="D5" i="27" s="1"/>
  <c r="D88" i="27" s="1"/>
  <c r="B110" i="7"/>
  <c r="C110" i="7"/>
  <c r="D110" i="7"/>
  <c r="F110" i="7"/>
  <c r="B111" i="7"/>
  <c r="C111" i="7"/>
  <c r="D111" i="7"/>
  <c r="F111" i="7"/>
  <c r="B112" i="7"/>
  <c r="C112" i="7"/>
  <c r="D112" i="7"/>
  <c r="F112" i="7"/>
  <c r="B113" i="7"/>
  <c r="C113" i="7"/>
  <c r="D113" i="7"/>
  <c r="F113" i="7"/>
  <c r="B114" i="7"/>
  <c r="C114" i="7"/>
  <c r="D114" i="7"/>
  <c r="F114" i="7"/>
  <c r="B115" i="7"/>
  <c r="C115" i="7"/>
  <c r="D115" i="7"/>
  <c r="F115" i="7"/>
  <c r="B116" i="7"/>
  <c r="C116" i="7"/>
  <c r="D116" i="7"/>
  <c r="F116" i="7"/>
  <c r="B117" i="7"/>
  <c r="C117" i="7"/>
  <c r="D117" i="7"/>
  <c r="F117" i="7"/>
  <c r="B118" i="7"/>
  <c r="C118" i="7"/>
  <c r="D118" i="7"/>
  <c r="F118" i="7"/>
  <c r="B119" i="7"/>
  <c r="C119" i="7"/>
  <c r="D119" i="7"/>
  <c r="F119" i="7"/>
  <c r="B120" i="7"/>
  <c r="C120" i="7"/>
  <c r="D120" i="7"/>
  <c r="F120" i="7"/>
  <c r="B121" i="7"/>
  <c r="C121" i="7"/>
  <c r="D121" i="7"/>
  <c r="F121" i="7"/>
  <c r="B122" i="7"/>
  <c r="C122" i="7"/>
  <c r="D122" i="7"/>
  <c r="F122" i="7"/>
  <c r="B123" i="7"/>
  <c r="C123" i="7"/>
  <c r="D123" i="7"/>
  <c r="F123" i="7"/>
  <c r="F109" i="7"/>
  <c r="C109" i="7"/>
  <c r="B109" i="7"/>
  <c r="D55" i="92" l="1"/>
  <c r="B84" i="92"/>
  <c r="B83" i="92"/>
  <c r="B63" i="92"/>
  <c r="B62" i="92"/>
  <c r="E102" i="92"/>
  <c r="G102" i="92"/>
  <c r="C52" i="86"/>
  <c r="C53" i="86" s="1"/>
  <c r="E19" i="86"/>
  <c r="G19" i="86" s="1"/>
  <c r="H19" i="86" s="1"/>
  <c r="K19" i="86" s="1"/>
  <c r="L19" i="86" s="1"/>
  <c r="E17" i="86"/>
  <c r="G17" i="86" s="1"/>
  <c r="H17" i="86" s="1"/>
  <c r="K17" i="86" s="1"/>
  <c r="L17" i="86" s="1"/>
  <c r="E15" i="86"/>
  <c r="G15" i="86" s="1"/>
  <c r="H15" i="86" s="1"/>
  <c r="K15" i="86" s="1"/>
  <c r="L15" i="86" s="1"/>
  <c r="E14" i="86"/>
  <c r="G14" i="86" s="1"/>
  <c r="H14" i="86" s="1"/>
  <c r="K14" i="86" s="1"/>
  <c r="L14" i="86" s="1"/>
  <c r="E13" i="86"/>
  <c r="G13" i="86" s="1"/>
  <c r="H13" i="86" s="1"/>
  <c r="K13" i="86" s="1"/>
  <c r="L13" i="86" s="1"/>
  <c r="E12" i="86"/>
  <c r="G12" i="86" s="1"/>
  <c r="H12" i="86" s="1"/>
  <c r="K12" i="86" s="1"/>
  <c r="L12" i="86" s="1"/>
  <c r="E11" i="86"/>
  <c r="G11" i="86" s="1"/>
  <c r="H11" i="86" s="1"/>
  <c r="K11" i="86" s="1"/>
  <c r="L11" i="86" s="1"/>
  <c r="E10" i="86"/>
  <c r="G10" i="86" s="1"/>
  <c r="H10" i="86" s="1"/>
  <c r="K10" i="86" s="1"/>
  <c r="L10" i="86" s="1"/>
  <c r="E9" i="86"/>
  <c r="G9" i="86" s="1"/>
  <c r="H9" i="86" s="1"/>
  <c r="K9" i="86" s="1"/>
  <c r="L9" i="86" s="1"/>
  <c r="E7" i="86"/>
  <c r="G7" i="86" s="1"/>
  <c r="H7" i="86" s="1"/>
  <c r="K7" i="86" s="1"/>
  <c r="L7" i="86" s="1"/>
  <c r="E6" i="86"/>
  <c r="G6" i="86" s="1"/>
  <c r="H6" i="86" s="1"/>
  <c r="K6" i="86" s="1"/>
  <c r="L6" i="86" s="1"/>
  <c r="E5" i="86"/>
  <c r="G5" i="86" s="1"/>
  <c r="H5" i="86" s="1"/>
  <c r="K5" i="86" s="1"/>
  <c r="L5" i="86" s="1"/>
  <c r="I1" i="86"/>
  <c r="E20" i="86" s="1"/>
  <c r="G20" i="86" s="1"/>
  <c r="H20" i="86" s="1"/>
  <c r="K20" i="86" s="1"/>
  <c r="L20" i="86" s="1"/>
  <c r="E18" i="86"/>
  <c r="G18" i="86" s="1"/>
  <c r="H18" i="86" s="1"/>
  <c r="K18" i="86" s="1"/>
  <c r="L18" i="86" s="1"/>
  <c r="E16" i="86"/>
  <c r="G16" i="86" s="1"/>
  <c r="H16" i="86" s="1"/>
  <c r="K16" i="86" s="1"/>
  <c r="L16" i="86" s="1"/>
  <c r="E1" i="85"/>
  <c r="J52" i="56"/>
  <c r="T32" i="32"/>
  <c r="T32" i="27"/>
  <c r="D88" i="50"/>
  <c r="D112" i="50"/>
  <c r="S32" i="32"/>
  <c r="J52" i="32" s="1"/>
  <c r="U44" i="16"/>
  <c r="W44" i="16" s="1"/>
  <c r="J51" i="16" s="1"/>
  <c r="I51" i="16" s="1"/>
  <c r="D5" i="16" s="1"/>
  <c r="V44" i="16"/>
  <c r="E1" i="82"/>
  <c r="D52" i="83"/>
  <c r="B70" i="83" s="1"/>
  <c r="G1" i="83"/>
  <c r="C51" i="45"/>
  <c r="D51" i="45"/>
  <c r="R44" i="45" s="1"/>
  <c r="T28" i="45"/>
  <c r="T32" i="45" s="1"/>
  <c r="S28" i="45"/>
  <c r="S32" i="45" s="1"/>
  <c r="V40" i="45"/>
  <c r="O73" i="2"/>
  <c r="K74" i="2"/>
  <c r="N74" i="2" s="1"/>
  <c r="K61" i="2"/>
  <c r="N61" i="2" s="1"/>
  <c r="K67" i="2"/>
  <c r="N67" i="2" s="1"/>
  <c r="K68" i="2"/>
  <c r="N68" i="2" s="1"/>
  <c r="K65" i="2"/>
  <c r="N65" i="2" s="1"/>
  <c r="K66" i="2"/>
  <c r="N66" i="2" s="1"/>
  <c r="L102" i="1"/>
  <c r="O102" i="1" s="1"/>
  <c r="O113" i="1"/>
  <c r="K142" i="1"/>
  <c r="B104" i="58"/>
  <c r="C104" i="58"/>
  <c r="D104" i="58"/>
  <c r="F104" i="58"/>
  <c r="B81" i="58"/>
  <c r="C81" i="58"/>
  <c r="D81" i="58"/>
  <c r="F81" i="58"/>
  <c r="B78" i="61"/>
  <c r="C78" i="61"/>
  <c r="D78" i="61"/>
  <c r="F78" i="61"/>
  <c r="O62" i="2"/>
  <c r="B78" i="50"/>
  <c r="C78" i="50"/>
  <c r="D78" i="50"/>
  <c r="F78" i="50"/>
  <c r="B79" i="50"/>
  <c r="C79" i="50"/>
  <c r="D79" i="50"/>
  <c r="F79" i="50"/>
  <c r="B80" i="50"/>
  <c r="C80" i="50"/>
  <c r="D80" i="50"/>
  <c r="F80" i="50"/>
  <c r="B81" i="50"/>
  <c r="C81" i="50"/>
  <c r="D81" i="50"/>
  <c r="F81" i="50"/>
  <c r="W1" i="79"/>
  <c r="O135" i="1"/>
  <c r="O120" i="1"/>
  <c r="O137" i="1"/>
  <c r="B65" i="45"/>
  <c r="C65" i="45"/>
  <c r="F65" i="45"/>
  <c r="B65" i="50"/>
  <c r="C65" i="50"/>
  <c r="D65" i="50"/>
  <c r="F65" i="50"/>
  <c r="B80" i="32"/>
  <c r="C80" i="32"/>
  <c r="D80" i="32"/>
  <c r="F80" i="32"/>
  <c r="K20" i="2"/>
  <c r="N20" i="2" s="1"/>
  <c r="L20" i="2"/>
  <c r="O20" i="2" s="1"/>
  <c r="O122" i="1"/>
  <c r="K122" i="1"/>
  <c r="N122" i="1" s="1"/>
  <c r="S28" i="40"/>
  <c r="S30" i="40" s="1"/>
  <c r="D79" i="21"/>
  <c r="F79" i="21"/>
  <c r="D80" i="21"/>
  <c r="F80" i="21"/>
  <c r="F78" i="21"/>
  <c r="B79" i="21"/>
  <c r="C79" i="21"/>
  <c r="B80" i="21"/>
  <c r="C80" i="21"/>
  <c r="C78" i="21"/>
  <c r="D78" i="21"/>
  <c r="B78" i="21"/>
  <c r="B82" i="3"/>
  <c r="C82" i="3"/>
  <c r="D82" i="3"/>
  <c r="F82" i="3"/>
  <c r="B106" i="3"/>
  <c r="C106" i="3"/>
  <c r="D106" i="3"/>
  <c r="F106" i="3"/>
  <c r="B134" i="3"/>
  <c r="C134" i="3"/>
  <c r="D134" i="3"/>
  <c r="F134" i="3"/>
  <c r="S28" i="24"/>
  <c r="S30" i="24" s="1"/>
  <c r="AO1" i="9"/>
  <c r="U30" i="9"/>
  <c r="P15" i="79"/>
  <c r="U29" i="79"/>
  <c r="F136" i="70"/>
  <c r="D136" i="70"/>
  <c r="C136" i="70"/>
  <c r="B136" i="70"/>
  <c r="F135" i="70"/>
  <c r="D135" i="70"/>
  <c r="C135" i="70"/>
  <c r="B135" i="70"/>
  <c r="F134" i="70"/>
  <c r="D134" i="70"/>
  <c r="C134" i="70"/>
  <c r="B134" i="70"/>
  <c r="F133" i="70"/>
  <c r="D133" i="70"/>
  <c r="C133" i="70"/>
  <c r="B133" i="70"/>
  <c r="F132" i="70"/>
  <c r="D132" i="70"/>
  <c r="C132" i="70"/>
  <c r="B132" i="70"/>
  <c r="F131" i="70"/>
  <c r="D131" i="70"/>
  <c r="C131" i="70"/>
  <c r="B131" i="70"/>
  <c r="F130" i="70"/>
  <c r="D130" i="70"/>
  <c r="C130" i="70"/>
  <c r="B130" i="70"/>
  <c r="F129" i="70"/>
  <c r="D129" i="70"/>
  <c r="C129" i="70"/>
  <c r="B129" i="70"/>
  <c r="F128" i="70"/>
  <c r="D128" i="70"/>
  <c r="C128" i="70"/>
  <c r="B128" i="70"/>
  <c r="F127" i="70"/>
  <c r="D127" i="70"/>
  <c r="C127" i="70"/>
  <c r="B127" i="70"/>
  <c r="F126" i="70"/>
  <c r="D126" i="70"/>
  <c r="C126" i="70"/>
  <c r="B126" i="70"/>
  <c r="F125" i="70"/>
  <c r="D125" i="70"/>
  <c r="C125" i="70"/>
  <c r="B125" i="70"/>
  <c r="F124" i="70"/>
  <c r="D124" i="70"/>
  <c r="C124" i="70"/>
  <c r="B124" i="70"/>
  <c r="F123" i="70"/>
  <c r="D123" i="70"/>
  <c r="C123" i="70"/>
  <c r="B123" i="70"/>
  <c r="F122" i="70"/>
  <c r="D122" i="70"/>
  <c r="C122" i="70"/>
  <c r="B122" i="70"/>
  <c r="F121" i="70"/>
  <c r="D121" i="70"/>
  <c r="C121" i="70"/>
  <c r="B121" i="70"/>
  <c r="F120" i="70"/>
  <c r="D120" i="70"/>
  <c r="C120" i="70"/>
  <c r="B120" i="70"/>
  <c r="F119" i="70"/>
  <c r="D119" i="70"/>
  <c r="C119" i="70"/>
  <c r="B119" i="70"/>
  <c r="F118" i="70"/>
  <c r="C118" i="70"/>
  <c r="B118" i="70"/>
  <c r="F109" i="70"/>
  <c r="D109" i="70"/>
  <c r="C109" i="70"/>
  <c r="B109" i="70"/>
  <c r="F108" i="70"/>
  <c r="D108" i="70"/>
  <c r="C108" i="70"/>
  <c r="B108" i="70"/>
  <c r="F107" i="70"/>
  <c r="D107" i="70"/>
  <c r="C107" i="70"/>
  <c r="B107" i="70"/>
  <c r="F106" i="70"/>
  <c r="D106" i="70"/>
  <c r="C106" i="70"/>
  <c r="B106" i="70"/>
  <c r="F105" i="70"/>
  <c r="D105" i="70"/>
  <c r="C105" i="70"/>
  <c r="B105" i="70"/>
  <c r="F104" i="70"/>
  <c r="D104" i="70"/>
  <c r="C104" i="70"/>
  <c r="B104" i="70"/>
  <c r="F103" i="70"/>
  <c r="D103" i="70"/>
  <c r="C103" i="70"/>
  <c r="B103" i="70"/>
  <c r="F102" i="70"/>
  <c r="D102" i="70"/>
  <c r="C102" i="70"/>
  <c r="B102" i="70"/>
  <c r="F101" i="70"/>
  <c r="D101" i="70"/>
  <c r="C101" i="70"/>
  <c r="B101" i="70"/>
  <c r="F100" i="70"/>
  <c r="D100" i="70"/>
  <c r="C100" i="70"/>
  <c r="B100" i="70"/>
  <c r="F99" i="70"/>
  <c r="D99" i="70"/>
  <c r="C99" i="70"/>
  <c r="B99" i="70"/>
  <c r="F98" i="70"/>
  <c r="D98" i="70"/>
  <c r="C98" i="70"/>
  <c r="B98" i="70"/>
  <c r="F97" i="70"/>
  <c r="D97" i="70"/>
  <c r="C97" i="70"/>
  <c r="B97" i="70"/>
  <c r="F96" i="70"/>
  <c r="D96" i="70"/>
  <c r="C96" i="70"/>
  <c r="B96" i="70"/>
  <c r="F95" i="70"/>
  <c r="D95" i="70"/>
  <c r="C95" i="70"/>
  <c r="B95" i="70"/>
  <c r="F94" i="70"/>
  <c r="D94" i="70"/>
  <c r="C94" i="70"/>
  <c r="B94" i="70"/>
  <c r="F93" i="70"/>
  <c r="D93" i="70"/>
  <c r="C93" i="70"/>
  <c r="B93" i="70"/>
  <c r="F92" i="70"/>
  <c r="D92" i="70"/>
  <c r="C92" i="70"/>
  <c r="B92" i="70"/>
  <c r="F91" i="70"/>
  <c r="C91" i="70"/>
  <c r="B91" i="70"/>
  <c r="F83" i="70"/>
  <c r="D83" i="70"/>
  <c r="C83" i="70"/>
  <c r="B83" i="70"/>
  <c r="F82" i="70"/>
  <c r="D82" i="70"/>
  <c r="C82" i="70"/>
  <c r="B82" i="70"/>
  <c r="F81" i="70"/>
  <c r="D81" i="70"/>
  <c r="C81" i="70"/>
  <c r="B81" i="70"/>
  <c r="F80" i="70"/>
  <c r="D80" i="70"/>
  <c r="C80" i="70"/>
  <c r="B80" i="70"/>
  <c r="F79" i="70"/>
  <c r="D79" i="70"/>
  <c r="C79" i="70"/>
  <c r="B79" i="70"/>
  <c r="F78" i="70"/>
  <c r="D78" i="70"/>
  <c r="C78" i="70"/>
  <c r="B78" i="70"/>
  <c r="F77" i="70"/>
  <c r="D77" i="70"/>
  <c r="C77" i="70"/>
  <c r="B77" i="70"/>
  <c r="F76" i="70"/>
  <c r="D76" i="70"/>
  <c r="C76" i="70"/>
  <c r="B76" i="70"/>
  <c r="F75" i="70"/>
  <c r="D75" i="70"/>
  <c r="C75" i="70"/>
  <c r="B75" i="70"/>
  <c r="F74" i="70"/>
  <c r="D74" i="70"/>
  <c r="C74" i="70"/>
  <c r="B74" i="70"/>
  <c r="F73" i="70"/>
  <c r="D73" i="70"/>
  <c r="C73" i="70"/>
  <c r="B73" i="70"/>
  <c r="F72" i="70"/>
  <c r="D72" i="70"/>
  <c r="C72" i="70"/>
  <c r="B72" i="70"/>
  <c r="F71" i="70"/>
  <c r="D71" i="70"/>
  <c r="C71" i="70"/>
  <c r="B71" i="70"/>
  <c r="F70" i="70"/>
  <c r="D70" i="70"/>
  <c r="C70" i="70"/>
  <c r="B70" i="70"/>
  <c r="F69" i="70"/>
  <c r="D69" i="70"/>
  <c r="C69" i="70"/>
  <c r="B69" i="70"/>
  <c r="F68" i="70"/>
  <c r="D68" i="70"/>
  <c r="C68" i="70"/>
  <c r="B68" i="70"/>
  <c r="F67" i="70"/>
  <c r="D67" i="70"/>
  <c r="C67" i="70"/>
  <c r="B67" i="70"/>
  <c r="F66" i="70"/>
  <c r="D66" i="70"/>
  <c r="C66" i="70"/>
  <c r="B66" i="70"/>
  <c r="F65" i="70"/>
  <c r="C65" i="70"/>
  <c r="B65" i="70"/>
  <c r="D51" i="70"/>
  <c r="R44" i="70" s="1"/>
  <c r="C51" i="70"/>
  <c r="V40" i="70"/>
  <c r="S30" i="70"/>
  <c r="U29" i="70"/>
  <c r="T28" i="70"/>
  <c r="S28" i="70"/>
  <c r="F106" i="69"/>
  <c r="D106" i="69"/>
  <c r="C106" i="69"/>
  <c r="B106" i="69"/>
  <c r="F105" i="69"/>
  <c r="D105" i="69"/>
  <c r="C105" i="69"/>
  <c r="B105" i="69"/>
  <c r="F104" i="69"/>
  <c r="D104" i="69"/>
  <c r="C104" i="69"/>
  <c r="B104" i="69"/>
  <c r="F103" i="69"/>
  <c r="D103" i="69"/>
  <c r="C103" i="69"/>
  <c r="B103" i="69"/>
  <c r="F102" i="69"/>
  <c r="D102" i="69"/>
  <c r="C102" i="69"/>
  <c r="B102" i="69"/>
  <c r="F101" i="69"/>
  <c r="D101" i="69"/>
  <c r="C101" i="69"/>
  <c r="B101" i="69"/>
  <c r="F100" i="69"/>
  <c r="D100" i="69"/>
  <c r="C100" i="69"/>
  <c r="B100" i="69"/>
  <c r="F99" i="69"/>
  <c r="D99" i="69"/>
  <c r="C99" i="69"/>
  <c r="B99" i="69"/>
  <c r="F98" i="69"/>
  <c r="D98" i="69"/>
  <c r="C98" i="69"/>
  <c r="B98" i="69"/>
  <c r="F97" i="69"/>
  <c r="D97" i="69"/>
  <c r="C97" i="69"/>
  <c r="B97" i="69"/>
  <c r="F96" i="69"/>
  <c r="D96" i="69"/>
  <c r="C96" i="69"/>
  <c r="B96" i="69"/>
  <c r="F95" i="69"/>
  <c r="D95" i="69"/>
  <c r="C95" i="69"/>
  <c r="B95" i="69"/>
  <c r="F94" i="69"/>
  <c r="D94" i="69"/>
  <c r="C94" i="69"/>
  <c r="B94" i="69"/>
  <c r="F93" i="69"/>
  <c r="D93" i="69"/>
  <c r="C93" i="69"/>
  <c r="B93" i="69"/>
  <c r="F92" i="69"/>
  <c r="D92" i="69"/>
  <c r="C92" i="69"/>
  <c r="B92" i="69"/>
  <c r="F91" i="69"/>
  <c r="D91" i="69"/>
  <c r="C91" i="69"/>
  <c r="B91" i="69"/>
  <c r="F90" i="69"/>
  <c r="D90" i="69"/>
  <c r="C90" i="69"/>
  <c r="B90" i="69"/>
  <c r="F89" i="69"/>
  <c r="C89" i="69"/>
  <c r="B89" i="69"/>
  <c r="F82" i="69"/>
  <c r="D82" i="69"/>
  <c r="C82" i="69"/>
  <c r="B82" i="69"/>
  <c r="F81" i="69"/>
  <c r="D81" i="69"/>
  <c r="C81" i="69"/>
  <c r="B81" i="69"/>
  <c r="F80" i="69"/>
  <c r="D80" i="69"/>
  <c r="C80" i="69"/>
  <c r="B80" i="69"/>
  <c r="F79" i="69"/>
  <c r="D79" i="69"/>
  <c r="C79" i="69"/>
  <c r="B79" i="69"/>
  <c r="F78" i="69"/>
  <c r="D78" i="69"/>
  <c r="C78" i="69"/>
  <c r="B78" i="69"/>
  <c r="F77" i="69"/>
  <c r="D77" i="69"/>
  <c r="C77" i="69"/>
  <c r="B77" i="69"/>
  <c r="F76" i="69"/>
  <c r="D76" i="69"/>
  <c r="C76" i="69"/>
  <c r="B76" i="69"/>
  <c r="F75" i="69"/>
  <c r="D75" i="69"/>
  <c r="C75" i="69"/>
  <c r="B75" i="69"/>
  <c r="F74" i="69"/>
  <c r="D74" i="69"/>
  <c r="C74" i="69"/>
  <c r="B74" i="69"/>
  <c r="F73" i="69"/>
  <c r="D73" i="69"/>
  <c r="C73" i="69"/>
  <c r="B73" i="69"/>
  <c r="F72" i="69"/>
  <c r="D72" i="69"/>
  <c r="C72" i="69"/>
  <c r="B72" i="69"/>
  <c r="F71" i="69"/>
  <c r="D71" i="69"/>
  <c r="C71" i="69"/>
  <c r="B71" i="69"/>
  <c r="F70" i="69"/>
  <c r="D70" i="69"/>
  <c r="C70" i="69"/>
  <c r="B70" i="69"/>
  <c r="F69" i="69"/>
  <c r="D69" i="69"/>
  <c r="C69" i="69"/>
  <c r="B69" i="69"/>
  <c r="F68" i="69"/>
  <c r="D68" i="69"/>
  <c r="C68" i="69"/>
  <c r="B68" i="69"/>
  <c r="F67" i="69"/>
  <c r="D67" i="69"/>
  <c r="C67" i="69"/>
  <c r="B67" i="69"/>
  <c r="F66" i="69"/>
  <c r="D66" i="69"/>
  <c r="C66" i="69"/>
  <c r="B66" i="69"/>
  <c r="F65" i="69"/>
  <c r="C65" i="69"/>
  <c r="B65" i="69"/>
  <c r="D51" i="69"/>
  <c r="V40" i="69"/>
  <c r="S30" i="69"/>
  <c r="U29" i="69"/>
  <c r="T28" i="69"/>
  <c r="T32" i="69" s="1"/>
  <c r="S28" i="69"/>
  <c r="F72" i="68"/>
  <c r="D72" i="68"/>
  <c r="C72" i="68"/>
  <c r="B72" i="68"/>
  <c r="F71" i="68"/>
  <c r="D71" i="68"/>
  <c r="C71" i="68"/>
  <c r="B71" i="68"/>
  <c r="F70" i="68"/>
  <c r="D70" i="68"/>
  <c r="C70" i="68"/>
  <c r="B70" i="68"/>
  <c r="F69" i="68"/>
  <c r="D69" i="68"/>
  <c r="C69" i="68"/>
  <c r="B69" i="68"/>
  <c r="F68" i="68"/>
  <c r="D68" i="68"/>
  <c r="C68" i="68"/>
  <c r="B68" i="68"/>
  <c r="F67" i="68"/>
  <c r="D67" i="68"/>
  <c r="C67" i="68"/>
  <c r="B67" i="68"/>
  <c r="F66" i="68"/>
  <c r="D66" i="68"/>
  <c r="C66" i="68"/>
  <c r="B66" i="68"/>
  <c r="F65" i="68"/>
  <c r="D65" i="68"/>
  <c r="C65" i="68"/>
  <c r="B65" i="68"/>
  <c r="C51" i="68"/>
  <c r="D51" i="67"/>
  <c r="U31" i="67"/>
  <c r="T32" i="67"/>
  <c r="S30" i="67"/>
  <c r="S32" i="67" s="1"/>
  <c r="U29" i="67"/>
  <c r="U32" i="67" s="1"/>
  <c r="K1" i="67"/>
  <c r="F153" i="66"/>
  <c r="C153" i="66"/>
  <c r="B153" i="66"/>
  <c r="F152" i="66"/>
  <c r="C152" i="66"/>
  <c r="B152" i="66"/>
  <c r="F151" i="66"/>
  <c r="C151" i="66"/>
  <c r="B151" i="66"/>
  <c r="F150" i="66"/>
  <c r="C150" i="66"/>
  <c r="B150" i="66"/>
  <c r="F149" i="66"/>
  <c r="C149" i="66"/>
  <c r="B149" i="66"/>
  <c r="F148" i="66"/>
  <c r="C148" i="66"/>
  <c r="B148" i="66"/>
  <c r="F147" i="66"/>
  <c r="C147" i="66"/>
  <c r="B147" i="66"/>
  <c r="F146" i="66"/>
  <c r="C146" i="66"/>
  <c r="B146" i="66"/>
  <c r="F145" i="66"/>
  <c r="C145" i="66"/>
  <c r="B145" i="66"/>
  <c r="F137" i="66"/>
  <c r="C137" i="66"/>
  <c r="B137" i="66"/>
  <c r="F136" i="66"/>
  <c r="C136" i="66"/>
  <c r="B136" i="66"/>
  <c r="F135" i="66"/>
  <c r="C135" i="66"/>
  <c r="B135" i="66"/>
  <c r="F134" i="66"/>
  <c r="C134" i="66"/>
  <c r="B134" i="66"/>
  <c r="F133" i="66"/>
  <c r="C133" i="66"/>
  <c r="B133" i="66"/>
  <c r="F132" i="66"/>
  <c r="C132" i="66"/>
  <c r="B132" i="66"/>
  <c r="F131" i="66"/>
  <c r="C131" i="66"/>
  <c r="B131" i="66"/>
  <c r="F130" i="66"/>
  <c r="C130" i="66"/>
  <c r="B130" i="66"/>
  <c r="F129" i="66"/>
  <c r="C129" i="66"/>
  <c r="B129" i="66"/>
  <c r="F121" i="66"/>
  <c r="C121" i="66"/>
  <c r="B121" i="66"/>
  <c r="F120" i="66"/>
  <c r="C120" i="66"/>
  <c r="B120" i="66"/>
  <c r="F119" i="66"/>
  <c r="C119" i="66"/>
  <c r="B119" i="66"/>
  <c r="F118" i="66"/>
  <c r="C118" i="66"/>
  <c r="B118" i="66"/>
  <c r="F117" i="66"/>
  <c r="C117" i="66"/>
  <c r="B117" i="66"/>
  <c r="F116" i="66"/>
  <c r="C116" i="66"/>
  <c r="B116" i="66"/>
  <c r="F115" i="66"/>
  <c r="C115" i="66"/>
  <c r="B115" i="66"/>
  <c r="F114" i="66"/>
  <c r="C114" i="66"/>
  <c r="B114" i="66"/>
  <c r="F113" i="66"/>
  <c r="C113" i="66"/>
  <c r="B113" i="66"/>
  <c r="F105" i="66"/>
  <c r="C105" i="66"/>
  <c r="B105" i="66"/>
  <c r="F104" i="66"/>
  <c r="C104" i="66"/>
  <c r="B104" i="66"/>
  <c r="F103" i="66"/>
  <c r="C103" i="66"/>
  <c r="B103" i="66"/>
  <c r="F102" i="66"/>
  <c r="C102" i="66"/>
  <c r="B102" i="66"/>
  <c r="F101" i="66"/>
  <c r="C101" i="66"/>
  <c r="B101" i="66"/>
  <c r="F100" i="66"/>
  <c r="C100" i="66"/>
  <c r="B100" i="66"/>
  <c r="F99" i="66"/>
  <c r="C99" i="66"/>
  <c r="B99" i="66"/>
  <c r="F98" i="66"/>
  <c r="C98" i="66"/>
  <c r="B98" i="66"/>
  <c r="F97" i="66"/>
  <c r="C97" i="66"/>
  <c r="B97" i="66"/>
  <c r="F88" i="66"/>
  <c r="C88" i="66"/>
  <c r="B88" i="66"/>
  <c r="F87" i="66"/>
  <c r="C87" i="66"/>
  <c r="B87" i="66"/>
  <c r="F86" i="66"/>
  <c r="C86" i="66"/>
  <c r="B86" i="66"/>
  <c r="F85" i="66"/>
  <c r="C85" i="66"/>
  <c r="B85" i="66"/>
  <c r="F84" i="66"/>
  <c r="C84" i="66"/>
  <c r="B84" i="66"/>
  <c r="F83" i="66"/>
  <c r="C83" i="66"/>
  <c r="B83" i="66"/>
  <c r="F82" i="66"/>
  <c r="C82" i="66"/>
  <c r="B82" i="66"/>
  <c r="F81" i="66"/>
  <c r="C81" i="66"/>
  <c r="B81" i="66"/>
  <c r="F80" i="66"/>
  <c r="C80" i="66"/>
  <c r="B80" i="66"/>
  <c r="F73" i="66"/>
  <c r="C73" i="66"/>
  <c r="B73" i="66"/>
  <c r="F72" i="66"/>
  <c r="C72" i="66"/>
  <c r="B72" i="66"/>
  <c r="F71" i="66"/>
  <c r="C71" i="66"/>
  <c r="B71" i="66"/>
  <c r="F70" i="66"/>
  <c r="C70" i="66"/>
  <c r="B70" i="66"/>
  <c r="F69" i="66"/>
  <c r="C69" i="66"/>
  <c r="B69" i="66"/>
  <c r="F68" i="66"/>
  <c r="C68" i="66"/>
  <c r="B68" i="66"/>
  <c r="F67" i="66"/>
  <c r="C67" i="66"/>
  <c r="B67" i="66"/>
  <c r="F66" i="66"/>
  <c r="C66" i="66"/>
  <c r="B66" i="66"/>
  <c r="F65" i="66"/>
  <c r="C65" i="66"/>
  <c r="B65" i="66"/>
  <c r="V44" i="66"/>
  <c r="U44" i="66"/>
  <c r="T29" i="66"/>
  <c r="AA28" i="66"/>
  <c r="T28" i="66"/>
  <c r="R25" i="66"/>
  <c r="D13" i="66"/>
  <c r="D12" i="66"/>
  <c r="D11" i="66"/>
  <c r="D10" i="66"/>
  <c r="D9" i="66"/>
  <c r="D8" i="66"/>
  <c r="D7" i="66"/>
  <c r="D6" i="66"/>
  <c r="V40" i="65"/>
  <c r="U33" i="65"/>
  <c r="U29" i="65"/>
  <c r="D51" i="65"/>
  <c r="C51" i="65"/>
  <c r="U33" i="64"/>
  <c r="U30" i="64"/>
  <c r="U29" i="64"/>
  <c r="F80" i="62"/>
  <c r="D80" i="62"/>
  <c r="C80" i="62"/>
  <c r="B80" i="62"/>
  <c r="F79" i="62"/>
  <c r="D79" i="62"/>
  <c r="C79" i="62"/>
  <c r="B79" i="62"/>
  <c r="F78" i="62"/>
  <c r="D78" i="62"/>
  <c r="C78" i="62"/>
  <c r="B78" i="62"/>
  <c r="F77" i="62"/>
  <c r="D77" i="62"/>
  <c r="C77" i="62"/>
  <c r="B77" i="62"/>
  <c r="F76" i="62"/>
  <c r="D76" i="62"/>
  <c r="C76" i="62"/>
  <c r="B76" i="62"/>
  <c r="F75" i="62"/>
  <c r="D75" i="62"/>
  <c r="C75" i="62"/>
  <c r="B75" i="62"/>
  <c r="F74" i="62"/>
  <c r="D74" i="62"/>
  <c r="C74" i="62"/>
  <c r="B74" i="62"/>
  <c r="F73" i="62"/>
  <c r="D73" i="62"/>
  <c r="C73" i="62"/>
  <c r="B73" i="62"/>
  <c r="F72" i="62"/>
  <c r="D72" i="62"/>
  <c r="C72" i="62"/>
  <c r="B72" i="62"/>
  <c r="F71" i="62"/>
  <c r="D71" i="62"/>
  <c r="C71" i="62"/>
  <c r="B71" i="62"/>
  <c r="F70" i="62"/>
  <c r="D70" i="62"/>
  <c r="C70" i="62"/>
  <c r="B70" i="62"/>
  <c r="F69" i="62"/>
  <c r="D69" i="62"/>
  <c r="C69" i="62"/>
  <c r="B69" i="62"/>
  <c r="F68" i="62"/>
  <c r="D68" i="62"/>
  <c r="C68" i="62"/>
  <c r="B68" i="62"/>
  <c r="F67" i="62"/>
  <c r="D67" i="62"/>
  <c r="C67" i="62"/>
  <c r="B67" i="62"/>
  <c r="F66" i="62"/>
  <c r="D66" i="62"/>
  <c r="C66" i="62"/>
  <c r="B66" i="62"/>
  <c r="F65" i="62"/>
  <c r="C65" i="62"/>
  <c r="B65" i="62"/>
  <c r="V40" i="62"/>
  <c r="U33" i="62"/>
  <c r="T30" i="62"/>
  <c r="S30" i="62"/>
  <c r="U29" i="62"/>
  <c r="U32" i="62" s="1"/>
  <c r="AC30" i="62" s="1"/>
  <c r="S28" i="62"/>
  <c r="D51" i="62"/>
  <c r="C51" i="62"/>
  <c r="F77" i="61"/>
  <c r="D77" i="61"/>
  <c r="C77" i="61"/>
  <c r="B77" i="61"/>
  <c r="F76" i="61"/>
  <c r="D76" i="61"/>
  <c r="C76" i="61"/>
  <c r="B76" i="61"/>
  <c r="F75" i="61"/>
  <c r="D75" i="61"/>
  <c r="C75" i="61"/>
  <c r="B75" i="61"/>
  <c r="F74" i="61"/>
  <c r="D74" i="61"/>
  <c r="C74" i="61"/>
  <c r="B74" i="61"/>
  <c r="F73" i="61"/>
  <c r="D73" i="61"/>
  <c r="C73" i="61"/>
  <c r="B73" i="61"/>
  <c r="F72" i="61"/>
  <c r="D72" i="61"/>
  <c r="C72" i="61"/>
  <c r="B72" i="61"/>
  <c r="F71" i="61"/>
  <c r="D71" i="61"/>
  <c r="C71" i="61"/>
  <c r="B71" i="61"/>
  <c r="F70" i="61"/>
  <c r="D70" i="61"/>
  <c r="C70" i="61"/>
  <c r="B70" i="61"/>
  <c r="F69" i="61"/>
  <c r="D69" i="61"/>
  <c r="C69" i="61"/>
  <c r="B69" i="61"/>
  <c r="F68" i="61"/>
  <c r="D68" i="61"/>
  <c r="C68" i="61"/>
  <c r="B68" i="61"/>
  <c r="F67" i="61"/>
  <c r="D67" i="61"/>
  <c r="C67" i="61"/>
  <c r="B67" i="61"/>
  <c r="F66" i="61"/>
  <c r="D66" i="61"/>
  <c r="C66" i="61"/>
  <c r="B66" i="61"/>
  <c r="F65" i="61"/>
  <c r="C65" i="61"/>
  <c r="B65" i="61"/>
  <c r="D51" i="61"/>
  <c r="R44" i="61" s="1"/>
  <c r="C51" i="61"/>
  <c r="V40" i="61"/>
  <c r="T30" i="61"/>
  <c r="S30" i="61"/>
  <c r="U29" i="61"/>
  <c r="U32" i="61" s="1"/>
  <c r="AD30" i="61" s="1"/>
  <c r="T28" i="61"/>
  <c r="S28" i="61"/>
  <c r="F96" i="60"/>
  <c r="D96" i="60"/>
  <c r="C96" i="60"/>
  <c r="B96" i="60"/>
  <c r="F95" i="60"/>
  <c r="D95" i="60"/>
  <c r="C95" i="60"/>
  <c r="B95" i="60"/>
  <c r="F94" i="60"/>
  <c r="D94" i="60"/>
  <c r="C94" i="60"/>
  <c r="B94" i="60"/>
  <c r="F93" i="60"/>
  <c r="D93" i="60"/>
  <c r="C93" i="60"/>
  <c r="B93" i="60"/>
  <c r="F92" i="60"/>
  <c r="D92" i="60"/>
  <c r="C92" i="60"/>
  <c r="B92" i="60"/>
  <c r="F91" i="60"/>
  <c r="D91" i="60"/>
  <c r="C91" i="60"/>
  <c r="B91" i="60"/>
  <c r="F90" i="60"/>
  <c r="D90" i="60"/>
  <c r="C90" i="60"/>
  <c r="B90" i="60"/>
  <c r="F89" i="60"/>
  <c r="D89" i="60"/>
  <c r="C89" i="60"/>
  <c r="B89" i="60"/>
  <c r="F88" i="60"/>
  <c r="D88" i="60"/>
  <c r="C88" i="60"/>
  <c r="B88" i="60"/>
  <c r="F87" i="60"/>
  <c r="D87" i="60"/>
  <c r="C87" i="60"/>
  <c r="B87" i="60"/>
  <c r="F86" i="60"/>
  <c r="D86" i="60"/>
  <c r="C86" i="60"/>
  <c r="B86" i="60"/>
  <c r="F85" i="60"/>
  <c r="D85" i="60"/>
  <c r="C85" i="60"/>
  <c r="B85" i="60"/>
  <c r="F84" i="60"/>
  <c r="C84" i="60"/>
  <c r="B84" i="60"/>
  <c r="F77" i="60"/>
  <c r="D77" i="60"/>
  <c r="C77" i="60"/>
  <c r="B77" i="60"/>
  <c r="F76" i="60"/>
  <c r="D76" i="60"/>
  <c r="C76" i="60"/>
  <c r="B76" i="60"/>
  <c r="F75" i="60"/>
  <c r="D75" i="60"/>
  <c r="C75" i="60"/>
  <c r="B75" i="60"/>
  <c r="F74" i="60"/>
  <c r="D74" i="60"/>
  <c r="C74" i="60"/>
  <c r="B74" i="60"/>
  <c r="F73" i="60"/>
  <c r="D73" i="60"/>
  <c r="C73" i="60"/>
  <c r="B73" i="60"/>
  <c r="F72" i="60"/>
  <c r="D72" i="60"/>
  <c r="C72" i="60"/>
  <c r="B72" i="60"/>
  <c r="F71" i="60"/>
  <c r="D71" i="60"/>
  <c r="C71" i="60"/>
  <c r="B71" i="60"/>
  <c r="F70" i="60"/>
  <c r="D70" i="60"/>
  <c r="C70" i="60"/>
  <c r="B70" i="60"/>
  <c r="F69" i="60"/>
  <c r="D69" i="60"/>
  <c r="C69" i="60"/>
  <c r="B69" i="60"/>
  <c r="F68" i="60"/>
  <c r="D68" i="60"/>
  <c r="C68" i="60"/>
  <c r="B68" i="60"/>
  <c r="F67" i="60"/>
  <c r="D67" i="60"/>
  <c r="C67" i="60"/>
  <c r="B67" i="60"/>
  <c r="F66" i="60"/>
  <c r="D66" i="60"/>
  <c r="C66" i="60"/>
  <c r="B66" i="60"/>
  <c r="F65" i="60"/>
  <c r="C65" i="60"/>
  <c r="B65" i="60"/>
  <c r="D51" i="60"/>
  <c r="R44" i="60" s="1"/>
  <c r="T33" i="60"/>
  <c r="K1" i="60"/>
  <c r="C51" i="60" s="1"/>
  <c r="F79" i="59"/>
  <c r="D79" i="59"/>
  <c r="C79" i="59"/>
  <c r="B79" i="59"/>
  <c r="F78" i="59"/>
  <c r="D78" i="59"/>
  <c r="C78" i="59"/>
  <c r="B78" i="59"/>
  <c r="F77" i="59"/>
  <c r="D77" i="59"/>
  <c r="C77" i="59"/>
  <c r="B77" i="59"/>
  <c r="F76" i="59"/>
  <c r="D76" i="59"/>
  <c r="C76" i="59"/>
  <c r="B76" i="59"/>
  <c r="F75" i="59"/>
  <c r="D75" i="59"/>
  <c r="C75" i="59"/>
  <c r="B75" i="59"/>
  <c r="F74" i="59"/>
  <c r="D74" i="59"/>
  <c r="C74" i="59"/>
  <c r="B74" i="59"/>
  <c r="F73" i="59"/>
  <c r="D73" i="59"/>
  <c r="C73" i="59"/>
  <c r="B73" i="59"/>
  <c r="F72" i="59"/>
  <c r="D72" i="59"/>
  <c r="C72" i="59"/>
  <c r="B72" i="59"/>
  <c r="F71" i="59"/>
  <c r="D71" i="59"/>
  <c r="C71" i="59"/>
  <c r="B71" i="59"/>
  <c r="F70" i="59"/>
  <c r="D70" i="59"/>
  <c r="C70" i="59"/>
  <c r="B70" i="59"/>
  <c r="F69" i="59"/>
  <c r="D69" i="59"/>
  <c r="C69" i="59"/>
  <c r="B69" i="59"/>
  <c r="F68" i="59"/>
  <c r="D68" i="59"/>
  <c r="C68" i="59"/>
  <c r="B68" i="59"/>
  <c r="F67" i="59"/>
  <c r="D67" i="59"/>
  <c r="C67" i="59"/>
  <c r="B67" i="59"/>
  <c r="F66" i="59"/>
  <c r="D66" i="59"/>
  <c r="C66" i="59"/>
  <c r="B66" i="59"/>
  <c r="F65" i="59"/>
  <c r="C65" i="59"/>
  <c r="B65" i="59"/>
  <c r="D51" i="59"/>
  <c r="K1" i="59"/>
  <c r="C51" i="59" s="1"/>
  <c r="F103" i="58"/>
  <c r="D103" i="58"/>
  <c r="C103" i="58"/>
  <c r="B103" i="58"/>
  <c r="F102" i="58"/>
  <c r="D102" i="58"/>
  <c r="C102" i="58"/>
  <c r="B102" i="58"/>
  <c r="F101" i="58"/>
  <c r="D101" i="58"/>
  <c r="C101" i="58"/>
  <c r="B101" i="58"/>
  <c r="F100" i="58"/>
  <c r="D100" i="58"/>
  <c r="C100" i="58"/>
  <c r="B100" i="58"/>
  <c r="F99" i="58"/>
  <c r="D99" i="58"/>
  <c r="C99" i="58"/>
  <c r="B99" i="58"/>
  <c r="F98" i="58"/>
  <c r="D98" i="58"/>
  <c r="C98" i="58"/>
  <c r="B98" i="58"/>
  <c r="F97" i="58"/>
  <c r="D97" i="58"/>
  <c r="C97" i="58"/>
  <c r="B97" i="58"/>
  <c r="F96" i="58"/>
  <c r="D96" i="58"/>
  <c r="C96" i="58"/>
  <c r="B96" i="58"/>
  <c r="F95" i="58"/>
  <c r="D95" i="58"/>
  <c r="C95" i="58"/>
  <c r="B95" i="58"/>
  <c r="F94" i="58"/>
  <c r="D94" i="58"/>
  <c r="C94" i="58"/>
  <c r="B94" i="58"/>
  <c r="F93" i="58"/>
  <c r="D93" i="58"/>
  <c r="C93" i="58"/>
  <c r="B93" i="58"/>
  <c r="F92" i="58"/>
  <c r="D92" i="58"/>
  <c r="C92" i="58"/>
  <c r="B92" i="58"/>
  <c r="F91" i="58"/>
  <c r="D91" i="58"/>
  <c r="C91" i="58"/>
  <c r="B91" i="58"/>
  <c r="F90" i="58"/>
  <c r="D90" i="58"/>
  <c r="C90" i="58"/>
  <c r="B90" i="58"/>
  <c r="F89" i="58"/>
  <c r="D89" i="58"/>
  <c r="C89" i="58"/>
  <c r="B89" i="58"/>
  <c r="F88" i="58"/>
  <c r="C88" i="58"/>
  <c r="B88" i="58"/>
  <c r="F80" i="58"/>
  <c r="D80" i="58"/>
  <c r="C80" i="58"/>
  <c r="B80" i="58"/>
  <c r="F79" i="58"/>
  <c r="D79" i="58"/>
  <c r="C79" i="58"/>
  <c r="B79" i="58"/>
  <c r="F78" i="58"/>
  <c r="D78" i="58"/>
  <c r="C78" i="58"/>
  <c r="B78" i="58"/>
  <c r="F77" i="58"/>
  <c r="D77" i="58"/>
  <c r="C77" i="58"/>
  <c r="B77" i="58"/>
  <c r="F76" i="58"/>
  <c r="D76" i="58"/>
  <c r="C76" i="58"/>
  <c r="B76" i="58"/>
  <c r="F75" i="58"/>
  <c r="D75" i="58"/>
  <c r="C75" i="58"/>
  <c r="B75" i="58"/>
  <c r="F74" i="58"/>
  <c r="D74" i="58"/>
  <c r="C74" i="58"/>
  <c r="B74" i="58"/>
  <c r="F73" i="58"/>
  <c r="D73" i="58"/>
  <c r="C73" i="58"/>
  <c r="B73" i="58"/>
  <c r="F72" i="58"/>
  <c r="D72" i="58"/>
  <c r="C72" i="58"/>
  <c r="B72" i="58"/>
  <c r="F71" i="58"/>
  <c r="D71" i="58"/>
  <c r="C71" i="58"/>
  <c r="B71" i="58"/>
  <c r="F70" i="58"/>
  <c r="D70" i="58"/>
  <c r="C70" i="58"/>
  <c r="B70" i="58"/>
  <c r="F69" i="58"/>
  <c r="D69" i="58"/>
  <c r="C69" i="58"/>
  <c r="B69" i="58"/>
  <c r="F68" i="58"/>
  <c r="D68" i="58"/>
  <c r="C68" i="58"/>
  <c r="B68" i="58"/>
  <c r="F67" i="58"/>
  <c r="D67" i="58"/>
  <c r="C67" i="58"/>
  <c r="B67" i="58"/>
  <c r="F66" i="58"/>
  <c r="D66" i="58"/>
  <c r="C66" i="58"/>
  <c r="B66" i="58"/>
  <c r="F65" i="58"/>
  <c r="C65" i="58"/>
  <c r="B65" i="58"/>
  <c r="D51" i="58"/>
  <c r="C51" i="58"/>
  <c r="V40" i="58"/>
  <c r="J52" i="58"/>
  <c r="T30" i="58"/>
  <c r="T29" i="58"/>
  <c r="U28" i="58"/>
  <c r="F140" i="57"/>
  <c r="D140" i="57"/>
  <c r="C140" i="57"/>
  <c r="B140" i="57"/>
  <c r="F139" i="57"/>
  <c r="D139" i="57"/>
  <c r="C139" i="57"/>
  <c r="B139" i="57"/>
  <c r="F138" i="57"/>
  <c r="D138" i="57"/>
  <c r="C138" i="57"/>
  <c r="B138" i="57"/>
  <c r="F137" i="57"/>
  <c r="D137" i="57"/>
  <c r="C137" i="57"/>
  <c r="B137" i="57"/>
  <c r="F136" i="57"/>
  <c r="D136" i="57"/>
  <c r="C136" i="57"/>
  <c r="B136" i="57"/>
  <c r="F135" i="57"/>
  <c r="D135" i="57"/>
  <c r="C135" i="57"/>
  <c r="B135" i="57"/>
  <c r="F134" i="57"/>
  <c r="D134" i="57"/>
  <c r="C134" i="57"/>
  <c r="B134" i="57"/>
  <c r="F133" i="57"/>
  <c r="D133" i="57"/>
  <c r="C133" i="57"/>
  <c r="B133" i="57"/>
  <c r="F132" i="57"/>
  <c r="D132" i="57"/>
  <c r="C132" i="57"/>
  <c r="B132" i="57"/>
  <c r="F131" i="57"/>
  <c r="D131" i="57"/>
  <c r="C131" i="57"/>
  <c r="B131" i="57"/>
  <c r="F130" i="57"/>
  <c r="D130" i="57"/>
  <c r="C130" i="57"/>
  <c r="B130" i="57"/>
  <c r="F129" i="57"/>
  <c r="D129" i="57"/>
  <c r="C129" i="57"/>
  <c r="B129" i="57"/>
  <c r="F128" i="57"/>
  <c r="D128" i="57"/>
  <c r="C128" i="57"/>
  <c r="B128" i="57"/>
  <c r="F127" i="57"/>
  <c r="D127" i="57"/>
  <c r="C127" i="57"/>
  <c r="B127" i="57"/>
  <c r="F126" i="57"/>
  <c r="D126" i="57"/>
  <c r="C126" i="57"/>
  <c r="B126" i="57"/>
  <c r="F125" i="57"/>
  <c r="D125" i="57"/>
  <c r="C125" i="57"/>
  <c r="B125" i="57"/>
  <c r="F124" i="57"/>
  <c r="D124" i="57"/>
  <c r="C124" i="57"/>
  <c r="B124" i="57"/>
  <c r="F123" i="57"/>
  <c r="D123" i="57"/>
  <c r="C123" i="57"/>
  <c r="B123" i="57"/>
  <c r="F122" i="57"/>
  <c r="D122" i="57"/>
  <c r="C122" i="57"/>
  <c r="B122" i="57"/>
  <c r="F121" i="57"/>
  <c r="D121" i="57"/>
  <c r="C121" i="57"/>
  <c r="B121" i="57"/>
  <c r="F120" i="57"/>
  <c r="C120" i="57"/>
  <c r="B120" i="57"/>
  <c r="F113" i="57"/>
  <c r="D113" i="57"/>
  <c r="C113" i="57"/>
  <c r="B113" i="57"/>
  <c r="F112" i="57"/>
  <c r="D112" i="57"/>
  <c r="C112" i="57"/>
  <c r="B112" i="57"/>
  <c r="F111" i="57"/>
  <c r="D111" i="57"/>
  <c r="C111" i="57"/>
  <c r="B111" i="57"/>
  <c r="F110" i="57"/>
  <c r="D110" i="57"/>
  <c r="C110" i="57"/>
  <c r="B110" i="57"/>
  <c r="F109" i="57"/>
  <c r="D109" i="57"/>
  <c r="C109" i="57"/>
  <c r="B109" i="57"/>
  <c r="F108" i="57"/>
  <c r="D108" i="57"/>
  <c r="C108" i="57"/>
  <c r="B108" i="57"/>
  <c r="F107" i="57"/>
  <c r="D107" i="57"/>
  <c r="C107" i="57"/>
  <c r="B107" i="57"/>
  <c r="F106" i="57"/>
  <c r="D106" i="57"/>
  <c r="C106" i="57"/>
  <c r="B106" i="57"/>
  <c r="F105" i="57"/>
  <c r="D105" i="57"/>
  <c r="C105" i="57"/>
  <c r="B105" i="57"/>
  <c r="F104" i="57"/>
  <c r="D104" i="57"/>
  <c r="C104" i="57"/>
  <c r="B104" i="57"/>
  <c r="F103" i="57"/>
  <c r="D103" i="57"/>
  <c r="C103" i="57"/>
  <c r="B103" i="57"/>
  <c r="F102" i="57"/>
  <c r="D102" i="57"/>
  <c r="C102" i="57"/>
  <c r="B102" i="57"/>
  <c r="F101" i="57"/>
  <c r="D101" i="57"/>
  <c r="C101" i="57"/>
  <c r="B101" i="57"/>
  <c r="F100" i="57"/>
  <c r="D100" i="57"/>
  <c r="C100" i="57"/>
  <c r="B100" i="57"/>
  <c r="F99" i="57"/>
  <c r="D99" i="57"/>
  <c r="C99" i="57"/>
  <c r="B99" i="57"/>
  <c r="F98" i="57"/>
  <c r="D98" i="57"/>
  <c r="C98" i="57"/>
  <c r="B98" i="57"/>
  <c r="F97" i="57"/>
  <c r="D97" i="57"/>
  <c r="C97" i="57"/>
  <c r="B97" i="57"/>
  <c r="F96" i="57"/>
  <c r="D96" i="57"/>
  <c r="C96" i="57"/>
  <c r="B96" i="57"/>
  <c r="F95" i="57"/>
  <c r="D95" i="57"/>
  <c r="C95" i="57"/>
  <c r="B95" i="57"/>
  <c r="F94" i="57"/>
  <c r="D94" i="57"/>
  <c r="C94" i="57"/>
  <c r="B94" i="57"/>
  <c r="F93" i="57"/>
  <c r="C93" i="57"/>
  <c r="B93" i="57"/>
  <c r="F85" i="57"/>
  <c r="D85" i="57"/>
  <c r="C85" i="57"/>
  <c r="B85" i="57"/>
  <c r="F84" i="57"/>
  <c r="D84" i="57"/>
  <c r="C84" i="57"/>
  <c r="B84" i="57"/>
  <c r="F83" i="57"/>
  <c r="D83" i="57"/>
  <c r="C83" i="57"/>
  <c r="B83" i="57"/>
  <c r="F82" i="57"/>
  <c r="D82" i="57"/>
  <c r="C82" i="57"/>
  <c r="B82" i="57"/>
  <c r="F81" i="57"/>
  <c r="D81" i="57"/>
  <c r="C81" i="57"/>
  <c r="B81" i="57"/>
  <c r="F80" i="57"/>
  <c r="D80" i="57"/>
  <c r="C80" i="57"/>
  <c r="B80" i="57"/>
  <c r="F79" i="57"/>
  <c r="D79" i="57"/>
  <c r="C79" i="57"/>
  <c r="B79" i="57"/>
  <c r="F78" i="57"/>
  <c r="D78" i="57"/>
  <c r="C78" i="57"/>
  <c r="B78" i="57"/>
  <c r="F77" i="57"/>
  <c r="D77" i="57"/>
  <c r="C77" i="57"/>
  <c r="B77" i="57"/>
  <c r="F76" i="57"/>
  <c r="D76" i="57"/>
  <c r="C76" i="57"/>
  <c r="B76" i="57"/>
  <c r="F75" i="57"/>
  <c r="D75" i="57"/>
  <c r="C75" i="57"/>
  <c r="B75" i="57"/>
  <c r="F74" i="57"/>
  <c r="D74" i="57"/>
  <c r="C74" i="57"/>
  <c r="B74" i="57"/>
  <c r="F73" i="57"/>
  <c r="D73" i="57"/>
  <c r="C73" i="57"/>
  <c r="B73" i="57"/>
  <c r="F72" i="57"/>
  <c r="D72" i="57"/>
  <c r="C72" i="57"/>
  <c r="B72" i="57"/>
  <c r="F71" i="57"/>
  <c r="D71" i="57"/>
  <c r="C71" i="57"/>
  <c r="B71" i="57"/>
  <c r="F70" i="57"/>
  <c r="D70" i="57"/>
  <c r="C70" i="57"/>
  <c r="B70" i="57"/>
  <c r="F69" i="57"/>
  <c r="D69" i="57"/>
  <c r="C69" i="57"/>
  <c r="B69" i="57"/>
  <c r="F68" i="57"/>
  <c r="D68" i="57"/>
  <c r="C68" i="57"/>
  <c r="B68" i="57"/>
  <c r="F67" i="57"/>
  <c r="D67" i="57"/>
  <c r="C67" i="57"/>
  <c r="B67" i="57"/>
  <c r="F66" i="57"/>
  <c r="D66" i="57"/>
  <c r="C66" i="57"/>
  <c r="B66" i="57"/>
  <c r="F65" i="57"/>
  <c r="C65" i="57"/>
  <c r="B65" i="57"/>
  <c r="D51" i="57"/>
  <c r="C51" i="57"/>
  <c r="V40" i="57"/>
  <c r="T33" i="57"/>
  <c r="S30" i="57"/>
  <c r="U29" i="57"/>
  <c r="T28" i="57"/>
  <c r="T32" i="57" s="1"/>
  <c r="S28" i="57"/>
  <c r="F95" i="56"/>
  <c r="D95" i="56"/>
  <c r="C95" i="56"/>
  <c r="B95" i="56"/>
  <c r="F94" i="56"/>
  <c r="D94" i="56"/>
  <c r="C94" i="56"/>
  <c r="B94" i="56"/>
  <c r="F93" i="56"/>
  <c r="D93" i="56"/>
  <c r="C93" i="56"/>
  <c r="B93" i="56"/>
  <c r="F92" i="56"/>
  <c r="D92" i="56"/>
  <c r="C92" i="56"/>
  <c r="B92" i="56"/>
  <c r="F91" i="56"/>
  <c r="D91" i="56"/>
  <c r="C91" i="56"/>
  <c r="B91" i="56"/>
  <c r="F90" i="56"/>
  <c r="D90" i="56"/>
  <c r="C90" i="56"/>
  <c r="B90" i="56"/>
  <c r="F89" i="56"/>
  <c r="D89" i="56"/>
  <c r="C89" i="56"/>
  <c r="B89" i="56"/>
  <c r="F88" i="56"/>
  <c r="D88" i="56"/>
  <c r="C88" i="56"/>
  <c r="B88" i="56"/>
  <c r="F87" i="56"/>
  <c r="D87" i="56"/>
  <c r="C87" i="56"/>
  <c r="B87" i="56"/>
  <c r="F86" i="56"/>
  <c r="D86" i="56"/>
  <c r="C86" i="56"/>
  <c r="B86" i="56"/>
  <c r="F85" i="56"/>
  <c r="C85" i="56"/>
  <c r="B85" i="56"/>
  <c r="F75" i="56"/>
  <c r="D75" i="56"/>
  <c r="C75" i="56"/>
  <c r="B75" i="56"/>
  <c r="F74" i="56"/>
  <c r="D74" i="56"/>
  <c r="C74" i="56"/>
  <c r="B74" i="56"/>
  <c r="F73" i="56"/>
  <c r="D73" i="56"/>
  <c r="C73" i="56"/>
  <c r="B73" i="56"/>
  <c r="F72" i="56"/>
  <c r="D72" i="56"/>
  <c r="C72" i="56"/>
  <c r="B72" i="56"/>
  <c r="F71" i="56"/>
  <c r="D71" i="56"/>
  <c r="C71" i="56"/>
  <c r="B71" i="56"/>
  <c r="F70" i="56"/>
  <c r="D70" i="56"/>
  <c r="C70" i="56"/>
  <c r="B70" i="56"/>
  <c r="F69" i="56"/>
  <c r="D69" i="56"/>
  <c r="C69" i="56"/>
  <c r="B69" i="56"/>
  <c r="F68" i="56"/>
  <c r="D68" i="56"/>
  <c r="C68" i="56"/>
  <c r="B68" i="56"/>
  <c r="F67" i="56"/>
  <c r="D67" i="56"/>
  <c r="C67" i="56"/>
  <c r="B67" i="56"/>
  <c r="F66" i="56"/>
  <c r="D66" i="56"/>
  <c r="C66" i="56"/>
  <c r="B66" i="56"/>
  <c r="F65" i="56"/>
  <c r="C65" i="56"/>
  <c r="B65" i="56"/>
  <c r="D51" i="56"/>
  <c r="C51" i="56"/>
  <c r="T33" i="56"/>
  <c r="T32" i="56"/>
  <c r="U32" i="56" s="1"/>
  <c r="AD30" i="56" s="1"/>
  <c r="U29" i="56"/>
  <c r="F74" i="55"/>
  <c r="D74" i="55"/>
  <c r="C74" i="55"/>
  <c r="B74" i="55"/>
  <c r="F73" i="55"/>
  <c r="D73" i="55"/>
  <c r="C73" i="55"/>
  <c r="B73" i="55"/>
  <c r="F72" i="55"/>
  <c r="D72" i="55"/>
  <c r="C72" i="55"/>
  <c r="B72" i="55"/>
  <c r="F71" i="55"/>
  <c r="D71" i="55"/>
  <c r="C71" i="55"/>
  <c r="B71" i="55"/>
  <c r="F70" i="55"/>
  <c r="D70" i="55"/>
  <c r="C70" i="55"/>
  <c r="B70" i="55"/>
  <c r="F69" i="55"/>
  <c r="D69" i="55"/>
  <c r="C69" i="55"/>
  <c r="B69" i="55"/>
  <c r="F68" i="55"/>
  <c r="D68" i="55"/>
  <c r="C68" i="55"/>
  <c r="B68" i="55"/>
  <c r="F67" i="55"/>
  <c r="D67" i="55"/>
  <c r="C67" i="55"/>
  <c r="B67" i="55"/>
  <c r="F66" i="55"/>
  <c r="D66" i="55"/>
  <c r="C66" i="55"/>
  <c r="B66" i="55"/>
  <c r="T29" i="55"/>
  <c r="S28" i="55"/>
  <c r="S30" i="55" s="1"/>
  <c r="F71" i="54"/>
  <c r="D71" i="54"/>
  <c r="C71" i="54"/>
  <c r="B71" i="54"/>
  <c r="F70" i="54"/>
  <c r="D70" i="54"/>
  <c r="C70" i="54"/>
  <c r="B70" i="54"/>
  <c r="F69" i="54"/>
  <c r="D69" i="54"/>
  <c r="C69" i="54"/>
  <c r="B69" i="54"/>
  <c r="F68" i="54"/>
  <c r="D68" i="54"/>
  <c r="C68" i="54"/>
  <c r="B68" i="54"/>
  <c r="F67" i="54"/>
  <c r="D67" i="54"/>
  <c r="C67" i="54"/>
  <c r="B67" i="54"/>
  <c r="F66" i="54"/>
  <c r="D66" i="54"/>
  <c r="C66" i="54"/>
  <c r="B66" i="54"/>
  <c r="F65" i="54"/>
  <c r="D65" i="54"/>
  <c r="C65" i="54"/>
  <c r="B65" i="54"/>
  <c r="T29" i="54"/>
  <c r="S28" i="54"/>
  <c r="S30" i="54" s="1"/>
  <c r="C51" i="54"/>
  <c r="F69" i="53"/>
  <c r="D69" i="53"/>
  <c r="C69" i="53"/>
  <c r="B69" i="53"/>
  <c r="F68" i="53"/>
  <c r="D68" i="53"/>
  <c r="C68" i="53"/>
  <c r="B68" i="53"/>
  <c r="F67" i="53"/>
  <c r="D67" i="53"/>
  <c r="C67" i="53"/>
  <c r="B67" i="53"/>
  <c r="F66" i="53"/>
  <c r="D66" i="53"/>
  <c r="C66" i="53"/>
  <c r="B66" i="53"/>
  <c r="F65" i="53"/>
  <c r="C65" i="53"/>
  <c r="B65" i="53"/>
  <c r="D51" i="53"/>
  <c r="C51" i="53"/>
  <c r="R44" i="53"/>
  <c r="V40" i="53"/>
  <c r="T30" i="53"/>
  <c r="S30" i="53"/>
  <c r="U29" i="53"/>
  <c r="U32" i="53" s="1"/>
  <c r="U31" i="52"/>
  <c r="U29" i="52"/>
  <c r="U54" i="52"/>
  <c r="U52" i="52"/>
  <c r="V52" i="52" s="1"/>
  <c r="F117" i="51"/>
  <c r="D117" i="51"/>
  <c r="C117" i="51"/>
  <c r="B117" i="51"/>
  <c r="F116" i="51"/>
  <c r="D116" i="51"/>
  <c r="C116" i="51"/>
  <c r="B116" i="51"/>
  <c r="F115" i="51"/>
  <c r="D115" i="51"/>
  <c r="C115" i="51"/>
  <c r="B115" i="51"/>
  <c r="F114" i="51"/>
  <c r="D114" i="51"/>
  <c r="C114" i="51"/>
  <c r="B114" i="51"/>
  <c r="F113" i="51"/>
  <c r="D113" i="51"/>
  <c r="C113" i="51"/>
  <c r="B113" i="51"/>
  <c r="F112" i="51"/>
  <c r="D112" i="51"/>
  <c r="C112" i="51"/>
  <c r="B112" i="51"/>
  <c r="F111" i="51"/>
  <c r="D111" i="51"/>
  <c r="C111" i="51"/>
  <c r="B111" i="51"/>
  <c r="F110" i="51"/>
  <c r="D110" i="51"/>
  <c r="C110" i="51"/>
  <c r="B110" i="51"/>
  <c r="F109" i="51"/>
  <c r="D109" i="51"/>
  <c r="C109" i="51"/>
  <c r="B109" i="51"/>
  <c r="F108" i="51"/>
  <c r="D108" i="51"/>
  <c r="C108" i="51"/>
  <c r="B108" i="51"/>
  <c r="F107" i="51"/>
  <c r="D107" i="51"/>
  <c r="C107" i="51"/>
  <c r="B107" i="51"/>
  <c r="F106" i="51"/>
  <c r="D106" i="51"/>
  <c r="C106" i="51"/>
  <c r="B106" i="51"/>
  <c r="F105" i="51"/>
  <c r="C105" i="51"/>
  <c r="B105" i="51"/>
  <c r="F96" i="51"/>
  <c r="D96" i="51"/>
  <c r="C96" i="51"/>
  <c r="B96" i="51"/>
  <c r="F95" i="51"/>
  <c r="D95" i="51"/>
  <c r="C95" i="51"/>
  <c r="B95" i="51"/>
  <c r="F94" i="51"/>
  <c r="D94" i="51"/>
  <c r="C94" i="51"/>
  <c r="B94" i="51"/>
  <c r="F93" i="51"/>
  <c r="D93" i="51"/>
  <c r="C93" i="51"/>
  <c r="B93" i="51"/>
  <c r="F92" i="51"/>
  <c r="D92" i="51"/>
  <c r="C92" i="51"/>
  <c r="B92" i="51"/>
  <c r="F91" i="51"/>
  <c r="D91" i="51"/>
  <c r="C91" i="51"/>
  <c r="B91" i="51"/>
  <c r="F90" i="51"/>
  <c r="D90" i="51"/>
  <c r="C90" i="51"/>
  <c r="B90" i="51"/>
  <c r="F89" i="51"/>
  <c r="D89" i="51"/>
  <c r="C89" i="51"/>
  <c r="B89" i="51"/>
  <c r="F88" i="51"/>
  <c r="D88" i="51"/>
  <c r="C88" i="51"/>
  <c r="B88" i="51"/>
  <c r="F87" i="51"/>
  <c r="D87" i="51"/>
  <c r="C87" i="51"/>
  <c r="B87" i="51"/>
  <c r="F86" i="51"/>
  <c r="D86" i="51"/>
  <c r="C86" i="51"/>
  <c r="B86" i="51"/>
  <c r="F85" i="51"/>
  <c r="D85" i="51"/>
  <c r="C85" i="51"/>
  <c r="B85" i="51"/>
  <c r="F84" i="51"/>
  <c r="C84" i="51"/>
  <c r="B84" i="51"/>
  <c r="F77" i="51"/>
  <c r="D77" i="51"/>
  <c r="C77" i="51"/>
  <c r="B77" i="51"/>
  <c r="F76" i="51"/>
  <c r="D76" i="51"/>
  <c r="C76" i="51"/>
  <c r="B76" i="51"/>
  <c r="F75" i="51"/>
  <c r="D75" i="51"/>
  <c r="C75" i="51"/>
  <c r="B75" i="51"/>
  <c r="F74" i="51"/>
  <c r="D74" i="51"/>
  <c r="C74" i="51"/>
  <c r="B74" i="51"/>
  <c r="F73" i="51"/>
  <c r="D73" i="51"/>
  <c r="C73" i="51"/>
  <c r="B73" i="51"/>
  <c r="F72" i="51"/>
  <c r="D72" i="51"/>
  <c r="C72" i="51"/>
  <c r="B72" i="51"/>
  <c r="F71" i="51"/>
  <c r="D71" i="51"/>
  <c r="C71" i="51"/>
  <c r="B71" i="51"/>
  <c r="F70" i="51"/>
  <c r="D70" i="51"/>
  <c r="C70" i="51"/>
  <c r="B70" i="51"/>
  <c r="F69" i="51"/>
  <c r="D69" i="51"/>
  <c r="C69" i="51"/>
  <c r="B69" i="51"/>
  <c r="F68" i="51"/>
  <c r="D68" i="51"/>
  <c r="C68" i="51"/>
  <c r="B68" i="51"/>
  <c r="F67" i="51"/>
  <c r="D67" i="51"/>
  <c r="C67" i="51"/>
  <c r="B67" i="51"/>
  <c r="F66" i="51"/>
  <c r="D66" i="51"/>
  <c r="C66" i="51"/>
  <c r="B66" i="51"/>
  <c r="F65" i="51"/>
  <c r="C65" i="51"/>
  <c r="B65" i="51"/>
  <c r="V44" i="51"/>
  <c r="U44" i="51"/>
  <c r="W44" i="51"/>
  <c r="T29" i="51"/>
  <c r="T28" i="51"/>
  <c r="R25" i="51"/>
  <c r="F77" i="50"/>
  <c r="D77" i="50"/>
  <c r="C77" i="50"/>
  <c r="B77" i="50"/>
  <c r="F76" i="50"/>
  <c r="D76" i="50"/>
  <c r="C76" i="50"/>
  <c r="B76" i="50"/>
  <c r="F75" i="50"/>
  <c r="D75" i="50"/>
  <c r="C75" i="50"/>
  <c r="B75" i="50"/>
  <c r="F74" i="50"/>
  <c r="D74" i="50"/>
  <c r="C74" i="50"/>
  <c r="B74" i="50"/>
  <c r="F73" i="50"/>
  <c r="D73" i="50"/>
  <c r="C73" i="50"/>
  <c r="B73" i="50"/>
  <c r="F72" i="50"/>
  <c r="D72" i="50"/>
  <c r="C72" i="50"/>
  <c r="B72" i="50"/>
  <c r="F71" i="50"/>
  <c r="D71" i="50"/>
  <c r="C71" i="50"/>
  <c r="B71" i="50"/>
  <c r="F70" i="50"/>
  <c r="D70" i="50"/>
  <c r="C70" i="50"/>
  <c r="B70" i="50"/>
  <c r="F69" i="50"/>
  <c r="D69" i="50"/>
  <c r="C69" i="50"/>
  <c r="B69" i="50"/>
  <c r="F68" i="50"/>
  <c r="D68" i="50"/>
  <c r="C68" i="50"/>
  <c r="B68" i="50"/>
  <c r="F67" i="50"/>
  <c r="D67" i="50"/>
  <c r="C67" i="50"/>
  <c r="B67" i="50"/>
  <c r="F66" i="50"/>
  <c r="D66" i="50"/>
  <c r="C66" i="50"/>
  <c r="B66" i="50"/>
  <c r="U29" i="50"/>
  <c r="U32" i="50" s="1"/>
  <c r="F77" i="49"/>
  <c r="D77" i="49"/>
  <c r="C77" i="49"/>
  <c r="B77" i="49"/>
  <c r="F76" i="49"/>
  <c r="D76" i="49"/>
  <c r="C76" i="49"/>
  <c r="B76" i="49"/>
  <c r="F75" i="49"/>
  <c r="D75" i="49"/>
  <c r="C75" i="49"/>
  <c r="B75" i="49"/>
  <c r="F74" i="49"/>
  <c r="D74" i="49"/>
  <c r="C74" i="49"/>
  <c r="B74" i="49"/>
  <c r="F73" i="49"/>
  <c r="D73" i="49"/>
  <c r="C73" i="49"/>
  <c r="B73" i="49"/>
  <c r="F72" i="49"/>
  <c r="D72" i="49"/>
  <c r="C72" i="49"/>
  <c r="B72" i="49"/>
  <c r="F71" i="49"/>
  <c r="D71" i="49"/>
  <c r="C71" i="49"/>
  <c r="B71" i="49"/>
  <c r="F70" i="49"/>
  <c r="D70" i="49"/>
  <c r="C70" i="49"/>
  <c r="B70" i="49"/>
  <c r="F69" i="49"/>
  <c r="D69" i="49"/>
  <c r="C69" i="49"/>
  <c r="B69" i="49"/>
  <c r="F68" i="49"/>
  <c r="D68" i="49"/>
  <c r="C68" i="49"/>
  <c r="B68" i="49"/>
  <c r="F67" i="49"/>
  <c r="D67" i="49"/>
  <c r="C67" i="49"/>
  <c r="B67" i="49"/>
  <c r="F66" i="49"/>
  <c r="D66" i="49"/>
  <c r="C66" i="49"/>
  <c r="B66" i="49"/>
  <c r="F65" i="49"/>
  <c r="C65" i="49"/>
  <c r="B65" i="49"/>
  <c r="D51" i="49"/>
  <c r="C51" i="49"/>
  <c r="F99" i="48"/>
  <c r="D99" i="48"/>
  <c r="C99" i="48"/>
  <c r="B99" i="48"/>
  <c r="F98" i="48"/>
  <c r="D98" i="48"/>
  <c r="C98" i="48"/>
  <c r="B98" i="48"/>
  <c r="F97" i="48"/>
  <c r="D97" i="48"/>
  <c r="C97" i="48"/>
  <c r="B97" i="48"/>
  <c r="F96" i="48"/>
  <c r="D96" i="48"/>
  <c r="C96" i="48"/>
  <c r="B96" i="48"/>
  <c r="F95" i="48"/>
  <c r="D95" i="48"/>
  <c r="C95" i="48"/>
  <c r="B95" i="48"/>
  <c r="F94" i="48"/>
  <c r="D94" i="48"/>
  <c r="C94" i="48"/>
  <c r="B94" i="48"/>
  <c r="F93" i="48"/>
  <c r="D93" i="48"/>
  <c r="C93" i="48"/>
  <c r="B93" i="48"/>
  <c r="F92" i="48"/>
  <c r="D92" i="48"/>
  <c r="C92" i="48"/>
  <c r="B92" i="48"/>
  <c r="F91" i="48"/>
  <c r="D91" i="48"/>
  <c r="C91" i="48"/>
  <c r="B91" i="48"/>
  <c r="F90" i="48"/>
  <c r="D90" i="48"/>
  <c r="C90" i="48"/>
  <c r="B90" i="48"/>
  <c r="F89" i="48"/>
  <c r="D89" i="48"/>
  <c r="C89" i="48"/>
  <c r="B89" i="48"/>
  <c r="F88" i="48"/>
  <c r="D88" i="48"/>
  <c r="C88" i="48"/>
  <c r="B88" i="48"/>
  <c r="F87" i="48"/>
  <c r="C87" i="48"/>
  <c r="B87" i="48"/>
  <c r="F77" i="48"/>
  <c r="D77" i="48"/>
  <c r="C77" i="48"/>
  <c r="B77" i="48"/>
  <c r="F76" i="48"/>
  <c r="D76" i="48"/>
  <c r="C76" i="48"/>
  <c r="B76" i="48"/>
  <c r="F75" i="48"/>
  <c r="D75" i="48"/>
  <c r="C75" i="48"/>
  <c r="B75" i="48"/>
  <c r="F74" i="48"/>
  <c r="D74" i="48"/>
  <c r="C74" i="48"/>
  <c r="B74" i="48"/>
  <c r="F73" i="48"/>
  <c r="D73" i="48"/>
  <c r="C73" i="48"/>
  <c r="B73" i="48"/>
  <c r="F72" i="48"/>
  <c r="D72" i="48"/>
  <c r="C72" i="48"/>
  <c r="B72" i="48"/>
  <c r="F71" i="48"/>
  <c r="D71" i="48"/>
  <c r="C71" i="48"/>
  <c r="B71" i="48"/>
  <c r="F70" i="48"/>
  <c r="D70" i="48"/>
  <c r="C70" i="48"/>
  <c r="B70" i="48"/>
  <c r="F69" i="48"/>
  <c r="D69" i="48"/>
  <c r="C69" i="48"/>
  <c r="B69" i="48"/>
  <c r="F68" i="48"/>
  <c r="D68" i="48"/>
  <c r="C68" i="48"/>
  <c r="B68" i="48"/>
  <c r="F67" i="48"/>
  <c r="D67" i="48"/>
  <c r="C67" i="48"/>
  <c r="B67" i="48"/>
  <c r="F66" i="48"/>
  <c r="D66" i="48"/>
  <c r="C66" i="48"/>
  <c r="B66" i="48"/>
  <c r="F65" i="48"/>
  <c r="C65" i="48"/>
  <c r="B65" i="48"/>
  <c r="V40" i="48"/>
  <c r="S30" i="48"/>
  <c r="T29" i="48"/>
  <c r="T28" i="48"/>
  <c r="S28" i="48"/>
  <c r="D51" i="48"/>
  <c r="K1" i="48"/>
  <c r="F105" i="47"/>
  <c r="D105" i="47"/>
  <c r="C105" i="47"/>
  <c r="B105" i="47"/>
  <c r="F104" i="47"/>
  <c r="D104" i="47"/>
  <c r="C104" i="47"/>
  <c r="B104" i="47"/>
  <c r="F103" i="47"/>
  <c r="D103" i="47"/>
  <c r="C103" i="47"/>
  <c r="B103" i="47"/>
  <c r="F102" i="47"/>
  <c r="D102" i="47"/>
  <c r="C102" i="47"/>
  <c r="B102" i="47"/>
  <c r="F101" i="47"/>
  <c r="D101" i="47"/>
  <c r="C101" i="47"/>
  <c r="B101" i="47"/>
  <c r="F100" i="47"/>
  <c r="D100" i="47"/>
  <c r="C100" i="47"/>
  <c r="B100" i="47"/>
  <c r="F99" i="47"/>
  <c r="D99" i="47"/>
  <c r="C99" i="47"/>
  <c r="B99" i="47"/>
  <c r="F98" i="47"/>
  <c r="D98" i="47"/>
  <c r="C98" i="47"/>
  <c r="B98" i="47"/>
  <c r="F97" i="47"/>
  <c r="D97" i="47"/>
  <c r="C97" i="47"/>
  <c r="B97" i="47"/>
  <c r="F96" i="47"/>
  <c r="D96" i="47"/>
  <c r="C96" i="47"/>
  <c r="B96" i="47"/>
  <c r="F95" i="47"/>
  <c r="D95" i="47"/>
  <c r="C95" i="47"/>
  <c r="B95" i="47"/>
  <c r="F94" i="47"/>
  <c r="D94" i="47"/>
  <c r="C94" i="47"/>
  <c r="B94" i="47"/>
  <c r="F93" i="47"/>
  <c r="D93" i="47"/>
  <c r="C93" i="47"/>
  <c r="B93" i="47"/>
  <c r="F92" i="47"/>
  <c r="D92" i="47"/>
  <c r="C92" i="47"/>
  <c r="B92" i="47"/>
  <c r="F91" i="47"/>
  <c r="D91" i="47"/>
  <c r="C91" i="47"/>
  <c r="B91" i="47"/>
  <c r="F90" i="47"/>
  <c r="D90" i="47"/>
  <c r="C90" i="47"/>
  <c r="B90" i="47"/>
  <c r="F89" i="47"/>
  <c r="C89" i="47"/>
  <c r="B89" i="47"/>
  <c r="F81" i="47"/>
  <c r="D81" i="47"/>
  <c r="C81" i="47"/>
  <c r="B81" i="47"/>
  <c r="F80" i="47"/>
  <c r="D80" i="47"/>
  <c r="C80" i="47"/>
  <c r="B80" i="47"/>
  <c r="F79" i="47"/>
  <c r="D79" i="47"/>
  <c r="C79" i="47"/>
  <c r="B79" i="47"/>
  <c r="F78" i="47"/>
  <c r="D78" i="47"/>
  <c r="C78" i="47"/>
  <c r="B78" i="47"/>
  <c r="F77" i="47"/>
  <c r="D77" i="47"/>
  <c r="C77" i="47"/>
  <c r="B77" i="47"/>
  <c r="F76" i="47"/>
  <c r="D76" i="47"/>
  <c r="C76" i="47"/>
  <c r="B76" i="47"/>
  <c r="F75" i="47"/>
  <c r="D75" i="47"/>
  <c r="C75" i="47"/>
  <c r="B75" i="47"/>
  <c r="F74" i="47"/>
  <c r="D74" i="47"/>
  <c r="C74" i="47"/>
  <c r="B74" i="47"/>
  <c r="F73" i="47"/>
  <c r="D73" i="47"/>
  <c r="C73" i="47"/>
  <c r="B73" i="47"/>
  <c r="F72" i="47"/>
  <c r="D72" i="47"/>
  <c r="C72" i="47"/>
  <c r="B72" i="47"/>
  <c r="F71" i="47"/>
  <c r="D71" i="47"/>
  <c r="C71" i="47"/>
  <c r="B71" i="47"/>
  <c r="F70" i="47"/>
  <c r="D70" i="47"/>
  <c r="C70" i="47"/>
  <c r="B70" i="47"/>
  <c r="F69" i="47"/>
  <c r="D69" i="47"/>
  <c r="C69" i="47"/>
  <c r="B69" i="47"/>
  <c r="F68" i="47"/>
  <c r="D68" i="47"/>
  <c r="C68" i="47"/>
  <c r="B68" i="47"/>
  <c r="F67" i="47"/>
  <c r="D67" i="47"/>
  <c r="C67" i="47"/>
  <c r="B67" i="47"/>
  <c r="F66" i="47"/>
  <c r="D66" i="47"/>
  <c r="C66" i="47"/>
  <c r="B66" i="47"/>
  <c r="F65" i="47"/>
  <c r="C65" i="47"/>
  <c r="B65" i="47"/>
  <c r="V40" i="47"/>
  <c r="T30" i="47"/>
  <c r="S30" i="47"/>
  <c r="U29" i="47"/>
  <c r="U32" i="47" s="1"/>
  <c r="AC30" i="47" s="1"/>
  <c r="T28" i="47"/>
  <c r="S28" i="47"/>
  <c r="D51" i="47"/>
  <c r="C51" i="47"/>
  <c r="F75" i="46"/>
  <c r="D75" i="46"/>
  <c r="C75" i="46"/>
  <c r="B75" i="46"/>
  <c r="F74" i="46"/>
  <c r="D74" i="46"/>
  <c r="C74" i="46"/>
  <c r="B74" i="46"/>
  <c r="F73" i="46"/>
  <c r="D73" i="46"/>
  <c r="C73" i="46"/>
  <c r="B73" i="46"/>
  <c r="F72" i="46"/>
  <c r="D72" i="46"/>
  <c r="C72" i="46"/>
  <c r="B72" i="46"/>
  <c r="F71" i="46"/>
  <c r="D71" i="46"/>
  <c r="C71" i="46"/>
  <c r="B71" i="46"/>
  <c r="F70" i="46"/>
  <c r="D70" i="46"/>
  <c r="C70" i="46"/>
  <c r="B70" i="46"/>
  <c r="F69" i="46"/>
  <c r="D69" i="46"/>
  <c r="C69" i="46"/>
  <c r="B69" i="46"/>
  <c r="F68" i="46"/>
  <c r="D68" i="46"/>
  <c r="C68" i="46"/>
  <c r="B68" i="46"/>
  <c r="F67" i="46"/>
  <c r="D67" i="46"/>
  <c r="C67" i="46"/>
  <c r="B67" i="46"/>
  <c r="F66" i="46"/>
  <c r="D66" i="46"/>
  <c r="C66" i="46"/>
  <c r="B66" i="46"/>
  <c r="F65" i="46"/>
  <c r="C65" i="46"/>
  <c r="B65" i="46"/>
  <c r="V40" i="46"/>
  <c r="T30" i="46"/>
  <c r="S30" i="46"/>
  <c r="T28" i="46"/>
  <c r="S28" i="46"/>
  <c r="D51" i="46"/>
  <c r="R44" i="46"/>
  <c r="K1" i="46"/>
  <c r="C51" i="46"/>
  <c r="F105" i="45"/>
  <c r="D105" i="45"/>
  <c r="C105" i="45"/>
  <c r="B105" i="45"/>
  <c r="F104" i="45"/>
  <c r="C104" i="45"/>
  <c r="B104" i="45"/>
  <c r="F103" i="45"/>
  <c r="C103" i="45"/>
  <c r="B103" i="45"/>
  <c r="F102" i="45"/>
  <c r="C102" i="45"/>
  <c r="B102" i="45"/>
  <c r="F101" i="45"/>
  <c r="D101" i="45"/>
  <c r="C101" i="45"/>
  <c r="B101" i="45"/>
  <c r="F100" i="45"/>
  <c r="C100" i="45"/>
  <c r="B100" i="45"/>
  <c r="F99" i="45"/>
  <c r="D99" i="45"/>
  <c r="C99" i="45"/>
  <c r="B99" i="45"/>
  <c r="F98" i="45"/>
  <c r="D98" i="45"/>
  <c r="C98" i="45"/>
  <c r="B98" i="45"/>
  <c r="F97" i="45"/>
  <c r="C97" i="45"/>
  <c r="B97" i="45"/>
  <c r="F96" i="45"/>
  <c r="D96" i="45"/>
  <c r="C96" i="45"/>
  <c r="B96" i="45"/>
  <c r="F95" i="45"/>
  <c r="D95" i="45"/>
  <c r="C95" i="45"/>
  <c r="B95" i="45"/>
  <c r="F94" i="45"/>
  <c r="D94" i="45"/>
  <c r="C94" i="45"/>
  <c r="B94" i="45"/>
  <c r="F93" i="45"/>
  <c r="D93" i="45"/>
  <c r="C93" i="45"/>
  <c r="B93" i="45"/>
  <c r="F92" i="45"/>
  <c r="D92" i="45"/>
  <c r="C92" i="45"/>
  <c r="B92" i="45"/>
  <c r="F91" i="45"/>
  <c r="C91" i="45"/>
  <c r="B91" i="45"/>
  <c r="F80" i="45"/>
  <c r="D80" i="45"/>
  <c r="C80" i="45"/>
  <c r="B80" i="45"/>
  <c r="F79" i="45"/>
  <c r="C79" i="45"/>
  <c r="B79" i="45"/>
  <c r="F78" i="45"/>
  <c r="C78" i="45"/>
  <c r="B78" i="45"/>
  <c r="F77" i="45"/>
  <c r="C77" i="45"/>
  <c r="B77" i="45"/>
  <c r="F76" i="45"/>
  <c r="D76" i="45"/>
  <c r="C76" i="45"/>
  <c r="B76" i="45"/>
  <c r="F75" i="45"/>
  <c r="C75" i="45"/>
  <c r="B75" i="45"/>
  <c r="F74" i="45"/>
  <c r="D74" i="45"/>
  <c r="C74" i="45"/>
  <c r="B74" i="45"/>
  <c r="F73" i="45"/>
  <c r="D73" i="45"/>
  <c r="C73" i="45"/>
  <c r="B73" i="45"/>
  <c r="F72" i="45"/>
  <c r="C72" i="45"/>
  <c r="B72" i="45"/>
  <c r="F71" i="45"/>
  <c r="D71" i="45"/>
  <c r="C71" i="45"/>
  <c r="B71" i="45"/>
  <c r="F70" i="45"/>
  <c r="D70" i="45"/>
  <c r="C70" i="45"/>
  <c r="B70" i="45"/>
  <c r="F69" i="45"/>
  <c r="D69" i="45"/>
  <c r="C69" i="45"/>
  <c r="B69" i="45"/>
  <c r="F68" i="45"/>
  <c r="D68" i="45"/>
  <c r="C68" i="45"/>
  <c r="B68" i="45"/>
  <c r="F67" i="45"/>
  <c r="D67" i="45"/>
  <c r="C67" i="45"/>
  <c r="B67" i="45"/>
  <c r="F66" i="45"/>
  <c r="C66" i="45"/>
  <c r="B66" i="45"/>
  <c r="U29" i="45"/>
  <c r="F105" i="44"/>
  <c r="D105" i="44"/>
  <c r="C105" i="44"/>
  <c r="B105" i="44"/>
  <c r="F104" i="44"/>
  <c r="D104" i="44"/>
  <c r="C104" i="44"/>
  <c r="B104" i="44"/>
  <c r="F103" i="44"/>
  <c r="D103" i="44"/>
  <c r="C103" i="44"/>
  <c r="B103" i="44"/>
  <c r="F102" i="44"/>
  <c r="D102" i="44"/>
  <c r="C102" i="44"/>
  <c r="B102" i="44"/>
  <c r="F101" i="44"/>
  <c r="D101" i="44"/>
  <c r="C101" i="44"/>
  <c r="B101" i="44"/>
  <c r="F100" i="44"/>
  <c r="D100" i="44"/>
  <c r="C100" i="44"/>
  <c r="B100" i="44"/>
  <c r="F99" i="44"/>
  <c r="D99" i="44"/>
  <c r="C99" i="44"/>
  <c r="B99" i="44"/>
  <c r="F98" i="44"/>
  <c r="D98" i="44"/>
  <c r="C98" i="44"/>
  <c r="B98" i="44"/>
  <c r="F97" i="44"/>
  <c r="D97" i="44"/>
  <c r="C97" i="44"/>
  <c r="B97" i="44"/>
  <c r="F96" i="44"/>
  <c r="D96" i="44"/>
  <c r="C96" i="44"/>
  <c r="B96" i="44"/>
  <c r="F95" i="44"/>
  <c r="D95" i="44"/>
  <c r="C95" i="44"/>
  <c r="B95" i="44"/>
  <c r="F94" i="44"/>
  <c r="D94" i="44"/>
  <c r="C94" i="44"/>
  <c r="B94" i="44"/>
  <c r="F93" i="44"/>
  <c r="D93" i="44"/>
  <c r="C93" i="44"/>
  <c r="B93" i="44"/>
  <c r="F92" i="44"/>
  <c r="D92" i="44"/>
  <c r="C92" i="44"/>
  <c r="B92" i="44"/>
  <c r="F91" i="44"/>
  <c r="D91" i="44"/>
  <c r="C91" i="44"/>
  <c r="B91" i="44"/>
  <c r="F90" i="44"/>
  <c r="C90" i="44"/>
  <c r="B90" i="44"/>
  <c r="F80" i="44"/>
  <c r="D80" i="44"/>
  <c r="C80" i="44"/>
  <c r="B80" i="44"/>
  <c r="F79" i="44"/>
  <c r="D79" i="44"/>
  <c r="C79" i="44"/>
  <c r="B79" i="44"/>
  <c r="F78" i="44"/>
  <c r="D78" i="44"/>
  <c r="C78" i="44"/>
  <c r="B78" i="44"/>
  <c r="F77" i="44"/>
  <c r="D77" i="44"/>
  <c r="C77" i="44"/>
  <c r="B77" i="44"/>
  <c r="F76" i="44"/>
  <c r="D76" i="44"/>
  <c r="C76" i="44"/>
  <c r="B76" i="44"/>
  <c r="F75" i="44"/>
  <c r="D75" i="44"/>
  <c r="C75" i="44"/>
  <c r="B75" i="44"/>
  <c r="F74" i="44"/>
  <c r="D74" i="44"/>
  <c r="C74" i="44"/>
  <c r="B74" i="44"/>
  <c r="F73" i="44"/>
  <c r="D73" i="44"/>
  <c r="C73" i="44"/>
  <c r="B73" i="44"/>
  <c r="F72" i="44"/>
  <c r="D72" i="44"/>
  <c r="C72" i="44"/>
  <c r="B72" i="44"/>
  <c r="F71" i="44"/>
  <c r="D71" i="44"/>
  <c r="C71" i="44"/>
  <c r="B71" i="44"/>
  <c r="F70" i="44"/>
  <c r="D70" i="44"/>
  <c r="C70" i="44"/>
  <c r="B70" i="44"/>
  <c r="F69" i="44"/>
  <c r="D69" i="44"/>
  <c r="C69" i="44"/>
  <c r="B69" i="44"/>
  <c r="F68" i="44"/>
  <c r="D68" i="44"/>
  <c r="C68" i="44"/>
  <c r="B68" i="44"/>
  <c r="F67" i="44"/>
  <c r="D67" i="44"/>
  <c r="C67" i="44"/>
  <c r="B67" i="44"/>
  <c r="F66" i="44"/>
  <c r="D66" i="44"/>
  <c r="C66" i="44"/>
  <c r="B66" i="44"/>
  <c r="F65" i="44"/>
  <c r="C65" i="44"/>
  <c r="B65" i="44"/>
  <c r="V40" i="44"/>
  <c r="T30" i="44"/>
  <c r="S30" i="44"/>
  <c r="U29" i="44"/>
  <c r="U32" i="44" s="1"/>
  <c r="AC30" i="44" s="1"/>
  <c r="T28" i="44"/>
  <c r="S28" i="44"/>
  <c r="D51" i="44"/>
  <c r="R44" i="44"/>
  <c r="K1" i="44"/>
  <c r="C51" i="44" s="1"/>
  <c r="F96" i="43"/>
  <c r="D96" i="43"/>
  <c r="C96" i="43"/>
  <c r="B96" i="43"/>
  <c r="F95" i="43"/>
  <c r="D95" i="43"/>
  <c r="C95" i="43"/>
  <c r="B95" i="43"/>
  <c r="F94" i="43"/>
  <c r="D94" i="43"/>
  <c r="C94" i="43"/>
  <c r="B94" i="43"/>
  <c r="F93" i="43"/>
  <c r="D93" i="43"/>
  <c r="C93" i="43"/>
  <c r="B93" i="43"/>
  <c r="F92" i="43"/>
  <c r="D92" i="43"/>
  <c r="C92" i="43"/>
  <c r="B92" i="43"/>
  <c r="F91" i="43"/>
  <c r="D91" i="43"/>
  <c r="C91" i="43"/>
  <c r="B91" i="43"/>
  <c r="F90" i="43"/>
  <c r="D90" i="43"/>
  <c r="C90" i="43"/>
  <c r="B90" i="43"/>
  <c r="F89" i="43"/>
  <c r="D89" i="43"/>
  <c r="C89" i="43"/>
  <c r="B89" i="43"/>
  <c r="F88" i="43"/>
  <c r="D88" i="43"/>
  <c r="C88" i="43"/>
  <c r="B88" i="43"/>
  <c r="F87" i="43"/>
  <c r="D87" i="43"/>
  <c r="C87" i="43"/>
  <c r="B87" i="43"/>
  <c r="F86" i="43"/>
  <c r="D86" i="43"/>
  <c r="C86" i="43"/>
  <c r="B86" i="43"/>
  <c r="F85" i="43"/>
  <c r="D85" i="43"/>
  <c r="C85" i="43"/>
  <c r="B85" i="43"/>
  <c r="F84" i="43"/>
  <c r="C84" i="43"/>
  <c r="B84" i="43"/>
  <c r="F77" i="43"/>
  <c r="D77" i="43"/>
  <c r="C77" i="43"/>
  <c r="B77" i="43"/>
  <c r="F76" i="43"/>
  <c r="D76" i="43"/>
  <c r="C76" i="43"/>
  <c r="B76" i="43"/>
  <c r="F75" i="43"/>
  <c r="D75" i="43"/>
  <c r="C75" i="43"/>
  <c r="B75" i="43"/>
  <c r="F74" i="43"/>
  <c r="D74" i="43"/>
  <c r="C74" i="43"/>
  <c r="B74" i="43"/>
  <c r="F73" i="43"/>
  <c r="D73" i="43"/>
  <c r="C73" i="43"/>
  <c r="B73" i="43"/>
  <c r="F72" i="43"/>
  <c r="D72" i="43"/>
  <c r="C72" i="43"/>
  <c r="B72" i="43"/>
  <c r="F71" i="43"/>
  <c r="D71" i="43"/>
  <c r="C71" i="43"/>
  <c r="B71" i="43"/>
  <c r="F70" i="43"/>
  <c r="D70" i="43"/>
  <c r="C70" i="43"/>
  <c r="B70" i="43"/>
  <c r="F69" i="43"/>
  <c r="D69" i="43"/>
  <c r="C69" i="43"/>
  <c r="B69" i="43"/>
  <c r="F68" i="43"/>
  <c r="D68" i="43"/>
  <c r="C68" i="43"/>
  <c r="B68" i="43"/>
  <c r="F67" i="43"/>
  <c r="D67" i="43"/>
  <c r="C67" i="43"/>
  <c r="B67" i="43"/>
  <c r="F66" i="43"/>
  <c r="D66" i="43"/>
  <c r="C66" i="43"/>
  <c r="B66" i="43"/>
  <c r="F65" i="43"/>
  <c r="C65" i="43"/>
  <c r="B65" i="43"/>
  <c r="V40" i="43"/>
  <c r="U30" i="43"/>
  <c r="U32" i="43" s="1"/>
  <c r="S30" i="43"/>
  <c r="T32" i="43"/>
  <c r="S28" i="43"/>
  <c r="D51" i="43"/>
  <c r="R44" i="43" s="1"/>
  <c r="C51" i="43"/>
  <c r="F72" i="42"/>
  <c r="D72" i="42"/>
  <c r="C72" i="42"/>
  <c r="B72" i="42"/>
  <c r="F71" i="42"/>
  <c r="D71" i="42"/>
  <c r="C71" i="42"/>
  <c r="B71" i="42"/>
  <c r="F70" i="42"/>
  <c r="D70" i="42"/>
  <c r="C70" i="42"/>
  <c r="B70" i="42"/>
  <c r="F69" i="42"/>
  <c r="D69" i="42"/>
  <c r="C69" i="42"/>
  <c r="B69" i="42"/>
  <c r="F68" i="42"/>
  <c r="D68" i="42"/>
  <c r="C68" i="42"/>
  <c r="B68" i="42"/>
  <c r="F67" i="42"/>
  <c r="D67" i="42"/>
  <c r="C67" i="42"/>
  <c r="B67" i="42"/>
  <c r="F66" i="42"/>
  <c r="D66" i="42"/>
  <c r="C66" i="42"/>
  <c r="B66" i="42"/>
  <c r="F65" i="42"/>
  <c r="D65" i="42"/>
  <c r="C65" i="42"/>
  <c r="B65" i="42"/>
  <c r="F90" i="41"/>
  <c r="D90" i="41"/>
  <c r="C90" i="41"/>
  <c r="B90" i="41"/>
  <c r="F89" i="41"/>
  <c r="D89" i="41"/>
  <c r="C89" i="41"/>
  <c r="B89" i="41"/>
  <c r="F88" i="41"/>
  <c r="D88" i="41"/>
  <c r="C88" i="41"/>
  <c r="B88" i="41"/>
  <c r="F87" i="41"/>
  <c r="D87" i="41"/>
  <c r="C87" i="41"/>
  <c r="B87" i="41"/>
  <c r="F86" i="41"/>
  <c r="D86" i="41"/>
  <c r="C86" i="41"/>
  <c r="B86" i="41"/>
  <c r="F85" i="41"/>
  <c r="D85" i="41"/>
  <c r="C85" i="41"/>
  <c r="B85" i="41"/>
  <c r="F84" i="41"/>
  <c r="D84" i="41"/>
  <c r="C84" i="41"/>
  <c r="B84" i="41"/>
  <c r="F83" i="41"/>
  <c r="D83" i="41"/>
  <c r="C83" i="41"/>
  <c r="B83" i="41"/>
  <c r="F82" i="41"/>
  <c r="D82" i="41"/>
  <c r="C82" i="41"/>
  <c r="B82" i="41"/>
  <c r="F81" i="41"/>
  <c r="C81" i="41"/>
  <c r="B81" i="41"/>
  <c r="F74" i="41"/>
  <c r="D74" i="41"/>
  <c r="C74" i="41"/>
  <c r="B74" i="41"/>
  <c r="F73" i="41"/>
  <c r="D73" i="41"/>
  <c r="C73" i="41"/>
  <c r="B73" i="41"/>
  <c r="F72" i="41"/>
  <c r="D72" i="41"/>
  <c r="C72" i="41"/>
  <c r="B72" i="41"/>
  <c r="F71" i="41"/>
  <c r="D71" i="41"/>
  <c r="C71" i="41"/>
  <c r="B71" i="41"/>
  <c r="F70" i="41"/>
  <c r="D70" i="41"/>
  <c r="C70" i="41"/>
  <c r="B70" i="41"/>
  <c r="F69" i="41"/>
  <c r="D69" i="41"/>
  <c r="C69" i="41"/>
  <c r="B69" i="41"/>
  <c r="F68" i="41"/>
  <c r="D68" i="41"/>
  <c r="C68" i="41"/>
  <c r="B68" i="41"/>
  <c r="F67" i="41"/>
  <c r="D67" i="41"/>
  <c r="C67" i="41"/>
  <c r="B67" i="41"/>
  <c r="F66" i="41"/>
  <c r="D66" i="41"/>
  <c r="C66" i="41"/>
  <c r="B66" i="41"/>
  <c r="F65" i="41"/>
  <c r="C65" i="41"/>
  <c r="B65" i="41"/>
  <c r="V40" i="41"/>
  <c r="T30" i="41"/>
  <c r="S30" i="41"/>
  <c r="U29" i="41"/>
  <c r="U32" i="41" s="1"/>
  <c r="AD30" i="41" s="1"/>
  <c r="T28" i="41"/>
  <c r="S28" i="41"/>
  <c r="D51" i="41"/>
  <c r="R44" i="41" s="1"/>
  <c r="C51" i="41"/>
  <c r="F73" i="40"/>
  <c r="D73" i="40"/>
  <c r="C73" i="40"/>
  <c r="B73" i="40"/>
  <c r="F72" i="40"/>
  <c r="D72" i="40"/>
  <c r="C72" i="40"/>
  <c r="B72" i="40"/>
  <c r="F71" i="40"/>
  <c r="D71" i="40"/>
  <c r="C71" i="40"/>
  <c r="B71" i="40"/>
  <c r="F70" i="40"/>
  <c r="D70" i="40"/>
  <c r="C70" i="40"/>
  <c r="B70" i="40"/>
  <c r="F69" i="40"/>
  <c r="D69" i="40"/>
  <c r="C69" i="40"/>
  <c r="B69" i="40"/>
  <c r="F68" i="40"/>
  <c r="D68" i="40"/>
  <c r="C68" i="40"/>
  <c r="B68" i="40"/>
  <c r="F67" i="40"/>
  <c r="D67" i="40"/>
  <c r="C67" i="40"/>
  <c r="B67" i="40"/>
  <c r="F66" i="40"/>
  <c r="D66" i="40"/>
  <c r="C66" i="40"/>
  <c r="B66" i="40"/>
  <c r="F65" i="40"/>
  <c r="D65" i="40"/>
  <c r="C65" i="40"/>
  <c r="B65" i="40"/>
  <c r="T29" i="40"/>
  <c r="C51" i="40"/>
  <c r="F71" i="39"/>
  <c r="D71" i="39"/>
  <c r="C71" i="39"/>
  <c r="B71" i="39"/>
  <c r="F70" i="39"/>
  <c r="D70" i="39"/>
  <c r="C70" i="39"/>
  <c r="B70" i="39"/>
  <c r="F69" i="39"/>
  <c r="D69" i="39"/>
  <c r="C69" i="39"/>
  <c r="B69" i="39"/>
  <c r="F68" i="39"/>
  <c r="D68" i="39"/>
  <c r="C68" i="39"/>
  <c r="B68" i="39"/>
  <c r="F67" i="39"/>
  <c r="D67" i="39"/>
  <c r="C67" i="39"/>
  <c r="B67" i="39"/>
  <c r="F66" i="39"/>
  <c r="D66" i="39"/>
  <c r="C66" i="39"/>
  <c r="B66" i="39"/>
  <c r="F71" i="38"/>
  <c r="D71" i="38"/>
  <c r="C71" i="38"/>
  <c r="B71" i="38"/>
  <c r="F70" i="38"/>
  <c r="D70" i="38"/>
  <c r="C70" i="38"/>
  <c r="B70" i="38"/>
  <c r="F69" i="38"/>
  <c r="D69" i="38"/>
  <c r="C69" i="38"/>
  <c r="B69" i="38"/>
  <c r="F68" i="38"/>
  <c r="D68" i="38"/>
  <c r="C68" i="38"/>
  <c r="B68" i="38"/>
  <c r="F67" i="38"/>
  <c r="D67" i="38"/>
  <c r="C67" i="38"/>
  <c r="B67" i="38"/>
  <c r="F66" i="38"/>
  <c r="D66" i="38"/>
  <c r="C66" i="38"/>
  <c r="B66" i="38"/>
  <c r="F65" i="38"/>
  <c r="D65" i="38"/>
  <c r="C65" i="38"/>
  <c r="B65" i="38"/>
  <c r="S28" i="38"/>
  <c r="S30" i="38" s="1"/>
  <c r="F70" i="37"/>
  <c r="D70" i="37"/>
  <c r="C70" i="37"/>
  <c r="B70" i="37"/>
  <c r="F69" i="37"/>
  <c r="D69" i="37"/>
  <c r="C69" i="37"/>
  <c r="B69" i="37"/>
  <c r="F68" i="37"/>
  <c r="D68" i="37"/>
  <c r="C68" i="37"/>
  <c r="B68" i="37"/>
  <c r="F67" i="37"/>
  <c r="D67" i="37"/>
  <c r="C67" i="37"/>
  <c r="B67" i="37"/>
  <c r="F66" i="37"/>
  <c r="D66" i="37"/>
  <c r="C66" i="37"/>
  <c r="B66" i="37"/>
  <c r="F65" i="37"/>
  <c r="C65" i="37"/>
  <c r="B65" i="37"/>
  <c r="D51" i="37"/>
  <c r="R44" i="37" s="1"/>
  <c r="C51" i="37"/>
  <c r="V40" i="37"/>
  <c r="T32" i="37"/>
  <c r="U29" i="37"/>
  <c r="U32" i="37" s="1"/>
  <c r="T35" i="36"/>
  <c r="T34" i="36"/>
  <c r="T32" i="36"/>
  <c r="AO1" i="36"/>
  <c r="T31" i="36"/>
  <c r="U31" i="36"/>
  <c r="U30" i="36"/>
  <c r="U29" i="36"/>
  <c r="U28" i="36"/>
  <c r="F93" i="35"/>
  <c r="D93" i="35"/>
  <c r="C93" i="35"/>
  <c r="B93" i="35"/>
  <c r="F92" i="35"/>
  <c r="D92" i="35"/>
  <c r="C92" i="35"/>
  <c r="B92" i="35"/>
  <c r="F91" i="35"/>
  <c r="D91" i="35"/>
  <c r="C91" i="35"/>
  <c r="B91" i="35"/>
  <c r="F90" i="35"/>
  <c r="D90" i="35"/>
  <c r="C90" i="35"/>
  <c r="B90" i="35"/>
  <c r="F89" i="35"/>
  <c r="C89" i="35"/>
  <c r="B89" i="35"/>
  <c r="F79" i="35"/>
  <c r="D79" i="35"/>
  <c r="C79" i="35"/>
  <c r="B79" i="35"/>
  <c r="F78" i="35"/>
  <c r="D78" i="35"/>
  <c r="C78" i="35"/>
  <c r="B78" i="35"/>
  <c r="F77" i="35"/>
  <c r="D77" i="35"/>
  <c r="C77" i="35"/>
  <c r="B77" i="35"/>
  <c r="F76" i="35"/>
  <c r="C76" i="35"/>
  <c r="B76" i="35"/>
  <c r="F69" i="35"/>
  <c r="D69" i="35"/>
  <c r="C69" i="35"/>
  <c r="B69" i="35"/>
  <c r="F68" i="35"/>
  <c r="D68" i="35"/>
  <c r="C68" i="35"/>
  <c r="B68" i="35"/>
  <c r="F67" i="35"/>
  <c r="D67" i="35"/>
  <c r="C67" i="35"/>
  <c r="B67" i="35"/>
  <c r="F66" i="35"/>
  <c r="D66" i="35"/>
  <c r="C66" i="35"/>
  <c r="B66" i="35"/>
  <c r="F65" i="35"/>
  <c r="C65" i="35"/>
  <c r="B65" i="35"/>
  <c r="V44" i="35"/>
  <c r="U44" i="35"/>
  <c r="W44" i="35" s="1"/>
  <c r="J51" i="35" s="1"/>
  <c r="I51" i="35" s="1"/>
  <c r="D5" i="35" s="1"/>
  <c r="T29" i="35"/>
  <c r="AA28" i="35"/>
  <c r="AB28" i="35" s="1"/>
  <c r="T28" i="35"/>
  <c r="R25" i="35"/>
  <c r="F96" i="34"/>
  <c r="D96" i="34"/>
  <c r="C96" i="34"/>
  <c r="B96" i="34"/>
  <c r="F95" i="34"/>
  <c r="D95" i="34"/>
  <c r="C95" i="34"/>
  <c r="B95" i="34"/>
  <c r="F94" i="34"/>
  <c r="D94" i="34"/>
  <c r="C94" i="34"/>
  <c r="B94" i="34"/>
  <c r="F93" i="34"/>
  <c r="D93" i="34"/>
  <c r="C93" i="34"/>
  <c r="B93" i="34"/>
  <c r="F92" i="34"/>
  <c r="D92" i="34"/>
  <c r="C92" i="34"/>
  <c r="B92" i="34"/>
  <c r="F91" i="34"/>
  <c r="C91" i="34"/>
  <c r="B91" i="34"/>
  <c r="F82" i="34"/>
  <c r="D82" i="34"/>
  <c r="C82" i="34"/>
  <c r="B82" i="34"/>
  <c r="F81" i="34"/>
  <c r="D81" i="34"/>
  <c r="C81" i="34"/>
  <c r="B81" i="34"/>
  <c r="F80" i="34"/>
  <c r="D80" i="34"/>
  <c r="C80" i="34"/>
  <c r="B80" i="34"/>
  <c r="F79" i="34"/>
  <c r="D79" i="34"/>
  <c r="C79" i="34"/>
  <c r="B79" i="34"/>
  <c r="F78" i="34"/>
  <c r="D78" i="34"/>
  <c r="C78" i="34"/>
  <c r="B78" i="34"/>
  <c r="F77" i="34"/>
  <c r="C77" i="34"/>
  <c r="B77" i="34"/>
  <c r="F70" i="34"/>
  <c r="D70" i="34"/>
  <c r="C70" i="34"/>
  <c r="B70" i="34"/>
  <c r="F69" i="34"/>
  <c r="D69" i="34"/>
  <c r="C69" i="34"/>
  <c r="B69" i="34"/>
  <c r="F68" i="34"/>
  <c r="D68" i="34"/>
  <c r="C68" i="34"/>
  <c r="B68" i="34"/>
  <c r="F67" i="34"/>
  <c r="D67" i="34"/>
  <c r="C67" i="34"/>
  <c r="B67" i="34"/>
  <c r="F66" i="34"/>
  <c r="D66" i="34"/>
  <c r="C66" i="34"/>
  <c r="B66" i="34"/>
  <c r="F65" i="34"/>
  <c r="C65" i="34"/>
  <c r="B65" i="34"/>
  <c r="V44" i="34"/>
  <c r="U44" i="34"/>
  <c r="W44" i="34" s="1"/>
  <c r="J51" i="34" s="1"/>
  <c r="I51" i="34" s="1"/>
  <c r="D5" i="34" s="1"/>
  <c r="D1" i="34"/>
  <c r="H5" i="34" s="1"/>
  <c r="T29" i="34"/>
  <c r="AA28" i="34"/>
  <c r="T28" i="34"/>
  <c r="R25" i="34"/>
  <c r="F112" i="33"/>
  <c r="C112" i="33"/>
  <c r="B112" i="33"/>
  <c r="F111" i="33"/>
  <c r="C111" i="33"/>
  <c r="B111" i="33"/>
  <c r="F110" i="33"/>
  <c r="C110" i="33"/>
  <c r="B110" i="33"/>
  <c r="F109" i="33"/>
  <c r="C109" i="33"/>
  <c r="B109" i="33"/>
  <c r="F108" i="33"/>
  <c r="C108" i="33"/>
  <c r="B108" i="33"/>
  <c r="F107" i="33"/>
  <c r="C107" i="33"/>
  <c r="B107" i="33"/>
  <c r="F106" i="33"/>
  <c r="C106" i="33"/>
  <c r="B106" i="33"/>
  <c r="F105" i="33"/>
  <c r="C105" i="33"/>
  <c r="B105" i="33"/>
  <c r="F104" i="33"/>
  <c r="C104" i="33"/>
  <c r="B104" i="33"/>
  <c r="F103" i="33"/>
  <c r="C103" i="33"/>
  <c r="B103" i="33"/>
  <c r="F102" i="33"/>
  <c r="C102" i="33"/>
  <c r="B102" i="33"/>
  <c r="F101" i="33"/>
  <c r="C101" i="33"/>
  <c r="B101" i="33"/>
  <c r="F100" i="33"/>
  <c r="C100" i="33"/>
  <c r="B100" i="33"/>
  <c r="F99" i="33"/>
  <c r="C99" i="33"/>
  <c r="B99" i="33"/>
  <c r="F98" i="33"/>
  <c r="C98" i="33"/>
  <c r="B98" i="33"/>
  <c r="F97" i="33"/>
  <c r="C97" i="33"/>
  <c r="B97" i="33"/>
  <c r="F96" i="33"/>
  <c r="C96" i="33"/>
  <c r="B96" i="33"/>
  <c r="F95" i="33"/>
  <c r="C95" i="33"/>
  <c r="B95" i="33"/>
  <c r="F94" i="33"/>
  <c r="C94" i="33"/>
  <c r="B94" i="33"/>
  <c r="F93" i="33"/>
  <c r="C93" i="33"/>
  <c r="B93" i="33"/>
  <c r="F84" i="33"/>
  <c r="D84" i="33"/>
  <c r="C84" i="33"/>
  <c r="B84" i="33"/>
  <c r="F83" i="33"/>
  <c r="D83" i="33"/>
  <c r="C83" i="33"/>
  <c r="B83" i="33"/>
  <c r="F82" i="33"/>
  <c r="D82" i="33"/>
  <c r="C82" i="33"/>
  <c r="B82" i="33"/>
  <c r="F81" i="33"/>
  <c r="D81" i="33"/>
  <c r="C81" i="33"/>
  <c r="B81" i="33"/>
  <c r="F80" i="33"/>
  <c r="D80" i="33"/>
  <c r="C80" i="33"/>
  <c r="B80" i="33"/>
  <c r="F79" i="33"/>
  <c r="D79" i="33"/>
  <c r="C79" i="33"/>
  <c r="B79" i="33"/>
  <c r="F78" i="33"/>
  <c r="D78" i="33"/>
  <c r="C78" i="33"/>
  <c r="B78" i="33"/>
  <c r="F77" i="33"/>
  <c r="D77" i="33"/>
  <c r="C77" i="33"/>
  <c r="B77" i="33"/>
  <c r="F76" i="33"/>
  <c r="D76" i="33"/>
  <c r="C76" i="33"/>
  <c r="B76" i="33"/>
  <c r="F75" i="33"/>
  <c r="D75" i="33"/>
  <c r="C75" i="33"/>
  <c r="B75" i="33"/>
  <c r="F74" i="33"/>
  <c r="D74" i="33"/>
  <c r="C74" i="33"/>
  <c r="B74" i="33"/>
  <c r="F73" i="33"/>
  <c r="D73" i="33"/>
  <c r="C73" i="33"/>
  <c r="B73" i="33"/>
  <c r="F72" i="33"/>
  <c r="D72" i="33"/>
  <c r="C72" i="33"/>
  <c r="B72" i="33"/>
  <c r="F71" i="33"/>
  <c r="D71" i="33"/>
  <c r="C71" i="33"/>
  <c r="B71" i="33"/>
  <c r="F70" i="33"/>
  <c r="D70" i="33"/>
  <c r="C70" i="33"/>
  <c r="B70" i="33"/>
  <c r="F69" i="33"/>
  <c r="D69" i="33"/>
  <c r="C69" i="33"/>
  <c r="B69" i="33"/>
  <c r="F68" i="33"/>
  <c r="D68" i="33"/>
  <c r="C68" i="33"/>
  <c r="B68" i="33"/>
  <c r="F67" i="33"/>
  <c r="D67" i="33"/>
  <c r="C67" i="33"/>
  <c r="B67" i="33"/>
  <c r="F66" i="33"/>
  <c r="D66" i="33"/>
  <c r="C66" i="33"/>
  <c r="B66" i="33"/>
  <c r="F65" i="33"/>
  <c r="C65" i="33"/>
  <c r="B65" i="33"/>
  <c r="S30" i="33"/>
  <c r="S32" i="33" s="1"/>
  <c r="U29" i="33"/>
  <c r="U32" i="33" s="1"/>
  <c r="AC30" i="33" s="1"/>
  <c r="D51" i="33"/>
  <c r="C51" i="33"/>
  <c r="F79" i="32"/>
  <c r="D79" i="32"/>
  <c r="C79" i="32"/>
  <c r="B79" i="32"/>
  <c r="F78" i="32"/>
  <c r="D78" i="32"/>
  <c r="C78" i="32"/>
  <c r="B78" i="32"/>
  <c r="F77" i="32"/>
  <c r="D77" i="32"/>
  <c r="C77" i="32"/>
  <c r="B77" i="32"/>
  <c r="F76" i="32"/>
  <c r="D76" i="32"/>
  <c r="C76" i="32"/>
  <c r="B76" i="32"/>
  <c r="F75" i="32"/>
  <c r="D75" i="32"/>
  <c r="C75" i="32"/>
  <c r="B75" i="32"/>
  <c r="F74" i="32"/>
  <c r="D74" i="32"/>
  <c r="C74" i="32"/>
  <c r="B74" i="32"/>
  <c r="F73" i="32"/>
  <c r="D73" i="32"/>
  <c r="C73" i="32"/>
  <c r="B73" i="32"/>
  <c r="F72" i="32"/>
  <c r="D72" i="32"/>
  <c r="C72" i="32"/>
  <c r="B72" i="32"/>
  <c r="F71" i="32"/>
  <c r="D71" i="32"/>
  <c r="C71" i="32"/>
  <c r="B71" i="32"/>
  <c r="F70" i="32"/>
  <c r="D70" i="32"/>
  <c r="C70" i="32"/>
  <c r="B70" i="32"/>
  <c r="F69" i="32"/>
  <c r="D69" i="32"/>
  <c r="C69" i="32"/>
  <c r="B69" i="32"/>
  <c r="F68" i="32"/>
  <c r="D68" i="32"/>
  <c r="C68" i="32"/>
  <c r="B68" i="32"/>
  <c r="F67" i="32"/>
  <c r="D67" i="32"/>
  <c r="C67" i="32"/>
  <c r="B67" i="32"/>
  <c r="F66" i="32"/>
  <c r="C66" i="32"/>
  <c r="B66" i="32"/>
  <c r="V40" i="32"/>
  <c r="U33" i="32"/>
  <c r="U29" i="32"/>
  <c r="U32" i="32" s="1"/>
  <c r="AC30" i="32" s="1"/>
  <c r="D51" i="32"/>
  <c r="R44" i="32" s="1"/>
  <c r="C51" i="32"/>
  <c r="R14" i="32"/>
  <c r="F84" i="31"/>
  <c r="D84" i="31"/>
  <c r="C84" i="31"/>
  <c r="B84" i="31"/>
  <c r="F83" i="31"/>
  <c r="D83" i="31"/>
  <c r="C83" i="31"/>
  <c r="B83" i="31"/>
  <c r="F82" i="31"/>
  <c r="D82" i="31"/>
  <c r="C82" i="31"/>
  <c r="B82" i="31"/>
  <c r="F81" i="31"/>
  <c r="D81" i="31"/>
  <c r="C81" i="31"/>
  <c r="B81" i="31"/>
  <c r="F80" i="31"/>
  <c r="D80" i="31"/>
  <c r="C80" i="31"/>
  <c r="B80" i="31"/>
  <c r="F79" i="31"/>
  <c r="D79" i="31"/>
  <c r="C79" i="31"/>
  <c r="B79" i="31"/>
  <c r="F78" i="31"/>
  <c r="D78" i="31"/>
  <c r="C78" i="31"/>
  <c r="B78" i="31"/>
  <c r="F77" i="31"/>
  <c r="D77" i="31"/>
  <c r="C77" i="31"/>
  <c r="B77" i="31"/>
  <c r="F76" i="31"/>
  <c r="D76" i="31"/>
  <c r="C76" i="31"/>
  <c r="B76" i="31"/>
  <c r="F75" i="31"/>
  <c r="D75" i="31"/>
  <c r="C75" i="31"/>
  <c r="B75" i="31"/>
  <c r="F74" i="31"/>
  <c r="D74" i="31"/>
  <c r="C74" i="31"/>
  <c r="B74" i="31"/>
  <c r="F73" i="31"/>
  <c r="D73" i="31"/>
  <c r="C73" i="31"/>
  <c r="B73" i="31"/>
  <c r="F72" i="31"/>
  <c r="D72" i="31"/>
  <c r="C72" i="31"/>
  <c r="B72" i="31"/>
  <c r="F71" i="31"/>
  <c r="D71" i="31"/>
  <c r="C71" i="31"/>
  <c r="B71" i="31"/>
  <c r="F70" i="31"/>
  <c r="D70" i="31"/>
  <c r="C70" i="31"/>
  <c r="B70" i="31"/>
  <c r="F69" i="31"/>
  <c r="D69" i="31"/>
  <c r="C69" i="31"/>
  <c r="B69" i="31"/>
  <c r="F68" i="31"/>
  <c r="D68" i="31"/>
  <c r="C68" i="31"/>
  <c r="B68" i="31"/>
  <c r="F67" i="31"/>
  <c r="D67" i="31"/>
  <c r="C67" i="31"/>
  <c r="B67" i="31"/>
  <c r="F66" i="31"/>
  <c r="D66" i="31"/>
  <c r="C66" i="31"/>
  <c r="B66" i="31"/>
  <c r="F88" i="30"/>
  <c r="D88" i="30"/>
  <c r="C88" i="30"/>
  <c r="B88" i="30"/>
  <c r="F87" i="30"/>
  <c r="D87" i="30"/>
  <c r="C87" i="30"/>
  <c r="B87" i="30"/>
  <c r="F86" i="30"/>
  <c r="D86" i="30"/>
  <c r="C86" i="30"/>
  <c r="B86" i="30"/>
  <c r="F85" i="30"/>
  <c r="D85" i="30"/>
  <c r="C85" i="30"/>
  <c r="B85" i="30"/>
  <c r="F84" i="30"/>
  <c r="D84" i="30"/>
  <c r="C84" i="30"/>
  <c r="B84" i="30"/>
  <c r="F83" i="30"/>
  <c r="D83" i="30"/>
  <c r="C83" i="30"/>
  <c r="B83" i="30"/>
  <c r="F82" i="30"/>
  <c r="D82" i="30"/>
  <c r="C82" i="30"/>
  <c r="B82" i="30"/>
  <c r="F81" i="30"/>
  <c r="D81" i="30"/>
  <c r="C81" i="30"/>
  <c r="B81" i="30"/>
  <c r="F80" i="30"/>
  <c r="C80" i="30"/>
  <c r="B80" i="30"/>
  <c r="F73" i="30"/>
  <c r="D73" i="30"/>
  <c r="C73" i="30"/>
  <c r="B73" i="30"/>
  <c r="F72" i="30"/>
  <c r="D72" i="30"/>
  <c r="C72" i="30"/>
  <c r="B72" i="30"/>
  <c r="F71" i="30"/>
  <c r="D71" i="30"/>
  <c r="C71" i="30"/>
  <c r="B71" i="30"/>
  <c r="F70" i="30"/>
  <c r="D70" i="30"/>
  <c r="C70" i="30"/>
  <c r="B70" i="30"/>
  <c r="F69" i="30"/>
  <c r="D69" i="30"/>
  <c r="C69" i="30"/>
  <c r="B69" i="30"/>
  <c r="F68" i="30"/>
  <c r="D68" i="30"/>
  <c r="C68" i="30"/>
  <c r="B68" i="30"/>
  <c r="F67" i="30"/>
  <c r="D67" i="30"/>
  <c r="C67" i="30"/>
  <c r="B67" i="30"/>
  <c r="F66" i="30"/>
  <c r="D66" i="30"/>
  <c r="C66" i="30"/>
  <c r="B66" i="30"/>
  <c r="F65" i="30"/>
  <c r="C65" i="30"/>
  <c r="B65" i="30"/>
  <c r="V40" i="30"/>
  <c r="D51" i="30"/>
  <c r="C51" i="30"/>
  <c r="AC28" i="30"/>
  <c r="F124" i="29"/>
  <c r="D124" i="29"/>
  <c r="C124" i="29"/>
  <c r="B124" i="29"/>
  <c r="F123" i="29"/>
  <c r="D123" i="29"/>
  <c r="C123" i="29"/>
  <c r="B123" i="29"/>
  <c r="F122" i="29"/>
  <c r="D122" i="29"/>
  <c r="C122" i="29"/>
  <c r="B122" i="29"/>
  <c r="F121" i="29"/>
  <c r="D121" i="29"/>
  <c r="C121" i="29"/>
  <c r="B121" i="29"/>
  <c r="F120" i="29"/>
  <c r="D120" i="29"/>
  <c r="C120" i="29"/>
  <c r="B120" i="29"/>
  <c r="F119" i="29"/>
  <c r="D119" i="29"/>
  <c r="C119" i="29"/>
  <c r="B119" i="29"/>
  <c r="F118" i="29"/>
  <c r="D118" i="29"/>
  <c r="C118" i="29"/>
  <c r="B118" i="29"/>
  <c r="F117" i="29"/>
  <c r="D117" i="29"/>
  <c r="C117" i="29"/>
  <c r="B117" i="29"/>
  <c r="F116" i="29"/>
  <c r="D116" i="29"/>
  <c r="C116" i="29"/>
  <c r="B116" i="29"/>
  <c r="F115" i="29"/>
  <c r="D115" i="29"/>
  <c r="C115" i="29"/>
  <c r="B115" i="29"/>
  <c r="F114" i="29"/>
  <c r="D114" i="29"/>
  <c r="C114" i="29"/>
  <c r="B114" i="29"/>
  <c r="F113" i="29"/>
  <c r="D113" i="29"/>
  <c r="C113" i="29"/>
  <c r="B113" i="29"/>
  <c r="F112" i="29"/>
  <c r="D112" i="29"/>
  <c r="C112" i="29"/>
  <c r="B112" i="29"/>
  <c r="F111" i="29"/>
  <c r="D111" i="29"/>
  <c r="C111" i="29"/>
  <c r="B111" i="29"/>
  <c r="F110" i="29"/>
  <c r="C110" i="29"/>
  <c r="B110" i="29"/>
  <c r="F101" i="29"/>
  <c r="D101" i="29"/>
  <c r="C101" i="29"/>
  <c r="B101" i="29"/>
  <c r="F100" i="29"/>
  <c r="D100" i="29"/>
  <c r="C100" i="29"/>
  <c r="B100" i="29"/>
  <c r="F99" i="29"/>
  <c r="D99" i="29"/>
  <c r="C99" i="29"/>
  <c r="B99" i="29"/>
  <c r="F98" i="29"/>
  <c r="D98" i="29"/>
  <c r="C98" i="29"/>
  <c r="B98" i="29"/>
  <c r="F97" i="29"/>
  <c r="D97" i="29"/>
  <c r="C97" i="29"/>
  <c r="B97" i="29"/>
  <c r="F96" i="29"/>
  <c r="D96" i="29"/>
  <c r="C96" i="29"/>
  <c r="B96" i="29"/>
  <c r="F95" i="29"/>
  <c r="D95" i="29"/>
  <c r="C95" i="29"/>
  <c r="B95" i="29"/>
  <c r="F94" i="29"/>
  <c r="D94" i="29"/>
  <c r="C94" i="29"/>
  <c r="B94" i="29"/>
  <c r="F93" i="29"/>
  <c r="D93" i="29"/>
  <c r="C93" i="29"/>
  <c r="B93" i="29"/>
  <c r="F92" i="29"/>
  <c r="D92" i="29"/>
  <c r="C92" i="29"/>
  <c r="B92" i="29"/>
  <c r="F91" i="29"/>
  <c r="D91" i="29"/>
  <c r="C91" i="29"/>
  <c r="B91" i="29"/>
  <c r="F90" i="29"/>
  <c r="D90" i="29"/>
  <c r="C90" i="29"/>
  <c r="B90" i="29"/>
  <c r="F89" i="29"/>
  <c r="D89" i="29"/>
  <c r="C89" i="29"/>
  <c r="B89" i="29"/>
  <c r="F88" i="29"/>
  <c r="D88" i="29"/>
  <c r="C88" i="29"/>
  <c r="B88" i="29"/>
  <c r="F87" i="29"/>
  <c r="C87" i="29"/>
  <c r="B87" i="29"/>
  <c r="F79" i="29"/>
  <c r="D79" i="29"/>
  <c r="C79" i="29"/>
  <c r="B79" i="29"/>
  <c r="F78" i="29"/>
  <c r="D78" i="29"/>
  <c r="C78" i="29"/>
  <c r="B78" i="29"/>
  <c r="F77" i="29"/>
  <c r="D77" i="29"/>
  <c r="C77" i="29"/>
  <c r="B77" i="29"/>
  <c r="F76" i="29"/>
  <c r="D76" i="29"/>
  <c r="C76" i="29"/>
  <c r="B76" i="29"/>
  <c r="F75" i="29"/>
  <c r="D75" i="29"/>
  <c r="C75" i="29"/>
  <c r="B75" i="29"/>
  <c r="F74" i="29"/>
  <c r="D74" i="29"/>
  <c r="C74" i="29"/>
  <c r="B74" i="29"/>
  <c r="F73" i="29"/>
  <c r="D73" i="29"/>
  <c r="C73" i="29"/>
  <c r="B73" i="29"/>
  <c r="F72" i="29"/>
  <c r="D72" i="29"/>
  <c r="C72" i="29"/>
  <c r="B72" i="29"/>
  <c r="F71" i="29"/>
  <c r="D71" i="29"/>
  <c r="C71" i="29"/>
  <c r="B71" i="29"/>
  <c r="F70" i="29"/>
  <c r="D70" i="29"/>
  <c r="C70" i="29"/>
  <c r="B70" i="29"/>
  <c r="F69" i="29"/>
  <c r="D69" i="29"/>
  <c r="C69" i="29"/>
  <c r="B69" i="29"/>
  <c r="F68" i="29"/>
  <c r="D68" i="29"/>
  <c r="C68" i="29"/>
  <c r="B68" i="29"/>
  <c r="F67" i="29"/>
  <c r="D67" i="29"/>
  <c r="C67" i="29"/>
  <c r="B67" i="29"/>
  <c r="F66" i="29"/>
  <c r="D66" i="29"/>
  <c r="C66" i="29"/>
  <c r="B66" i="29"/>
  <c r="F65" i="29"/>
  <c r="C65" i="29"/>
  <c r="B65" i="29"/>
  <c r="D51" i="29"/>
  <c r="V40" i="29"/>
  <c r="S32" i="29"/>
  <c r="J52" i="29" s="1"/>
  <c r="I52" i="29" s="1"/>
  <c r="U29" i="29"/>
  <c r="C51" i="29"/>
  <c r="F110" i="28"/>
  <c r="D110" i="28"/>
  <c r="C110" i="28"/>
  <c r="B110" i="28"/>
  <c r="F109" i="28"/>
  <c r="D109" i="28"/>
  <c r="C109" i="28"/>
  <c r="B109" i="28"/>
  <c r="F108" i="28"/>
  <c r="D108" i="28"/>
  <c r="C108" i="28"/>
  <c r="B108" i="28"/>
  <c r="F107" i="28"/>
  <c r="D107" i="28"/>
  <c r="C107" i="28"/>
  <c r="B107" i="28"/>
  <c r="F106" i="28"/>
  <c r="D106" i="28"/>
  <c r="C106" i="28"/>
  <c r="B106" i="28"/>
  <c r="F105" i="28"/>
  <c r="D105" i="28"/>
  <c r="C105" i="28"/>
  <c r="B105" i="28"/>
  <c r="F104" i="28"/>
  <c r="D104" i="28"/>
  <c r="C104" i="28"/>
  <c r="B104" i="28"/>
  <c r="F103" i="28"/>
  <c r="D103" i="28"/>
  <c r="C103" i="28"/>
  <c r="B103" i="28"/>
  <c r="F102" i="28"/>
  <c r="D102" i="28"/>
  <c r="C102" i="28"/>
  <c r="B102" i="28"/>
  <c r="F101" i="28"/>
  <c r="D101" i="28"/>
  <c r="C101" i="28"/>
  <c r="B101" i="28"/>
  <c r="F100" i="28"/>
  <c r="D100" i="28"/>
  <c r="C100" i="28"/>
  <c r="B100" i="28"/>
  <c r="F99" i="28"/>
  <c r="D99" i="28"/>
  <c r="C99" i="28"/>
  <c r="B99" i="28"/>
  <c r="F98" i="28"/>
  <c r="D98" i="28"/>
  <c r="C98" i="28"/>
  <c r="B98" i="28"/>
  <c r="F97" i="28"/>
  <c r="D97" i="28"/>
  <c r="C97" i="28"/>
  <c r="B97" i="28"/>
  <c r="F96" i="28"/>
  <c r="D96" i="28"/>
  <c r="C96" i="28"/>
  <c r="B96" i="28"/>
  <c r="F95" i="28"/>
  <c r="D95" i="28"/>
  <c r="C95" i="28"/>
  <c r="B95" i="28"/>
  <c r="F94" i="28"/>
  <c r="D94" i="28"/>
  <c r="C94" i="28"/>
  <c r="B94" i="28"/>
  <c r="F93" i="28"/>
  <c r="D93" i="28"/>
  <c r="C93" i="28"/>
  <c r="B93" i="28"/>
  <c r="F92" i="28"/>
  <c r="C92" i="28"/>
  <c r="B92" i="28"/>
  <c r="F83" i="28"/>
  <c r="D83" i="28"/>
  <c r="C83" i="28"/>
  <c r="B83" i="28"/>
  <c r="F82" i="28"/>
  <c r="D82" i="28"/>
  <c r="C82" i="28"/>
  <c r="B82" i="28"/>
  <c r="F81" i="28"/>
  <c r="D81" i="28"/>
  <c r="C81" i="28"/>
  <c r="B81" i="28"/>
  <c r="F80" i="28"/>
  <c r="D80" i="28"/>
  <c r="C80" i="28"/>
  <c r="B80" i="28"/>
  <c r="F79" i="28"/>
  <c r="D79" i="28"/>
  <c r="C79" i="28"/>
  <c r="B79" i="28"/>
  <c r="F78" i="28"/>
  <c r="D78" i="28"/>
  <c r="C78" i="28"/>
  <c r="B78" i="28"/>
  <c r="F77" i="28"/>
  <c r="D77" i="28"/>
  <c r="C77" i="28"/>
  <c r="B77" i="28"/>
  <c r="F76" i="28"/>
  <c r="D76" i="28"/>
  <c r="C76" i="28"/>
  <c r="B76" i="28"/>
  <c r="F75" i="28"/>
  <c r="D75" i="28"/>
  <c r="C75" i="28"/>
  <c r="B75" i="28"/>
  <c r="F74" i="28"/>
  <c r="D74" i="28"/>
  <c r="C74" i="28"/>
  <c r="B74" i="28"/>
  <c r="F73" i="28"/>
  <c r="D73" i="28"/>
  <c r="C73" i="28"/>
  <c r="B73" i="28"/>
  <c r="F72" i="28"/>
  <c r="D72" i="28"/>
  <c r="C72" i="28"/>
  <c r="B72" i="28"/>
  <c r="F71" i="28"/>
  <c r="D71" i="28"/>
  <c r="C71" i="28"/>
  <c r="B71" i="28"/>
  <c r="F70" i="28"/>
  <c r="D70" i="28"/>
  <c r="C70" i="28"/>
  <c r="B70" i="28"/>
  <c r="F69" i="28"/>
  <c r="D69" i="28"/>
  <c r="C69" i="28"/>
  <c r="B69" i="28"/>
  <c r="F68" i="28"/>
  <c r="D68" i="28"/>
  <c r="C68" i="28"/>
  <c r="B68" i="28"/>
  <c r="F67" i="28"/>
  <c r="D67" i="28"/>
  <c r="C67" i="28"/>
  <c r="B67" i="28"/>
  <c r="F66" i="28"/>
  <c r="D66" i="28"/>
  <c r="C66" i="28"/>
  <c r="B66" i="28"/>
  <c r="F65" i="28"/>
  <c r="C65" i="28"/>
  <c r="B65" i="28"/>
  <c r="D51" i="28"/>
  <c r="R44" i="28" s="1"/>
  <c r="C51" i="28"/>
  <c r="V40" i="28"/>
  <c r="S30" i="28"/>
  <c r="U29" i="28"/>
  <c r="T28" i="28"/>
  <c r="T32" i="28" s="1"/>
  <c r="S28" i="28"/>
  <c r="F79" i="27"/>
  <c r="D79" i="27"/>
  <c r="C79" i="27"/>
  <c r="B79" i="27"/>
  <c r="F78" i="27"/>
  <c r="D78" i="27"/>
  <c r="C78" i="27"/>
  <c r="B78" i="27"/>
  <c r="F77" i="27"/>
  <c r="D77" i="27"/>
  <c r="C77" i="27"/>
  <c r="B77" i="27"/>
  <c r="F76" i="27"/>
  <c r="D76" i="27"/>
  <c r="C76" i="27"/>
  <c r="B76" i="27"/>
  <c r="F75" i="27"/>
  <c r="D75" i="27"/>
  <c r="C75" i="27"/>
  <c r="B75" i="27"/>
  <c r="F74" i="27"/>
  <c r="D74" i="27"/>
  <c r="C74" i="27"/>
  <c r="B74" i="27"/>
  <c r="F73" i="27"/>
  <c r="D73" i="27"/>
  <c r="C73" i="27"/>
  <c r="B73" i="27"/>
  <c r="F72" i="27"/>
  <c r="D72" i="27"/>
  <c r="C72" i="27"/>
  <c r="B72" i="27"/>
  <c r="F71" i="27"/>
  <c r="D71" i="27"/>
  <c r="C71" i="27"/>
  <c r="B71" i="27"/>
  <c r="F70" i="27"/>
  <c r="D70" i="27"/>
  <c r="C70" i="27"/>
  <c r="B70" i="27"/>
  <c r="F69" i="27"/>
  <c r="D69" i="27"/>
  <c r="C69" i="27"/>
  <c r="B69" i="27"/>
  <c r="F68" i="27"/>
  <c r="D68" i="27"/>
  <c r="C68" i="27"/>
  <c r="B68" i="27"/>
  <c r="F67" i="27"/>
  <c r="D67" i="27"/>
  <c r="C67" i="27"/>
  <c r="B67" i="27"/>
  <c r="F66" i="27"/>
  <c r="D66" i="27"/>
  <c r="C66" i="27"/>
  <c r="B66" i="27"/>
  <c r="F65" i="27"/>
  <c r="C65" i="27"/>
  <c r="B65" i="27"/>
  <c r="U29" i="27"/>
  <c r="U32" i="27" s="1"/>
  <c r="F78" i="26"/>
  <c r="D78" i="26"/>
  <c r="C78" i="26"/>
  <c r="B78" i="26"/>
  <c r="F77" i="26"/>
  <c r="D77" i="26"/>
  <c r="C77" i="26"/>
  <c r="B77" i="26"/>
  <c r="F76" i="26"/>
  <c r="D76" i="26"/>
  <c r="C76" i="26"/>
  <c r="B76" i="26"/>
  <c r="F75" i="26"/>
  <c r="D75" i="26"/>
  <c r="C75" i="26"/>
  <c r="B75" i="26"/>
  <c r="F74" i="26"/>
  <c r="D74" i="26"/>
  <c r="C74" i="26"/>
  <c r="B74" i="26"/>
  <c r="F73" i="26"/>
  <c r="D73" i="26"/>
  <c r="C73" i="26"/>
  <c r="B73" i="26"/>
  <c r="F72" i="26"/>
  <c r="D72" i="26"/>
  <c r="C72" i="26"/>
  <c r="B72" i="26"/>
  <c r="F71" i="26"/>
  <c r="D71" i="26"/>
  <c r="C71" i="26"/>
  <c r="B71" i="26"/>
  <c r="F70" i="26"/>
  <c r="D70" i="26"/>
  <c r="C70" i="26"/>
  <c r="B70" i="26"/>
  <c r="F69" i="26"/>
  <c r="D69" i="26"/>
  <c r="C69" i="26"/>
  <c r="B69" i="26"/>
  <c r="F68" i="26"/>
  <c r="D68" i="26"/>
  <c r="C68" i="26"/>
  <c r="B68" i="26"/>
  <c r="F67" i="26"/>
  <c r="D67" i="26"/>
  <c r="C67" i="26"/>
  <c r="B67" i="26"/>
  <c r="F66" i="26"/>
  <c r="D66" i="26"/>
  <c r="C66" i="26"/>
  <c r="B66" i="26"/>
  <c r="F65" i="26"/>
  <c r="C65" i="26"/>
  <c r="B65" i="26"/>
  <c r="D51" i="26"/>
  <c r="V40" i="26"/>
  <c r="T30" i="26"/>
  <c r="S30" i="26"/>
  <c r="U29" i="26"/>
  <c r="U32" i="26" s="1"/>
  <c r="AD30" i="26" s="1"/>
  <c r="T28" i="26"/>
  <c r="S28" i="26"/>
  <c r="V40" i="25"/>
  <c r="D51" i="25"/>
  <c r="C51" i="25"/>
  <c r="T30" i="25"/>
  <c r="S30" i="25"/>
  <c r="U29" i="25"/>
  <c r="AE28" i="25"/>
  <c r="AC29" i="25" s="1"/>
  <c r="T28" i="25"/>
  <c r="S28" i="25"/>
  <c r="R14" i="25"/>
  <c r="F72" i="24"/>
  <c r="D72" i="24"/>
  <c r="C72" i="24"/>
  <c r="B72" i="24"/>
  <c r="F71" i="24"/>
  <c r="D71" i="24"/>
  <c r="C71" i="24"/>
  <c r="B71" i="24"/>
  <c r="F70" i="24"/>
  <c r="D70" i="24"/>
  <c r="C70" i="24"/>
  <c r="B70" i="24"/>
  <c r="F69" i="24"/>
  <c r="D69" i="24"/>
  <c r="C69" i="24"/>
  <c r="B69" i="24"/>
  <c r="F68" i="24"/>
  <c r="D68" i="24"/>
  <c r="C68" i="24"/>
  <c r="B68" i="24"/>
  <c r="F67" i="24"/>
  <c r="D67" i="24"/>
  <c r="C67" i="24"/>
  <c r="B67" i="24"/>
  <c r="F66" i="24"/>
  <c r="D66" i="24"/>
  <c r="C66" i="24"/>
  <c r="B66" i="24"/>
  <c r="F65" i="24"/>
  <c r="D65" i="24"/>
  <c r="C65" i="24"/>
  <c r="B65" i="24"/>
  <c r="T29" i="24"/>
  <c r="C51" i="24"/>
  <c r="F120" i="23"/>
  <c r="D120" i="23"/>
  <c r="C120" i="23"/>
  <c r="B120" i="23"/>
  <c r="F119" i="23"/>
  <c r="D119" i="23"/>
  <c r="C119" i="23"/>
  <c r="B119" i="23"/>
  <c r="F118" i="23"/>
  <c r="D118" i="23"/>
  <c r="C118" i="23"/>
  <c r="B118" i="23"/>
  <c r="F117" i="23"/>
  <c r="D117" i="23"/>
  <c r="C117" i="23"/>
  <c r="B117" i="23"/>
  <c r="F116" i="23"/>
  <c r="D116" i="23"/>
  <c r="C116" i="23"/>
  <c r="B116" i="23"/>
  <c r="F115" i="23"/>
  <c r="D115" i="23"/>
  <c r="C115" i="23"/>
  <c r="B115" i="23"/>
  <c r="F114" i="23"/>
  <c r="D114" i="23"/>
  <c r="C114" i="23"/>
  <c r="B114" i="23"/>
  <c r="F113" i="23"/>
  <c r="D113" i="23"/>
  <c r="C113" i="23"/>
  <c r="B113" i="23"/>
  <c r="F112" i="23"/>
  <c r="D112" i="23"/>
  <c r="C112" i="23"/>
  <c r="B112" i="23"/>
  <c r="F111" i="23"/>
  <c r="D111" i="23"/>
  <c r="C111" i="23"/>
  <c r="B111" i="23"/>
  <c r="F110" i="23"/>
  <c r="D110" i="23"/>
  <c r="C110" i="23"/>
  <c r="B110" i="23"/>
  <c r="F109" i="23"/>
  <c r="D109" i="23"/>
  <c r="C109" i="23"/>
  <c r="B109" i="23"/>
  <c r="F108" i="23"/>
  <c r="D108" i="23"/>
  <c r="C108" i="23"/>
  <c r="B108" i="23"/>
  <c r="F107" i="23"/>
  <c r="C107" i="23"/>
  <c r="B107" i="23"/>
  <c r="F98" i="23"/>
  <c r="D98" i="23"/>
  <c r="C98" i="23"/>
  <c r="B98" i="23"/>
  <c r="F97" i="23"/>
  <c r="D97" i="23"/>
  <c r="C97" i="23"/>
  <c r="B97" i="23"/>
  <c r="F96" i="23"/>
  <c r="D96" i="23"/>
  <c r="C96" i="23"/>
  <c r="B96" i="23"/>
  <c r="F95" i="23"/>
  <c r="D95" i="23"/>
  <c r="C95" i="23"/>
  <c r="B95" i="23"/>
  <c r="F94" i="23"/>
  <c r="D94" i="23"/>
  <c r="C94" i="23"/>
  <c r="B94" i="23"/>
  <c r="F93" i="23"/>
  <c r="D93" i="23"/>
  <c r="C93" i="23"/>
  <c r="B93" i="23"/>
  <c r="F92" i="23"/>
  <c r="D92" i="23"/>
  <c r="C92" i="23"/>
  <c r="B92" i="23"/>
  <c r="F91" i="23"/>
  <c r="D91" i="23"/>
  <c r="C91" i="23"/>
  <c r="B91" i="23"/>
  <c r="F90" i="23"/>
  <c r="D90" i="23"/>
  <c r="C90" i="23"/>
  <c r="B90" i="23"/>
  <c r="F89" i="23"/>
  <c r="D89" i="23"/>
  <c r="C89" i="23"/>
  <c r="B89" i="23"/>
  <c r="F88" i="23"/>
  <c r="D88" i="23"/>
  <c r="C88" i="23"/>
  <c r="B88" i="23"/>
  <c r="F87" i="23"/>
  <c r="D87" i="23"/>
  <c r="C87" i="23"/>
  <c r="B87" i="23"/>
  <c r="F86" i="23"/>
  <c r="D86" i="23"/>
  <c r="C86" i="23"/>
  <c r="B86" i="23"/>
  <c r="F85" i="23"/>
  <c r="C85" i="23"/>
  <c r="B85" i="23"/>
  <c r="F78" i="23"/>
  <c r="D78" i="23"/>
  <c r="C78" i="23"/>
  <c r="B78" i="23"/>
  <c r="F77" i="23"/>
  <c r="D77" i="23"/>
  <c r="C77" i="23"/>
  <c r="B77" i="23"/>
  <c r="F76" i="23"/>
  <c r="D76" i="23"/>
  <c r="C76" i="23"/>
  <c r="B76" i="23"/>
  <c r="F75" i="23"/>
  <c r="D75" i="23"/>
  <c r="C75" i="23"/>
  <c r="B75" i="23"/>
  <c r="F74" i="23"/>
  <c r="D74" i="23"/>
  <c r="C74" i="23"/>
  <c r="B74" i="23"/>
  <c r="F73" i="23"/>
  <c r="D73" i="23"/>
  <c r="C73" i="23"/>
  <c r="B73" i="23"/>
  <c r="F72" i="23"/>
  <c r="D72" i="23"/>
  <c r="C72" i="23"/>
  <c r="B72" i="23"/>
  <c r="F71" i="23"/>
  <c r="D71" i="23"/>
  <c r="C71" i="23"/>
  <c r="B71" i="23"/>
  <c r="F70" i="23"/>
  <c r="D70" i="23"/>
  <c r="C70" i="23"/>
  <c r="B70" i="23"/>
  <c r="F69" i="23"/>
  <c r="D69" i="23"/>
  <c r="C69" i="23"/>
  <c r="B69" i="23"/>
  <c r="F68" i="23"/>
  <c r="D68" i="23"/>
  <c r="C68" i="23"/>
  <c r="B68" i="23"/>
  <c r="F67" i="23"/>
  <c r="D67" i="23"/>
  <c r="C67" i="23"/>
  <c r="B67" i="23"/>
  <c r="F66" i="23"/>
  <c r="D66" i="23"/>
  <c r="C66" i="23"/>
  <c r="B66" i="23"/>
  <c r="F65" i="23"/>
  <c r="C65" i="23"/>
  <c r="B65" i="23"/>
  <c r="V44" i="23"/>
  <c r="U44" i="23"/>
  <c r="D1" i="23"/>
  <c r="H5" i="23" s="1"/>
  <c r="T29" i="23"/>
  <c r="AA28" i="23"/>
  <c r="T28" i="23"/>
  <c r="R25" i="23"/>
  <c r="F77" i="21"/>
  <c r="D77" i="21"/>
  <c r="C77" i="21"/>
  <c r="B77" i="21"/>
  <c r="F76" i="21"/>
  <c r="D76" i="21"/>
  <c r="C76" i="21"/>
  <c r="B76" i="21"/>
  <c r="F75" i="21"/>
  <c r="D75" i="21"/>
  <c r="C75" i="21"/>
  <c r="B75" i="21"/>
  <c r="F74" i="21"/>
  <c r="D74" i="21"/>
  <c r="C74" i="21"/>
  <c r="B74" i="21"/>
  <c r="F73" i="21"/>
  <c r="D73" i="21"/>
  <c r="C73" i="21"/>
  <c r="B73" i="21"/>
  <c r="F72" i="21"/>
  <c r="D72" i="21"/>
  <c r="C72" i="21"/>
  <c r="B72" i="21"/>
  <c r="F71" i="21"/>
  <c r="D71" i="21"/>
  <c r="C71" i="21"/>
  <c r="B71" i="21"/>
  <c r="F70" i="21"/>
  <c r="D70" i="21"/>
  <c r="C70" i="21"/>
  <c r="B70" i="21"/>
  <c r="F69" i="21"/>
  <c r="D69" i="21"/>
  <c r="C69" i="21"/>
  <c r="B69" i="21"/>
  <c r="F68" i="21"/>
  <c r="D68" i="21"/>
  <c r="C68" i="21"/>
  <c r="B68" i="21"/>
  <c r="F67" i="21"/>
  <c r="D67" i="21"/>
  <c r="C67" i="21"/>
  <c r="B67" i="21"/>
  <c r="F66" i="21"/>
  <c r="D66" i="21"/>
  <c r="C66" i="21"/>
  <c r="B66" i="21"/>
  <c r="F65" i="21"/>
  <c r="C65" i="21"/>
  <c r="B65" i="21"/>
  <c r="D51" i="21"/>
  <c r="R44" i="21" s="1"/>
  <c r="C51" i="21"/>
  <c r="V40" i="21"/>
  <c r="T30" i="21"/>
  <c r="S30" i="21"/>
  <c r="U29" i="21"/>
  <c r="U32" i="21" s="1"/>
  <c r="AD30" i="21" s="1"/>
  <c r="T28" i="21"/>
  <c r="S28" i="21"/>
  <c r="F122" i="20"/>
  <c r="D122" i="20"/>
  <c r="C122" i="20"/>
  <c r="B122" i="20"/>
  <c r="F121" i="20"/>
  <c r="D121" i="20"/>
  <c r="C121" i="20"/>
  <c r="B121" i="20"/>
  <c r="F120" i="20"/>
  <c r="D120" i="20"/>
  <c r="C120" i="20"/>
  <c r="B120" i="20"/>
  <c r="F119" i="20"/>
  <c r="D119" i="20"/>
  <c r="C119" i="20"/>
  <c r="B119" i="20"/>
  <c r="F118" i="20"/>
  <c r="D118" i="20"/>
  <c r="C118" i="20"/>
  <c r="B118" i="20"/>
  <c r="F117" i="20"/>
  <c r="D117" i="20"/>
  <c r="C117" i="20"/>
  <c r="B117" i="20"/>
  <c r="F116" i="20"/>
  <c r="D116" i="20"/>
  <c r="C116" i="20"/>
  <c r="B116" i="20"/>
  <c r="F115" i="20"/>
  <c r="D115" i="20"/>
  <c r="C115" i="20"/>
  <c r="B115" i="20"/>
  <c r="F114" i="20"/>
  <c r="D114" i="20"/>
  <c r="C114" i="20"/>
  <c r="B114" i="20"/>
  <c r="F113" i="20"/>
  <c r="D113" i="20"/>
  <c r="C113" i="20"/>
  <c r="B113" i="20"/>
  <c r="F112" i="20"/>
  <c r="D112" i="20"/>
  <c r="C112" i="20"/>
  <c r="B112" i="20"/>
  <c r="F111" i="20"/>
  <c r="D111" i="20"/>
  <c r="C111" i="20"/>
  <c r="B111" i="20"/>
  <c r="F110" i="20"/>
  <c r="D110" i="20"/>
  <c r="C110" i="20"/>
  <c r="B110" i="20"/>
  <c r="F109" i="20"/>
  <c r="D109" i="20"/>
  <c r="C109" i="20"/>
  <c r="B109" i="20"/>
  <c r="F108" i="20"/>
  <c r="C108" i="20"/>
  <c r="B108" i="20"/>
  <c r="F101" i="20"/>
  <c r="D101" i="20"/>
  <c r="C101" i="20"/>
  <c r="B101" i="20"/>
  <c r="F100" i="20"/>
  <c r="D100" i="20"/>
  <c r="C100" i="20"/>
  <c r="B100" i="20"/>
  <c r="F99" i="20"/>
  <c r="D99" i="20"/>
  <c r="C99" i="20"/>
  <c r="B99" i="20"/>
  <c r="F98" i="20"/>
  <c r="D98" i="20"/>
  <c r="C98" i="20"/>
  <c r="B98" i="20"/>
  <c r="F97" i="20"/>
  <c r="D97" i="20"/>
  <c r="C97" i="20"/>
  <c r="B97" i="20"/>
  <c r="F96" i="20"/>
  <c r="D96" i="20"/>
  <c r="C96" i="20"/>
  <c r="B96" i="20"/>
  <c r="F95" i="20"/>
  <c r="D95" i="20"/>
  <c r="C95" i="20"/>
  <c r="B95" i="20"/>
  <c r="F94" i="20"/>
  <c r="D94" i="20"/>
  <c r="C94" i="20"/>
  <c r="B94" i="20"/>
  <c r="F93" i="20"/>
  <c r="D93" i="20"/>
  <c r="C93" i="20"/>
  <c r="B93" i="20"/>
  <c r="F92" i="20"/>
  <c r="D92" i="20"/>
  <c r="C92" i="20"/>
  <c r="B92" i="20"/>
  <c r="F91" i="20"/>
  <c r="D91" i="20"/>
  <c r="C91" i="20"/>
  <c r="B91" i="20"/>
  <c r="F90" i="20"/>
  <c r="D90" i="20"/>
  <c r="C90" i="20"/>
  <c r="B90" i="20"/>
  <c r="F89" i="20"/>
  <c r="D89" i="20"/>
  <c r="C89" i="20"/>
  <c r="B89" i="20"/>
  <c r="F88" i="20"/>
  <c r="D88" i="20"/>
  <c r="C88" i="20"/>
  <c r="B88" i="20"/>
  <c r="F87" i="20"/>
  <c r="C87" i="20"/>
  <c r="B87" i="20"/>
  <c r="F79" i="20"/>
  <c r="D79" i="20"/>
  <c r="C79" i="20"/>
  <c r="B79" i="20"/>
  <c r="F78" i="20"/>
  <c r="D78" i="20"/>
  <c r="C78" i="20"/>
  <c r="B78" i="20"/>
  <c r="F77" i="20"/>
  <c r="D77" i="20"/>
  <c r="C77" i="20"/>
  <c r="B77" i="20"/>
  <c r="F76" i="20"/>
  <c r="D76" i="20"/>
  <c r="C76" i="20"/>
  <c r="B76" i="20"/>
  <c r="F75" i="20"/>
  <c r="D75" i="20"/>
  <c r="C75" i="20"/>
  <c r="B75" i="20"/>
  <c r="F74" i="20"/>
  <c r="D74" i="20"/>
  <c r="C74" i="20"/>
  <c r="B74" i="20"/>
  <c r="F73" i="20"/>
  <c r="D73" i="20"/>
  <c r="C73" i="20"/>
  <c r="B73" i="20"/>
  <c r="F72" i="20"/>
  <c r="D72" i="20"/>
  <c r="C72" i="20"/>
  <c r="B72" i="20"/>
  <c r="F71" i="20"/>
  <c r="D71" i="20"/>
  <c r="C71" i="20"/>
  <c r="B71" i="20"/>
  <c r="F70" i="20"/>
  <c r="D70" i="20"/>
  <c r="C70" i="20"/>
  <c r="B70" i="20"/>
  <c r="F69" i="20"/>
  <c r="D69" i="20"/>
  <c r="C69" i="20"/>
  <c r="B69" i="20"/>
  <c r="F68" i="20"/>
  <c r="D68" i="20"/>
  <c r="C68" i="20"/>
  <c r="B68" i="20"/>
  <c r="F67" i="20"/>
  <c r="D67" i="20"/>
  <c r="C67" i="20"/>
  <c r="B67" i="20"/>
  <c r="F66" i="20"/>
  <c r="D66" i="20"/>
  <c r="C66" i="20"/>
  <c r="B66" i="20"/>
  <c r="F65" i="20"/>
  <c r="C65" i="20"/>
  <c r="B65" i="20"/>
  <c r="V40" i="20"/>
  <c r="T33" i="20"/>
  <c r="T28" i="20"/>
  <c r="T32" i="20" s="1"/>
  <c r="S28" i="20"/>
  <c r="I51" i="20"/>
  <c r="D5" i="20" s="1"/>
  <c r="D51" i="20"/>
  <c r="R44" i="20"/>
  <c r="K1" i="20"/>
  <c r="C51" i="20"/>
  <c r="F99" i="19"/>
  <c r="D99" i="19"/>
  <c r="C99" i="19"/>
  <c r="B99" i="19"/>
  <c r="F98" i="19"/>
  <c r="D98" i="19"/>
  <c r="C98" i="19"/>
  <c r="B98" i="19"/>
  <c r="F97" i="19"/>
  <c r="D97" i="19"/>
  <c r="C97" i="19"/>
  <c r="B97" i="19"/>
  <c r="F96" i="19"/>
  <c r="D96" i="19"/>
  <c r="C96" i="19"/>
  <c r="B96" i="19"/>
  <c r="F95" i="19"/>
  <c r="D95" i="19"/>
  <c r="C95" i="19"/>
  <c r="B95" i="19"/>
  <c r="F94" i="19"/>
  <c r="D94" i="19"/>
  <c r="C94" i="19"/>
  <c r="B94" i="19"/>
  <c r="F93" i="19"/>
  <c r="D93" i="19"/>
  <c r="C93" i="19"/>
  <c r="B93" i="19"/>
  <c r="F92" i="19"/>
  <c r="D92" i="19"/>
  <c r="C92" i="19"/>
  <c r="B92" i="19"/>
  <c r="F91" i="19"/>
  <c r="D91" i="19"/>
  <c r="C91" i="19"/>
  <c r="B91" i="19"/>
  <c r="F90" i="19"/>
  <c r="D90" i="19"/>
  <c r="C90" i="19"/>
  <c r="B90" i="19"/>
  <c r="F89" i="19"/>
  <c r="D89" i="19"/>
  <c r="C89" i="19"/>
  <c r="B89" i="19"/>
  <c r="F88" i="19"/>
  <c r="D88" i="19"/>
  <c r="C88" i="19"/>
  <c r="B88" i="19"/>
  <c r="F87" i="19"/>
  <c r="C87" i="19"/>
  <c r="B87" i="19"/>
  <c r="F77" i="19"/>
  <c r="D77" i="19"/>
  <c r="C77" i="19"/>
  <c r="B77" i="19"/>
  <c r="F76" i="19"/>
  <c r="D76" i="19"/>
  <c r="C76" i="19"/>
  <c r="B76" i="19"/>
  <c r="F75" i="19"/>
  <c r="D75" i="19"/>
  <c r="C75" i="19"/>
  <c r="B75" i="19"/>
  <c r="F74" i="19"/>
  <c r="D74" i="19"/>
  <c r="C74" i="19"/>
  <c r="B74" i="19"/>
  <c r="F73" i="19"/>
  <c r="D73" i="19"/>
  <c r="C73" i="19"/>
  <c r="B73" i="19"/>
  <c r="F72" i="19"/>
  <c r="D72" i="19"/>
  <c r="C72" i="19"/>
  <c r="B72" i="19"/>
  <c r="F71" i="19"/>
  <c r="D71" i="19"/>
  <c r="C71" i="19"/>
  <c r="B71" i="19"/>
  <c r="F70" i="19"/>
  <c r="D70" i="19"/>
  <c r="C70" i="19"/>
  <c r="B70" i="19"/>
  <c r="F69" i="19"/>
  <c r="D69" i="19"/>
  <c r="C69" i="19"/>
  <c r="B69" i="19"/>
  <c r="F68" i="19"/>
  <c r="D68" i="19"/>
  <c r="C68" i="19"/>
  <c r="B68" i="19"/>
  <c r="F67" i="19"/>
  <c r="D67" i="19"/>
  <c r="C67" i="19"/>
  <c r="B67" i="19"/>
  <c r="F66" i="19"/>
  <c r="D66" i="19"/>
  <c r="C66" i="19"/>
  <c r="B66" i="19"/>
  <c r="F65" i="19"/>
  <c r="C65" i="19"/>
  <c r="B65" i="19"/>
  <c r="AC30" i="19"/>
  <c r="D51" i="19"/>
  <c r="C51" i="19"/>
  <c r="F105" i="18"/>
  <c r="D105" i="18"/>
  <c r="C105" i="18"/>
  <c r="B105" i="18"/>
  <c r="F104" i="18"/>
  <c r="D104" i="18"/>
  <c r="C104" i="18"/>
  <c r="B104" i="18"/>
  <c r="F103" i="18"/>
  <c r="D103" i="18"/>
  <c r="C103" i="18"/>
  <c r="B103" i="18"/>
  <c r="F102" i="18"/>
  <c r="D102" i="18"/>
  <c r="C102" i="18"/>
  <c r="B102" i="18"/>
  <c r="F101" i="18"/>
  <c r="D101" i="18"/>
  <c r="C101" i="18"/>
  <c r="B101" i="18"/>
  <c r="F100" i="18"/>
  <c r="D100" i="18"/>
  <c r="C100" i="18"/>
  <c r="B100" i="18"/>
  <c r="F99" i="18"/>
  <c r="D99" i="18"/>
  <c r="C99" i="18"/>
  <c r="B99" i="18"/>
  <c r="F98" i="18"/>
  <c r="D98" i="18"/>
  <c r="C98" i="18"/>
  <c r="B98" i="18"/>
  <c r="F97" i="18"/>
  <c r="D97" i="18"/>
  <c r="C97" i="18"/>
  <c r="B97" i="18"/>
  <c r="F96" i="18"/>
  <c r="D96" i="18"/>
  <c r="C96" i="18"/>
  <c r="B96" i="18"/>
  <c r="F95" i="18"/>
  <c r="D95" i="18"/>
  <c r="C95" i="18"/>
  <c r="B95" i="18"/>
  <c r="F94" i="18"/>
  <c r="D94" i="18"/>
  <c r="C94" i="18"/>
  <c r="B94" i="18"/>
  <c r="F93" i="18"/>
  <c r="D93" i="18"/>
  <c r="C93" i="18"/>
  <c r="B93" i="18"/>
  <c r="F92" i="18"/>
  <c r="D92" i="18"/>
  <c r="C92" i="18"/>
  <c r="B92" i="18"/>
  <c r="F91" i="18"/>
  <c r="D91" i="18"/>
  <c r="C91" i="18"/>
  <c r="B91" i="18"/>
  <c r="F90" i="18"/>
  <c r="C90" i="18"/>
  <c r="B90" i="18"/>
  <c r="F80" i="18"/>
  <c r="D80" i="18"/>
  <c r="C80" i="18"/>
  <c r="B80" i="18"/>
  <c r="F79" i="18"/>
  <c r="D79" i="18"/>
  <c r="C79" i="18"/>
  <c r="B79" i="18"/>
  <c r="F78" i="18"/>
  <c r="D78" i="18"/>
  <c r="C78" i="18"/>
  <c r="B78" i="18"/>
  <c r="F77" i="18"/>
  <c r="D77" i="18"/>
  <c r="C77" i="18"/>
  <c r="B77" i="18"/>
  <c r="F76" i="18"/>
  <c r="D76" i="18"/>
  <c r="C76" i="18"/>
  <c r="B76" i="18"/>
  <c r="F75" i="18"/>
  <c r="D75" i="18"/>
  <c r="C75" i="18"/>
  <c r="B75" i="18"/>
  <c r="F74" i="18"/>
  <c r="D74" i="18"/>
  <c r="C74" i="18"/>
  <c r="B74" i="18"/>
  <c r="F73" i="18"/>
  <c r="D73" i="18"/>
  <c r="C73" i="18"/>
  <c r="B73" i="18"/>
  <c r="F72" i="18"/>
  <c r="D72" i="18"/>
  <c r="C72" i="18"/>
  <c r="B72" i="18"/>
  <c r="F71" i="18"/>
  <c r="D71" i="18"/>
  <c r="C71" i="18"/>
  <c r="B71" i="18"/>
  <c r="F70" i="18"/>
  <c r="D70" i="18"/>
  <c r="C70" i="18"/>
  <c r="B70" i="18"/>
  <c r="F69" i="18"/>
  <c r="D69" i="18"/>
  <c r="C69" i="18"/>
  <c r="B69" i="18"/>
  <c r="F68" i="18"/>
  <c r="D68" i="18"/>
  <c r="C68" i="18"/>
  <c r="B68" i="18"/>
  <c r="F67" i="18"/>
  <c r="D67" i="18"/>
  <c r="C67" i="18"/>
  <c r="B67" i="18"/>
  <c r="F66" i="18"/>
  <c r="D66" i="18"/>
  <c r="C66" i="18"/>
  <c r="B66" i="18"/>
  <c r="F65" i="18"/>
  <c r="C65" i="18"/>
  <c r="B65" i="18"/>
  <c r="D51" i="18"/>
  <c r="R44" i="18" s="1"/>
  <c r="C51" i="18"/>
  <c r="V40" i="18"/>
  <c r="T30" i="18"/>
  <c r="S30" i="18"/>
  <c r="U29" i="18"/>
  <c r="U32" i="18" s="1"/>
  <c r="AD30" i="18" s="1"/>
  <c r="T28" i="18"/>
  <c r="S28" i="18"/>
  <c r="F119" i="17"/>
  <c r="D119" i="17"/>
  <c r="C119" i="17"/>
  <c r="B119" i="17"/>
  <c r="F118" i="17"/>
  <c r="D118" i="17"/>
  <c r="C118" i="17"/>
  <c r="B118" i="17"/>
  <c r="F117" i="17"/>
  <c r="D117" i="17"/>
  <c r="C117" i="17"/>
  <c r="B117" i="17"/>
  <c r="F116" i="17"/>
  <c r="D116" i="17"/>
  <c r="C116" i="17"/>
  <c r="B116" i="17"/>
  <c r="F115" i="17"/>
  <c r="D115" i="17"/>
  <c r="C115" i="17"/>
  <c r="B115" i="17"/>
  <c r="F114" i="17"/>
  <c r="D114" i="17"/>
  <c r="C114" i="17"/>
  <c r="B114" i="17"/>
  <c r="F113" i="17"/>
  <c r="D113" i="17"/>
  <c r="C113" i="17"/>
  <c r="B113" i="17"/>
  <c r="F112" i="17"/>
  <c r="D112" i="17"/>
  <c r="C112" i="17"/>
  <c r="B112" i="17"/>
  <c r="F111" i="17"/>
  <c r="D111" i="17"/>
  <c r="C111" i="17"/>
  <c r="B111" i="17"/>
  <c r="F110" i="17"/>
  <c r="D110" i="17"/>
  <c r="C110" i="17"/>
  <c r="B110" i="17"/>
  <c r="F109" i="17"/>
  <c r="D109" i="17"/>
  <c r="C109" i="17"/>
  <c r="B109" i="17"/>
  <c r="F108" i="17"/>
  <c r="D108" i="17"/>
  <c r="C108" i="17"/>
  <c r="B108" i="17"/>
  <c r="F107" i="17"/>
  <c r="D107" i="17"/>
  <c r="C107" i="17"/>
  <c r="B107" i="17"/>
  <c r="F106" i="17"/>
  <c r="D106" i="17"/>
  <c r="C106" i="17"/>
  <c r="B106" i="17"/>
  <c r="F105" i="17"/>
  <c r="D105" i="17"/>
  <c r="C105" i="17"/>
  <c r="B105" i="17"/>
  <c r="F104" i="17"/>
  <c r="D104" i="17"/>
  <c r="C104" i="17"/>
  <c r="B104" i="17"/>
  <c r="F103" i="17"/>
  <c r="D103" i="17"/>
  <c r="C103" i="17"/>
  <c r="B103" i="17"/>
  <c r="F102" i="17"/>
  <c r="D102" i="17"/>
  <c r="C102" i="17"/>
  <c r="B102" i="17"/>
  <c r="F101" i="17"/>
  <c r="D101" i="17"/>
  <c r="C101" i="17"/>
  <c r="B101" i="17"/>
  <c r="F100" i="17"/>
  <c r="D100" i="17"/>
  <c r="C100" i="17"/>
  <c r="B100" i="17"/>
  <c r="F99" i="17"/>
  <c r="D99" i="17"/>
  <c r="C99" i="17"/>
  <c r="B99" i="17"/>
  <c r="F98" i="17"/>
  <c r="D98" i="17"/>
  <c r="C98" i="17"/>
  <c r="B98" i="17"/>
  <c r="F97" i="17"/>
  <c r="D97" i="17"/>
  <c r="C97" i="17"/>
  <c r="B97" i="17"/>
  <c r="F96" i="17"/>
  <c r="C96" i="17"/>
  <c r="B96" i="17"/>
  <c r="F88" i="17"/>
  <c r="D88" i="17"/>
  <c r="C88" i="17"/>
  <c r="B88" i="17"/>
  <c r="F87" i="17"/>
  <c r="D87" i="17"/>
  <c r="C87" i="17"/>
  <c r="B87" i="17"/>
  <c r="F86" i="17"/>
  <c r="D86" i="17"/>
  <c r="C86" i="17"/>
  <c r="B86" i="17"/>
  <c r="F85" i="17"/>
  <c r="D85" i="17"/>
  <c r="C85" i="17"/>
  <c r="B85" i="17"/>
  <c r="F84" i="17"/>
  <c r="D84" i="17"/>
  <c r="C84" i="17"/>
  <c r="B84" i="17"/>
  <c r="F83" i="17"/>
  <c r="D83" i="17"/>
  <c r="C83" i="17"/>
  <c r="B83" i="17"/>
  <c r="F82" i="17"/>
  <c r="D82" i="17"/>
  <c r="C82" i="17"/>
  <c r="B82" i="17"/>
  <c r="F81" i="17"/>
  <c r="D81" i="17"/>
  <c r="C81" i="17"/>
  <c r="B81" i="17"/>
  <c r="F80" i="17"/>
  <c r="D80" i="17"/>
  <c r="C80" i="17"/>
  <c r="B80" i="17"/>
  <c r="F79" i="17"/>
  <c r="D79" i="17"/>
  <c r="C79" i="17"/>
  <c r="B79" i="17"/>
  <c r="F78" i="17"/>
  <c r="D78" i="17"/>
  <c r="C78" i="17"/>
  <c r="B78" i="17"/>
  <c r="F77" i="17"/>
  <c r="D77" i="17"/>
  <c r="C77" i="17"/>
  <c r="B77" i="17"/>
  <c r="F76" i="17"/>
  <c r="D76" i="17"/>
  <c r="C76" i="17"/>
  <c r="B76" i="17"/>
  <c r="F75" i="17"/>
  <c r="D75" i="17"/>
  <c r="C75" i="17"/>
  <c r="B75" i="17"/>
  <c r="F74" i="17"/>
  <c r="D74" i="17"/>
  <c r="C74" i="17"/>
  <c r="B74" i="17"/>
  <c r="F73" i="17"/>
  <c r="D73" i="17"/>
  <c r="C73" i="17"/>
  <c r="B73" i="17"/>
  <c r="F72" i="17"/>
  <c r="D72" i="17"/>
  <c r="C72" i="17"/>
  <c r="B72" i="17"/>
  <c r="F71" i="17"/>
  <c r="D71" i="17"/>
  <c r="C71" i="17"/>
  <c r="B71" i="17"/>
  <c r="F70" i="17"/>
  <c r="D70" i="17"/>
  <c r="C70" i="17"/>
  <c r="B70" i="17"/>
  <c r="F69" i="17"/>
  <c r="D69" i="17"/>
  <c r="C69" i="17"/>
  <c r="B69" i="17"/>
  <c r="F68" i="17"/>
  <c r="D68" i="17"/>
  <c r="C68" i="17"/>
  <c r="B68" i="17"/>
  <c r="F67" i="17"/>
  <c r="D67" i="17"/>
  <c r="C67" i="17"/>
  <c r="B67" i="17"/>
  <c r="F66" i="17"/>
  <c r="D66" i="17"/>
  <c r="C66" i="17"/>
  <c r="B66" i="17"/>
  <c r="F65" i="17"/>
  <c r="C65" i="17"/>
  <c r="D51" i="17"/>
  <c r="C51" i="17"/>
  <c r="V40" i="17"/>
  <c r="S30" i="17"/>
  <c r="U29" i="17"/>
  <c r="T28" i="17"/>
  <c r="S28" i="17"/>
  <c r="F131" i="16"/>
  <c r="D131" i="16"/>
  <c r="C131" i="16"/>
  <c r="B131" i="16"/>
  <c r="F130" i="16"/>
  <c r="D130" i="16"/>
  <c r="C130" i="16"/>
  <c r="B130" i="16"/>
  <c r="F129" i="16"/>
  <c r="C129" i="16"/>
  <c r="B129" i="16"/>
  <c r="F113" i="16"/>
  <c r="D113" i="16"/>
  <c r="C113" i="16"/>
  <c r="B113" i="16"/>
  <c r="F112" i="16"/>
  <c r="D112" i="16"/>
  <c r="C112" i="16"/>
  <c r="B112" i="16"/>
  <c r="F111" i="16"/>
  <c r="D111" i="16"/>
  <c r="C111" i="16"/>
  <c r="B111" i="16"/>
  <c r="F110" i="16"/>
  <c r="D110" i="16"/>
  <c r="C110" i="16"/>
  <c r="B110" i="16"/>
  <c r="F109" i="16"/>
  <c r="D109" i="16"/>
  <c r="C109" i="16"/>
  <c r="B109" i="16"/>
  <c r="F108" i="16"/>
  <c r="C108" i="16"/>
  <c r="B108" i="16"/>
  <c r="F94" i="16"/>
  <c r="D94" i="16"/>
  <c r="C94" i="16"/>
  <c r="B94" i="16"/>
  <c r="F93" i="16"/>
  <c r="D93" i="16"/>
  <c r="C93" i="16"/>
  <c r="B93" i="16"/>
  <c r="F92" i="16"/>
  <c r="D92" i="16"/>
  <c r="C92" i="16"/>
  <c r="B92" i="16"/>
  <c r="F91" i="16"/>
  <c r="D91" i="16"/>
  <c r="C91" i="16"/>
  <c r="B91" i="16"/>
  <c r="F90" i="16"/>
  <c r="D90" i="16"/>
  <c r="C90" i="16"/>
  <c r="B90" i="16"/>
  <c r="F89" i="16"/>
  <c r="D89" i="16"/>
  <c r="C89" i="16"/>
  <c r="B89" i="16"/>
  <c r="F88" i="16"/>
  <c r="D88" i="16"/>
  <c r="C88" i="16"/>
  <c r="B88" i="16"/>
  <c r="F87" i="16"/>
  <c r="D87" i="16"/>
  <c r="C87" i="16"/>
  <c r="B87" i="16"/>
  <c r="F86" i="16"/>
  <c r="C86" i="16"/>
  <c r="B86" i="16"/>
  <c r="F74" i="16"/>
  <c r="D74" i="16"/>
  <c r="C74" i="16"/>
  <c r="B74" i="16"/>
  <c r="F73" i="16"/>
  <c r="D73" i="16"/>
  <c r="C73" i="16"/>
  <c r="B73" i="16"/>
  <c r="F72" i="16"/>
  <c r="D72" i="16"/>
  <c r="C72" i="16"/>
  <c r="B72" i="16"/>
  <c r="F71" i="16"/>
  <c r="D71" i="16"/>
  <c r="C71" i="16"/>
  <c r="B71" i="16"/>
  <c r="F70" i="16"/>
  <c r="D70" i="16"/>
  <c r="C70" i="16"/>
  <c r="B70" i="16"/>
  <c r="F69" i="16"/>
  <c r="D69" i="16"/>
  <c r="C69" i="16"/>
  <c r="B69" i="16"/>
  <c r="F68" i="16"/>
  <c r="D68" i="16"/>
  <c r="C68" i="16"/>
  <c r="B68" i="16"/>
  <c r="F67" i="16"/>
  <c r="D67" i="16"/>
  <c r="C67" i="16"/>
  <c r="B67" i="16"/>
  <c r="F66" i="16"/>
  <c r="C66" i="16"/>
  <c r="B66" i="16"/>
  <c r="U29" i="16"/>
  <c r="U32" i="16" s="1"/>
  <c r="S16" i="16"/>
  <c r="F121" i="15"/>
  <c r="D121" i="15"/>
  <c r="C121" i="15"/>
  <c r="B121" i="15"/>
  <c r="F120" i="15"/>
  <c r="D120" i="15"/>
  <c r="C120" i="15"/>
  <c r="B120" i="15"/>
  <c r="F119" i="15"/>
  <c r="D119" i="15"/>
  <c r="C119" i="15"/>
  <c r="B119" i="15"/>
  <c r="F118" i="15"/>
  <c r="D118" i="15"/>
  <c r="C118" i="15"/>
  <c r="B118" i="15"/>
  <c r="F117" i="15"/>
  <c r="D117" i="15"/>
  <c r="C117" i="15"/>
  <c r="B117" i="15"/>
  <c r="F116" i="15"/>
  <c r="D116" i="15"/>
  <c r="C116" i="15"/>
  <c r="B116" i="15"/>
  <c r="F115" i="15"/>
  <c r="D115" i="15"/>
  <c r="C115" i="15"/>
  <c r="B115" i="15"/>
  <c r="F114" i="15"/>
  <c r="D114" i="15"/>
  <c r="C114" i="15"/>
  <c r="B114" i="15"/>
  <c r="F113" i="15"/>
  <c r="D113" i="15"/>
  <c r="C113" i="15"/>
  <c r="B113" i="15"/>
  <c r="F112" i="15"/>
  <c r="D112" i="15"/>
  <c r="C112" i="15"/>
  <c r="B112" i="15"/>
  <c r="F111" i="15"/>
  <c r="D111" i="15"/>
  <c r="C111" i="15"/>
  <c r="B111" i="15"/>
  <c r="F110" i="15"/>
  <c r="D110" i="15"/>
  <c r="C110" i="15"/>
  <c r="B110" i="15"/>
  <c r="F109" i="15"/>
  <c r="D109" i="15"/>
  <c r="C109" i="15"/>
  <c r="B109" i="15"/>
  <c r="F108" i="15"/>
  <c r="D108" i="15"/>
  <c r="C108" i="15"/>
  <c r="B108" i="15"/>
  <c r="F107" i="15"/>
  <c r="D107" i="15"/>
  <c r="C107" i="15"/>
  <c r="B107" i="15"/>
  <c r="F106" i="15"/>
  <c r="D106" i="15"/>
  <c r="C106" i="15"/>
  <c r="B106" i="15"/>
  <c r="F105" i="15"/>
  <c r="D105" i="15"/>
  <c r="C105" i="15"/>
  <c r="B105" i="15"/>
  <c r="F104" i="15"/>
  <c r="D104" i="15"/>
  <c r="C104" i="15"/>
  <c r="B104" i="15"/>
  <c r="F103" i="15"/>
  <c r="D103" i="15"/>
  <c r="C103" i="15"/>
  <c r="B103" i="15"/>
  <c r="F102" i="15"/>
  <c r="D102" i="15"/>
  <c r="C102" i="15"/>
  <c r="B102" i="15"/>
  <c r="F101" i="15"/>
  <c r="D101" i="15"/>
  <c r="C101" i="15"/>
  <c r="B101" i="15"/>
  <c r="F100" i="15"/>
  <c r="D100" i="15"/>
  <c r="C100" i="15"/>
  <c r="B100" i="15"/>
  <c r="F99" i="15"/>
  <c r="D99" i="15"/>
  <c r="C99" i="15"/>
  <c r="B99" i="15"/>
  <c r="F98" i="15"/>
  <c r="D98" i="15"/>
  <c r="C98" i="15"/>
  <c r="B98" i="15"/>
  <c r="F97" i="15"/>
  <c r="C97" i="15"/>
  <c r="B97" i="15"/>
  <c r="F89" i="15"/>
  <c r="D89" i="15"/>
  <c r="C89" i="15"/>
  <c r="B89" i="15"/>
  <c r="F88" i="15"/>
  <c r="D88" i="15"/>
  <c r="C88" i="15"/>
  <c r="B88" i="15"/>
  <c r="F87" i="15"/>
  <c r="D87" i="15"/>
  <c r="C87" i="15"/>
  <c r="B87" i="15"/>
  <c r="F86" i="15"/>
  <c r="D86" i="15"/>
  <c r="C86" i="15"/>
  <c r="B86" i="15"/>
  <c r="F85" i="15"/>
  <c r="D85" i="15"/>
  <c r="C85" i="15"/>
  <c r="B85" i="15"/>
  <c r="F84" i="15"/>
  <c r="D84" i="15"/>
  <c r="C84" i="15"/>
  <c r="B84" i="15"/>
  <c r="F83" i="15"/>
  <c r="D83" i="15"/>
  <c r="C83" i="15"/>
  <c r="B83" i="15"/>
  <c r="F82" i="15"/>
  <c r="D82" i="15"/>
  <c r="C82" i="15"/>
  <c r="B82" i="15"/>
  <c r="F81" i="15"/>
  <c r="D81" i="15"/>
  <c r="C81" i="15"/>
  <c r="B81" i="15"/>
  <c r="F80" i="15"/>
  <c r="D80" i="15"/>
  <c r="C80" i="15"/>
  <c r="B80" i="15"/>
  <c r="F79" i="15"/>
  <c r="D79" i="15"/>
  <c r="C79" i="15"/>
  <c r="B79" i="15"/>
  <c r="F78" i="15"/>
  <c r="D78" i="15"/>
  <c r="C78" i="15"/>
  <c r="B78" i="15"/>
  <c r="F77" i="15"/>
  <c r="D77" i="15"/>
  <c r="C77" i="15"/>
  <c r="B77" i="15"/>
  <c r="F76" i="15"/>
  <c r="D76" i="15"/>
  <c r="C76" i="15"/>
  <c r="B76" i="15"/>
  <c r="F75" i="15"/>
  <c r="D75" i="15"/>
  <c r="C75" i="15"/>
  <c r="B75" i="15"/>
  <c r="F74" i="15"/>
  <c r="D74" i="15"/>
  <c r="C74" i="15"/>
  <c r="B74" i="15"/>
  <c r="F73" i="15"/>
  <c r="D73" i="15"/>
  <c r="C73" i="15"/>
  <c r="B73" i="15"/>
  <c r="F72" i="15"/>
  <c r="D72" i="15"/>
  <c r="C72" i="15"/>
  <c r="B72" i="15"/>
  <c r="F71" i="15"/>
  <c r="D71" i="15"/>
  <c r="C71" i="15"/>
  <c r="B71" i="15"/>
  <c r="F70" i="15"/>
  <c r="D70" i="15"/>
  <c r="C70" i="15"/>
  <c r="B70" i="15"/>
  <c r="F69" i="15"/>
  <c r="D69" i="15"/>
  <c r="C69" i="15"/>
  <c r="B69" i="15"/>
  <c r="F68" i="15"/>
  <c r="D68" i="15"/>
  <c r="C68" i="15"/>
  <c r="B68" i="15"/>
  <c r="F67" i="15"/>
  <c r="D67" i="15"/>
  <c r="C67" i="15"/>
  <c r="B67" i="15"/>
  <c r="F66" i="15"/>
  <c r="D66" i="15"/>
  <c r="C66" i="15"/>
  <c r="B66" i="15"/>
  <c r="F65" i="15"/>
  <c r="C65" i="15"/>
  <c r="B65" i="15"/>
  <c r="V40" i="15"/>
  <c r="D51" i="15"/>
  <c r="R44" i="15" s="1"/>
  <c r="U44" i="15" s="1"/>
  <c r="W44" i="15" s="1"/>
  <c r="J51" i="15" s="1"/>
  <c r="C51" i="15"/>
  <c r="T30" i="15"/>
  <c r="S30" i="15"/>
  <c r="U29" i="15"/>
  <c r="U32" i="15" s="1"/>
  <c r="AE30" i="15" s="1"/>
  <c r="T28" i="15"/>
  <c r="S28" i="15"/>
  <c r="F126" i="14"/>
  <c r="D126" i="14"/>
  <c r="C126" i="14"/>
  <c r="B126" i="14"/>
  <c r="F125" i="14"/>
  <c r="D125" i="14"/>
  <c r="C125" i="14"/>
  <c r="B125" i="14"/>
  <c r="F124" i="14"/>
  <c r="D124" i="14"/>
  <c r="C124" i="14"/>
  <c r="B124" i="14"/>
  <c r="F123" i="14"/>
  <c r="D123" i="14"/>
  <c r="C123" i="14"/>
  <c r="B123" i="14"/>
  <c r="F122" i="14"/>
  <c r="D122" i="14"/>
  <c r="C122" i="14"/>
  <c r="B122" i="14"/>
  <c r="F121" i="14"/>
  <c r="D121" i="14"/>
  <c r="C121" i="14"/>
  <c r="B121" i="14"/>
  <c r="F120" i="14"/>
  <c r="D120" i="14"/>
  <c r="C120" i="14"/>
  <c r="B120" i="14"/>
  <c r="F113" i="14"/>
  <c r="D113" i="14"/>
  <c r="C113" i="14"/>
  <c r="B113" i="14"/>
  <c r="F112" i="14"/>
  <c r="D112" i="14"/>
  <c r="C112" i="14"/>
  <c r="B112" i="14"/>
  <c r="F111" i="14"/>
  <c r="D111" i="14"/>
  <c r="C111" i="14"/>
  <c r="B111" i="14"/>
  <c r="F110" i="14"/>
  <c r="D110" i="14"/>
  <c r="C110" i="14"/>
  <c r="B110" i="14"/>
  <c r="F109" i="14"/>
  <c r="D109" i="14"/>
  <c r="C109" i="14"/>
  <c r="B109" i="14"/>
  <c r="F108" i="14"/>
  <c r="D108" i="14"/>
  <c r="C108" i="14"/>
  <c r="B108" i="14"/>
  <c r="F107" i="14"/>
  <c r="D107" i="14"/>
  <c r="C107" i="14"/>
  <c r="B107" i="14"/>
  <c r="F71" i="14"/>
  <c r="D71" i="14"/>
  <c r="C71" i="14"/>
  <c r="B71" i="14"/>
  <c r="F70" i="14"/>
  <c r="D70" i="14"/>
  <c r="C70" i="14"/>
  <c r="B70" i="14"/>
  <c r="F69" i="14"/>
  <c r="D69" i="14"/>
  <c r="C69" i="14"/>
  <c r="B69" i="14"/>
  <c r="F68" i="14"/>
  <c r="D68" i="14"/>
  <c r="C68" i="14"/>
  <c r="B68" i="14"/>
  <c r="F67" i="14"/>
  <c r="D67" i="14"/>
  <c r="C67" i="14"/>
  <c r="B67" i="14"/>
  <c r="F66" i="14"/>
  <c r="D66" i="14"/>
  <c r="C66" i="14"/>
  <c r="B66" i="14"/>
  <c r="F65" i="14"/>
  <c r="D65" i="14"/>
  <c r="C65" i="14"/>
  <c r="B65" i="14"/>
  <c r="T29" i="14"/>
  <c r="S28" i="14"/>
  <c r="S30" i="14" s="1"/>
  <c r="C51" i="14"/>
  <c r="F73" i="13"/>
  <c r="D73" i="13"/>
  <c r="C73" i="13"/>
  <c r="B73" i="13"/>
  <c r="F72" i="13"/>
  <c r="D72" i="13"/>
  <c r="C72" i="13"/>
  <c r="B72" i="13"/>
  <c r="F71" i="13"/>
  <c r="D71" i="13"/>
  <c r="C71" i="13"/>
  <c r="B71" i="13"/>
  <c r="F70" i="13"/>
  <c r="D70" i="13"/>
  <c r="C70" i="13"/>
  <c r="B70" i="13"/>
  <c r="F69" i="13"/>
  <c r="D69" i="13"/>
  <c r="C69" i="13"/>
  <c r="B69" i="13"/>
  <c r="F68" i="13"/>
  <c r="D68" i="13"/>
  <c r="C68" i="13"/>
  <c r="B68" i="13"/>
  <c r="F67" i="13"/>
  <c r="D67" i="13"/>
  <c r="C67" i="13"/>
  <c r="B67" i="13"/>
  <c r="F66" i="13"/>
  <c r="D66" i="13"/>
  <c r="C66" i="13"/>
  <c r="B66" i="13"/>
  <c r="F65" i="13"/>
  <c r="D65" i="13"/>
  <c r="C65" i="13"/>
  <c r="B65" i="13"/>
  <c r="T29" i="13"/>
  <c r="S28" i="13"/>
  <c r="S30" i="13" s="1"/>
  <c r="T30" i="13" s="1"/>
  <c r="F72" i="12"/>
  <c r="D72" i="12"/>
  <c r="C72" i="12"/>
  <c r="B72" i="12"/>
  <c r="F71" i="12"/>
  <c r="D71" i="12"/>
  <c r="C71" i="12"/>
  <c r="B71" i="12"/>
  <c r="F70" i="12"/>
  <c r="D70" i="12"/>
  <c r="C70" i="12"/>
  <c r="B70" i="12"/>
  <c r="F69" i="12"/>
  <c r="D69" i="12"/>
  <c r="C69" i="12"/>
  <c r="B69" i="12"/>
  <c r="F68" i="12"/>
  <c r="D68" i="12"/>
  <c r="C68" i="12"/>
  <c r="B68" i="12"/>
  <c r="F67" i="12"/>
  <c r="D67" i="12"/>
  <c r="C67" i="12"/>
  <c r="B67" i="12"/>
  <c r="F66" i="12"/>
  <c r="D66" i="12"/>
  <c r="C66" i="12"/>
  <c r="B66" i="12"/>
  <c r="F65" i="12"/>
  <c r="D65" i="12"/>
  <c r="C65" i="12"/>
  <c r="B65" i="12"/>
  <c r="T29" i="12"/>
  <c r="T28" i="12"/>
  <c r="R44" i="11"/>
  <c r="V40" i="11"/>
  <c r="T35" i="11"/>
  <c r="AC30" i="11" s="1"/>
  <c r="T33" i="11"/>
  <c r="T32" i="11"/>
  <c r="U32" i="11" s="1"/>
  <c r="T31" i="11"/>
  <c r="U29" i="11"/>
  <c r="F93" i="10"/>
  <c r="D93" i="10"/>
  <c r="C93" i="10"/>
  <c r="B93" i="10"/>
  <c r="F92" i="10"/>
  <c r="D92" i="10"/>
  <c r="C92" i="10"/>
  <c r="B92" i="10"/>
  <c r="F91" i="10"/>
  <c r="D91" i="10"/>
  <c r="C91" i="10"/>
  <c r="B91" i="10"/>
  <c r="F90" i="10"/>
  <c r="D90" i="10"/>
  <c r="C90" i="10"/>
  <c r="B90" i="10"/>
  <c r="F89" i="10"/>
  <c r="C89" i="10"/>
  <c r="B89" i="10"/>
  <c r="F80" i="10"/>
  <c r="D80" i="10"/>
  <c r="C80" i="10"/>
  <c r="B80" i="10"/>
  <c r="F79" i="10"/>
  <c r="D79" i="10"/>
  <c r="C79" i="10"/>
  <c r="B79" i="10"/>
  <c r="F78" i="10"/>
  <c r="D78" i="10"/>
  <c r="C78" i="10"/>
  <c r="B78" i="10"/>
  <c r="F77" i="10"/>
  <c r="D77" i="10"/>
  <c r="C77" i="10"/>
  <c r="B77" i="10"/>
  <c r="F76" i="10"/>
  <c r="C76" i="10"/>
  <c r="B76" i="10"/>
  <c r="F69" i="10"/>
  <c r="D69" i="10"/>
  <c r="C69" i="10"/>
  <c r="B69" i="10"/>
  <c r="F68" i="10"/>
  <c r="D68" i="10"/>
  <c r="C68" i="10"/>
  <c r="B68" i="10"/>
  <c r="F67" i="10"/>
  <c r="D67" i="10"/>
  <c r="C67" i="10"/>
  <c r="B67" i="10"/>
  <c r="F66" i="10"/>
  <c r="D66" i="10"/>
  <c r="C66" i="10"/>
  <c r="B66" i="10"/>
  <c r="F65" i="10"/>
  <c r="C65" i="10"/>
  <c r="B65" i="10"/>
  <c r="V44" i="10"/>
  <c r="U44" i="10"/>
  <c r="T29" i="10"/>
  <c r="T28" i="10"/>
  <c r="R25" i="10"/>
  <c r="F65" i="9"/>
  <c r="C65" i="9"/>
  <c r="B65" i="9"/>
  <c r="V40" i="9"/>
  <c r="U29" i="9"/>
  <c r="U28" i="9"/>
  <c r="D51" i="9"/>
  <c r="R44" i="9"/>
  <c r="C51" i="9"/>
  <c r="F108" i="8"/>
  <c r="D108" i="8"/>
  <c r="C108" i="8"/>
  <c r="B108" i="8"/>
  <c r="F107" i="8"/>
  <c r="D107" i="8"/>
  <c r="C107" i="8"/>
  <c r="B107" i="8"/>
  <c r="F106" i="8"/>
  <c r="D106" i="8"/>
  <c r="C106" i="8"/>
  <c r="B106" i="8"/>
  <c r="F105" i="8"/>
  <c r="D105" i="8"/>
  <c r="C105" i="8"/>
  <c r="B105" i="8"/>
  <c r="F104" i="8"/>
  <c r="D104" i="8"/>
  <c r="C104" i="8"/>
  <c r="B104" i="8"/>
  <c r="F103" i="8"/>
  <c r="D103" i="8"/>
  <c r="C103" i="8"/>
  <c r="B103" i="8"/>
  <c r="F102" i="8"/>
  <c r="D102" i="8"/>
  <c r="C102" i="8"/>
  <c r="B102" i="8"/>
  <c r="F101" i="8"/>
  <c r="D101" i="8"/>
  <c r="C101" i="8"/>
  <c r="B101" i="8"/>
  <c r="F100" i="8"/>
  <c r="D100" i="8"/>
  <c r="C100" i="8"/>
  <c r="B100" i="8"/>
  <c r="F99" i="8"/>
  <c r="D99" i="8"/>
  <c r="C99" i="8"/>
  <c r="B99" i="8"/>
  <c r="F98" i="8"/>
  <c r="D98" i="8"/>
  <c r="C98" i="8"/>
  <c r="B98" i="8"/>
  <c r="F97" i="8"/>
  <c r="D97" i="8"/>
  <c r="C97" i="8"/>
  <c r="B97" i="8"/>
  <c r="F96" i="8"/>
  <c r="D96" i="8"/>
  <c r="C96" i="8"/>
  <c r="B96" i="8"/>
  <c r="F95" i="8"/>
  <c r="D95" i="8"/>
  <c r="C95" i="8"/>
  <c r="B95" i="8"/>
  <c r="F94" i="8"/>
  <c r="D94" i="8"/>
  <c r="C94" i="8"/>
  <c r="B94" i="8"/>
  <c r="F93" i="8"/>
  <c r="D93" i="8"/>
  <c r="C93" i="8"/>
  <c r="B93" i="8"/>
  <c r="F92" i="8"/>
  <c r="D92" i="8"/>
  <c r="C92" i="8"/>
  <c r="B92" i="8"/>
  <c r="F91" i="8"/>
  <c r="D91" i="8"/>
  <c r="C91" i="8"/>
  <c r="B91" i="8"/>
  <c r="F90" i="8"/>
  <c r="C90" i="8"/>
  <c r="B90" i="8"/>
  <c r="F83" i="8"/>
  <c r="D83" i="8"/>
  <c r="C83" i="8"/>
  <c r="B83" i="8"/>
  <c r="F82" i="8"/>
  <c r="D82" i="8"/>
  <c r="C82" i="8"/>
  <c r="B82" i="8"/>
  <c r="F81" i="8"/>
  <c r="D81" i="8"/>
  <c r="C81" i="8"/>
  <c r="B81" i="8"/>
  <c r="F80" i="8"/>
  <c r="D80" i="8"/>
  <c r="C80" i="8"/>
  <c r="B80" i="8"/>
  <c r="F79" i="8"/>
  <c r="D79" i="8"/>
  <c r="C79" i="8"/>
  <c r="B79" i="8"/>
  <c r="F78" i="8"/>
  <c r="D78" i="8"/>
  <c r="C78" i="8"/>
  <c r="B78" i="8"/>
  <c r="F77" i="8"/>
  <c r="D77" i="8"/>
  <c r="C77" i="8"/>
  <c r="B77" i="8"/>
  <c r="F76" i="8"/>
  <c r="D76" i="8"/>
  <c r="C76" i="8"/>
  <c r="B76" i="8"/>
  <c r="F75" i="8"/>
  <c r="D75" i="8"/>
  <c r="C75" i="8"/>
  <c r="B75" i="8"/>
  <c r="F74" i="8"/>
  <c r="D74" i="8"/>
  <c r="C74" i="8"/>
  <c r="B74" i="8"/>
  <c r="F73" i="8"/>
  <c r="D73" i="8"/>
  <c r="C73" i="8"/>
  <c r="B73" i="8"/>
  <c r="F72" i="8"/>
  <c r="D72" i="8"/>
  <c r="C72" i="8"/>
  <c r="B72" i="8"/>
  <c r="F71" i="8"/>
  <c r="D71" i="8"/>
  <c r="C71" i="8"/>
  <c r="B71" i="8"/>
  <c r="F70" i="8"/>
  <c r="D70" i="8"/>
  <c r="C70" i="8"/>
  <c r="B70" i="8"/>
  <c r="F69" i="8"/>
  <c r="D69" i="8"/>
  <c r="C69" i="8"/>
  <c r="B69" i="8"/>
  <c r="F68" i="8"/>
  <c r="D68" i="8"/>
  <c r="C68" i="8"/>
  <c r="B68" i="8"/>
  <c r="F67" i="8"/>
  <c r="D67" i="8"/>
  <c r="C67" i="8"/>
  <c r="B67" i="8"/>
  <c r="F66" i="8"/>
  <c r="D66" i="8"/>
  <c r="C66" i="8"/>
  <c r="B66" i="8"/>
  <c r="F65" i="8"/>
  <c r="C65" i="8"/>
  <c r="B65" i="8"/>
  <c r="D51" i="8"/>
  <c r="C51" i="8"/>
  <c r="V40" i="8"/>
  <c r="S30" i="8"/>
  <c r="S32" i="8" s="1"/>
  <c r="J52" i="8" s="1"/>
  <c r="I52" i="8" s="1"/>
  <c r="F102" i="7"/>
  <c r="D102" i="7"/>
  <c r="C102" i="7"/>
  <c r="B102" i="7"/>
  <c r="F101" i="7"/>
  <c r="D101" i="7"/>
  <c r="C101" i="7"/>
  <c r="B101" i="7"/>
  <c r="F100" i="7"/>
  <c r="D100" i="7"/>
  <c r="C100" i="7"/>
  <c r="B100" i="7"/>
  <c r="F99" i="7"/>
  <c r="D99" i="7"/>
  <c r="C99" i="7"/>
  <c r="B99" i="7"/>
  <c r="F98" i="7"/>
  <c r="D98" i="7"/>
  <c r="C98" i="7"/>
  <c r="B98" i="7"/>
  <c r="F97" i="7"/>
  <c r="D97" i="7"/>
  <c r="C97" i="7"/>
  <c r="B97" i="7"/>
  <c r="F96" i="7"/>
  <c r="D96" i="7"/>
  <c r="C96" i="7"/>
  <c r="B96" i="7"/>
  <c r="F95" i="7"/>
  <c r="D95" i="7"/>
  <c r="C95" i="7"/>
  <c r="B95" i="7"/>
  <c r="F94" i="7"/>
  <c r="D94" i="7"/>
  <c r="C94" i="7"/>
  <c r="B94" i="7"/>
  <c r="F93" i="7"/>
  <c r="D93" i="7"/>
  <c r="C93" i="7"/>
  <c r="B93" i="7"/>
  <c r="F92" i="7"/>
  <c r="D92" i="7"/>
  <c r="C92" i="7"/>
  <c r="B92" i="7"/>
  <c r="F91" i="7"/>
  <c r="D91" i="7"/>
  <c r="C91" i="7"/>
  <c r="B91" i="7"/>
  <c r="F90" i="7"/>
  <c r="D90" i="7"/>
  <c r="C90" i="7"/>
  <c r="B90" i="7"/>
  <c r="F89" i="7"/>
  <c r="D89" i="7"/>
  <c r="C89" i="7"/>
  <c r="B89" i="7"/>
  <c r="F88" i="7"/>
  <c r="C88" i="7"/>
  <c r="B88" i="7"/>
  <c r="F79" i="7"/>
  <c r="D79" i="7"/>
  <c r="C79" i="7"/>
  <c r="B79" i="7"/>
  <c r="F78" i="7"/>
  <c r="D78" i="7"/>
  <c r="C78" i="7"/>
  <c r="B78" i="7"/>
  <c r="F77" i="7"/>
  <c r="D77" i="7"/>
  <c r="C77" i="7"/>
  <c r="B77" i="7"/>
  <c r="F76" i="7"/>
  <c r="D76" i="7"/>
  <c r="C76" i="7"/>
  <c r="B76" i="7"/>
  <c r="F75" i="7"/>
  <c r="D75" i="7"/>
  <c r="C75" i="7"/>
  <c r="B75" i="7"/>
  <c r="F74" i="7"/>
  <c r="D74" i="7"/>
  <c r="C74" i="7"/>
  <c r="B74" i="7"/>
  <c r="F73" i="7"/>
  <c r="D73" i="7"/>
  <c r="C73" i="7"/>
  <c r="B73" i="7"/>
  <c r="F72" i="7"/>
  <c r="D72" i="7"/>
  <c r="C72" i="7"/>
  <c r="B72" i="7"/>
  <c r="F71" i="7"/>
  <c r="D71" i="7"/>
  <c r="C71" i="7"/>
  <c r="B71" i="7"/>
  <c r="F70" i="7"/>
  <c r="D70" i="7"/>
  <c r="C70" i="7"/>
  <c r="B70" i="7"/>
  <c r="F69" i="7"/>
  <c r="D69" i="7"/>
  <c r="C69" i="7"/>
  <c r="B69" i="7"/>
  <c r="F68" i="7"/>
  <c r="D68" i="7"/>
  <c r="C68" i="7"/>
  <c r="B68" i="7"/>
  <c r="F67" i="7"/>
  <c r="D67" i="7"/>
  <c r="C67" i="7"/>
  <c r="B67" i="7"/>
  <c r="F66" i="7"/>
  <c r="D66" i="7"/>
  <c r="C66" i="7"/>
  <c r="B66" i="7"/>
  <c r="F65" i="7"/>
  <c r="C65" i="7"/>
  <c r="B65" i="7"/>
  <c r="V40" i="7"/>
  <c r="T30" i="7"/>
  <c r="S30" i="7"/>
  <c r="T29" i="7"/>
  <c r="T28" i="7"/>
  <c r="S28" i="7"/>
  <c r="D51" i="7"/>
  <c r="K1" i="7"/>
  <c r="F71" i="6"/>
  <c r="D71" i="6"/>
  <c r="C71" i="6"/>
  <c r="B71" i="6"/>
  <c r="D70" i="6"/>
  <c r="C70" i="6"/>
  <c r="B70" i="6"/>
  <c r="D69" i="6"/>
  <c r="C69" i="6"/>
  <c r="B69" i="6"/>
  <c r="D68" i="6"/>
  <c r="C68" i="6"/>
  <c r="B68" i="6"/>
  <c r="D67" i="6"/>
  <c r="C67" i="6"/>
  <c r="B67" i="6"/>
  <c r="F66" i="6"/>
  <c r="D66" i="6"/>
  <c r="C66" i="6"/>
  <c r="B66" i="6"/>
  <c r="F65" i="6"/>
  <c r="C65" i="6"/>
  <c r="B65" i="6"/>
  <c r="D51" i="6"/>
  <c r="R44" i="6" s="1"/>
  <c r="C51" i="6"/>
  <c r="V40" i="6"/>
  <c r="AO1" i="6"/>
  <c r="T32" i="6"/>
  <c r="F7" i="6"/>
  <c r="F80" i="6" s="1"/>
  <c r="F87" i="5"/>
  <c r="D87" i="5"/>
  <c r="C87" i="5"/>
  <c r="B87" i="5"/>
  <c r="F86" i="5"/>
  <c r="D86" i="5"/>
  <c r="C86" i="5"/>
  <c r="B86" i="5"/>
  <c r="F85" i="5"/>
  <c r="D85" i="5"/>
  <c r="C85" i="5"/>
  <c r="B85" i="5"/>
  <c r="F84" i="5"/>
  <c r="D84" i="5"/>
  <c r="C84" i="5"/>
  <c r="B84" i="5"/>
  <c r="F83" i="5"/>
  <c r="D83" i="5"/>
  <c r="C83" i="5"/>
  <c r="B83" i="5"/>
  <c r="F82" i="5"/>
  <c r="D82" i="5"/>
  <c r="C82" i="5"/>
  <c r="B82" i="5"/>
  <c r="F81" i="5"/>
  <c r="D81" i="5"/>
  <c r="C81" i="5"/>
  <c r="B81" i="5"/>
  <c r="F80" i="5"/>
  <c r="D80" i="5"/>
  <c r="C80" i="5"/>
  <c r="B80" i="5"/>
  <c r="F79" i="5"/>
  <c r="D79" i="5"/>
  <c r="C79" i="5"/>
  <c r="B79" i="5"/>
  <c r="F78" i="5"/>
  <c r="D78" i="5"/>
  <c r="C78" i="5"/>
  <c r="B78" i="5"/>
  <c r="F77" i="5"/>
  <c r="D77" i="5"/>
  <c r="C77" i="5"/>
  <c r="B77" i="5"/>
  <c r="F76" i="5"/>
  <c r="D76" i="5"/>
  <c r="C76" i="5"/>
  <c r="B76" i="5"/>
  <c r="F75" i="5"/>
  <c r="D75" i="5"/>
  <c r="C75" i="5"/>
  <c r="B75" i="5"/>
  <c r="F74" i="5"/>
  <c r="D74" i="5"/>
  <c r="C74" i="5"/>
  <c r="B74" i="5"/>
  <c r="F73" i="5"/>
  <c r="D73" i="5"/>
  <c r="C73" i="5"/>
  <c r="B73" i="5"/>
  <c r="F72" i="5"/>
  <c r="D72" i="5"/>
  <c r="C72" i="5"/>
  <c r="B72" i="5"/>
  <c r="F71" i="5"/>
  <c r="D71" i="5"/>
  <c r="C71" i="5"/>
  <c r="B71" i="5"/>
  <c r="F70" i="5"/>
  <c r="D70" i="5"/>
  <c r="C70" i="5"/>
  <c r="B70" i="5"/>
  <c r="F69" i="5"/>
  <c r="D69" i="5"/>
  <c r="C69" i="5"/>
  <c r="B69" i="5"/>
  <c r="F68" i="5"/>
  <c r="D68" i="5"/>
  <c r="C68" i="5"/>
  <c r="B68" i="5"/>
  <c r="F67" i="5"/>
  <c r="D67" i="5"/>
  <c r="C67" i="5"/>
  <c r="B67" i="5"/>
  <c r="F66" i="5"/>
  <c r="D66" i="5"/>
  <c r="C66" i="5"/>
  <c r="B66" i="5"/>
  <c r="F65" i="5"/>
  <c r="C65" i="5"/>
  <c r="B65" i="5"/>
  <c r="V40" i="5"/>
  <c r="T30" i="5"/>
  <c r="S30" i="5"/>
  <c r="D51" i="5"/>
  <c r="R44" i="5" s="1"/>
  <c r="C51" i="5"/>
  <c r="U29" i="5"/>
  <c r="U32" i="5" s="1"/>
  <c r="AD30" i="5" s="1"/>
  <c r="T28" i="5"/>
  <c r="S28" i="5"/>
  <c r="F122" i="4"/>
  <c r="C122" i="4"/>
  <c r="B122" i="4"/>
  <c r="F103" i="4"/>
  <c r="C103" i="4"/>
  <c r="B103" i="4"/>
  <c r="F83" i="4"/>
  <c r="C83" i="4"/>
  <c r="B83" i="4"/>
  <c r="F65" i="4"/>
  <c r="C65" i="4"/>
  <c r="B65" i="4"/>
  <c r="V44" i="4"/>
  <c r="U44" i="4"/>
  <c r="V40" i="4"/>
  <c r="J52" i="4"/>
  <c r="T31" i="4"/>
  <c r="U29" i="4"/>
  <c r="D51" i="4"/>
  <c r="AA28" i="4"/>
  <c r="F133" i="3"/>
  <c r="D133" i="3"/>
  <c r="C133" i="3"/>
  <c r="B133" i="3"/>
  <c r="F132" i="3"/>
  <c r="D132" i="3"/>
  <c r="C132" i="3"/>
  <c r="B132" i="3"/>
  <c r="F131" i="3"/>
  <c r="D131" i="3"/>
  <c r="C131" i="3"/>
  <c r="B131" i="3"/>
  <c r="F130" i="3"/>
  <c r="D130" i="3"/>
  <c r="C130" i="3"/>
  <c r="B130" i="3"/>
  <c r="F129" i="3"/>
  <c r="D129" i="3"/>
  <c r="C129" i="3"/>
  <c r="B129" i="3"/>
  <c r="F128" i="3"/>
  <c r="D128" i="3"/>
  <c r="C128" i="3"/>
  <c r="B128" i="3"/>
  <c r="F127" i="3"/>
  <c r="D127" i="3"/>
  <c r="C127" i="3"/>
  <c r="B127" i="3"/>
  <c r="F126" i="3"/>
  <c r="D126" i="3"/>
  <c r="C126" i="3"/>
  <c r="B126" i="3"/>
  <c r="F125" i="3"/>
  <c r="D125" i="3"/>
  <c r="C125" i="3"/>
  <c r="B125" i="3"/>
  <c r="F124" i="3"/>
  <c r="D124" i="3"/>
  <c r="C124" i="3"/>
  <c r="B124" i="3"/>
  <c r="F123" i="3"/>
  <c r="D123" i="3"/>
  <c r="C123" i="3"/>
  <c r="B123" i="3"/>
  <c r="F122" i="3"/>
  <c r="D122" i="3"/>
  <c r="C122" i="3"/>
  <c r="B122" i="3"/>
  <c r="F121" i="3"/>
  <c r="D121" i="3"/>
  <c r="C121" i="3"/>
  <c r="B121" i="3"/>
  <c r="F120" i="3"/>
  <c r="D120" i="3"/>
  <c r="C120" i="3"/>
  <c r="B120" i="3"/>
  <c r="F119" i="3"/>
  <c r="D119" i="3"/>
  <c r="C119" i="3"/>
  <c r="B119" i="3"/>
  <c r="F118" i="3"/>
  <c r="D118" i="3"/>
  <c r="C118" i="3"/>
  <c r="B118" i="3"/>
  <c r="F117" i="3"/>
  <c r="C117" i="3"/>
  <c r="B117" i="3"/>
  <c r="F105" i="3"/>
  <c r="D105" i="3"/>
  <c r="C105" i="3"/>
  <c r="B105" i="3"/>
  <c r="F104" i="3"/>
  <c r="D104" i="3"/>
  <c r="C104" i="3"/>
  <c r="B104" i="3"/>
  <c r="F103" i="3"/>
  <c r="D103" i="3"/>
  <c r="C103" i="3"/>
  <c r="B103" i="3"/>
  <c r="F102" i="3"/>
  <c r="D102" i="3"/>
  <c r="C102" i="3"/>
  <c r="B102" i="3"/>
  <c r="F101" i="3"/>
  <c r="D101" i="3"/>
  <c r="C101" i="3"/>
  <c r="B101" i="3"/>
  <c r="F100" i="3"/>
  <c r="D100" i="3"/>
  <c r="C100" i="3"/>
  <c r="B100" i="3"/>
  <c r="F99" i="3"/>
  <c r="D99" i="3"/>
  <c r="C99" i="3"/>
  <c r="B99" i="3"/>
  <c r="F98" i="3"/>
  <c r="D98" i="3"/>
  <c r="C98" i="3"/>
  <c r="B98" i="3"/>
  <c r="F97" i="3"/>
  <c r="D97" i="3"/>
  <c r="C97" i="3"/>
  <c r="B97" i="3"/>
  <c r="F96" i="3"/>
  <c r="D96" i="3"/>
  <c r="C96" i="3"/>
  <c r="B96" i="3"/>
  <c r="F95" i="3"/>
  <c r="D95" i="3"/>
  <c r="C95" i="3"/>
  <c r="B95" i="3"/>
  <c r="F94" i="3"/>
  <c r="D94" i="3"/>
  <c r="C94" i="3"/>
  <c r="B94" i="3"/>
  <c r="F93" i="3"/>
  <c r="D93" i="3"/>
  <c r="C93" i="3"/>
  <c r="B93" i="3"/>
  <c r="F92" i="3"/>
  <c r="D92" i="3"/>
  <c r="C92" i="3"/>
  <c r="B92" i="3"/>
  <c r="F91" i="3"/>
  <c r="D91" i="3"/>
  <c r="C91" i="3"/>
  <c r="B91" i="3"/>
  <c r="F89" i="3"/>
  <c r="C89" i="3"/>
  <c r="B89" i="3"/>
  <c r="F81" i="3"/>
  <c r="D81" i="3"/>
  <c r="C81" i="3"/>
  <c r="B81" i="3"/>
  <c r="F80" i="3"/>
  <c r="D80" i="3"/>
  <c r="C80" i="3"/>
  <c r="B80" i="3"/>
  <c r="F79" i="3"/>
  <c r="D79" i="3"/>
  <c r="C79" i="3"/>
  <c r="B79" i="3"/>
  <c r="F78" i="3"/>
  <c r="D78" i="3"/>
  <c r="C78" i="3"/>
  <c r="B78" i="3"/>
  <c r="F77" i="3"/>
  <c r="D77" i="3"/>
  <c r="C77" i="3"/>
  <c r="B77" i="3"/>
  <c r="F76" i="3"/>
  <c r="D76" i="3"/>
  <c r="C76" i="3"/>
  <c r="B76" i="3"/>
  <c r="F75" i="3"/>
  <c r="D75" i="3"/>
  <c r="C75" i="3"/>
  <c r="B75" i="3"/>
  <c r="F74" i="3"/>
  <c r="D74" i="3"/>
  <c r="C74" i="3"/>
  <c r="B74" i="3"/>
  <c r="F73" i="3"/>
  <c r="D73" i="3"/>
  <c r="C73" i="3"/>
  <c r="B73" i="3"/>
  <c r="F72" i="3"/>
  <c r="D72" i="3"/>
  <c r="C72" i="3"/>
  <c r="B72" i="3"/>
  <c r="F71" i="3"/>
  <c r="D71" i="3"/>
  <c r="C71" i="3"/>
  <c r="B71" i="3"/>
  <c r="F70" i="3"/>
  <c r="D70" i="3"/>
  <c r="C70" i="3"/>
  <c r="B70" i="3"/>
  <c r="F69" i="3"/>
  <c r="D69" i="3"/>
  <c r="C69" i="3"/>
  <c r="B69" i="3"/>
  <c r="F68" i="3"/>
  <c r="D68" i="3"/>
  <c r="C68" i="3"/>
  <c r="B68" i="3"/>
  <c r="F67" i="3"/>
  <c r="D67" i="3"/>
  <c r="C67" i="3"/>
  <c r="B67" i="3"/>
  <c r="F66" i="3"/>
  <c r="D66" i="3"/>
  <c r="C66" i="3"/>
  <c r="B66" i="3"/>
  <c r="F65" i="3"/>
  <c r="C65" i="3"/>
  <c r="B65" i="3"/>
  <c r="D51" i="3"/>
  <c r="U44" i="3" s="1"/>
  <c r="C51" i="3"/>
  <c r="V40" i="3"/>
  <c r="S30" i="3"/>
  <c r="U32" i="3"/>
  <c r="AE30" i="3" s="1"/>
  <c r="O64" i="2"/>
  <c r="K64" i="2"/>
  <c r="N64" i="2" s="1"/>
  <c r="K62" i="2"/>
  <c r="N62" i="2" s="1"/>
  <c r="O69" i="2"/>
  <c r="K69" i="2"/>
  <c r="N69" i="2" s="1"/>
  <c r="O72" i="2"/>
  <c r="K72" i="2"/>
  <c r="N72" i="2" s="1"/>
  <c r="L10" i="2"/>
  <c r="O10" i="2" s="1"/>
  <c r="K10" i="2"/>
  <c r="N10" i="2" s="1"/>
  <c r="L3" i="2"/>
  <c r="O3" i="2" s="1"/>
  <c r="K3" i="2"/>
  <c r="N3" i="2" s="1"/>
  <c r="L5" i="2"/>
  <c r="O5" i="2" s="1"/>
  <c r="K5" i="2"/>
  <c r="N5" i="2" s="1"/>
  <c r="L8" i="2"/>
  <c r="O8" i="2" s="1"/>
  <c r="K8" i="2"/>
  <c r="N8" i="2" s="1"/>
  <c r="L4" i="2"/>
  <c r="O4" i="2" s="1"/>
  <c r="K4" i="2"/>
  <c r="N4" i="2" s="1"/>
  <c r="L15" i="2"/>
  <c r="O15" i="2" s="1"/>
  <c r="K15" i="2"/>
  <c r="N15" i="2" s="1"/>
  <c r="L12" i="2"/>
  <c r="O12" i="2" s="1"/>
  <c r="K12" i="2"/>
  <c r="N12" i="2" s="1"/>
  <c r="L16" i="2"/>
  <c r="O16" i="2" s="1"/>
  <c r="K16" i="2"/>
  <c r="N16" i="2" s="1"/>
  <c r="L51" i="2"/>
  <c r="O51" i="2" s="1"/>
  <c r="K51" i="2"/>
  <c r="N51" i="2" s="1"/>
  <c r="L47" i="2"/>
  <c r="O47" i="2" s="1"/>
  <c r="K47" i="2"/>
  <c r="N47" i="2" s="1"/>
  <c r="L48" i="2"/>
  <c r="O48" i="2" s="1"/>
  <c r="K48" i="2"/>
  <c r="N48" i="2" s="1"/>
  <c r="L54" i="2"/>
  <c r="O54" i="2" s="1"/>
  <c r="K54" i="2"/>
  <c r="N54" i="2" s="1"/>
  <c r="L56" i="2"/>
  <c r="O56" i="2" s="1"/>
  <c r="K56" i="2"/>
  <c r="N56" i="2" s="1"/>
  <c r="L14" i="2"/>
  <c r="O14" i="2" s="1"/>
  <c r="K14" i="2"/>
  <c r="N14" i="2" s="1"/>
  <c r="L40" i="2"/>
  <c r="O40" i="2" s="1"/>
  <c r="K40" i="2"/>
  <c r="N40" i="2" s="1"/>
  <c r="L38" i="2"/>
  <c r="O38" i="2" s="1"/>
  <c r="K38" i="2"/>
  <c r="N38" i="2" s="1"/>
  <c r="L36" i="2"/>
  <c r="O36" i="2" s="1"/>
  <c r="K36" i="2"/>
  <c r="N36" i="2" s="1"/>
  <c r="L35" i="2"/>
  <c r="O35" i="2" s="1"/>
  <c r="K35" i="2"/>
  <c r="N35" i="2" s="1"/>
  <c r="L34" i="2"/>
  <c r="O34" i="2" s="1"/>
  <c r="K34" i="2"/>
  <c r="N34" i="2" s="1"/>
  <c r="L33" i="2"/>
  <c r="O33" i="2" s="1"/>
  <c r="K33" i="2"/>
  <c r="N33" i="2" s="1"/>
  <c r="L32" i="2"/>
  <c r="O32" i="2" s="1"/>
  <c r="K32" i="2"/>
  <c r="N32" i="2" s="1"/>
  <c r="L31" i="2"/>
  <c r="O31" i="2" s="1"/>
  <c r="K31" i="2"/>
  <c r="N31" i="2" s="1"/>
  <c r="L30" i="2"/>
  <c r="O30" i="2" s="1"/>
  <c r="K30" i="2"/>
  <c r="N30" i="2" s="1"/>
  <c r="L29" i="2"/>
  <c r="O29" i="2" s="1"/>
  <c r="K29" i="2"/>
  <c r="N29" i="2" s="1"/>
  <c r="L28" i="2"/>
  <c r="O28" i="2" s="1"/>
  <c r="K28" i="2"/>
  <c r="N28" i="2" s="1"/>
  <c r="L39" i="2"/>
  <c r="O39" i="2" s="1"/>
  <c r="K39" i="2"/>
  <c r="N39" i="2" s="1"/>
  <c r="L44" i="2"/>
  <c r="O44" i="2" s="1"/>
  <c r="K44" i="2"/>
  <c r="N44" i="2" s="1"/>
  <c r="L41" i="2"/>
  <c r="O41" i="2" s="1"/>
  <c r="K41" i="2"/>
  <c r="N41" i="2" s="1"/>
  <c r="L45" i="2"/>
  <c r="O45" i="2" s="1"/>
  <c r="K45" i="2"/>
  <c r="N45" i="2" s="1"/>
  <c r="L27" i="2"/>
  <c r="O27" i="2" s="1"/>
  <c r="K27" i="2"/>
  <c r="N27" i="2" s="1"/>
  <c r="L26" i="2"/>
  <c r="O26" i="2" s="1"/>
  <c r="K26" i="2"/>
  <c r="N26" i="2" s="1"/>
  <c r="L25" i="2"/>
  <c r="O25" i="2" s="1"/>
  <c r="K25" i="2"/>
  <c r="N25" i="2" s="1"/>
  <c r="L154" i="1"/>
  <c r="O154" i="1" s="1"/>
  <c r="K154" i="1"/>
  <c r="N154" i="1" s="1"/>
  <c r="L150" i="1"/>
  <c r="O150" i="1" s="1"/>
  <c r="N150" i="1"/>
  <c r="L151" i="1"/>
  <c r="O151" i="1" s="1"/>
  <c r="L153" i="1"/>
  <c r="O153" i="1" s="1"/>
  <c r="K153" i="1"/>
  <c r="N153" i="1" s="1"/>
  <c r="K148" i="1"/>
  <c r="N148" i="1" s="1"/>
  <c r="L148" i="1"/>
  <c r="O148" i="1" s="1"/>
  <c r="L65" i="1"/>
  <c r="O65" i="1" s="1"/>
  <c r="K65" i="1"/>
  <c r="N65" i="1" s="1"/>
  <c r="J65" i="1"/>
  <c r="J20" i="28" s="1"/>
  <c r="L67" i="1"/>
  <c r="O67" i="1" s="1"/>
  <c r="K67" i="1"/>
  <c r="N67" i="1" s="1"/>
  <c r="J67" i="1"/>
  <c r="L64" i="1"/>
  <c r="O64" i="1" s="1"/>
  <c r="K64" i="1"/>
  <c r="N64" i="1" s="1"/>
  <c r="J64" i="1"/>
  <c r="J16" i="33" s="1"/>
  <c r="L66" i="1"/>
  <c r="O66" i="1" s="1"/>
  <c r="K66" i="1"/>
  <c r="N66" i="1" s="1"/>
  <c r="L18" i="1"/>
  <c r="O18" i="1" s="1"/>
  <c r="K18" i="1"/>
  <c r="N18" i="1" s="1"/>
  <c r="L15" i="1"/>
  <c r="O15" i="1" s="1"/>
  <c r="K15" i="1"/>
  <c r="N15" i="1" s="1"/>
  <c r="J15" i="1"/>
  <c r="J7" i="6" s="1"/>
  <c r="L30" i="1"/>
  <c r="O30" i="1" s="1"/>
  <c r="K30" i="1"/>
  <c r="N30" i="1" s="1"/>
  <c r="L29" i="1"/>
  <c r="O29" i="1" s="1"/>
  <c r="K29" i="1"/>
  <c r="N29" i="1" s="1"/>
  <c r="L20" i="1"/>
  <c r="O20" i="1" s="1"/>
  <c r="K20" i="1"/>
  <c r="N20" i="1" s="1"/>
  <c r="L17" i="1"/>
  <c r="O17" i="1" s="1"/>
  <c r="K17" i="1"/>
  <c r="N17" i="1" s="1"/>
  <c r="L25" i="1"/>
  <c r="O25" i="1" s="1"/>
  <c r="K25" i="1"/>
  <c r="N25" i="1" s="1"/>
  <c r="L24" i="1"/>
  <c r="O24" i="1" s="1"/>
  <c r="K24" i="1"/>
  <c r="N24" i="1" s="1"/>
  <c r="L21" i="1"/>
  <c r="O21" i="1" s="1"/>
  <c r="K21" i="1"/>
  <c r="N21" i="1" s="1"/>
  <c r="L23" i="1"/>
  <c r="O23" i="1" s="1"/>
  <c r="K23" i="1"/>
  <c r="N23" i="1" s="1"/>
  <c r="L19" i="1"/>
  <c r="O19" i="1" s="1"/>
  <c r="K19" i="1"/>
  <c r="N19" i="1" s="1"/>
  <c r="L22" i="1"/>
  <c r="O22" i="1" s="1"/>
  <c r="K22" i="1"/>
  <c r="N22" i="1" s="1"/>
  <c r="L16" i="1"/>
  <c r="O16" i="1" s="1"/>
  <c r="K16" i="1"/>
  <c r="N16" i="1" s="1"/>
  <c r="O95" i="1"/>
  <c r="K95" i="1"/>
  <c r="N95" i="1" s="1"/>
  <c r="L96" i="1"/>
  <c r="O96" i="1" s="1"/>
  <c r="K96" i="1"/>
  <c r="N96" i="1" s="1"/>
  <c r="L87" i="1"/>
  <c r="O87" i="1" s="1"/>
  <c r="K87" i="1"/>
  <c r="N87" i="1" s="1"/>
  <c r="L86" i="1"/>
  <c r="O86" i="1" s="1"/>
  <c r="K86" i="1"/>
  <c r="N86" i="1" s="1"/>
  <c r="J86" i="1"/>
  <c r="J17" i="107" s="1"/>
  <c r="L17" i="107" s="1"/>
  <c r="L88" i="1"/>
  <c r="O88" i="1" s="1"/>
  <c r="K88" i="1"/>
  <c r="N88" i="1" s="1"/>
  <c r="L80" i="1"/>
  <c r="O80" i="1" s="1"/>
  <c r="K80" i="1"/>
  <c r="N80" i="1" s="1"/>
  <c r="L79" i="1"/>
  <c r="O79" i="1" s="1"/>
  <c r="K79" i="1"/>
  <c r="N79" i="1" s="1"/>
  <c r="L4" i="1"/>
  <c r="O4" i="1" s="1"/>
  <c r="K4" i="1"/>
  <c r="N4" i="1" s="1"/>
  <c r="L10" i="1"/>
  <c r="O10" i="1" s="1"/>
  <c r="K10" i="1"/>
  <c r="N10" i="1" s="1"/>
  <c r="L9" i="1"/>
  <c r="O9" i="1" s="1"/>
  <c r="K9" i="1"/>
  <c r="N9" i="1" s="1"/>
  <c r="L7" i="1"/>
  <c r="O7" i="1" s="1"/>
  <c r="K7" i="1"/>
  <c r="N7" i="1" s="1"/>
  <c r="L5" i="1"/>
  <c r="O5" i="1" s="1"/>
  <c r="N5" i="1"/>
  <c r="L13" i="1"/>
  <c r="O13" i="1" s="1"/>
  <c r="K13" i="1"/>
  <c r="N13" i="1" s="1"/>
  <c r="L8" i="1"/>
  <c r="O8" i="1" s="1"/>
  <c r="K8" i="1"/>
  <c r="N8" i="1" s="1"/>
  <c r="L6" i="1"/>
  <c r="O6" i="1" s="1"/>
  <c r="N6" i="1"/>
  <c r="O3" i="1"/>
  <c r="K3" i="1"/>
  <c r="N3" i="1" s="1"/>
  <c r="L49" i="1"/>
  <c r="O49" i="1" s="1"/>
  <c r="K49" i="1"/>
  <c r="N49" i="1" s="1"/>
  <c r="L35" i="1"/>
  <c r="O35" i="1" s="1"/>
  <c r="K35" i="1"/>
  <c r="N35" i="1" s="1"/>
  <c r="L55" i="1"/>
  <c r="O55" i="1" s="1"/>
  <c r="K55" i="1"/>
  <c r="N55" i="1" s="1"/>
  <c r="L50" i="1"/>
  <c r="O50" i="1" s="1"/>
  <c r="K50" i="1"/>
  <c r="N50" i="1" s="1"/>
  <c r="L54" i="1"/>
  <c r="O54" i="1" s="1"/>
  <c r="K54" i="1"/>
  <c r="N54" i="1" s="1"/>
  <c r="J54" i="1"/>
  <c r="L51" i="1"/>
  <c r="O51" i="1" s="1"/>
  <c r="K51" i="1"/>
  <c r="N51" i="1" s="1"/>
  <c r="L36" i="1"/>
  <c r="O36" i="1" s="1"/>
  <c r="K36" i="1"/>
  <c r="N36" i="1" s="1"/>
  <c r="J36" i="1"/>
  <c r="J12" i="47" s="1"/>
  <c r="L53" i="1"/>
  <c r="O53" i="1" s="1"/>
  <c r="K53" i="1"/>
  <c r="N53" i="1" s="1"/>
  <c r="L48" i="1"/>
  <c r="O48" i="1" s="1"/>
  <c r="K48" i="1"/>
  <c r="N48" i="1" s="1"/>
  <c r="L59" i="1"/>
  <c r="O59" i="1" s="1"/>
  <c r="K59" i="1"/>
  <c r="N59" i="1" s="1"/>
  <c r="J59" i="1"/>
  <c r="L39" i="1"/>
  <c r="O39" i="1" s="1"/>
  <c r="K39" i="1"/>
  <c r="N39" i="1" s="1"/>
  <c r="L40" i="1"/>
  <c r="O40" i="1" s="1"/>
  <c r="K40" i="1"/>
  <c r="N40" i="1" s="1"/>
  <c r="L43" i="1"/>
  <c r="O43" i="1" s="1"/>
  <c r="K43" i="1"/>
  <c r="N43" i="1" s="1"/>
  <c r="L41" i="1"/>
  <c r="O41" i="1" s="1"/>
  <c r="K41" i="1"/>
  <c r="N41" i="1" s="1"/>
  <c r="L42" i="1"/>
  <c r="O42" i="1" s="1"/>
  <c r="K42" i="1"/>
  <c r="N42" i="1" s="1"/>
  <c r="L60" i="1"/>
  <c r="O60" i="1" s="1"/>
  <c r="K60" i="1"/>
  <c r="N60" i="1" s="1"/>
  <c r="L52" i="1"/>
  <c r="O52" i="1" s="1"/>
  <c r="K52" i="1"/>
  <c r="N52" i="1" s="1"/>
  <c r="L57" i="1"/>
  <c r="O57" i="1" s="1"/>
  <c r="K57" i="1"/>
  <c r="N57" i="1" s="1"/>
  <c r="L56" i="1"/>
  <c r="O56" i="1" s="1"/>
  <c r="K56" i="1"/>
  <c r="N56" i="1" s="1"/>
  <c r="L47" i="1"/>
  <c r="O47" i="1" s="1"/>
  <c r="K47" i="1"/>
  <c r="N47" i="1" s="1"/>
  <c r="L44" i="1"/>
  <c r="O44" i="1" s="1"/>
  <c r="K44" i="1"/>
  <c r="N44" i="1" s="1"/>
  <c r="L45" i="1"/>
  <c r="O45" i="1" s="1"/>
  <c r="K45" i="1"/>
  <c r="N45" i="1" s="1"/>
  <c r="L46" i="1"/>
  <c r="O46" i="1" s="1"/>
  <c r="K46" i="1"/>
  <c r="N46" i="1" s="1"/>
  <c r="L62" i="1"/>
  <c r="O62" i="1" s="1"/>
  <c r="K62" i="1"/>
  <c r="N62" i="1" s="1"/>
  <c r="L37" i="1"/>
  <c r="O37" i="1" s="1"/>
  <c r="K37" i="1"/>
  <c r="N37" i="1" s="1"/>
  <c r="L38" i="1"/>
  <c r="O38" i="1" s="1"/>
  <c r="K38" i="1"/>
  <c r="N38" i="1" s="1"/>
  <c r="L58" i="1"/>
  <c r="O58" i="1" s="1"/>
  <c r="K58" i="1"/>
  <c r="N58" i="1" s="1"/>
  <c r="L98" i="1"/>
  <c r="O98" i="1" s="1"/>
  <c r="K98" i="1"/>
  <c r="N98" i="1" s="1"/>
  <c r="J98" i="1"/>
  <c r="L99" i="1"/>
  <c r="O99" i="1" s="1"/>
  <c r="K99" i="1"/>
  <c r="N99" i="1" s="1"/>
  <c r="J99" i="1"/>
  <c r="L100" i="1"/>
  <c r="O100" i="1" s="1"/>
  <c r="K100" i="1"/>
  <c r="N100" i="1" s="1"/>
  <c r="L101" i="1"/>
  <c r="O101" i="1" s="1"/>
  <c r="K101" i="1"/>
  <c r="N101" i="1" s="1"/>
  <c r="K102" i="1"/>
  <c r="N102" i="1" s="1"/>
  <c r="O141" i="1"/>
  <c r="K141" i="1"/>
  <c r="N141" i="1" s="1"/>
  <c r="J141" i="1"/>
  <c r="O118" i="1"/>
  <c r="K118" i="1"/>
  <c r="N118" i="1" s="1"/>
  <c r="O123" i="1"/>
  <c r="K123" i="1"/>
  <c r="N123" i="1" s="1"/>
  <c r="O119" i="1"/>
  <c r="K119" i="1"/>
  <c r="N119" i="1" s="1"/>
  <c r="O133" i="1"/>
  <c r="K133" i="1"/>
  <c r="N133" i="1" s="1"/>
  <c r="O115" i="1"/>
  <c r="K115" i="1"/>
  <c r="N115" i="1" s="1"/>
  <c r="O131" i="1"/>
  <c r="K131" i="1"/>
  <c r="N131" i="1" s="1"/>
  <c r="J131" i="1"/>
  <c r="J10" i="107" s="1"/>
  <c r="L10" i="107" s="1"/>
  <c r="O132" i="1"/>
  <c r="K132" i="1"/>
  <c r="N132" i="1" s="1"/>
  <c r="J132" i="1"/>
  <c r="J9" i="107" s="1"/>
  <c r="L9" i="107" s="1"/>
  <c r="O125" i="1"/>
  <c r="K125" i="1"/>
  <c r="N125" i="1" s="1"/>
  <c r="O114" i="1"/>
  <c r="K114" i="1"/>
  <c r="N114" i="1" s="1"/>
  <c r="O136" i="1"/>
  <c r="K136" i="1"/>
  <c r="N136" i="1" s="1"/>
  <c r="O146" i="1"/>
  <c r="K146" i="1"/>
  <c r="N146" i="1" s="1"/>
  <c r="O124" i="1"/>
  <c r="K124" i="1"/>
  <c r="N124" i="1" s="1"/>
  <c r="O129" i="1"/>
  <c r="K129" i="1"/>
  <c r="N129" i="1" s="1"/>
  <c r="O121" i="1"/>
  <c r="K121" i="1"/>
  <c r="N121" i="1" s="1"/>
  <c r="O134" i="1"/>
  <c r="K134" i="1"/>
  <c r="N134" i="1" s="1"/>
  <c r="O128" i="1"/>
  <c r="K128" i="1"/>
  <c r="N128" i="1" s="1"/>
  <c r="O127" i="1"/>
  <c r="K127" i="1"/>
  <c r="N127" i="1" s="1"/>
  <c r="O143" i="1"/>
  <c r="K143" i="1"/>
  <c r="N143" i="1" s="1"/>
  <c r="O138" i="1"/>
  <c r="K138" i="1"/>
  <c r="N138" i="1" s="1"/>
  <c r="K120" i="1"/>
  <c r="N120" i="1" s="1"/>
  <c r="K137" i="1"/>
  <c r="N137" i="1" s="1"/>
  <c r="K113" i="1"/>
  <c r="N113" i="1" s="1"/>
  <c r="K135" i="1"/>
  <c r="N135" i="1" s="1"/>
  <c r="E1" i="68"/>
  <c r="N1" i="52"/>
  <c r="J52" i="50"/>
  <c r="AD28" i="46"/>
  <c r="AA29" i="46" s="1"/>
  <c r="V44" i="46"/>
  <c r="U44" i="46"/>
  <c r="AD28" i="32"/>
  <c r="AD29" i="32" s="1"/>
  <c r="U44" i="30"/>
  <c r="V44" i="30"/>
  <c r="U44" i="29"/>
  <c r="V44" i="29"/>
  <c r="V44" i="28"/>
  <c r="U44" i="28"/>
  <c r="J52" i="27"/>
  <c r="J53" i="27" s="1"/>
  <c r="B81" i="27" s="1"/>
  <c r="U44" i="21"/>
  <c r="W44" i="21" s="1"/>
  <c r="J51" i="21" s="1"/>
  <c r="I51" i="21" s="1"/>
  <c r="V44" i="21"/>
  <c r="AE28" i="21"/>
  <c r="AE28" i="20"/>
  <c r="U44" i="20"/>
  <c r="W44" i="20" s="1"/>
  <c r="V44" i="20"/>
  <c r="AC28" i="18"/>
  <c r="AE28" i="18" s="1"/>
  <c r="AB29" i="18" s="1"/>
  <c r="I52" i="16"/>
  <c r="AC28" i="15"/>
  <c r="AF28" i="15" s="1"/>
  <c r="AB29" i="15" s="1"/>
  <c r="AF28" i="9"/>
  <c r="AF29" i="9" s="1"/>
  <c r="U31" i="9"/>
  <c r="U44" i="9"/>
  <c r="V44" i="9"/>
  <c r="AC28" i="6"/>
  <c r="AF28" i="6"/>
  <c r="F67" i="6"/>
  <c r="AM12" i="53"/>
  <c r="AO12" i="53" s="1"/>
  <c r="AP12" i="53" s="1"/>
  <c r="AS12" i="53" s="1"/>
  <c r="AT12" i="53" s="1"/>
  <c r="AM11" i="53"/>
  <c r="AO11" i="53" s="1"/>
  <c r="AP11" i="53" s="1"/>
  <c r="AS11" i="53" s="1"/>
  <c r="AT11" i="53" s="1"/>
  <c r="AM10" i="53"/>
  <c r="AM9" i="53"/>
  <c r="AO9" i="53" s="1"/>
  <c r="AP9" i="53" s="1"/>
  <c r="AS9" i="53" s="1"/>
  <c r="AT9" i="53" s="1"/>
  <c r="AM5" i="53"/>
  <c r="AO5" i="53" s="1"/>
  <c r="AP5" i="53" s="1"/>
  <c r="AM8" i="53"/>
  <c r="AO8" i="53" s="1"/>
  <c r="AP8" i="53" s="1"/>
  <c r="AS8" i="53" s="1"/>
  <c r="AT8" i="53" s="1"/>
  <c r="AM6" i="53"/>
  <c r="AM7" i="53"/>
  <c r="AO7" i="53" s="1"/>
  <c r="AP7" i="53" s="1"/>
  <c r="AS7" i="53" s="1"/>
  <c r="AT7" i="53" s="1"/>
  <c r="E1" i="50"/>
  <c r="T35" i="107" l="1"/>
  <c r="J15" i="109"/>
  <c r="L15" i="109" s="1"/>
  <c r="J24" i="110"/>
  <c r="L24" i="110" s="1"/>
  <c r="U33" i="110" s="1"/>
  <c r="J11" i="97"/>
  <c r="L11" i="97" s="1"/>
  <c r="T35" i="97" s="1"/>
  <c r="J9" i="106"/>
  <c r="L9" i="106" s="1"/>
  <c r="T35" i="106" s="1"/>
  <c r="J16" i="109"/>
  <c r="L16" i="109" s="1"/>
  <c r="C102" i="92"/>
  <c r="H102" i="92"/>
  <c r="J10" i="104"/>
  <c r="L10" i="104" s="1"/>
  <c r="S34" i="104" s="1"/>
  <c r="U44" i="53"/>
  <c r="W44" i="53" s="1"/>
  <c r="J51" i="53" s="1"/>
  <c r="I51" i="53" s="1"/>
  <c r="V44" i="53"/>
  <c r="T32" i="48"/>
  <c r="S32" i="28"/>
  <c r="T33" i="86"/>
  <c r="AC25" i="86" s="1"/>
  <c r="S33" i="86"/>
  <c r="C54" i="86"/>
  <c r="D53" i="86"/>
  <c r="G1" i="85"/>
  <c r="C52" i="85" s="1"/>
  <c r="D52" i="85"/>
  <c r="J15" i="92"/>
  <c r="L15" i="92" s="1"/>
  <c r="J15" i="4"/>
  <c r="T32" i="47"/>
  <c r="T32" i="46"/>
  <c r="E1" i="46" s="1"/>
  <c r="T32" i="5"/>
  <c r="E1" i="5" s="1"/>
  <c r="S32" i="69"/>
  <c r="S32" i="43"/>
  <c r="T32" i="41"/>
  <c r="E1" i="41" s="1"/>
  <c r="T32" i="25"/>
  <c r="E1" i="25" s="1"/>
  <c r="T32" i="21"/>
  <c r="E1" i="21" s="1"/>
  <c r="S32" i="21"/>
  <c r="AO1" i="21" s="1"/>
  <c r="AM8" i="21" s="1"/>
  <c r="AO8" i="21" s="1"/>
  <c r="AP8" i="21" s="1"/>
  <c r="AS8" i="21" s="1"/>
  <c r="AT8" i="21" s="1"/>
  <c r="S32" i="17"/>
  <c r="T32" i="61"/>
  <c r="E1" i="61" s="1"/>
  <c r="S32" i="3"/>
  <c r="AM1" i="3" s="1"/>
  <c r="AO1" i="3" s="1"/>
  <c r="S32" i="25"/>
  <c r="AE29" i="20"/>
  <c r="AC29" i="20"/>
  <c r="U44" i="8"/>
  <c r="W44" i="8" s="1"/>
  <c r="J51" i="8" s="1"/>
  <c r="I51" i="8" s="1"/>
  <c r="V44" i="8"/>
  <c r="V44" i="57"/>
  <c r="U44" i="57"/>
  <c r="W44" i="57" s="1"/>
  <c r="J51" i="57" s="1"/>
  <c r="I51" i="57" s="1"/>
  <c r="V44" i="43"/>
  <c r="U44" i="43"/>
  <c r="U44" i="6"/>
  <c r="V44" i="6"/>
  <c r="U44" i="18"/>
  <c r="W44" i="18" s="1"/>
  <c r="J51" i="18" s="1"/>
  <c r="I51" i="18" s="1"/>
  <c r="V44" i="18"/>
  <c r="H51" i="20"/>
  <c r="D65" i="20"/>
  <c r="D108" i="20"/>
  <c r="D87" i="20"/>
  <c r="V44" i="32"/>
  <c r="U44" i="32"/>
  <c r="W44" i="32" s="1"/>
  <c r="J51" i="32" s="1"/>
  <c r="I51" i="32" s="1"/>
  <c r="D5" i="32" s="1"/>
  <c r="T32" i="62"/>
  <c r="E1" i="62" s="1"/>
  <c r="S32" i="70"/>
  <c r="F8" i="6"/>
  <c r="T30" i="38"/>
  <c r="T32" i="70"/>
  <c r="T32" i="26"/>
  <c r="E1" i="26" s="1"/>
  <c r="D6" i="52"/>
  <c r="W52" i="52"/>
  <c r="T30" i="40"/>
  <c r="E1" i="59"/>
  <c r="T32" i="44"/>
  <c r="E1" i="44" s="1"/>
  <c r="T30" i="55"/>
  <c r="S32" i="5"/>
  <c r="J52" i="5" s="1"/>
  <c r="I52" i="5" s="1"/>
  <c r="S32" i="57"/>
  <c r="U32" i="57" s="1"/>
  <c r="AE30" i="57" s="1"/>
  <c r="S32" i="20"/>
  <c r="U44" i="60"/>
  <c r="W44" i="60" s="1"/>
  <c r="V44" i="60"/>
  <c r="T30" i="24"/>
  <c r="S32" i="48"/>
  <c r="E1" i="49"/>
  <c r="S32" i="41"/>
  <c r="S32" i="62"/>
  <c r="J52" i="62" s="1"/>
  <c r="AB29" i="6"/>
  <c r="AD29" i="6"/>
  <c r="U44" i="37"/>
  <c r="W44" i="37" s="1"/>
  <c r="J51" i="37" s="1"/>
  <c r="I51" i="37" s="1"/>
  <c r="V44" i="37"/>
  <c r="T32" i="7"/>
  <c r="E1" i="7" s="1"/>
  <c r="G1" i="7" s="1"/>
  <c r="I1" i="7" s="1"/>
  <c r="V44" i="15"/>
  <c r="V44" i="3"/>
  <c r="AC28" i="35"/>
  <c r="AC28" i="34"/>
  <c r="J37" i="66"/>
  <c r="L37" i="66" s="1"/>
  <c r="U33" i="66" s="1"/>
  <c r="J38" i="4"/>
  <c r="L38" i="4" s="1"/>
  <c r="V35" i="4" s="1"/>
  <c r="AD30" i="4" s="1"/>
  <c r="J24" i="33"/>
  <c r="J16" i="92"/>
  <c r="L16" i="92" s="1"/>
  <c r="T32" i="29"/>
  <c r="S32" i="7"/>
  <c r="T30" i="51"/>
  <c r="AB30" i="51" s="1"/>
  <c r="S32" i="47"/>
  <c r="S32" i="46"/>
  <c r="J52" i="46" s="1"/>
  <c r="S32" i="18"/>
  <c r="AB29" i="32"/>
  <c r="AA29" i="32"/>
  <c r="AE29" i="21"/>
  <c r="AB29" i="21"/>
  <c r="AC29" i="21"/>
  <c r="AB29" i="20"/>
  <c r="AA29" i="20"/>
  <c r="AC29" i="18"/>
  <c r="AE29" i="18"/>
  <c r="T32" i="17"/>
  <c r="E1" i="17" s="1"/>
  <c r="AC29" i="15"/>
  <c r="AF29" i="15"/>
  <c r="AB29" i="9"/>
  <c r="AC29" i="6"/>
  <c r="AF29" i="6"/>
  <c r="S32" i="61"/>
  <c r="AA30" i="61" s="1"/>
  <c r="T32" i="58"/>
  <c r="S32" i="44"/>
  <c r="J52" i="44" s="1"/>
  <c r="S32" i="26"/>
  <c r="AM1" i="26" s="1"/>
  <c r="T32" i="15"/>
  <c r="E1" i="15" s="1"/>
  <c r="D52" i="15" s="1"/>
  <c r="S32" i="15"/>
  <c r="AO1" i="15" s="1"/>
  <c r="T30" i="10"/>
  <c r="AB30" i="10" s="1"/>
  <c r="AF28" i="30"/>
  <c r="AC29" i="30" s="1"/>
  <c r="AC28" i="28"/>
  <c r="AF28" i="60"/>
  <c r="AB29" i="60" s="1"/>
  <c r="V44" i="5"/>
  <c r="U44" i="5"/>
  <c r="W44" i="5" s="1"/>
  <c r="J51" i="5" s="1"/>
  <c r="I51" i="5" s="1"/>
  <c r="AE28" i="5"/>
  <c r="AA29" i="5" s="1"/>
  <c r="J11" i="4"/>
  <c r="J18" i="15"/>
  <c r="J15" i="3"/>
  <c r="J17" i="87"/>
  <c r="J10" i="19"/>
  <c r="J18" i="7"/>
  <c r="J9" i="16"/>
  <c r="J11" i="27"/>
  <c r="J17" i="20"/>
  <c r="J11" i="23"/>
  <c r="J11" i="26"/>
  <c r="J10" i="29"/>
  <c r="J10" i="30"/>
  <c r="J15" i="31"/>
  <c r="J15" i="32"/>
  <c r="J15" i="33"/>
  <c r="J15" i="44"/>
  <c r="J9" i="42"/>
  <c r="J17" i="43"/>
  <c r="J15" i="45"/>
  <c r="J10" i="46"/>
  <c r="J14" i="48"/>
  <c r="J15" i="49"/>
  <c r="J8" i="51"/>
  <c r="J14" i="62"/>
  <c r="J14" i="59"/>
  <c r="J17" i="60"/>
  <c r="J10" i="64"/>
  <c r="J21" i="69"/>
  <c r="J13" i="70"/>
  <c r="J25" i="5"/>
  <c r="J22" i="33"/>
  <c r="J26" i="17"/>
  <c r="J15" i="29"/>
  <c r="J20" i="58"/>
  <c r="J16" i="87"/>
  <c r="J23" i="33"/>
  <c r="J8" i="12"/>
  <c r="S32" i="37"/>
  <c r="T30" i="66"/>
  <c r="T30" i="34"/>
  <c r="AB30" i="34" s="1"/>
  <c r="T30" i="23"/>
  <c r="AB30" i="23" s="1"/>
  <c r="T32" i="18"/>
  <c r="E1" i="18" s="1"/>
  <c r="W44" i="66"/>
  <c r="J51" i="66" s="1"/>
  <c r="I51" i="66" s="1"/>
  <c r="D5" i="66" s="1"/>
  <c r="C51" i="67"/>
  <c r="R44" i="62"/>
  <c r="V54" i="52"/>
  <c r="D8" i="52" s="1"/>
  <c r="L1" i="52"/>
  <c r="J1" i="52"/>
  <c r="W44" i="46"/>
  <c r="J51" i="46" s="1"/>
  <c r="W44" i="43"/>
  <c r="J51" i="43" s="1"/>
  <c r="I51" i="43" s="1"/>
  <c r="W44" i="30"/>
  <c r="J51" i="30" s="1"/>
  <c r="I51" i="30" s="1"/>
  <c r="D5" i="30" s="1"/>
  <c r="W44" i="29"/>
  <c r="J51" i="29" s="1"/>
  <c r="I51" i="29" s="1"/>
  <c r="W44" i="28"/>
  <c r="J51" i="28" s="1"/>
  <c r="R44" i="26"/>
  <c r="U44" i="26" s="1"/>
  <c r="W44" i="26" s="1"/>
  <c r="J51" i="26" s="1"/>
  <c r="AE28" i="26"/>
  <c r="AE29" i="26" s="1"/>
  <c r="D5" i="21"/>
  <c r="D65" i="21" s="1"/>
  <c r="V44" i="17"/>
  <c r="U44" i="17"/>
  <c r="W44" i="17" s="1"/>
  <c r="J51" i="17" s="1"/>
  <c r="I51" i="17" s="1"/>
  <c r="W44" i="4"/>
  <c r="J51" i="4" s="1"/>
  <c r="I51" i="4" s="1"/>
  <c r="I51" i="15"/>
  <c r="D5" i="15" s="1"/>
  <c r="U31" i="11"/>
  <c r="U44" i="11"/>
  <c r="V44" i="11"/>
  <c r="AC28" i="11"/>
  <c r="W44" i="9"/>
  <c r="J51" i="9" s="1"/>
  <c r="I51" i="9" s="1"/>
  <c r="D5" i="9" s="1"/>
  <c r="W44" i="6"/>
  <c r="J51" i="6" s="1"/>
  <c r="I51" i="6" s="1"/>
  <c r="D5" i="6" s="1"/>
  <c r="W44" i="3"/>
  <c r="U31" i="4"/>
  <c r="AB28" i="4"/>
  <c r="AE28" i="4" s="1"/>
  <c r="AA29" i="4" s="1"/>
  <c r="R44" i="25"/>
  <c r="Q16" i="25"/>
  <c r="P16" i="25"/>
  <c r="T14" i="25"/>
  <c r="AE29" i="25"/>
  <c r="AB29" i="25"/>
  <c r="D66" i="16"/>
  <c r="D86" i="16"/>
  <c r="D129" i="16"/>
  <c r="G129" i="16" s="1"/>
  <c r="H129" i="16" s="1"/>
  <c r="D108" i="16"/>
  <c r="H52" i="16"/>
  <c r="O142" i="1"/>
  <c r="N142" i="1"/>
  <c r="I1" i="83"/>
  <c r="E8" i="83" s="1"/>
  <c r="G8" i="83" s="1"/>
  <c r="H8" i="83" s="1"/>
  <c r="K8" i="83" s="1"/>
  <c r="L8" i="83" s="1"/>
  <c r="T34" i="20"/>
  <c r="E1" i="4"/>
  <c r="G1" i="4" s="1"/>
  <c r="C52" i="83"/>
  <c r="E1" i="57"/>
  <c r="G1" i="82"/>
  <c r="D52" i="82"/>
  <c r="B70" i="82" s="1"/>
  <c r="E1" i="28"/>
  <c r="D52" i="28" s="1"/>
  <c r="J52" i="34"/>
  <c r="J53" i="34" s="1"/>
  <c r="B72" i="34" s="1"/>
  <c r="H72" i="34" s="1"/>
  <c r="AO1" i="29"/>
  <c r="AM6" i="29" s="1"/>
  <c r="AO6" i="29" s="1"/>
  <c r="AP6" i="29" s="1"/>
  <c r="AS6" i="29" s="1"/>
  <c r="AT6" i="29" s="1"/>
  <c r="J52" i="33"/>
  <c r="I52" i="33" s="1"/>
  <c r="E1" i="20"/>
  <c r="G1" i="20" s="1"/>
  <c r="I1" i="20" s="1"/>
  <c r="U34" i="62"/>
  <c r="U30" i="58"/>
  <c r="R44" i="65"/>
  <c r="T34" i="56"/>
  <c r="V44" i="70"/>
  <c r="U44" i="70"/>
  <c r="W44" i="70" s="1"/>
  <c r="J51" i="70" s="1"/>
  <c r="I51" i="70" s="1"/>
  <c r="AF28" i="70"/>
  <c r="AB29" i="70" s="1"/>
  <c r="AB28" i="67"/>
  <c r="AE28" i="67" s="1"/>
  <c r="AE29" i="67" s="1"/>
  <c r="AC28" i="66"/>
  <c r="AC29" i="66" s="1"/>
  <c r="S40" i="66"/>
  <c r="D73" i="66"/>
  <c r="D105" i="66"/>
  <c r="D153" i="66"/>
  <c r="D88" i="66"/>
  <c r="D137" i="66"/>
  <c r="D121" i="66"/>
  <c r="D152" i="66"/>
  <c r="D120" i="66"/>
  <c r="D104" i="66"/>
  <c r="D72" i="66"/>
  <c r="D87" i="66"/>
  <c r="D136" i="66"/>
  <c r="D103" i="66"/>
  <c r="D86" i="66"/>
  <c r="D71" i="66"/>
  <c r="D119" i="66"/>
  <c r="D151" i="66"/>
  <c r="D135" i="66"/>
  <c r="D118" i="66"/>
  <c r="D102" i="66"/>
  <c r="D134" i="66"/>
  <c r="D70" i="66"/>
  <c r="D150" i="66"/>
  <c r="D85" i="66"/>
  <c r="D149" i="66"/>
  <c r="D101" i="66"/>
  <c r="D133" i="66"/>
  <c r="D117" i="66"/>
  <c r="D84" i="66"/>
  <c r="D69" i="66"/>
  <c r="D68" i="66"/>
  <c r="D148" i="66"/>
  <c r="D132" i="66"/>
  <c r="D116" i="66"/>
  <c r="D83" i="66"/>
  <c r="D100" i="66"/>
  <c r="D147" i="66"/>
  <c r="D131" i="66"/>
  <c r="D99" i="66"/>
  <c r="D115" i="66"/>
  <c r="D82" i="66"/>
  <c r="D67" i="66"/>
  <c r="D66" i="66"/>
  <c r="D98" i="66"/>
  <c r="D146" i="66"/>
  <c r="D130" i="66"/>
  <c r="D114" i="66"/>
  <c r="D81" i="66"/>
  <c r="V44" i="61"/>
  <c r="U44" i="61"/>
  <c r="W44" i="61" s="1"/>
  <c r="J51" i="61" s="1"/>
  <c r="I51" i="61" s="1"/>
  <c r="AC28" i="61"/>
  <c r="AE28" i="61"/>
  <c r="AE29" i="61" s="1"/>
  <c r="AD28" i="59"/>
  <c r="J51" i="59"/>
  <c r="U29" i="58"/>
  <c r="AD28" i="58"/>
  <c r="AA29" i="58" s="1"/>
  <c r="AF28" i="57"/>
  <c r="E1" i="56"/>
  <c r="R44" i="48"/>
  <c r="J51" i="51"/>
  <c r="I51" i="51" s="1"/>
  <c r="D5" i="51" s="1"/>
  <c r="D124" i="51" s="1"/>
  <c r="E1" i="43"/>
  <c r="AM1" i="79"/>
  <c r="R44" i="47"/>
  <c r="AC28" i="51"/>
  <c r="AC29" i="51" s="1"/>
  <c r="AD28" i="49"/>
  <c r="J51" i="49"/>
  <c r="I51" i="49" s="1"/>
  <c r="AA29" i="48"/>
  <c r="AB28" i="47"/>
  <c r="AD28" i="47" s="1"/>
  <c r="AD29" i="44"/>
  <c r="U44" i="44"/>
  <c r="W44" i="44" s="1"/>
  <c r="J51" i="44" s="1"/>
  <c r="I51" i="44" s="1"/>
  <c r="V44" i="44"/>
  <c r="AE28" i="41"/>
  <c r="AB29" i="41" s="1"/>
  <c r="U44" i="41"/>
  <c r="J51" i="41" s="1"/>
  <c r="I51" i="41" s="1"/>
  <c r="V44" i="41"/>
  <c r="T28" i="53"/>
  <c r="T32" i="53" s="1"/>
  <c r="S28" i="53"/>
  <c r="S32" i="53" s="1"/>
  <c r="AD28" i="79"/>
  <c r="AA29" i="79" s="1"/>
  <c r="W53" i="52"/>
  <c r="AD29" i="46"/>
  <c r="AB29" i="46"/>
  <c r="I51" i="46"/>
  <c r="E1" i="67"/>
  <c r="T34" i="57"/>
  <c r="C51" i="48"/>
  <c r="AO10" i="53"/>
  <c r="AP10" i="53" s="1"/>
  <c r="AS10" i="53" s="1"/>
  <c r="AT10" i="53" s="1"/>
  <c r="AO6" i="53"/>
  <c r="AP6" i="53" s="1"/>
  <c r="AS6" i="53" s="1"/>
  <c r="AT6" i="53" s="1"/>
  <c r="G5" i="34"/>
  <c r="I53" i="27"/>
  <c r="R44" i="33"/>
  <c r="AD28" i="33"/>
  <c r="E1" i="33"/>
  <c r="U29" i="20"/>
  <c r="U32" i="20" s="1"/>
  <c r="AD30" i="20" s="1"/>
  <c r="E1" i="8"/>
  <c r="W44" i="23"/>
  <c r="J51" i="23" s="1"/>
  <c r="I51" i="23" s="1"/>
  <c r="AC28" i="23"/>
  <c r="AC29" i="23" s="1"/>
  <c r="AB28" i="19"/>
  <c r="AD28" i="19" s="1"/>
  <c r="E1" i="16"/>
  <c r="W44" i="10"/>
  <c r="J51" i="10" s="1"/>
  <c r="I51" i="10" s="1"/>
  <c r="D5" i="10" s="1"/>
  <c r="D1" i="10"/>
  <c r="H5" i="10" s="1"/>
  <c r="T34" i="11"/>
  <c r="R44" i="7"/>
  <c r="AB28" i="7"/>
  <c r="C51" i="7"/>
  <c r="J52" i="10"/>
  <c r="J53" i="10" s="1"/>
  <c r="B71" i="10" s="1"/>
  <c r="E9" i="11"/>
  <c r="U29" i="7"/>
  <c r="U32" i="7" s="1"/>
  <c r="AD30" i="7" s="1"/>
  <c r="I52" i="56"/>
  <c r="I52" i="58"/>
  <c r="J52" i="51"/>
  <c r="D1" i="51"/>
  <c r="H5" i="51" s="1"/>
  <c r="K5" i="51" s="1"/>
  <c r="AM1" i="58"/>
  <c r="AO1" i="58"/>
  <c r="AO1" i="56"/>
  <c r="AM1" i="56"/>
  <c r="G1" i="50"/>
  <c r="I1" i="50" s="1"/>
  <c r="E15" i="50" s="1"/>
  <c r="G15" i="50" s="1"/>
  <c r="H15" i="50" s="1"/>
  <c r="K15" i="50" s="1"/>
  <c r="L15" i="50" s="1"/>
  <c r="D52" i="50"/>
  <c r="D89" i="35"/>
  <c r="D65" i="35"/>
  <c r="D76" i="35"/>
  <c r="D65" i="34"/>
  <c r="D91" i="34"/>
  <c r="D77" i="34"/>
  <c r="T30" i="35"/>
  <c r="D1" i="35"/>
  <c r="H5" i="35" s="1"/>
  <c r="K5" i="35" s="1"/>
  <c r="L5" i="35" s="1"/>
  <c r="S33" i="35" s="1"/>
  <c r="J52" i="35"/>
  <c r="E1" i="79"/>
  <c r="AO1" i="79"/>
  <c r="U32" i="36"/>
  <c r="K5" i="34"/>
  <c r="L5" i="34" s="1"/>
  <c r="I52" i="32"/>
  <c r="D52" i="68"/>
  <c r="B74" i="68" s="1"/>
  <c r="G1" i="68"/>
  <c r="U30" i="79"/>
  <c r="J53" i="50"/>
  <c r="B83" i="50" s="1"/>
  <c r="I52" i="50"/>
  <c r="H52" i="50" s="1"/>
  <c r="E1" i="39"/>
  <c r="I52" i="27"/>
  <c r="E1" i="27"/>
  <c r="J53" i="16"/>
  <c r="B81" i="16" s="1"/>
  <c r="E1" i="12"/>
  <c r="AM8" i="36"/>
  <c r="AO8" i="36" s="1"/>
  <c r="AP8" i="36" s="1"/>
  <c r="AS8" i="36" s="1"/>
  <c r="AT8" i="36" s="1"/>
  <c r="AM13" i="36"/>
  <c r="AO13" i="36" s="1"/>
  <c r="AP13" i="36" s="1"/>
  <c r="AS13" i="36" s="1"/>
  <c r="AT13" i="36" s="1"/>
  <c r="AM7" i="36"/>
  <c r="AO7" i="36" s="1"/>
  <c r="AP7" i="36" s="1"/>
  <c r="AS7" i="36" s="1"/>
  <c r="AT7" i="36" s="1"/>
  <c r="AM12" i="36"/>
  <c r="AO12" i="36" s="1"/>
  <c r="AP12" i="36" s="1"/>
  <c r="AS12" i="36" s="1"/>
  <c r="AT12" i="36" s="1"/>
  <c r="AM9" i="36"/>
  <c r="AO9" i="36" s="1"/>
  <c r="AP9" i="36" s="1"/>
  <c r="AS9" i="36" s="1"/>
  <c r="AT9" i="36" s="1"/>
  <c r="AM6" i="36"/>
  <c r="AO6" i="36" s="1"/>
  <c r="AP6" i="36" s="1"/>
  <c r="AS6" i="36" s="1"/>
  <c r="AT6" i="36" s="1"/>
  <c r="AM5" i="36"/>
  <c r="AO5" i="36" s="1"/>
  <c r="AP5" i="36" s="1"/>
  <c r="AM11" i="36"/>
  <c r="AO11" i="36" s="1"/>
  <c r="AP11" i="36" s="1"/>
  <c r="AS11" i="36" s="1"/>
  <c r="AT11" i="36" s="1"/>
  <c r="AM10" i="36"/>
  <c r="AO10" i="36" s="1"/>
  <c r="AP10" i="36" s="1"/>
  <c r="AS10" i="36" s="1"/>
  <c r="AT10" i="36" s="1"/>
  <c r="AM1" i="36"/>
  <c r="J52" i="30"/>
  <c r="K5" i="23"/>
  <c r="J52" i="23"/>
  <c r="E1" i="19"/>
  <c r="G9" i="11"/>
  <c r="E28" i="11" s="1"/>
  <c r="G28" i="11" s="1"/>
  <c r="H28" i="11" s="1"/>
  <c r="K28" i="11" s="1"/>
  <c r="L28" i="11" s="1"/>
  <c r="E1" i="11"/>
  <c r="AM13" i="9"/>
  <c r="AO13" i="9" s="1"/>
  <c r="AP13" i="9" s="1"/>
  <c r="AS13" i="9" s="1"/>
  <c r="AT13" i="9" s="1"/>
  <c r="AM5" i="9"/>
  <c r="AO5" i="9" s="1"/>
  <c r="AP5" i="9" s="1"/>
  <c r="AM6" i="9"/>
  <c r="AO6" i="9" s="1"/>
  <c r="AP6" i="9" s="1"/>
  <c r="AS6" i="9" s="1"/>
  <c r="AT6" i="9" s="1"/>
  <c r="AM14" i="9"/>
  <c r="AO14" i="9" s="1"/>
  <c r="AP14" i="9" s="1"/>
  <c r="AS14" i="9" s="1"/>
  <c r="AT14" i="9" s="1"/>
  <c r="AM10" i="9"/>
  <c r="AO10" i="9" s="1"/>
  <c r="AP10" i="9" s="1"/>
  <c r="AS10" i="9" s="1"/>
  <c r="AT10" i="9" s="1"/>
  <c r="AM11" i="9"/>
  <c r="AO11" i="9" s="1"/>
  <c r="AP11" i="9" s="1"/>
  <c r="AS11" i="9" s="1"/>
  <c r="AT11" i="9" s="1"/>
  <c r="AM7" i="9"/>
  <c r="AO7" i="9" s="1"/>
  <c r="AP7" i="9" s="1"/>
  <c r="AS7" i="9" s="1"/>
  <c r="AT7" i="9" s="1"/>
  <c r="AM15" i="9"/>
  <c r="AO15" i="9" s="1"/>
  <c r="AP15" i="9" s="1"/>
  <c r="AS15" i="9" s="1"/>
  <c r="AT15" i="9" s="1"/>
  <c r="AM8" i="9"/>
  <c r="AO8" i="9" s="1"/>
  <c r="AP8" i="9" s="1"/>
  <c r="AS8" i="9" s="1"/>
  <c r="AT8" i="9" s="1"/>
  <c r="AM16" i="9"/>
  <c r="AO16" i="9" s="1"/>
  <c r="AP16" i="9" s="1"/>
  <c r="AS16" i="9" s="1"/>
  <c r="AT16" i="9" s="1"/>
  <c r="AM9" i="9"/>
  <c r="AO9" i="9" s="1"/>
  <c r="AP9" i="9" s="1"/>
  <c r="AS9" i="9" s="1"/>
  <c r="AT9" i="9" s="1"/>
  <c r="AM17" i="9"/>
  <c r="AO17" i="9" s="1"/>
  <c r="AP17" i="9" s="1"/>
  <c r="AS17" i="9" s="1"/>
  <c r="AT17" i="9" s="1"/>
  <c r="AM12" i="9"/>
  <c r="AO12" i="9" s="1"/>
  <c r="AP12" i="9" s="1"/>
  <c r="AS12" i="9" s="1"/>
  <c r="AT12" i="9" s="1"/>
  <c r="AM20" i="9"/>
  <c r="AO20" i="9" s="1"/>
  <c r="AP20" i="9" s="1"/>
  <c r="AS20" i="9" s="1"/>
  <c r="AT20" i="9" s="1"/>
  <c r="AM18" i="9"/>
  <c r="AO18" i="9" s="1"/>
  <c r="AP18" i="9" s="1"/>
  <c r="AS18" i="9" s="1"/>
  <c r="AT18" i="9" s="1"/>
  <c r="AM19" i="9"/>
  <c r="AO19" i="9" s="1"/>
  <c r="AP19" i="9" s="1"/>
  <c r="AS19" i="9" s="1"/>
  <c r="AT19" i="9" s="1"/>
  <c r="AM1" i="9"/>
  <c r="AM11" i="6"/>
  <c r="AO11" i="6" s="1"/>
  <c r="AP11" i="6" s="1"/>
  <c r="AS11" i="6" s="1"/>
  <c r="AT11" i="6" s="1"/>
  <c r="AM12" i="6"/>
  <c r="AO12" i="6" s="1"/>
  <c r="AP12" i="6" s="1"/>
  <c r="AS12" i="6" s="1"/>
  <c r="AT12" i="6" s="1"/>
  <c r="AM13" i="6"/>
  <c r="AO13" i="6" s="1"/>
  <c r="AP13" i="6" s="1"/>
  <c r="AS13" i="6" s="1"/>
  <c r="AT13" i="6" s="1"/>
  <c r="AM9" i="6"/>
  <c r="AO9" i="6" s="1"/>
  <c r="AP9" i="6" s="1"/>
  <c r="AS9" i="6" s="1"/>
  <c r="AT9" i="6" s="1"/>
  <c r="AM6" i="6"/>
  <c r="AO6" i="6" s="1"/>
  <c r="AP6" i="6" s="1"/>
  <c r="AS6" i="6" s="1"/>
  <c r="AT6" i="6" s="1"/>
  <c r="AM5" i="6"/>
  <c r="AO5" i="6" s="1"/>
  <c r="AP5" i="6" s="1"/>
  <c r="AM7" i="6"/>
  <c r="AO7" i="6" s="1"/>
  <c r="AP7" i="6" s="1"/>
  <c r="AS7" i="6" s="1"/>
  <c r="AT7" i="6" s="1"/>
  <c r="AM8" i="6"/>
  <c r="AO8" i="6" s="1"/>
  <c r="AP8" i="6" s="1"/>
  <c r="AS8" i="6" s="1"/>
  <c r="AT8" i="6" s="1"/>
  <c r="AM10" i="6"/>
  <c r="AO10" i="6" s="1"/>
  <c r="AP10" i="6" s="1"/>
  <c r="AS10" i="6" s="1"/>
  <c r="AT10" i="6" s="1"/>
  <c r="AM1" i="6"/>
  <c r="I52" i="4"/>
  <c r="D79" i="45"/>
  <c r="D104" i="45"/>
  <c r="D103" i="45"/>
  <c r="D78" i="45"/>
  <c r="D77" i="45"/>
  <c r="D102" i="45"/>
  <c r="D100" i="45"/>
  <c r="D75" i="45"/>
  <c r="D97" i="45"/>
  <c r="D72" i="45"/>
  <c r="D91" i="45"/>
  <c r="D66" i="45"/>
  <c r="E1" i="45"/>
  <c r="G1" i="45" s="1"/>
  <c r="I1" i="45" s="1"/>
  <c r="J52" i="6"/>
  <c r="E1" i="6"/>
  <c r="U29" i="6"/>
  <c r="U32" i="6" s="1"/>
  <c r="AE30" i="6" s="1"/>
  <c r="J52" i="9"/>
  <c r="E1" i="9"/>
  <c r="J52" i="66"/>
  <c r="D1" i="66"/>
  <c r="G5" i="66" s="1"/>
  <c r="E1" i="69"/>
  <c r="AM1" i="18" l="1"/>
  <c r="J52" i="18"/>
  <c r="AC30" i="107"/>
  <c r="AD30" i="107"/>
  <c r="U35" i="107"/>
  <c r="AC30" i="97"/>
  <c r="AB30" i="97"/>
  <c r="U35" i="97"/>
  <c r="AA30" i="110"/>
  <c r="AE30" i="110" s="1"/>
  <c r="AC25" i="110" s="1"/>
  <c r="T33" i="110"/>
  <c r="AD30" i="106"/>
  <c r="AC30" i="106"/>
  <c r="U35" i="106"/>
  <c r="T35" i="109"/>
  <c r="U32" i="69"/>
  <c r="AE30" i="69" s="1"/>
  <c r="AC25" i="104"/>
  <c r="T34" i="104"/>
  <c r="I51" i="59"/>
  <c r="D5" i="59" s="1"/>
  <c r="H51" i="59" s="1"/>
  <c r="J53" i="59"/>
  <c r="I53" i="59" s="1"/>
  <c r="AO1" i="59"/>
  <c r="AM1" i="59"/>
  <c r="J52" i="49"/>
  <c r="AO1" i="49"/>
  <c r="AM1" i="49"/>
  <c r="J52" i="19"/>
  <c r="AO1" i="19"/>
  <c r="AM1" i="19"/>
  <c r="U32" i="28"/>
  <c r="AO1" i="28"/>
  <c r="I1" i="85"/>
  <c r="D54" i="86"/>
  <c r="C55" i="86"/>
  <c r="D55" i="86" s="1"/>
  <c r="C53" i="85"/>
  <c r="D53" i="85" s="1"/>
  <c r="T33" i="92"/>
  <c r="I51" i="28"/>
  <c r="E15" i="4"/>
  <c r="G15" i="4" s="1"/>
  <c r="H15" i="4" s="1"/>
  <c r="K15" i="4" s="1"/>
  <c r="L15" i="4" s="1"/>
  <c r="E16" i="4"/>
  <c r="G16" i="4" s="1"/>
  <c r="H16" i="4" s="1"/>
  <c r="K16" i="4" s="1"/>
  <c r="L16" i="4" s="1"/>
  <c r="V32" i="43"/>
  <c r="AE30" i="43" s="1"/>
  <c r="AO1" i="43"/>
  <c r="AB30" i="66"/>
  <c r="V35" i="53"/>
  <c r="AA30" i="53" s="1"/>
  <c r="U32" i="70"/>
  <c r="AE30" i="70" s="1"/>
  <c r="J52" i="48"/>
  <c r="U32" i="48"/>
  <c r="AD30" i="48" s="1"/>
  <c r="V28" i="36"/>
  <c r="V32" i="36" s="1"/>
  <c r="V35" i="36"/>
  <c r="AB30" i="36" s="1"/>
  <c r="E1" i="29"/>
  <c r="G1" i="29" s="1"/>
  <c r="I1" i="29" s="1"/>
  <c r="E6" i="29" s="1"/>
  <c r="U32" i="29"/>
  <c r="AE30" i="29" s="1"/>
  <c r="AD29" i="33"/>
  <c r="AB29" i="33"/>
  <c r="V28" i="9"/>
  <c r="U32" i="58"/>
  <c r="AC30" i="58" s="1"/>
  <c r="J53" i="32"/>
  <c r="J54" i="32" s="1"/>
  <c r="B103" i="32" s="1"/>
  <c r="V35" i="30"/>
  <c r="AA30" i="30" s="1"/>
  <c r="V44" i="26"/>
  <c r="U32" i="17"/>
  <c r="AE30" i="17" s="1"/>
  <c r="V28" i="53"/>
  <c r="D5" i="57"/>
  <c r="H51" i="57" s="1"/>
  <c r="H52" i="32"/>
  <c r="F81" i="6"/>
  <c r="F9" i="6"/>
  <c r="F68" i="6"/>
  <c r="E66" i="83"/>
  <c r="E65" i="83"/>
  <c r="E67" i="83"/>
  <c r="E68" i="83"/>
  <c r="V35" i="9"/>
  <c r="AA30" i="9" s="1"/>
  <c r="D5" i="8"/>
  <c r="H51" i="8"/>
  <c r="V35" i="6"/>
  <c r="AA30" i="6" s="1"/>
  <c r="V28" i="6"/>
  <c r="AF28" i="3"/>
  <c r="E5" i="87"/>
  <c r="G5" i="87" s="1"/>
  <c r="H5" i="87" s="1"/>
  <c r="K5" i="87" s="1"/>
  <c r="L5" i="87" s="1"/>
  <c r="AC29" i="35"/>
  <c r="AB29" i="35"/>
  <c r="AC29" i="34"/>
  <c r="AB29" i="61"/>
  <c r="AD29" i="59"/>
  <c r="AA29" i="59"/>
  <c r="AD29" i="49"/>
  <c r="AA29" i="49"/>
  <c r="AD29" i="47"/>
  <c r="AA29" i="47"/>
  <c r="AA29" i="44"/>
  <c r="AD29" i="19"/>
  <c r="AA29" i="19"/>
  <c r="V28" i="30"/>
  <c r="AD29" i="30"/>
  <c r="AB29" i="30"/>
  <c r="AF29" i="30"/>
  <c r="AF28" i="29"/>
  <c r="AC29" i="29" s="1"/>
  <c r="AF28" i="28"/>
  <c r="AC29" i="28" s="1"/>
  <c r="AF28" i="17"/>
  <c r="AD29" i="60"/>
  <c r="AF29" i="60"/>
  <c r="AC29" i="60"/>
  <c r="AB29" i="5"/>
  <c r="AE29" i="5"/>
  <c r="U28" i="79"/>
  <c r="U32" i="79" s="1"/>
  <c r="AC30" i="79" s="1"/>
  <c r="J51" i="60"/>
  <c r="I51" i="60" s="1"/>
  <c r="AF28" i="69"/>
  <c r="AA29" i="67"/>
  <c r="AD28" i="62"/>
  <c r="AB29" i="62" s="1"/>
  <c r="V44" i="62"/>
  <c r="U44" i="62"/>
  <c r="W44" i="62" s="1"/>
  <c r="J51" i="62" s="1"/>
  <c r="I51" i="62" s="1"/>
  <c r="D5" i="53"/>
  <c r="W54" i="52"/>
  <c r="X56" i="52" s="1"/>
  <c r="X52" i="52" s="1"/>
  <c r="D5" i="37"/>
  <c r="D65" i="37" s="1"/>
  <c r="AM1" i="37"/>
  <c r="AO1" i="37"/>
  <c r="D66" i="32"/>
  <c r="D87" i="32"/>
  <c r="H51" i="32"/>
  <c r="D80" i="30"/>
  <c r="D65" i="30"/>
  <c r="H51" i="30"/>
  <c r="D5" i="29"/>
  <c r="I51" i="26"/>
  <c r="D5" i="26" s="1"/>
  <c r="D65" i="26" s="1"/>
  <c r="AC29" i="26"/>
  <c r="AB29" i="26"/>
  <c r="D65" i="10"/>
  <c r="D100" i="10"/>
  <c r="D5" i="23"/>
  <c r="H51" i="21"/>
  <c r="D5" i="18"/>
  <c r="D5" i="17"/>
  <c r="J51" i="19"/>
  <c r="I51" i="19" s="1"/>
  <c r="D5" i="19" s="1"/>
  <c r="J53" i="4"/>
  <c r="B78" i="4" s="1"/>
  <c r="W44" i="11"/>
  <c r="AF28" i="11"/>
  <c r="D65" i="9"/>
  <c r="D5" i="5"/>
  <c r="J51" i="3"/>
  <c r="I51" i="3" s="1"/>
  <c r="D5" i="3" s="1"/>
  <c r="D5" i="4"/>
  <c r="AE29" i="4"/>
  <c r="AC29" i="4"/>
  <c r="AB29" i="4"/>
  <c r="V44" i="25"/>
  <c r="U44" i="25"/>
  <c r="W44" i="25" s="1"/>
  <c r="J51" i="25" s="1"/>
  <c r="I51" i="25" s="1"/>
  <c r="H53" i="16"/>
  <c r="D52" i="16"/>
  <c r="G1" i="16"/>
  <c r="I1" i="16" s="1"/>
  <c r="J52" i="70"/>
  <c r="AO1" i="70"/>
  <c r="AM1" i="70"/>
  <c r="E1" i="48"/>
  <c r="E1" i="47"/>
  <c r="G1" i="41"/>
  <c r="I1" i="41" s="1"/>
  <c r="D52" i="41"/>
  <c r="E7" i="83"/>
  <c r="G7" i="83" s="1"/>
  <c r="H7" i="83" s="1"/>
  <c r="K7" i="83" s="1"/>
  <c r="L7" i="83" s="1"/>
  <c r="E9" i="83"/>
  <c r="G9" i="83" s="1"/>
  <c r="H9" i="83" s="1"/>
  <c r="K9" i="83" s="1"/>
  <c r="L9" i="83" s="1"/>
  <c r="E6" i="83"/>
  <c r="G6" i="83" s="1"/>
  <c r="H6" i="83" s="1"/>
  <c r="K6" i="83" s="1"/>
  <c r="L6" i="83" s="1"/>
  <c r="C53" i="83"/>
  <c r="D53" i="83" s="1"/>
  <c r="E7" i="50"/>
  <c r="G7" i="50" s="1"/>
  <c r="H7" i="50" s="1"/>
  <c r="K7" i="50" s="1"/>
  <c r="L7" i="50" s="1"/>
  <c r="E11" i="50"/>
  <c r="G11" i="50" s="1"/>
  <c r="H11" i="50" s="1"/>
  <c r="K11" i="50" s="1"/>
  <c r="L11" i="50" s="1"/>
  <c r="E6" i="50"/>
  <c r="G6" i="50" s="1"/>
  <c r="H6" i="50" s="1"/>
  <c r="K6" i="50" s="1"/>
  <c r="L6" i="50" s="1"/>
  <c r="E14" i="50"/>
  <c r="G14" i="50" s="1"/>
  <c r="H14" i="50" s="1"/>
  <c r="K14" i="50" s="1"/>
  <c r="L14" i="50" s="1"/>
  <c r="AO1" i="69"/>
  <c r="AM12" i="69" s="1"/>
  <c r="AO12" i="69" s="1"/>
  <c r="AP12" i="69" s="1"/>
  <c r="AS12" i="69" s="1"/>
  <c r="AT12" i="69" s="1"/>
  <c r="AM1" i="69"/>
  <c r="J52" i="69"/>
  <c r="E10" i="50"/>
  <c r="G10" i="50" s="1"/>
  <c r="H10" i="50" s="1"/>
  <c r="K10" i="50" s="1"/>
  <c r="L10" i="50" s="1"/>
  <c r="E8" i="50"/>
  <c r="G8" i="50" s="1"/>
  <c r="H8" i="50" s="1"/>
  <c r="K8" i="50" s="1"/>
  <c r="L8" i="50" s="1"/>
  <c r="AM1" i="57"/>
  <c r="J52" i="57"/>
  <c r="AO1" i="57"/>
  <c r="E9" i="50"/>
  <c r="G9" i="50" s="1"/>
  <c r="H9" i="50" s="1"/>
  <c r="K9" i="50" s="1"/>
  <c r="L9" i="50" s="1"/>
  <c r="I1" i="82"/>
  <c r="E8" i="82" s="1"/>
  <c r="G8" i="82" s="1"/>
  <c r="H8" i="82" s="1"/>
  <c r="K8" i="82" s="1"/>
  <c r="L8" i="82" s="1"/>
  <c r="C52" i="82"/>
  <c r="D52" i="4"/>
  <c r="AO1" i="61"/>
  <c r="AM1" i="61"/>
  <c r="J52" i="61"/>
  <c r="I52" i="61" s="1"/>
  <c r="E9" i="4"/>
  <c r="G9" i="4" s="1"/>
  <c r="H9" i="4" s="1"/>
  <c r="K9" i="4" s="1"/>
  <c r="L9" i="4" s="1"/>
  <c r="E11" i="4"/>
  <c r="G11" i="4" s="1"/>
  <c r="H11" i="4" s="1"/>
  <c r="K11" i="4" s="1"/>
  <c r="L11" i="4" s="1"/>
  <c r="E7" i="4"/>
  <c r="G7" i="4" s="1"/>
  <c r="H7" i="4" s="1"/>
  <c r="K7" i="4" s="1"/>
  <c r="L7" i="4" s="1"/>
  <c r="I1" i="4"/>
  <c r="C52" i="4" s="1"/>
  <c r="E10" i="4"/>
  <c r="G10" i="4" s="1"/>
  <c r="H10" i="4" s="1"/>
  <c r="K10" i="4" s="1"/>
  <c r="L10" i="4" s="1"/>
  <c r="E14" i="4"/>
  <c r="G14" i="4" s="1"/>
  <c r="H14" i="4" s="1"/>
  <c r="K14" i="4" s="1"/>
  <c r="L14" i="4" s="1"/>
  <c r="E13" i="4"/>
  <c r="G13" i="4" s="1"/>
  <c r="H13" i="4" s="1"/>
  <c r="K13" i="4" s="1"/>
  <c r="L13" i="4" s="1"/>
  <c r="E6" i="4"/>
  <c r="G6" i="4" s="1"/>
  <c r="H6" i="4" s="1"/>
  <c r="K6" i="4" s="1"/>
  <c r="L6" i="4" s="1"/>
  <c r="E8" i="4"/>
  <c r="G8" i="4" s="1"/>
  <c r="H8" i="4" s="1"/>
  <c r="K8" i="4" s="1"/>
  <c r="L8" i="4" s="1"/>
  <c r="E12" i="4"/>
  <c r="G12" i="4" s="1"/>
  <c r="H12" i="4" s="1"/>
  <c r="K12" i="4" s="1"/>
  <c r="L12" i="4" s="1"/>
  <c r="E1" i="53"/>
  <c r="AM1" i="47"/>
  <c r="J52" i="47"/>
  <c r="AO1" i="47"/>
  <c r="D52" i="46"/>
  <c r="G1" i="46"/>
  <c r="I1" i="46" s="1"/>
  <c r="J53" i="46"/>
  <c r="B77" i="46" s="1"/>
  <c r="G1" i="59"/>
  <c r="I1" i="59" s="1"/>
  <c r="E21" i="59" s="1"/>
  <c r="G21" i="59" s="1"/>
  <c r="H21" i="59" s="1"/>
  <c r="K21" i="59" s="1"/>
  <c r="L21" i="59" s="1"/>
  <c r="D52" i="57"/>
  <c r="G1" i="57"/>
  <c r="I1" i="57" s="1"/>
  <c r="E17" i="50"/>
  <c r="G17" i="50" s="1"/>
  <c r="H17" i="50" s="1"/>
  <c r="K17" i="50" s="1"/>
  <c r="L17" i="50" s="1"/>
  <c r="E12" i="50"/>
  <c r="G12" i="50" s="1"/>
  <c r="H12" i="50" s="1"/>
  <c r="K12" i="50" s="1"/>
  <c r="L12" i="50" s="1"/>
  <c r="E16" i="50"/>
  <c r="G16" i="50" s="1"/>
  <c r="H16" i="50" s="1"/>
  <c r="K16" i="50" s="1"/>
  <c r="L16" i="50" s="1"/>
  <c r="E13" i="50"/>
  <c r="G13" i="50" s="1"/>
  <c r="H13" i="50" s="1"/>
  <c r="K13" i="50" s="1"/>
  <c r="L13" i="50" s="1"/>
  <c r="E1" i="40"/>
  <c r="J52" i="37"/>
  <c r="I52" i="34"/>
  <c r="E5" i="34" s="1"/>
  <c r="H52" i="34" s="1"/>
  <c r="G1" i="28"/>
  <c r="I1" i="28" s="1"/>
  <c r="E25" i="28" s="1"/>
  <c r="G25" i="28" s="1"/>
  <c r="H25" i="28" s="1"/>
  <c r="K25" i="28" s="1"/>
  <c r="L25" i="28" s="1"/>
  <c r="E1" i="24"/>
  <c r="J52" i="20"/>
  <c r="G1" i="18"/>
  <c r="I1" i="18" s="1"/>
  <c r="E6" i="18" s="1"/>
  <c r="D52" i="18"/>
  <c r="D52" i="17"/>
  <c r="G1" i="17"/>
  <c r="I1" i="17" s="1"/>
  <c r="AM1" i="8"/>
  <c r="AO1" i="8"/>
  <c r="AM5" i="3"/>
  <c r="AO5" i="3" s="1"/>
  <c r="J52" i="3"/>
  <c r="J52" i="26"/>
  <c r="AO1" i="26"/>
  <c r="G1" i="15"/>
  <c r="I1" i="15" s="1"/>
  <c r="D52" i="7"/>
  <c r="AO1" i="18"/>
  <c r="AM8" i="18" s="1"/>
  <c r="AO8" i="18" s="1"/>
  <c r="AP8" i="18" s="1"/>
  <c r="AS8" i="18" s="1"/>
  <c r="AT8" i="18" s="1"/>
  <c r="I53" i="34"/>
  <c r="AM1" i="29"/>
  <c r="AM8" i="29"/>
  <c r="AO8" i="29" s="1"/>
  <c r="AP8" i="29" s="1"/>
  <c r="AS8" i="29" s="1"/>
  <c r="AT8" i="29" s="1"/>
  <c r="AM7" i="29"/>
  <c r="AO7" i="29" s="1"/>
  <c r="AP7" i="29" s="1"/>
  <c r="AS7" i="29" s="1"/>
  <c r="AT7" i="29" s="1"/>
  <c r="AM13" i="29"/>
  <c r="AO13" i="29" s="1"/>
  <c r="AP13" i="29" s="1"/>
  <c r="AS13" i="29" s="1"/>
  <c r="AT13" i="29" s="1"/>
  <c r="AM10" i="29"/>
  <c r="AO10" i="29" s="1"/>
  <c r="AP10" i="29" s="1"/>
  <c r="AS10" i="29" s="1"/>
  <c r="AT10" i="29" s="1"/>
  <c r="AM12" i="29"/>
  <c r="AO12" i="29" s="1"/>
  <c r="AP12" i="29" s="1"/>
  <c r="AS12" i="29" s="1"/>
  <c r="AT12" i="29" s="1"/>
  <c r="AM11" i="29"/>
  <c r="AO11" i="29" s="1"/>
  <c r="AP11" i="29" s="1"/>
  <c r="AS11" i="29" s="1"/>
  <c r="AT11" i="29" s="1"/>
  <c r="AM5" i="29"/>
  <c r="AO5" i="29" s="1"/>
  <c r="AP5" i="29" s="1"/>
  <c r="AM9" i="29"/>
  <c r="AO9" i="29" s="1"/>
  <c r="AP9" i="29" s="1"/>
  <c r="AS9" i="29" s="1"/>
  <c r="AT9" i="29" s="1"/>
  <c r="AM1" i="28"/>
  <c r="J52" i="28"/>
  <c r="J54" i="34"/>
  <c r="B84" i="34" s="1"/>
  <c r="H84" i="34" s="1"/>
  <c r="AM1" i="21"/>
  <c r="AM7" i="21"/>
  <c r="AO7" i="21" s="1"/>
  <c r="AP7" i="21" s="1"/>
  <c r="AS7" i="21" s="1"/>
  <c r="AT7" i="21" s="1"/>
  <c r="AM5" i="21"/>
  <c r="AO5" i="21" s="1"/>
  <c r="AP5" i="21" s="1"/>
  <c r="AM10" i="21"/>
  <c r="AO10" i="21" s="1"/>
  <c r="AP10" i="21" s="1"/>
  <c r="AS10" i="21" s="1"/>
  <c r="AT10" i="21" s="1"/>
  <c r="AM9" i="21"/>
  <c r="AO9" i="21" s="1"/>
  <c r="AP9" i="21" s="1"/>
  <c r="AS9" i="21" s="1"/>
  <c r="AT9" i="21" s="1"/>
  <c r="J52" i="21"/>
  <c r="I52" i="21" s="1"/>
  <c r="H52" i="21" s="1"/>
  <c r="E5" i="21" s="1"/>
  <c r="J53" i="5"/>
  <c r="B90" i="5" s="1"/>
  <c r="E1" i="36"/>
  <c r="G1" i="36" s="1"/>
  <c r="E5" i="36" s="1"/>
  <c r="G5" i="36" s="1"/>
  <c r="H5" i="36" s="1"/>
  <c r="K5" i="36" s="1"/>
  <c r="L5" i="36" s="1"/>
  <c r="S35" i="36" s="1"/>
  <c r="D52" i="20"/>
  <c r="D52" i="21"/>
  <c r="G1" i="21"/>
  <c r="I1" i="21" s="1"/>
  <c r="E6" i="21" s="1"/>
  <c r="AM6" i="21"/>
  <c r="AO6" i="21" s="1"/>
  <c r="AP6" i="21" s="1"/>
  <c r="AS6" i="21" s="1"/>
  <c r="AT6" i="21" s="1"/>
  <c r="AM13" i="21"/>
  <c r="AO13" i="21" s="1"/>
  <c r="AP13" i="21" s="1"/>
  <c r="AS13" i="21" s="1"/>
  <c r="AT13" i="21" s="1"/>
  <c r="AM12" i="21"/>
  <c r="AO12" i="21" s="1"/>
  <c r="AP12" i="21" s="1"/>
  <c r="AS12" i="21" s="1"/>
  <c r="AT12" i="21" s="1"/>
  <c r="AM11" i="21"/>
  <c r="AO11" i="21" s="1"/>
  <c r="AP11" i="21" s="1"/>
  <c r="AS11" i="21" s="1"/>
  <c r="AT11" i="21" s="1"/>
  <c r="AM1" i="17"/>
  <c r="AO1" i="17"/>
  <c r="AM6" i="17" s="1"/>
  <c r="AO6" i="17" s="1"/>
  <c r="AP6" i="17" s="1"/>
  <c r="AS6" i="17" s="1"/>
  <c r="AT6" i="17" s="1"/>
  <c r="J52" i="17"/>
  <c r="J52" i="15"/>
  <c r="I52" i="15" s="1"/>
  <c r="AM12" i="15"/>
  <c r="AO12" i="15" s="1"/>
  <c r="AP12" i="15" s="1"/>
  <c r="AS12" i="15" s="1"/>
  <c r="AT12" i="15" s="1"/>
  <c r="AM9" i="15"/>
  <c r="AO9" i="15" s="1"/>
  <c r="AP9" i="15" s="1"/>
  <c r="AS9" i="15" s="1"/>
  <c r="AT9" i="15" s="1"/>
  <c r="AM6" i="15"/>
  <c r="AO6" i="15" s="1"/>
  <c r="AP6" i="15" s="1"/>
  <c r="AS6" i="15" s="1"/>
  <c r="AT6" i="15" s="1"/>
  <c r="AM11" i="15"/>
  <c r="AO11" i="15" s="1"/>
  <c r="AP11" i="15" s="1"/>
  <c r="AS11" i="15" s="1"/>
  <c r="AT11" i="15" s="1"/>
  <c r="AM5" i="15"/>
  <c r="AO5" i="15" s="1"/>
  <c r="AP5" i="15" s="1"/>
  <c r="AM10" i="15"/>
  <c r="AO10" i="15" s="1"/>
  <c r="AP10" i="15" s="1"/>
  <c r="AS10" i="15" s="1"/>
  <c r="AT10" i="15" s="1"/>
  <c r="AM8" i="15"/>
  <c r="AO8" i="15" s="1"/>
  <c r="AP8" i="15" s="1"/>
  <c r="AS8" i="15" s="1"/>
  <c r="AT8" i="15" s="1"/>
  <c r="AM1" i="15"/>
  <c r="AM7" i="15"/>
  <c r="AO7" i="15" s="1"/>
  <c r="AP7" i="15" s="1"/>
  <c r="AS7" i="15" s="1"/>
  <c r="AT7" i="15" s="1"/>
  <c r="D52" i="56"/>
  <c r="G1" i="56"/>
  <c r="I1" i="56" s="1"/>
  <c r="E17" i="56" s="1"/>
  <c r="G17" i="56" s="1"/>
  <c r="H17" i="56" s="1"/>
  <c r="K17" i="56" s="1"/>
  <c r="L17" i="56" s="1"/>
  <c r="J52" i="7"/>
  <c r="G1" i="5"/>
  <c r="I1" i="5" s="1"/>
  <c r="D52" i="5"/>
  <c r="D52" i="59"/>
  <c r="D52" i="67"/>
  <c r="G1" i="67"/>
  <c r="I1" i="67" s="1"/>
  <c r="G1" i="62"/>
  <c r="E20" i="62" s="1"/>
  <c r="G20" i="62" s="1"/>
  <c r="H20" i="62" s="1"/>
  <c r="K20" i="62" s="1"/>
  <c r="L20" i="62" s="1"/>
  <c r="D52" i="62"/>
  <c r="D52" i="61"/>
  <c r="G1" i="61"/>
  <c r="I1" i="61" s="1"/>
  <c r="E1" i="58"/>
  <c r="AM1" i="53"/>
  <c r="J52" i="53"/>
  <c r="J51" i="56"/>
  <c r="J53" i="56" s="1"/>
  <c r="B79" i="56" s="1"/>
  <c r="V44" i="65"/>
  <c r="U44" i="65"/>
  <c r="W44" i="65" s="1"/>
  <c r="J51" i="65" s="1"/>
  <c r="J51" i="67"/>
  <c r="I51" i="67" s="1"/>
  <c r="V44" i="58"/>
  <c r="U44" i="58"/>
  <c r="W44" i="58" s="1"/>
  <c r="J51" i="58" s="1"/>
  <c r="D5" i="70"/>
  <c r="AF29" i="70"/>
  <c r="AD29" i="70"/>
  <c r="D5" i="62"/>
  <c r="D65" i="62" s="1"/>
  <c r="D5" i="61"/>
  <c r="D65" i="61" s="1"/>
  <c r="H51" i="61"/>
  <c r="AD29" i="58"/>
  <c r="AB29" i="58"/>
  <c r="AB29" i="57"/>
  <c r="AF29" i="57"/>
  <c r="AC29" i="57"/>
  <c r="AD29" i="57"/>
  <c r="AC29" i="70"/>
  <c r="AB29" i="67"/>
  <c r="AC29" i="61"/>
  <c r="AB29" i="59"/>
  <c r="J53" i="62"/>
  <c r="B82" i="62" s="1"/>
  <c r="I52" i="62"/>
  <c r="V44" i="48"/>
  <c r="U44" i="48"/>
  <c r="W44" i="48" s="1"/>
  <c r="J51" i="48" s="1"/>
  <c r="I51" i="48" s="1"/>
  <c r="D105" i="51"/>
  <c r="D84" i="51"/>
  <c r="D65" i="51"/>
  <c r="V44" i="47"/>
  <c r="U44" i="47"/>
  <c r="W44" i="47" s="1"/>
  <c r="D5" i="49"/>
  <c r="AE29" i="48"/>
  <c r="AC29" i="48"/>
  <c r="D5" i="44"/>
  <c r="H51" i="44" s="1"/>
  <c r="AE29" i="41"/>
  <c r="D5" i="41"/>
  <c r="AD29" i="79"/>
  <c r="D5" i="46"/>
  <c r="D65" i="46" s="1"/>
  <c r="D5" i="43"/>
  <c r="AB29" i="79"/>
  <c r="AB29" i="49"/>
  <c r="AB29" i="48"/>
  <c r="AB29" i="47"/>
  <c r="AC29" i="41"/>
  <c r="G1" i="49"/>
  <c r="I1" i="49" s="1"/>
  <c r="D52" i="49"/>
  <c r="J53" i="44"/>
  <c r="B82" i="44" s="1"/>
  <c r="E1" i="42"/>
  <c r="D52" i="42" s="1"/>
  <c r="J52" i="67"/>
  <c r="AM1" i="43"/>
  <c r="J52" i="43"/>
  <c r="J53" i="43" s="1"/>
  <c r="B79" i="43" s="1"/>
  <c r="I52" i="44"/>
  <c r="H52" i="44" s="1"/>
  <c r="G1" i="44"/>
  <c r="I1" i="44" s="1"/>
  <c r="D52" i="44"/>
  <c r="G1" i="43"/>
  <c r="I1" i="43" s="1"/>
  <c r="D52" i="43"/>
  <c r="AO1" i="41"/>
  <c r="AM1" i="41"/>
  <c r="J52" i="41"/>
  <c r="L5" i="51"/>
  <c r="I52" i="46"/>
  <c r="V44" i="33"/>
  <c r="U44" i="33"/>
  <c r="W44" i="33" s="1"/>
  <c r="J51" i="33" s="1"/>
  <c r="AA29" i="33"/>
  <c r="E1" i="32"/>
  <c r="D52" i="8"/>
  <c r="G1" i="8"/>
  <c r="I1" i="8" s="1"/>
  <c r="D52" i="33"/>
  <c r="G1" i="33"/>
  <c r="I1" i="33" s="1"/>
  <c r="E26" i="33" s="1"/>
  <c r="G26" i="33" s="1"/>
  <c r="H26" i="33" s="1"/>
  <c r="K26" i="33" s="1"/>
  <c r="L26" i="33" s="1"/>
  <c r="G1" i="26"/>
  <c r="I1" i="26" s="1"/>
  <c r="E20" i="26" s="1"/>
  <c r="G20" i="26" s="1"/>
  <c r="H20" i="26" s="1"/>
  <c r="K20" i="26" s="1"/>
  <c r="L20" i="26" s="1"/>
  <c r="D52" i="26"/>
  <c r="AB29" i="19"/>
  <c r="D76" i="10"/>
  <c r="D89" i="10"/>
  <c r="K5" i="10"/>
  <c r="V44" i="7"/>
  <c r="U44" i="7"/>
  <c r="W44" i="7" s="1"/>
  <c r="J51" i="7" s="1"/>
  <c r="V44" i="69"/>
  <c r="U44" i="69"/>
  <c r="W44" i="69" s="1"/>
  <c r="J51" i="69" s="1"/>
  <c r="I51" i="69" s="1"/>
  <c r="J54" i="10"/>
  <c r="B82" i="10" s="1"/>
  <c r="I52" i="10"/>
  <c r="E5" i="10" s="1"/>
  <c r="I53" i="10"/>
  <c r="I52" i="51"/>
  <c r="E5" i="51" s="1"/>
  <c r="J53" i="51"/>
  <c r="B79" i="51" s="1"/>
  <c r="H79" i="51" s="1"/>
  <c r="J52" i="60"/>
  <c r="AO1" i="60"/>
  <c r="AM1" i="60"/>
  <c r="E1" i="60"/>
  <c r="AM11" i="58"/>
  <c r="AO11" i="58" s="1"/>
  <c r="AP11" i="58" s="1"/>
  <c r="AS11" i="58" s="1"/>
  <c r="AT11" i="58" s="1"/>
  <c r="AM6" i="58"/>
  <c r="AO6" i="58" s="1"/>
  <c r="AP6" i="58" s="1"/>
  <c r="AS6" i="58" s="1"/>
  <c r="AT6" i="58" s="1"/>
  <c r="AM10" i="58"/>
  <c r="AO10" i="58" s="1"/>
  <c r="AP10" i="58" s="1"/>
  <c r="AS10" i="58" s="1"/>
  <c r="AT10" i="58" s="1"/>
  <c r="AM12" i="58"/>
  <c r="AO12" i="58" s="1"/>
  <c r="AP12" i="58" s="1"/>
  <c r="AS12" i="58" s="1"/>
  <c r="AT12" i="58" s="1"/>
  <c r="AM13" i="58"/>
  <c r="AO13" i="58" s="1"/>
  <c r="AP13" i="58" s="1"/>
  <c r="AS13" i="58" s="1"/>
  <c r="AT13" i="58" s="1"/>
  <c r="AM5" i="58"/>
  <c r="AO5" i="58" s="1"/>
  <c r="AP5" i="58" s="1"/>
  <c r="AM14" i="58"/>
  <c r="AO14" i="58" s="1"/>
  <c r="AP14" i="58" s="1"/>
  <c r="AS14" i="58" s="1"/>
  <c r="AT14" i="58" s="1"/>
  <c r="AM9" i="58"/>
  <c r="AO9" i="58" s="1"/>
  <c r="AP9" i="58" s="1"/>
  <c r="AS9" i="58" s="1"/>
  <c r="AT9" i="58" s="1"/>
  <c r="AM8" i="58"/>
  <c r="AO8" i="58" s="1"/>
  <c r="AP8" i="58" s="1"/>
  <c r="AS8" i="58" s="1"/>
  <c r="AT8" i="58" s="1"/>
  <c r="AM15" i="58"/>
  <c r="AO15" i="58" s="1"/>
  <c r="AP15" i="58" s="1"/>
  <c r="AS15" i="58" s="1"/>
  <c r="AT15" i="58" s="1"/>
  <c r="AM7" i="58"/>
  <c r="AO7" i="58" s="1"/>
  <c r="AP7" i="58" s="1"/>
  <c r="AS7" i="58" s="1"/>
  <c r="AT7" i="58" s="1"/>
  <c r="AM10" i="56"/>
  <c r="AO10" i="56" s="1"/>
  <c r="AP10" i="56" s="1"/>
  <c r="AS10" i="56" s="1"/>
  <c r="AT10" i="56" s="1"/>
  <c r="AM5" i="56"/>
  <c r="AO5" i="56" s="1"/>
  <c r="AP5" i="56" s="1"/>
  <c r="AM13" i="56"/>
  <c r="AO13" i="56" s="1"/>
  <c r="AP13" i="56" s="1"/>
  <c r="AS13" i="56" s="1"/>
  <c r="AT13" i="56" s="1"/>
  <c r="AM8" i="56"/>
  <c r="AO8" i="56" s="1"/>
  <c r="AP8" i="56" s="1"/>
  <c r="AS8" i="56" s="1"/>
  <c r="AT8" i="56" s="1"/>
  <c r="AM9" i="56"/>
  <c r="AO9" i="56" s="1"/>
  <c r="AP9" i="56" s="1"/>
  <c r="AS9" i="56" s="1"/>
  <c r="AT9" i="56" s="1"/>
  <c r="AM11" i="56"/>
  <c r="AO11" i="56" s="1"/>
  <c r="AP11" i="56" s="1"/>
  <c r="AS11" i="56" s="1"/>
  <c r="AT11" i="56" s="1"/>
  <c r="AM12" i="56"/>
  <c r="AO12" i="56" s="1"/>
  <c r="AP12" i="56" s="1"/>
  <c r="AS12" i="56" s="1"/>
  <c r="AT12" i="56" s="1"/>
  <c r="AM7" i="56"/>
  <c r="AO7" i="56" s="1"/>
  <c r="AP7" i="56" s="1"/>
  <c r="AS7" i="56" s="1"/>
  <c r="AT7" i="56" s="1"/>
  <c r="AM6" i="56"/>
  <c r="AO6" i="56" s="1"/>
  <c r="AP6" i="56" s="1"/>
  <c r="AS6" i="56" s="1"/>
  <c r="AT6" i="56" s="1"/>
  <c r="E19" i="50"/>
  <c r="G19" i="50" s="1"/>
  <c r="H19" i="50" s="1"/>
  <c r="K19" i="50" s="1"/>
  <c r="L19" i="50" s="1"/>
  <c r="E18" i="50"/>
  <c r="G18" i="50" s="1"/>
  <c r="H18" i="50" s="1"/>
  <c r="K18" i="50" s="1"/>
  <c r="L18" i="50" s="1"/>
  <c r="E20" i="50"/>
  <c r="G20" i="50" s="1"/>
  <c r="H20" i="50" s="1"/>
  <c r="K20" i="50" s="1"/>
  <c r="L20" i="50" s="1"/>
  <c r="E21" i="50"/>
  <c r="G21" i="50" s="1"/>
  <c r="H21" i="50" s="1"/>
  <c r="K21" i="50" s="1"/>
  <c r="L21" i="50" s="1"/>
  <c r="E5" i="50"/>
  <c r="G5" i="50" s="1"/>
  <c r="H5" i="50" s="1"/>
  <c r="K5" i="50" s="1"/>
  <c r="L5" i="50" s="1"/>
  <c r="S35" i="50" s="1"/>
  <c r="C52" i="50"/>
  <c r="J53" i="35"/>
  <c r="B71" i="35" s="1"/>
  <c r="H71" i="35" s="1"/>
  <c r="I52" i="35"/>
  <c r="E5" i="35" s="1"/>
  <c r="AA30" i="35"/>
  <c r="T33" i="35"/>
  <c r="D52" i="25"/>
  <c r="G1" i="25"/>
  <c r="I1" i="25" s="1"/>
  <c r="C52" i="25" s="1"/>
  <c r="C53" i="25" s="1"/>
  <c r="D53" i="25" s="1"/>
  <c r="J52" i="25"/>
  <c r="AM1" i="25"/>
  <c r="AO1" i="25"/>
  <c r="G1" i="79"/>
  <c r="E5" i="79" s="1"/>
  <c r="AM6" i="79"/>
  <c r="AO6" i="79" s="1"/>
  <c r="AP6" i="79" s="1"/>
  <c r="AS6" i="79" s="1"/>
  <c r="AT6" i="79" s="1"/>
  <c r="AM7" i="79"/>
  <c r="AO7" i="79" s="1"/>
  <c r="AP7" i="79" s="1"/>
  <c r="AS7" i="79" s="1"/>
  <c r="AT7" i="79" s="1"/>
  <c r="AM8" i="79"/>
  <c r="AO8" i="79" s="1"/>
  <c r="AP8" i="79" s="1"/>
  <c r="AS8" i="79" s="1"/>
  <c r="AT8" i="79" s="1"/>
  <c r="AM9" i="79"/>
  <c r="AO9" i="79" s="1"/>
  <c r="AP9" i="79" s="1"/>
  <c r="AS9" i="79" s="1"/>
  <c r="AT9" i="79" s="1"/>
  <c r="AM10" i="79"/>
  <c r="AO10" i="79" s="1"/>
  <c r="AP10" i="79" s="1"/>
  <c r="AS10" i="79" s="1"/>
  <c r="AT10" i="79" s="1"/>
  <c r="AM11" i="79"/>
  <c r="AO11" i="79" s="1"/>
  <c r="AP11" i="79" s="1"/>
  <c r="AS11" i="79" s="1"/>
  <c r="AT11" i="79" s="1"/>
  <c r="AM12" i="79"/>
  <c r="AO12" i="79" s="1"/>
  <c r="AP12" i="79" s="1"/>
  <c r="AS12" i="79" s="1"/>
  <c r="AT12" i="79" s="1"/>
  <c r="AM13" i="79"/>
  <c r="AO13" i="79" s="1"/>
  <c r="AP13" i="79" s="1"/>
  <c r="AS13" i="79" s="1"/>
  <c r="AT13" i="79" s="1"/>
  <c r="AM14" i="79"/>
  <c r="AO14" i="79" s="1"/>
  <c r="AP14" i="79" s="1"/>
  <c r="AS14" i="79" s="1"/>
  <c r="AT14" i="79" s="1"/>
  <c r="AM15" i="79"/>
  <c r="AO15" i="79" s="1"/>
  <c r="AP15" i="79" s="1"/>
  <c r="AS15" i="79" s="1"/>
  <c r="AT15" i="79" s="1"/>
  <c r="AM16" i="79"/>
  <c r="AO16" i="79" s="1"/>
  <c r="AP16" i="79" s="1"/>
  <c r="AS16" i="79" s="1"/>
  <c r="AT16" i="79" s="1"/>
  <c r="AM17" i="79"/>
  <c r="AO17" i="79" s="1"/>
  <c r="AP17" i="79" s="1"/>
  <c r="AS17" i="79" s="1"/>
  <c r="AT17" i="79" s="1"/>
  <c r="AM18" i="79"/>
  <c r="AO18" i="79" s="1"/>
  <c r="AP18" i="79" s="1"/>
  <c r="AS18" i="79" s="1"/>
  <c r="AT18" i="79" s="1"/>
  <c r="AM19" i="79"/>
  <c r="AO19" i="79" s="1"/>
  <c r="AP19" i="79" s="1"/>
  <c r="AS19" i="79" s="1"/>
  <c r="AT19" i="79" s="1"/>
  <c r="AM5" i="79"/>
  <c r="AO5" i="79" s="1"/>
  <c r="AP5" i="79" s="1"/>
  <c r="C52" i="68"/>
  <c r="I1" i="68"/>
  <c r="I53" i="50"/>
  <c r="J54" i="50"/>
  <c r="B106" i="50" s="1"/>
  <c r="H53" i="50"/>
  <c r="E65" i="50" s="1"/>
  <c r="E1" i="55"/>
  <c r="E1" i="54"/>
  <c r="T30" i="54"/>
  <c r="D52" i="39"/>
  <c r="B73" i="39" s="1"/>
  <c r="G1" i="39"/>
  <c r="E1" i="38"/>
  <c r="E1" i="31"/>
  <c r="D52" i="31" s="1"/>
  <c r="G1" i="27"/>
  <c r="I1" i="27" s="1"/>
  <c r="D52" i="27"/>
  <c r="J54" i="27"/>
  <c r="B104" i="27" s="1"/>
  <c r="J54" i="16"/>
  <c r="B101" i="16" s="1"/>
  <c r="I53" i="16"/>
  <c r="E1" i="14"/>
  <c r="T30" i="14"/>
  <c r="E1" i="13"/>
  <c r="G1" i="12"/>
  <c r="I1" i="12" s="1"/>
  <c r="D52" i="12"/>
  <c r="B74" i="12" s="1"/>
  <c r="E1" i="37"/>
  <c r="J53" i="30"/>
  <c r="B75" i="30" s="1"/>
  <c r="I52" i="30"/>
  <c r="H52" i="30" s="1"/>
  <c r="L5" i="23"/>
  <c r="S33" i="23" s="1"/>
  <c r="J53" i="23"/>
  <c r="B80" i="23" s="1"/>
  <c r="I52" i="23"/>
  <c r="E5" i="23" s="1"/>
  <c r="E13" i="20"/>
  <c r="G13" i="20" s="1"/>
  <c r="H13" i="20" s="1"/>
  <c r="K13" i="20" s="1"/>
  <c r="L13" i="20" s="1"/>
  <c r="E8" i="20"/>
  <c r="G8" i="20" s="1"/>
  <c r="H8" i="20" s="1"/>
  <c r="K8" i="20" s="1"/>
  <c r="L8" i="20" s="1"/>
  <c r="E16" i="20"/>
  <c r="G16" i="20" s="1"/>
  <c r="H16" i="20" s="1"/>
  <c r="K16" i="20" s="1"/>
  <c r="L16" i="20" s="1"/>
  <c r="E11" i="20"/>
  <c r="G11" i="20" s="1"/>
  <c r="H11" i="20" s="1"/>
  <c r="K11" i="20" s="1"/>
  <c r="L11" i="20" s="1"/>
  <c r="E19" i="20"/>
  <c r="G19" i="20" s="1"/>
  <c r="H19" i="20" s="1"/>
  <c r="K19" i="20" s="1"/>
  <c r="L19" i="20" s="1"/>
  <c r="E12" i="20"/>
  <c r="G12" i="20" s="1"/>
  <c r="H12" i="20" s="1"/>
  <c r="K12" i="20" s="1"/>
  <c r="L12" i="20" s="1"/>
  <c r="E15" i="20"/>
  <c r="G15" i="20" s="1"/>
  <c r="H15" i="20" s="1"/>
  <c r="K15" i="20" s="1"/>
  <c r="L15" i="20" s="1"/>
  <c r="E10" i="20"/>
  <c r="G10" i="20" s="1"/>
  <c r="H10" i="20" s="1"/>
  <c r="K10" i="20" s="1"/>
  <c r="L10" i="20" s="1"/>
  <c r="E18" i="20"/>
  <c r="G18" i="20" s="1"/>
  <c r="H18" i="20" s="1"/>
  <c r="K18" i="20" s="1"/>
  <c r="L18" i="20" s="1"/>
  <c r="E6" i="20"/>
  <c r="G6" i="20" s="1"/>
  <c r="H6" i="20" s="1"/>
  <c r="K6" i="20" s="1"/>
  <c r="L6" i="20" s="1"/>
  <c r="E14" i="20"/>
  <c r="G14" i="20" s="1"/>
  <c r="H14" i="20" s="1"/>
  <c r="K14" i="20" s="1"/>
  <c r="L14" i="20" s="1"/>
  <c r="E9" i="20"/>
  <c r="G9" i="20" s="1"/>
  <c r="H9" i="20" s="1"/>
  <c r="K9" i="20" s="1"/>
  <c r="L9" i="20" s="1"/>
  <c r="E17" i="20"/>
  <c r="G17" i="20" s="1"/>
  <c r="H17" i="20" s="1"/>
  <c r="K17" i="20" s="1"/>
  <c r="L17" i="20" s="1"/>
  <c r="C52" i="20"/>
  <c r="E7" i="20"/>
  <c r="G7" i="20" s="1"/>
  <c r="H7" i="20" s="1"/>
  <c r="K7" i="20" s="1"/>
  <c r="L7" i="20" s="1"/>
  <c r="D52" i="19"/>
  <c r="G1" i="19"/>
  <c r="I1" i="19" s="1"/>
  <c r="G1" i="11"/>
  <c r="E18" i="11"/>
  <c r="G18" i="11" s="1"/>
  <c r="H18" i="11" s="1"/>
  <c r="K18" i="11" s="1"/>
  <c r="L18" i="11" s="1"/>
  <c r="E26" i="11"/>
  <c r="G26" i="11" s="1"/>
  <c r="H26" i="11" s="1"/>
  <c r="K26" i="11" s="1"/>
  <c r="L26" i="11" s="1"/>
  <c r="E19" i="11"/>
  <c r="G19" i="11" s="1"/>
  <c r="H19" i="11" s="1"/>
  <c r="K19" i="11" s="1"/>
  <c r="L19" i="11" s="1"/>
  <c r="E27" i="11"/>
  <c r="G27" i="11" s="1"/>
  <c r="H27" i="11" s="1"/>
  <c r="K27" i="11" s="1"/>
  <c r="L27" i="11" s="1"/>
  <c r="E23" i="11"/>
  <c r="G23" i="11" s="1"/>
  <c r="H23" i="11" s="1"/>
  <c r="K23" i="11" s="1"/>
  <c r="L23" i="11" s="1"/>
  <c r="E20" i="11"/>
  <c r="G20" i="11" s="1"/>
  <c r="H20" i="11" s="1"/>
  <c r="K20" i="11" s="1"/>
  <c r="L20" i="11" s="1"/>
  <c r="E14" i="11"/>
  <c r="G14" i="11" s="1"/>
  <c r="H14" i="11" s="1"/>
  <c r="E21" i="11"/>
  <c r="G21" i="11" s="1"/>
  <c r="H21" i="11" s="1"/>
  <c r="K21" i="11" s="1"/>
  <c r="L21" i="11" s="1"/>
  <c r="E22" i="11"/>
  <c r="G22" i="11" s="1"/>
  <c r="H22" i="11" s="1"/>
  <c r="K22" i="11" s="1"/>
  <c r="L22" i="11" s="1"/>
  <c r="E16" i="11"/>
  <c r="G16" i="11" s="1"/>
  <c r="H16" i="11" s="1"/>
  <c r="K16" i="11" s="1"/>
  <c r="L16" i="11" s="1"/>
  <c r="E24" i="11"/>
  <c r="G24" i="11" s="1"/>
  <c r="H24" i="11" s="1"/>
  <c r="K24" i="11" s="1"/>
  <c r="L24" i="11" s="1"/>
  <c r="E17" i="11"/>
  <c r="G17" i="11" s="1"/>
  <c r="H17" i="11" s="1"/>
  <c r="K17" i="11" s="1"/>
  <c r="L17" i="11" s="1"/>
  <c r="E25" i="11"/>
  <c r="G25" i="11" s="1"/>
  <c r="H25" i="11" s="1"/>
  <c r="K25" i="11" s="1"/>
  <c r="L25" i="11" s="1"/>
  <c r="E15" i="11"/>
  <c r="G15" i="11" s="1"/>
  <c r="H15" i="11" s="1"/>
  <c r="K15" i="11" s="1"/>
  <c r="L15" i="11" s="1"/>
  <c r="E12" i="7"/>
  <c r="G12" i="7" s="1"/>
  <c r="H12" i="7" s="1"/>
  <c r="K12" i="7" s="1"/>
  <c r="L12" i="7" s="1"/>
  <c r="C52" i="7"/>
  <c r="E7" i="7"/>
  <c r="G7" i="7" s="1"/>
  <c r="H7" i="7" s="1"/>
  <c r="K7" i="7" s="1"/>
  <c r="L7" i="7" s="1"/>
  <c r="E15" i="7"/>
  <c r="G15" i="7" s="1"/>
  <c r="H15" i="7" s="1"/>
  <c r="K15" i="7" s="1"/>
  <c r="L15" i="7" s="1"/>
  <c r="E10" i="7"/>
  <c r="G10" i="7" s="1"/>
  <c r="H10" i="7" s="1"/>
  <c r="K10" i="7" s="1"/>
  <c r="L10" i="7" s="1"/>
  <c r="E18" i="7"/>
  <c r="G18" i="7" s="1"/>
  <c r="H18" i="7" s="1"/>
  <c r="K18" i="7" s="1"/>
  <c r="L18" i="7" s="1"/>
  <c r="E13" i="7"/>
  <c r="G13" i="7" s="1"/>
  <c r="H13" i="7" s="1"/>
  <c r="K13" i="7" s="1"/>
  <c r="L13" i="7" s="1"/>
  <c r="E8" i="7"/>
  <c r="G8" i="7" s="1"/>
  <c r="H8" i="7" s="1"/>
  <c r="K8" i="7" s="1"/>
  <c r="L8" i="7" s="1"/>
  <c r="E16" i="7"/>
  <c r="G16" i="7" s="1"/>
  <c r="H16" i="7" s="1"/>
  <c r="K16" i="7" s="1"/>
  <c r="L16" i="7" s="1"/>
  <c r="E11" i="7"/>
  <c r="G11" i="7" s="1"/>
  <c r="H11" i="7" s="1"/>
  <c r="K11" i="7" s="1"/>
  <c r="L11" i="7" s="1"/>
  <c r="E19" i="7"/>
  <c r="G19" i="7" s="1"/>
  <c r="H19" i="7" s="1"/>
  <c r="K19" i="7" s="1"/>
  <c r="L19" i="7" s="1"/>
  <c r="E6" i="7"/>
  <c r="G6" i="7" s="1"/>
  <c r="H6" i="7" s="1"/>
  <c r="K6" i="7" s="1"/>
  <c r="L6" i="7" s="1"/>
  <c r="E14" i="7"/>
  <c r="G14" i="7" s="1"/>
  <c r="H14" i="7" s="1"/>
  <c r="K14" i="7" s="1"/>
  <c r="L14" i="7" s="1"/>
  <c r="E9" i="7"/>
  <c r="G9" i="7" s="1"/>
  <c r="H9" i="7" s="1"/>
  <c r="K9" i="7" s="1"/>
  <c r="L9" i="7" s="1"/>
  <c r="E17" i="7"/>
  <c r="G17" i="7" s="1"/>
  <c r="H17" i="7" s="1"/>
  <c r="K17" i="7" s="1"/>
  <c r="L17" i="7" s="1"/>
  <c r="C52" i="45"/>
  <c r="C53" i="45" s="1"/>
  <c r="D53" i="45" s="1"/>
  <c r="E13" i="45"/>
  <c r="G13" i="45" s="1"/>
  <c r="H13" i="45" s="1"/>
  <c r="K13" i="45" s="1"/>
  <c r="L13" i="45" s="1"/>
  <c r="E14" i="45"/>
  <c r="G14" i="45" s="1"/>
  <c r="H14" i="45" s="1"/>
  <c r="K14" i="45" s="1"/>
  <c r="L14" i="45" s="1"/>
  <c r="E10" i="45"/>
  <c r="G10" i="45" s="1"/>
  <c r="H10" i="45" s="1"/>
  <c r="K10" i="45" s="1"/>
  <c r="L10" i="45" s="1"/>
  <c r="E18" i="45"/>
  <c r="G18" i="45" s="1"/>
  <c r="H18" i="45" s="1"/>
  <c r="K18" i="45" s="1"/>
  <c r="L18" i="45" s="1"/>
  <c r="E6" i="45"/>
  <c r="G6" i="45" s="1"/>
  <c r="H6" i="45" s="1"/>
  <c r="K6" i="45" s="1"/>
  <c r="L6" i="45" s="1"/>
  <c r="J52" i="45"/>
  <c r="I52" i="45" s="1"/>
  <c r="D52" i="45"/>
  <c r="V44" i="45" s="1"/>
  <c r="E7" i="45"/>
  <c r="G7" i="45" s="1"/>
  <c r="H7" i="45" s="1"/>
  <c r="K7" i="45" s="1"/>
  <c r="L7" i="45" s="1"/>
  <c r="E11" i="45"/>
  <c r="G11" i="45" s="1"/>
  <c r="H11" i="45" s="1"/>
  <c r="K11" i="45" s="1"/>
  <c r="L11" i="45" s="1"/>
  <c r="E20" i="45"/>
  <c r="G20" i="45" s="1"/>
  <c r="H20" i="45" s="1"/>
  <c r="K20" i="45" s="1"/>
  <c r="L20" i="45" s="1"/>
  <c r="E5" i="45"/>
  <c r="E12" i="45"/>
  <c r="G12" i="45" s="1"/>
  <c r="H12" i="45" s="1"/>
  <c r="K12" i="45" s="1"/>
  <c r="L12" i="45" s="1"/>
  <c r="E16" i="45"/>
  <c r="G16" i="45" s="1"/>
  <c r="H16" i="45" s="1"/>
  <c r="K16" i="45" s="1"/>
  <c r="L16" i="45" s="1"/>
  <c r="E19" i="45"/>
  <c r="G19" i="45" s="1"/>
  <c r="H19" i="45" s="1"/>
  <c r="K19" i="45" s="1"/>
  <c r="L19" i="45" s="1"/>
  <c r="E17" i="45"/>
  <c r="G17" i="45" s="1"/>
  <c r="H17" i="45" s="1"/>
  <c r="K17" i="45" s="1"/>
  <c r="L17" i="45" s="1"/>
  <c r="E8" i="45"/>
  <c r="G8" i="45" s="1"/>
  <c r="H8" i="45" s="1"/>
  <c r="K8" i="45" s="1"/>
  <c r="L8" i="45" s="1"/>
  <c r="E15" i="45"/>
  <c r="G15" i="45" s="1"/>
  <c r="H15" i="45" s="1"/>
  <c r="K15" i="45" s="1"/>
  <c r="L15" i="45" s="1"/>
  <c r="E9" i="45"/>
  <c r="G9" i="45" s="1"/>
  <c r="H9" i="45" s="1"/>
  <c r="K9" i="45" s="1"/>
  <c r="L9" i="45" s="1"/>
  <c r="U44" i="45"/>
  <c r="W44" i="45" s="1"/>
  <c r="J51" i="45" s="1"/>
  <c r="D52" i="3"/>
  <c r="J53" i="6"/>
  <c r="B73" i="6" s="1"/>
  <c r="I52" i="6"/>
  <c r="G1" i="6"/>
  <c r="I1" i="6" s="1"/>
  <c r="D52" i="6"/>
  <c r="J53" i="9"/>
  <c r="I52" i="9"/>
  <c r="H52" i="9" s="1"/>
  <c r="E65" i="9" s="1"/>
  <c r="D52" i="9"/>
  <c r="G1" i="9"/>
  <c r="I1" i="9" s="1"/>
  <c r="C52" i="9" s="1"/>
  <c r="E1" i="70"/>
  <c r="I52" i="66"/>
  <c r="J53" i="66"/>
  <c r="B75" i="66" s="1"/>
  <c r="H75" i="66" s="1"/>
  <c r="H5" i="66"/>
  <c r="K5" i="66" s="1"/>
  <c r="L5" i="66" s="1"/>
  <c r="D52" i="69"/>
  <c r="G1" i="69"/>
  <c r="I1" i="69" s="1"/>
  <c r="J53" i="18" l="1"/>
  <c r="I52" i="18"/>
  <c r="H52" i="18" s="1"/>
  <c r="E5" i="18" s="1"/>
  <c r="AF30" i="107"/>
  <c r="AC25" i="107" s="1"/>
  <c r="AE30" i="97"/>
  <c r="AC25" i="97" s="1"/>
  <c r="AF30" i="106"/>
  <c r="AC25" i="106" s="1"/>
  <c r="U35" i="109"/>
  <c r="AB30" i="109"/>
  <c r="AD30" i="109" s="1"/>
  <c r="AC25" i="109" s="1"/>
  <c r="I52" i="59"/>
  <c r="H52" i="59" s="1"/>
  <c r="H53" i="59" s="1"/>
  <c r="J53" i="49"/>
  <c r="I52" i="49"/>
  <c r="H52" i="49" s="1"/>
  <c r="I52" i="19"/>
  <c r="J53" i="19"/>
  <c r="AM7" i="59"/>
  <c r="AO7" i="59" s="1"/>
  <c r="AP7" i="59" s="1"/>
  <c r="AS7" i="59" s="1"/>
  <c r="AT7" i="59" s="1"/>
  <c r="AM5" i="59"/>
  <c r="AO5" i="59" s="1"/>
  <c r="AP5" i="59" s="1"/>
  <c r="AM6" i="59"/>
  <c r="AO6" i="59" s="1"/>
  <c r="AP6" i="59" s="1"/>
  <c r="AS6" i="59" s="1"/>
  <c r="AT6" i="59" s="1"/>
  <c r="AM13" i="59"/>
  <c r="AO13" i="59" s="1"/>
  <c r="AP13" i="59" s="1"/>
  <c r="AS13" i="59" s="1"/>
  <c r="AT13" i="59" s="1"/>
  <c r="AM8" i="59"/>
  <c r="AO8" i="59" s="1"/>
  <c r="AP8" i="59" s="1"/>
  <c r="AS8" i="59" s="1"/>
  <c r="AT8" i="59" s="1"/>
  <c r="AM10" i="59"/>
  <c r="AO10" i="59" s="1"/>
  <c r="AP10" i="59" s="1"/>
  <c r="AS10" i="59" s="1"/>
  <c r="AT10" i="59" s="1"/>
  <c r="AM11" i="59"/>
  <c r="AO11" i="59" s="1"/>
  <c r="AP11" i="59" s="1"/>
  <c r="AS11" i="59" s="1"/>
  <c r="AT11" i="59" s="1"/>
  <c r="AM9" i="59"/>
  <c r="AO9" i="59" s="1"/>
  <c r="AP9" i="59" s="1"/>
  <c r="AS9" i="59" s="1"/>
  <c r="AT9" i="59" s="1"/>
  <c r="AM12" i="59"/>
  <c r="AO12" i="59" s="1"/>
  <c r="AP12" i="59" s="1"/>
  <c r="AS12" i="59" s="1"/>
  <c r="AT12" i="59" s="1"/>
  <c r="E20" i="85"/>
  <c r="G20" i="85" s="1"/>
  <c r="H20" i="85" s="1"/>
  <c r="K20" i="85" s="1"/>
  <c r="L20" i="85" s="1"/>
  <c r="E12" i="85"/>
  <c r="G12" i="85" s="1"/>
  <c r="H12" i="85" s="1"/>
  <c r="K12" i="85" s="1"/>
  <c r="L12" i="85" s="1"/>
  <c r="AM6" i="49"/>
  <c r="AO6" i="49" s="1"/>
  <c r="AP6" i="49" s="1"/>
  <c r="AS6" i="49" s="1"/>
  <c r="AT6" i="49" s="1"/>
  <c r="AM7" i="49"/>
  <c r="AO7" i="49" s="1"/>
  <c r="AP7" i="49" s="1"/>
  <c r="AS7" i="49" s="1"/>
  <c r="AT7" i="49" s="1"/>
  <c r="AM5" i="49"/>
  <c r="AO5" i="49" s="1"/>
  <c r="AP5" i="49" s="1"/>
  <c r="AM8" i="49"/>
  <c r="AO8" i="49" s="1"/>
  <c r="AP8" i="49" s="1"/>
  <c r="AS8" i="49" s="1"/>
  <c r="AT8" i="49" s="1"/>
  <c r="AM9" i="49"/>
  <c r="AO9" i="49" s="1"/>
  <c r="AP9" i="49" s="1"/>
  <c r="AS9" i="49" s="1"/>
  <c r="AT9" i="49" s="1"/>
  <c r="AM10" i="49"/>
  <c r="AO10" i="49" s="1"/>
  <c r="AP10" i="49" s="1"/>
  <c r="AS10" i="49" s="1"/>
  <c r="AT10" i="49" s="1"/>
  <c r="AM11" i="49"/>
  <c r="AO11" i="49" s="1"/>
  <c r="AP11" i="49" s="1"/>
  <c r="AS11" i="49" s="1"/>
  <c r="AT11" i="49" s="1"/>
  <c r="AM12" i="49"/>
  <c r="AO12" i="49" s="1"/>
  <c r="AP12" i="49" s="1"/>
  <c r="AS12" i="49" s="1"/>
  <c r="AT12" i="49" s="1"/>
  <c r="AM13" i="49"/>
  <c r="AO13" i="49" s="1"/>
  <c r="AP13" i="49" s="1"/>
  <c r="AS13" i="49" s="1"/>
  <c r="AT13" i="49" s="1"/>
  <c r="AM5" i="19"/>
  <c r="AO5" i="19" s="1"/>
  <c r="AP5" i="19" s="1"/>
  <c r="AM8" i="19"/>
  <c r="AO8" i="19" s="1"/>
  <c r="AP8" i="19" s="1"/>
  <c r="AS8" i="19" s="1"/>
  <c r="AT8" i="19" s="1"/>
  <c r="AM9" i="19"/>
  <c r="AO9" i="19" s="1"/>
  <c r="AP9" i="19" s="1"/>
  <c r="AS9" i="19" s="1"/>
  <c r="AT9" i="19" s="1"/>
  <c r="AM6" i="19"/>
  <c r="AO6" i="19" s="1"/>
  <c r="AP6" i="19" s="1"/>
  <c r="AS6" i="19" s="1"/>
  <c r="AT6" i="19" s="1"/>
  <c r="AM11" i="19"/>
  <c r="AO11" i="19" s="1"/>
  <c r="AP11" i="19" s="1"/>
  <c r="AS11" i="19" s="1"/>
  <c r="AT11" i="19" s="1"/>
  <c r="AM10" i="19"/>
  <c r="AO10" i="19" s="1"/>
  <c r="AP10" i="19" s="1"/>
  <c r="AS10" i="19" s="1"/>
  <c r="AT10" i="19" s="1"/>
  <c r="AM7" i="19"/>
  <c r="AO7" i="19" s="1"/>
  <c r="AP7" i="19" s="1"/>
  <c r="AS7" i="19" s="1"/>
  <c r="AT7" i="19" s="1"/>
  <c r="AM12" i="19"/>
  <c r="AO12" i="19" s="1"/>
  <c r="AP12" i="19" s="1"/>
  <c r="AS12" i="19" s="1"/>
  <c r="AT12" i="19" s="1"/>
  <c r="AM13" i="19"/>
  <c r="AO13" i="19" s="1"/>
  <c r="AP13" i="19" s="1"/>
  <c r="AS13" i="19" s="1"/>
  <c r="AT13" i="19" s="1"/>
  <c r="E15" i="85"/>
  <c r="G15" i="85" s="1"/>
  <c r="H15" i="85" s="1"/>
  <c r="K15" i="85" s="1"/>
  <c r="L15" i="85" s="1"/>
  <c r="E13" i="85"/>
  <c r="G13" i="85" s="1"/>
  <c r="H13" i="85" s="1"/>
  <c r="K13" i="85" s="1"/>
  <c r="L13" i="85" s="1"/>
  <c r="E8" i="85"/>
  <c r="G8" i="85" s="1"/>
  <c r="H8" i="85" s="1"/>
  <c r="K8" i="85" s="1"/>
  <c r="L8" i="85" s="1"/>
  <c r="E6" i="85"/>
  <c r="G6" i="85" s="1"/>
  <c r="H6" i="85" s="1"/>
  <c r="K6" i="85" s="1"/>
  <c r="L6" i="85" s="1"/>
  <c r="E9" i="85"/>
  <c r="G9" i="85" s="1"/>
  <c r="H9" i="85" s="1"/>
  <c r="K9" i="85" s="1"/>
  <c r="L9" i="85" s="1"/>
  <c r="E19" i="85"/>
  <c r="G19" i="85" s="1"/>
  <c r="H19" i="85" s="1"/>
  <c r="K19" i="85" s="1"/>
  <c r="L19" i="85" s="1"/>
  <c r="E14" i="85"/>
  <c r="G14" i="85" s="1"/>
  <c r="H14" i="85" s="1"/>
  <c r="K14" i="85" s="1"/>
  <c r="L14" i="85" s="1"/>
  <c r="E16" i="85"/>
  <c r="G16" i="85" s="1"/>
  <c r="H16" i="85" s="1"/>
  <c r="K16" i="85" s="1"/>
  <c r="L16" i="85" s="1"/>
  <c r="AM7" i="28"/>
  <c r="AO7" i="28" s="1"/>
  <c r="AP7" i="28" s="1"/>
  <c r="AS7" i="28" s="1"/>
  <c r="AT7" i="28" s="1"/>
  <c r="AM5" i="28"/>
  <c r="AO5" i="28" s="1"/>
  <c r="AP5" i="28" s="1"/>
  <c r="AM17" i="28"/>
  <c r="AO17" i="28" s="1"/>
  <c r="AP17" i="28" s="1"/>
  <c r="AS17" i="28" s="1"/>
  <c r="AT17" i="28" s="1"/>
  <c r="AM12" i="28"/>
  <c r="AO12" i="28" s="1"/>
  <c r="AP12" i="28" s="1"/>
  <c r="AS12" i="28" s="1"/>
  <c r="AT12" i="28" s="1"/>
  <c r="AM13" i="28"/>
  <c r="AO13" i="28" s="1"/>
  <c r="AP13" i="28" s="1"/>
  <c r="AS13" i="28" s="1"/>
  <c r="AT13" i="28" s="1"/>
  <c r="AM8" i="28"/>
  <c r="AO8" i="28" s="1"/>
  <c r="AP8" i="28" s="1"/>
  <c r="AS8" i="28" s="1"/>
  <c r="AT8" i="28" s="1"/>
  <c r="AM9" i="28"/>
  <c r="AO9" i="28" s="1"/>
  <c r="AP9" i="28" s="1"/>
  <c r="AS9" i="28" s="1"/>
  <c r="AT9" i="28" s="1"/>
  <c r="AM14" i="28"/>
  <c r="AO14" i="28" s="1"/>
  <c r="AP14" i="28" s="1"/>
  <c r="AS14" i="28" s="1"/>
  <c r="AT14" i="28" s="1"/>
  <c r="AM6" i="28"/>
  <c r="AO6" i="28" s="1"/>
  <c r="AP6" i="28" s="1"/>
  <c r="AS6" i="28" s="1"/>
  <c r="AT6" i="28" s="1"/>
  <c r="E5" i="85"/>
  <c r="G5" i="85" s="1"/>
  <c r="H5" i="85" s="1"/>
  <c r="K5" i="85" s="1"/>
  <c r="L5" i="85" s="1"/>
  <c r="E10" i="85"/>
  <c r="G10" i="85" s="1"/>
  <c r="H10" i="85" s="1"/>
  <c r="K10" i="85" s="1"/>
  <c r="L10" i="85" s="1"/>
  <c r="E7" i="85"/>
  <c r="G7" i="85" s="1"/>
  <c r="H7" i="85" s="1"/>
  <c r="K7" i="85" s="1"/>
  <c r="L7" i="85" s="1"/>
  <c r="E18" i="85"/>
  <c r="G18" i="85" s="1"/>
  <c r="H18" i="85" s="1"/>
  <c r="K18" i="85" s="1"/>
  <c r="L18" i="85" s="1"/>
  <c r="E11" i="85"/>
  <c r="G11" i="85" s="1"/>
  <c r="H11" i="85" s="1"/>
  <c r="K11" i="85" s="1"/>
  <c r="L11" i="85" s="1"/>
  <c r="E17" i="85"/>
  <c r="G17" i="85" s="1"/>
  <c r="H17" i="85" s="1"/>
  <c r="K17" i="85" s="1"/>
  <c r="L17" i="85" s="1"/>
  <c r="E21" i="85"/>
  <c r="G21" i="85" s="1"/>
  <c r="H21" i="85" s="1"/>
  <c r="K21" i="85" s="1"/>
  <c r="L21" i="85" s="1"/>
  <c r="AM11" i="28"/>
  <c r="AO11" i="28" s="1"/>
  <c r="AP11" i="28" s="1"/>
  <c r="AS11" i="28" s="1"/>
  <c r="AT11" i="28" s="1"/>
  <c r="AM18" i="28"/>
  <c r="AO18" i="28" s="1"/>
  <c r="AP18" i="28" s="1"/>
  <c r="AS18" i="28" s="1"/>
  <c r="AT18" i="28" s="1"/>
  <c r="AM15" i="28"/>
  <c r="AO15" i="28" s="1"/>
  <c r="AP15" i="28" s="1"/>
  <c r="AS15" i="28" s="1"/>
  <c r="AT15" i="28" s="1"/>
  <c r="AM16" i="28"/>
  <c r="AO16" i="28" s="1"/>
  <c r="AP16" i="28" s="1"/>
  <c r="AS16" i="28" s="1"/>
  <c r="AT16" i="28" s="1"/>
  <c r="AM10" i="28"/>
  <c r="AO10" i="28" s="1"/>
  <c r="AP10" i="28" s="1"/>
  <c r="AS10" i="28" s="1"/>
  <c r="AT10" i="28" s="1"/>
  <c r="AM19" i="28"/>
  <c r="AO19" i="28" s="1"/>
  <c r="AP19" i="28" s="1"/>
  <c r="AS19" i="28" s="1"/>
  <c r="AT19" i="28" s="1"/>
  <c r="C54" i="85"/>
  <c r="D54" i="85" s="1"/>
  <c r="AB21" i="92"/>
  <c r="AC21" i="92" s="1"/>
  <c r="AC16" i="92" s="1"/>
  <c r="U33" i="92"/>
  <c r="I52" i="28"/>
  <c r="J53" i="28"/>
  <c r="J54" i="28" s="1"/>
  <c r="D5" i="28"/>
  <c r="I52" i="48"/>
  <c r="J53" i="48"/>
  <c r="E16" i="29"/>
  <c r="G16" i="29" s="1"/>
  <c r="H16" i="29" s="1"/>
  <c r="K16" i="29" s="1"/>
  <c r="L16" i="29" s="1"/>
  <c r="E15" i="29"/>
  <c r="G15" i="29" s="1"/>
  <c r="H15" i="29" s="1"/>
  <c r="K15" i="29" s="1"/>
  <c r="L15" i="29" s="1"/>
  <c r="AM13" i="43"/>
  <c r="AO13" i="43" s="1"/>
  <c r="AP13" i="43" s="1"/>
  <c r="AS13" i="43" s="1"/>
  <c r="AT13" i="43" s="1"/>
  <c r="AM16" i="43"/>
  <c r="AO16" i="43" s="1"/>
  <c r="AP16" i="43" s="1"/>
  <c r="AS16" i="43" s="1"/>
  <c r="AT16" i="43" s="1"/>
  <c r="AM10" i="43"/>
  <c r="AO10" i="43" s="1"/>
  <c r="AP10" i="43" s="1"/>
  <c r="AS10" i="43" s="1"/>
  <c r="AT10" i="43" s="1"/>
  <c r="AM17" i="43"/>
  <c r="AO17" i="43" s="1"/>
  <c r="AP17" i="43" s="1"/>
  <c r="AS17" i="43" s="1"/>
  <c r="AT17" i="43" s="1"/>
  <c r="AM9" i="43"/>
  <c r="AO9" i="43" s="1"/>
  <c r="AP9" i="43" s="1"/>
  <c r="AS9" i="43" s="1"/>
  <c r="AT9" i="43" s="1"/>
  <c r="AM11" i="43"/>
  <c r="AO11" i="43" s="1"/>
  <c r="AP11" i="43" s="1"/>
  <c r="AS11" i="43" s="1"/>
  <c r="AT11" i="43" s="1"/>
  <c r="AM15" i="43"/>
  <c r="AO15" i="43" s="1"/>
  <c r="AP15" i="43" s="1"/>
  <c r="AS15" i="43" s="1"/>
  <c r="AT15" i="43" s="1"/>
  <c r="AM8" i="43"/>
  <c r="AO8" i="43" s="1"/>
  <c r="AP8" i="43" s="1"/>
  <c r="AS8" i="43" s="1"/>
  <c r="AT8" i="43" s="1"/>
  <c r="AM12" i="43"/>
  <c r="AO12" i="43" s="1"/>
  <c r="AP12" i="43" s="1"/>
  <c r="AS12" i="43" s="1"/>
  <c r="AT12" i="43" s="1"/>
  <c r="AM7" i="43"/>
  <c r="AO7" i="43" s="1"/>
  <c r="AP7" i="43" s="1"/>
  <c r="AS7" i="43" s="1"/>
  <c r="AT7" i="43" s="1"/>
  <c r="AM14" i="43"/>
  <c r="AO14" i="43" s="1"/>
  <c r="AP14" i="43" s="1"/>
  <c r="AS14" i="43" s="1"/>
  <c r="AT14" i="43" s="1"/>
  <c r="E7" i="29"/>
  <c r="G7" i="29" s="1"/>
  <c r="H7" i="29" s="1"/>
  <c r="K7" i="29" s="1"/>
  <c r="L7" i="29" s="1"/>
  <c r="E8" i="29"/>
  <c r="G8" i="29" s="1"/>
  <c r="H8" i="29" s="1"/>
  <c r="K8" i="29" s="1"/>
  <c r="L8" i="29" s="1"/>
  <c r="E18" i="29"/>
  <c r="G18" i="29" s="1"/>
  <c r="H18" i="29" s="1"/>
  <c r="K18" i="29" s="1"/>
  <c r="L18" i="29" s="1"/>
  <c r="E10" i="29"/>
  <c r="G10" i="29" s="1"/>
  <c r="H10" i="29" s="1"/>
  <c r="K10" i="29" s="1"/>
  <c r="L10" i="29" s="1"/>
  <c r="C52" i="29"/>
  <c r="C53" i="29" s="1"/>
  <c r="D53" i="29" s="1"/>
  <c r="E17" i="29"/>
  <c r="G17" i="29" s="1"/>
  <c r="H17" i="29" s="1"/>
  <c r="K17" i="29" s="1"/>
  <c r="L17" i="29" s="1"/>
  <c r="G6" i="29"/>
  <c r="H6" i="29" s="1"/>
  <c r="K6" i="29" s="1"/>
  <c r="L6" i="29" s="1"/>
  <c r="E14" i="29"/>
  <c r="G14" i="29" s="1"/>
  <c r="H14" i="29" s="1"/>
  <c r="K14" i="29" s="1"/>
  <c r="L14" i="29" s="1"/>
  <c r="E11" i="29"/>
  <c r="G11" i="29" s="1"/>
  <c r="H11" i="29" s="1"/>
  <c r="K11" i="29" s="1"/>
  <c r="L11" i="29" s="1"/>
  <c r="E13" i="29"/>
  <c r="G13" i="29" s="1"/>
  <c r="H13" i="29" s="1"/>
  <c r="K13" i="29" s="1"/>
  <c r="L13" i="29" s="1"/>
  <c r="E19" i="29"/>
  <c r="G19" i="29" s="1"/>
  <c r="H19" i="29" s="1"/>
  <c r="K19" i="29" s="1"/>
  <c r="L19" i="29" s="1"/>
  <c r="D52" i="29"/>
  <c r="V35" i="56"/>
  <c r="AA30" i="56" s="1"/>
  <c r="V28" i="79"/>
  <c r="V32" i="79" s="1"/>
  <c r="S32" i="83"/>
  <c r="AC25" i="83" s="1"/>
  <c r="V35" i="79"/>
  <c r="Z30" i="79" s="1"/>
  <c r="AA30" i="50"/>
  <c r="U35" i="36"/>
  <c r="AA30" i="36"/>
  <c r="AC30" i="36" s="1"/>
  <c r="AC25" i="36" s="1"/>
  <c r="E5" i="32"/>
  <c r="G5" i="32" s="1"/>
  <c r="H5" i="32" s="1"/>
  <c r="H53" i="32"/>
  <c r="B82" i="32"/>
  <c r="I53" i="32"/>
  <c r="E12" i="29"/>
  <c r="G12" i="29" s="1"/>
  <c r="H12" i="29" s="1"/>
  <c r="K12" i="29" s="1"/>
  <c r="L12" i="29" s="1"/>
  <c r="E9" i="29"/>
  <c r="G9" i="29" s="1"/>
  <c r="H9" i="29" s="1"/>
  <c r="K9" i="29" s="1"/>
  <c r="L9" i="29" s="1"/>
  <c r="T33" i="23"/>
  <c r="AA30" i="23"/>
  <c r="AC30" i="23" s="1"/>
  <c r="V35" i="21"/>
  <c r="AA30" i="21" s="1"/>
  <c r="V28" i="56"/>
  <c r="T35" i="45"/>
  <c r="AB30" i="45" s="1"/>
  <c r="T35" i="20"/>
  <c r="K14" i="11"/>
  <c r="L14" i="11" s="1"/>
  <c r="V35" i="11" s="1"/>
  <c r="AA30" i="11" s="1"/>
  <c r="V28" i="11"/>
  <c r="F82" i="6"/>
  <c r="F10" i="6"/>
  <c r="F69" i="6"/>
  <c r="E68" i="68"/>
  <c r="E66" i="68"/>
  <c r="E69" i="68"/>
  <c r="E70" i="68"/>
  <c r="E71" i="68"/>
  <c r="E72" i="68"/>
  <c r="E65" i="68"/>
  <c r="E67" i="68"/>
  <c r="D120" i="57"/>
  <c r="D65" i="57"/>
  <c r="D93" i="57"/>
  <c r="V28" i="21"/>
  <c r="D115" i="8"/>
  <c r="D65" i="8"/>
  <c r="D90" i="8"/>
  <c r="E66" i="82"/>
  <c r="E67" i="82"/>
  <c r="E68" i="82"/>
  <c r="E65" i="82"/>
  <c r="H52" i="46"/>
  <c r="AB29" i="3"/>
  <c r="AE31" i="3"/>
  <c r="V35" i="29"/>
  <c r="AA30" i="29" s="1"/>
  <c r="AC29" i="17"/>
  <c r="T35" i="7"/>
  <c r="AD29" i="3"/>
  <c r="V28" i="15"/>
  <c r="V32" i="15" s="1"/>
  <c r="V35" i="15"/>
  <c r="AA30" i="15" s="1"/>
  <c r="E15" i="87"/>
  <c r="G15" i="87" s="1"/>
  <c r="H15" i="87" s="1"/>
  <c r="K15" i="87" s="1"/>
  <c r="L15" i="87" s="1"/>
  <c r="E19" i="87"/>
  <c r="G19" i="87" s="1"/>
  <c r="H19" i="87" s="1"/>
  <c r="K19" i="87" s="1"/>
  <c r="L19" i="87" s="1"/>
  <c r="E6" i="87"/>
  <c r="G6" i="87" s="1"/>
  <c r="H6" i="87" s="1"/>
  <c r="K6" i="87" s="1"/>
  <c r="L6" i="87" s="1"/>
  <c r="E18" i="87"/>
  <c r="G18" i="87" s="1"/>
  <c r="H18" i="87" s="1"/>
  <c r="K18" i="87" s="1"/>
  <c r="L18" i="87" s="1"/>
  <c r="E7" i="87"/>
  <c r="G7" i="87" s="1"/>
  <c r="H7" i="87" s="1"/>
  <c r="K7" i="87" s="1"/>
  <c r="L7" i="87" s="1"/>
  <c r="E14" i="87"/>
  <c r="G14" i="87" s="1"/>
  <c r="H14" i="87" s="1"/>
  <c r="K14" i="87" s="1"/>
  <c r="L14" i="87" s="1"/>
  <c r="E11" i="87"/>
  <c r="G11" i="87" s="1"/>
  <c r="H11" i="87" s="1"/>
  <c r="K11" i="87" s="1"/>
  <c r="L11" i="87" s="1"/>
  <c r="E16" i="87"/>
  <c r="G16" i="87" s="1"/>
  <c r="H16" i="87" s="1"/>
  <c r="K16" i="87" s="1"/>
  <c r="L16" i="87" s="1"/>
  <c r="E13" i="87"/>
  <c r="G13" i="87" s="1"/>
  <c r="H13" i="87" s="1"/>
  <c r="K13" i="87" s="1"/>
  <c r="L13" i="87" s="1"/>
  <c r="E8" i="87"/>
  <c r="G8" i="87" s="1"/>
  <c r="H8" i="87" s="1"/>
  <c r="K8" i="87" s="1"/>
  <c r="L8" i="87" s="1"/>
  <c r="E10" i="87"/>
  <c r="G10" i="87" s="1"/>
  <c r="H10" i="87" s="1"/>
  <c r="K10" i="87" s="1"/>
  <c r="L10" i="87" s="1"/>
  <c r="E17" i="87"/>
  <c r="G17" i="87" s="1"/>
  <c r="H17" i="87" s="1"/>
  <c r="K17" i="87" s="1"/>
  <c r="L17" i="87" s="1"/>
  <c r="E9" i="87"/>
  <c r="G9" i="87" s="1"/>
  <c r="H9" i="87" s="1"/>
  <c r="K9" i="87" s="1"/>
  <c r="L9" i="87" s="1"/>
  <c r="E12" i="87"/>
  <c r="G12" i="87" s="1"/>
  <c r="H12" i="87" s="1"/>
  <c r="K12" i="87" s="1"/>
  <c r="L12" i="87" s="1"/>
  <c r="AB29" i="11"/>
  <c r="E6" i="11"/>
  <c r="G6" i="11" s="1"/>
  <c r="H6" i="11" s="1"/>
  <c r="K6" i="11" s="1"/>
  <c r="E5" i="11"/>
  <c r="G5" i="11" s="1"/>
  <c r="H5" i="11" s="1"/>
  <c r="K5" i="11" s="1"/>
  <c r="L5" i="11" s="1"/>
  <c r="S35" i="11" s="1"/>
  <c r="AB30" i="11" s="1"/>
  <c r="AA29" i="62"/>
  <c r="AD29" i="62"/>
  <c r="V28" i="58"/>
  <c r="V35" i="58"/>
  <c r="Z30" i="58" s="1"/>
  <c r="V28" i="29"/>
  <c r="AB29" i="29"/>
  <c r="AF29" i="29"/>
  <c r="AD29" i="29"/>
  <c r="AB29" i="28"/>
  <c r="AD29" i="28"/>
  <c r="AF29" i="28"/>
  <c r="AB29" i="17"/>
  <c r="AD29" i="17"/>
  <c r="AF29" i="17"/>
  <c r="AF29" i="8"/>
  <c r="E6" i="5"/>
  <c r="G6" i="5" s="1"/>
  <c r="H6" i="5" s="1"/>
  <c r="K6" i="5" s="1"/>
  <c r="L6" i="5" s="1"/>
  <c r="E28" i="5"/>
  <c r="G28" i="5" s="1"/>
  <c r="H28" i="5" s="1"/>
  <c r="K28" i="5" s="1"/>
  <c r="L28" i="5" s="1"/>
  <c r="AF29" i="3"/>
  <c r="AC29" i="3"/>
  <c r="H54" i="16"/>
  <c r="E66" i="16"/>
  <c r="G82" i="45"/>
  <c r="E82" i="45"/>
  <c r="D129" i="66"/>
  <c r="D97" i="66"/>
  <c r="D65" i="66"/>
  <c r="D145" i="66"/>
  <c r="D113" i="66"/>
  <c r="D80" i="66"/>
  <c r="E5" i="66"/>
  <c r="H52" i="66" s="1"/>
  <c r="D5" i="60"/>
  <c r="H51" i="60" s="1"/>
  <c r="J54" i="56"/>
  <c r="B99" i="56" s="1"/>
  <c r="AD29" i="69"/>
  <c r="AF29" i="69"/>
  <c r="AB29" i="69"/>
  <c r="AC29" i="69"/>
  <c r="H51" i="53"/>
  <c r="D65" i="53"/>
  <c r="X54" i="52"/>
  <c r="AB52" i="52"/>
  <c r="AA52" i="52"/>
  <c r="AC52" i="52"/>
  <c r="X53" i="52"/>
  <c r="D5" i="48"/>
  <c r="D106" i="48" s="1"/>
  <c r="H51" i="37"/>
  <c r="D65" i="29"/>
  <c r="D110" i="29"/>
  <c r="D87" i="29"/>
  <c r="H51" i="29"/>
  <c r="H51" i="26"/>
  <c r="D127" i="23"/>
  <c r="D147" i="23"/>
  <c r="D107" i="23"/>
  <c r="D85" i="23"/>
  <c r="D65" i="23"/>
  <c r="D65" i="18"/>
  <c r="D90" i="18"/>
  <c r="H51" i="18"/>
  <c r="D65" i="17"/>
  <c r="D96" i="17"/>
  <c r="H51" i="17"/>
  <c r="H51" i="19"/>
  <c r="J54" i="4"/>
  <c r="I53" i="4"/>
  <c r="AF29" i="11"/>
  <c r="AC29" i="11"/>
  <c r="H52" i="5"/>
  <c r="D65" i="5"/>
  <c r="H51" i="5"/>
  <c r="D65" i="3"/>
  <c r="D117" i="3"/>
  <c r="D89" i="3"/>
  <c r="H51" i="3"/>
  <c r="H52" i="4"/>
  <c r="D122" i="4"/>
  <c r="D103" i="4"/>
  <c r="D83" i="4"/>
  <c r="D65" i="4"/>
  <c r="H51" i="4"/>
  <c r="D5" i="25"/>
  <c r="D52" i="48"/>
  <c r="C53" i="82"/>
  <c r="D53" i="82" s="1"/>
  <c r="E17" i="16"/>
  <c r="G17" i="16" s="1"/>
  <c r="H17" i="16" s="1"/>
  <c r="K17" i="16" s="1"/>
  <c r="L17" i="16" s="1"/>
  <c r="E18" i="16"/>
  <c r="G18" i="16" s="1"/>
  <c r="H18" i="16" s="1"/>
  <c r="K18" i="16" s="1"/>
  <c r="L18" i="16" s="1"/>
  <c r="E16" i="16"/>
  <c r="G16" i="16" s="1"/>
  <c r="H16" i="16" s="1"/>
  <c r="K16" i="16" s="1"/>
  <c r="L16" i="16" s="1"/>
  <c r="G1" i="48"/>
  <c r="I1" i="48" s="1"/>
  <c r="J53" i="70"/>
  <c r="B86" i="70" s="1"/>
  <c r="I52" i="70"/>
  <c r="E18" i="62"/>
  <c r="G18" i="62" s="1"/>
  <c r="H18" i="62" s="1"/>
  <c r="K18" i="62" s="1"/>
  <c r="L18" i="62" s="1"/>
  <c r="E14" i="62"/>
  <c r="G14" i="62" s="1"/>
  <c r="H14" i="62" s="1"/>
  <c r="K14" i="62" s="1"/>
  <c r="L14" i="62" s="1"/>
  <c r="E9" i="62"/>
  <c r="G9" i="62" s="1"/>
  <c r="H9" i="62" s="1"/>
  <c r="K9" i="62" s="1"/>
  <c r="L9" i="62" s="1"/>
  <c r="E17" i="62"/>
  <c r="G17" i="62" s="1"/>
  <c r="H17" i="62" s="1"/>
  <c r="K17" i="62" s="1"/>
  <c r="L17" i="62" s="1"/>
  <c r="E7" i="62"/>
  <c r="G7" i="62" s="1"/>
  <c r="H7" i="62" s="1"/>
  <c r="K7" i="62" s="1"/>
  <c r="L7" i="62" s="1"/>
  <c r="AM11" i="70"/>
  <c r="AO11" i="70" s="1"/>
  <c r="AP11" i="70" s="1"/>
  <c r="AS11" i="70" s="1"/>
  <c r="AT11" i="70" s="1"/>
  <c r="AM6" i="70"/>
  <c r="AO6" i="70" s="1"/>
  <c r="AP6" i="70" s="1"/>
  <c r="AM12" i="70"/>
  <c r="AO12" i="70" s="1"/>
  <c r="AP12" i="70" s="1"/>
  <c r="AS12" i="70" s="1"/>
  <c r="AT12" i="70" s="1"/>
  <c r="AM10" i="70"/>
  <c r="AO10" i="70" s="1"/>
  <c r="AP10" i="70" s="1"/>
  <c r="AS10" i="70" s="1"/>
  <c r="AT10" i="70" s="1"/>
  <c r="AM9" i="70"/>
  <c r="AO9" i="70" s="1"/>
  <c r="AP9" i="70" s="1"/>
  <c r="AS9" i="70" s="1"/>
  <c r="AT9" i="70" s="1"/>
  <c r="AM8" i="70"/>
  <c r="AO8" i="70" s="1"/>
  <c r="AP8" i="70" s="1"/>
  <c r="AS8" i="70" s="1"/>
  <c r="AT8" i="70" s="1"/>
  <c r="AM7" i="70"/>
  <c r="AO7" i="70" s="1"/>
  <c r="AP7" i="70" s="1"/>
  <c r="AS7" i="70" s="1"/>
  <c r="AT7" i="70" s="1"/>
  <c r="AM5" i="70"/>
  <c r="AO5" i="70" s="1"/>
  <c r="AP5" i="70" s="1"/>
  <c r="G65" i="83"/>
  <c r="H65" i="83" s="1"/>
  <c r="G66" i="83"/>
  <c r="H66" i="83" s="1"/>
  <c r="G67" i="83"/>
  <c r="H67" i="83" s="1"/>
  <c r="G68" i="83"/>
  <c r="H68" i="83" s="1"/>
  <c r="D52" i="47"/>
  <c r="G1" i="47"/>
  <c r="I1" i="47" s="1"/>
  <c r="E6" i="41"/>
  <c r="G6" i="41" s="1"/>
  <c r="H6" i="41" s="1"/>
  <c r="K6" i="41" s="1"/>
  <c r="L6" i="41" s="1"/>
  <c r="E9" i="41"/>
  <c r="G9" i="41" s="1"/>
  <c r="H9" i="41" s="1"/>
  <c r="K9" i="41" s="1"/>
  <c r="L9" i="41" s="1"/>
  <c r="E12" i="41"/>
  <c r="G12" i="41" s="1"/>
  <c r="H12" i="41" s="1"/>
  <c r="K12" i="41" s="1"/>
  <c r="L12" i="41" s="1"/>
  <c r="E13" i="41"/>
  <c r="G13" i="41" s="1"/>
  <c r="H13" i="41" s="1"/>
  <c r="K13" i="41" s="1"/>
  <c r="L13" i="41" s="1"/>
  <c r="E11" i="41"/>
  <c r="G11" i="41" s="1"/>
  <c r="H11" i="41" s="1"/>
  <c r="K11" i="41" s="1"/>
  <c r="L11" i="41" s="1"/>
  <c r="E7" i="41"/>
  <c r="G7" i="41" s="1"/>
  <c r="H7" i="41" s="1"/>
  <c r="K7" i="41" s="1"/>
  <c r="L7" i="41" s="1"/>
  <c r="E14" i="41"/>
  <c r="G14" i="41" s="1"/>
  <c r="H14" i="41" s="1"/>
  <c r="K14" i="41" s="1"/>
  <c r="L14" i="41" s="1"/>
  <c r="E10" i="41"/>
  <c r="G10" i="41" s="1"/>
  <c r="H10" i="41" s="1"/>
  <c r="K10" i="41" s="1"/>
  <c r="L10" i="41" s="1"/>
  <c r="E8" i="41"/>
  <c r="G8" i="41" s="1"/>
  <c r="H8" i="41" s="1"/>
  <c r="K8" i="41" s="1"/>
  <c r="L8" i="41" s="1"/>
  <c r="C52" i="41"/>
  <c r="E16" i="62"/>
  <c r="G16" i="62" s="1"/>
  <c r="H16" i="62" s="1"/>
  <c r="K16" i="62" s="1"/>
  <c r="L16" i="62" s="1"/>
  <c r="E15" i="62"/>
  <c r="G15" i="62" s="1"/>
  <c r="H15" i="62" s="1"/>
  <c r="K15" i="62" s="1"/>
  <c r="L15" i="62" s="1"/>
  <c r="E8" i="62"/>
  <c r="G8" i="62" s="1"/>
  <c r="H8" i="62" s="1"/>
  <c r="K8" i="62" s="1"/>
  <c r="L8" i="62" s="1"/>
  <c r="E19" i="62"/>
  <c r="G19" i="62" s="1"/>
  <c r="H19" i="62" s="1"/>
  <c r="K19" i="62" s="1"/>
  <c r="L19" i="62" s="1"/>
  <c r="I1" i="62"/>
  <c r="C52" i="62" s="1"/>
  <c r="E13" i="62"/>
  <c r="G13" i="62" s="1"/>
  <c r="H13" i="62" s="1"/>
  <c r="K13" i="62" s="1"/>
  <c r="L13" i="62" s="1"/>
  <c r="E11" i="62"/>
  <c r="G11" i="62" s="1"/>
  <c r="H11" i="62" s="1"/>
  <c r="K11" i="62" s="1"/>
  <c r="L11" i="62" s="1"/>
  <c r="E10" i="62"/>
  <c r="G10" i="62" s="1"/>
  <c r="H10" i="62" s="1"/>
  <c r="K10" i="62" s="1"/>
  <c r="L10" i="62" s="1"/>
  <c r="E12" i="62"/>
  <c r="G12" i="62" s="1"/>
  <c r="H12" i="62" s="1"/>
  <c r="K12" i="62" s="1"/>
  <c r="L12" i="62" s="1"/>
  <c r="E6" i="62"/>
  <c r="G6" i="62" s="1"/>
  <c r="H6" i="62" s="1"/>
  <c r="K6" i="62" s="1"/>
  <c r="L6" i="62" s="1"/>
  <c r="C53" i="68"/>
  <c r="C54" i="83"/>
  <c r="D54" i="83" s="1"/>
  <c r="AM6" i="69"/>
  <c r="AO6" i="69" s="1"/>
  <c r="AP6" i="69" s="1"/>
  <c r="AS6" i="69" s="1"/>
  <c r="AT6" i="69" s="1"/>
  <c r="AM5" i="69"/>
  <c r="AO5" i="69" s="1"/>
  <c r="AP5" i="69" s="1"/>
  <c r="AM11" i="69"/>
  <c r="AO11" i="69" s="1"/>
  <c r="AP11" i="69" s="1"/>
  <c r="AS11" i="69" s="1"/>
  <c r="AT11" i="69" s="1"/>
  <c r="AM8" i="69"/>
  <c r="AO8" i="69" s="1"/>
  <c r="AP8" i="69" s="1"/>
  <c r="AS8" i="69" s="1"/>
  <c r="AT8" i="69" s="1"/>
  <c r="AM7" i="69"/>
  <c r="AO7" i="69" s="1"/>
  <c r="AP7" i="69" s="1"/>
  <c r="AS7" i="69" s="1"/>
  <c r="AT7" i="69" s="1"/>
  <c r="AM9" i="69"/>
  <c r="AO9" i="69" s="1"/>
  <c r="AP9" i="69" s="1"/>
  <c r="AS9" i="69" s="1"/>
  <c r="AT9" i="69" s="1"/>
  <c r="AM10" i="69"/>
  <c r="AO10" i="69" s="1"/>
  <c r="AP10" i="69" s="1"/>
  <c r="AS10" i="69" s="1"/>
  <c r="AT10" i="69" s="1"/>
  <c r="I52" i="69"/>
  <c r="J53" i="69"/>
  <c r="B84" i="69" s="1"/>
  <c r="J53" i="61"/>
  <c r="B80" i="61" s="1"/>
  <c r="E9" i="67"/>
  <c r="G9" i="67" s="1"/>
  <c r="H9" i="67" s="1"/>
  <c r="K9" i="67" s="1"/>
  <c r="L9" i="67" s="1"/>
  <c r="E13" i="67"/>
  <c r="G13" i="67" s="1"/>
  <c r="H13" i="67" s="1"/>
  <c r="K13" i="67" s="1"/>
  <c r="L13" i="67" s="1"/>
  <c r="E15" i="67"/>
  <c r="G15" i="67" s="1"/>
  <c r="H15" i="67" s="1"/>
  <c r="K15" i="67" s="1"/>
  <c r="L15" i="67" s="1"/>
  <c r="E13" i="61"/>
  <c r="G13" i="61" s="1"/>
  <c r="H13" i="61" s="1"/>
  <c r="K13" i="61" s="1"/>
  <c r="L13" i="61" s="1"/>
  <c r="E11" i="61"/>
  <c r="G11" i="61" s="1"/>
  <c r="H11" i="61" s="1"/>
  <c r="K11" i="61" s="1"/>
  <c r="L11" i="61" s="1"/>
  <c r="E14" i="61"/>
  <c r="G14" i="61" s="1"/>
  <c r="H14" i="61" s="1"/>
  <c r="K14" i="61" s="1"/>
  <c r="L14" i="61" s="1"/>
  <c r="E18" i="61"/>
  <c r="G18" i="61" s="1"/>
  <c r="H18" i="61" s="1"/>
  <c r="K18" i="61" s="1"/>
  <c r="L18" i="61" s="1"/>
  <c r="E9" i="61"/>
  <c r="G9" i="61" s="1"/>
  <c r="H9" i="61" s="1"/>
  <c r="K9" i="61" s="1"/>
  <c r="L9" i="61" s="1"/>
  <c r="C52" i="61"/>
  <c r="E10" i="61"/>
  <c r="G10" i="61" s="1"/>
  <c r="H10" i="61" s="1"/>
  <c r="K10" i="61" s="1"/>
  <c r="L10" i="61" s="1"/>
  <c r="E8" i="67"/>
  <c r="G8" i="67" s="1"/>
  <c r="H8" i="67" s="1"/>
  <c r="K8" i="67" s="1"/>
  <c r="L8" i="67" s="1"/>
  <c r="E11" i="67"/>
  <c r="G11" i="67" s="1"/>
  <c r="H11" i="67" s="1"/>
  <c r="K11" i="67" s="1"/>
  <c r="L11" i="67" s="1"/>
  <c r="E6" i="67"/>
  <c r="G6" i="67" s="1"/>
  <c r="H6" i="67" s="1"/>
  <c r="K6" i="67" s="1"/>
  <c r="L6" i="67" s="1"/>
  <c r="E12" i="61"/>
  <c r="G12" i="61" s="1"/>
  <c r="H12" i="61" s="1"/>
  <c r="K12" i="61" s="1"/>
  <c r="L12" i="61" s="1"/>
  <c r="E17" i="61"/>
  <c r="G17" i="61" s="1"/>
  <c r="H17" i="61" s="1"/>
  <c r="K17" i="61" s="1"/>
  <c r="L17" i="61" s="1"/>
  <c r="E8" i="61"/>
  <c r="G8" i="61" s="1"/>
  <c r="H8" i="61" s="1"/>
  <c r="K8" i="61" s="1"/>
  <c r="L8" i="61" s="1"/>
  <c r="E7" i="61"/>
  <c r="G7" i="61" s="1"/>
  <c r="H7" i="61" s="1"/>
  <c r="K7" i="61" s="1"/>
  <c r="L7" i="61" s="1"/>
  <c r="E6" i="61"/>
  <c r="G6" i="61" s="1"/>
  <c r="H6" i="61" s="1"/>
  <c r="K6" i="61" s="1"/>
  <c r="L6" i="61" s="1"/>
  <c r="E15" i="61"/>
  <c r="G15" i="61" s="1"/>
  <c r="H15" i="61" s="1"/>
  <c r="K15" i="61" s="1"/>
  <c r="L15" i="61" s="1"/>
  <c r="AM7" i="61"/>
  <c r="AM8" i="61"/>
  <c r="AM6" i="61"/>
  <c r="AM11" i="61"/>
  <c r="AM5" i="61"/>
  <c r="AM10" i="61"/>
  <c r="AM9" i="61"/>
  <c r="J53" i="57"/>
  <c r="I52" i="57"/>
  <c r="H52" i="57" s="1"/>
  <c r="AM6" i="57"/>
  <c r="AO6" i="57" s="1"/>
  <c r="AP6" i="57" s="1"/>
  <c r="AS6" i="57" s="1"/>
  <c r="AT6" i="57" s="1"/>
  <c r="E13" i="57"/>
  <c r="G13" i="57" s="1"/>
  <c r="H13" i="57" s="1"/>
  <c r="K13" i="57" s="1"/>
  <c r="L13" i="57" s="1"/>
  <c r="E16" i="57"/>
  <c r="G16" i="57" s="1"/>
  <c r="H16" i="57" s="1"/>
  <c r="K16" i="57" s="1"/>
  <c r="L16" i="57" s="1"/>
  <c r="E25" i="57"/>
  <c r="G25" i="57" s="1"/>
  <c r="H25" i="57" s="1"/>
  <c r="K25" i="57" s="1"/>
  <c r="L25" i="57" s="1"/>
  <c r="E23" i="57"/>
  <c r="G23" i="57" s="1"/>
  <c r="H23" i="57" s="1"/>
  <c r="K23" i="57" s="1"/>
  <c r="L23" i="57" s="1"/>
  <c r="E22" i="57"/>
  <c r="G22" i="57" s="1"/>
  <c r="H22" i="57" s="1"/>
  <c r="K22" i="57" s="1"/>
  <c r="L22" i="57" s="1"/>
  <c r="E21" i="57"/>
  <c r="G21" i="57" s="1"/>
  <c r="H21" i="57" s="1"/>
  <c r="K21" i="57" s="1"/>
  <c r="L21" i="57" s="1"/>
  <c r="E19" i="57"/>
  <c r="G19" i="57" s="1"/>
  <c r="H19" i="57" s="1"/>
  <c r="K19" i="57" s="1"/>
  <c r="L19" i="57" s="1"/>
  <c r="E17" i="57"/>
  <c r="G17" i="57" s="1"/>
  <c r="H17" i="57" s="1"/>
  <c r="K17" i="57" s="1"/>
  <c r="L17" i="57" s="1"/>
  <c r="AM18" i="57"/>
  <c r="AO18" i="57" s="1"/>
  <c r="AP18" i="57" s="1"/>
  <c r="AS18" i="57" s="1"/>
  <c r="AT18" i="57" s="1"/>
  <c r="AM8" i="57"/>
  <c r="AO8" i="57" s="1"/>
  <c r="AP8" i="57" s="1"/>
  <c r="AS8" i="57" s="1"/>
  <c r="AT8" i="57" s="1"/>
  <c r="AM7" i="57"/>
  <c r="AO7" i="57" s="1"/>
  <c r="AP7" i="57" s="1"/>
  <c r="AS7" i="57" s="1"/>
  <c r="AT7" i="57" s="1"/>
  <c r="AM11" i="57"/>
  <c r="AO11" i="57" s="1"/>
  <c r="AP11" i="57" s="1"/>
  <c r="AS11" i="57" s="1"/>
  <c r="AT11" i="57" s="1"/>
  <c r="AM5" i="57"/>
  <c r="AO5" i="57" s="1"/>
  <c r="AP5" i="57" s="1"/>
  <c r="AM9" i="57"/>
  <c r="AO9" i="57" s="1"/>
  <c r="AP9" i="57" s="1"/>
  <c r="AS9" i="57" s="1"/>
  <c r="AT9" i="57" s="1"/>
  <c r="AM16" i="57"/>
  <c r="AO16" i="57" s="1"/>
  <c r="AP16" i="57" s="1"/>
  <c r="AS16" i="57" s="1"/>
  <c r="AT16" i="57" s="1"/>
  <c r="AM12" i="57"/>
  <c r="AO12" i="57" s="1"/>
  <c r="AP12" i="57" s="1"/>
  <c r="AS12" i="57" s="1"/>
  <c r="AT12" i="57" s="1"/>
  <c r="AM19" i="57"/>
  <c r="AO19" i="57" s="1"/>
  <c r="AP19" i="57" s="1"/>
  <c r="AS19" i="57" s="1"/>
  <c r="AT19" i="57" s="1"/>
  <c r="AM17" i="57"/>
  <c r="AO17" i="57" s="1"/>
  <c r="AP17" i="57" s="1"/>
  <c r="AS17" i="57" s="1"/>
  <c r="AT17" i="57" s="1"/>
  <c r="AM14" i="57"/>
  <c r="AO14" i="57" s="1"/>
  <c r="AP14" i="57" s="1"/>
  <c r="AS14" i="57" s="1"/>
  <c r="AT14" i="57" s="1"/>
  <c r="AM13" i="57"/>
  <c r="AO13" i="57" s="1"/>
  <c r="AP13" i="57" s="1"/>
  <c r="AS13" i="57" s="1"/>
  <c r="AT13" i="57" s="1"/>
  <c r="AM10" i="57"/>
  <c r="AO10" i="57" s="1"/>
  <c r="AP10" i="57" s="1"/>
  <c r="AS10" i="57" s="1"/>
  <c r="AT10" i="57" s="1"/>
  <c r="AM15" i="57"/>
  <c r="AO15" i="57" s="1"/>
  <c r="AP15" i="57" s="1"/>
  <c r="AS15" i="57" s="1"/>
  <c r="AT15" i="57" s="1"/>
  <c r="C52" i="57"/>
  <c r="E24" i="57"/>
  <c r="G24" i="57" s="1"/>
  <c r="H24" i="57" s="1"/>
  <c r="K24" i="57" s="1"/>
  <c r="L24" i="57" s="1"/>
  <c r="E20" i="57"/>
  <c r="G20" i="57" s="1"/>
  <c r="H20" i="57" s="1"/>
  <c r="K20" i="57" s="1"/>
  <c r="L20" i="57" s="1"/>
  <c r="E18" i="57"/>
  <c r="G18" i="57" s="1"/>
  <c r="H18" i="57" s="1"/>
  <c r="K18" i="57" s="1"/>
  <c r="L18" i="57" s="1"/>
  <c r="E8" i="57"/>
  <c r="G8" i="57" s="1"/>
  <c r="H8" i="57" s="1"/>
  <c r="K8" i="57" s="1"/>
  <c r="L8" i="57" s="1"/>
  <c r="J53" i="41"/>
  <c r="B76" i="41" s="1"/>
  <c r="E7" i="82"/>
  <c r="G7" i="82" s="1"/>
  <c r="H7" i="82" s="1"/>
  <c r="K7" i="82" s="1"/>
  <c r="L7" i="82" s="1"/>
  <c r="E9" i="82"/>
  <c r="G9" i="82" s="1"/>
  <c r="H9" i="82" s="1"/>
  <c r="K9" i="82" s="1"/>
  <c r="L9" i="82" s="1"/>
  <c r="E6" i="82"/>
  <c r="G6" i="82" s="1"/>
  <c r="H6" i="82" s="1"/>
  <c r="K6" i="82" s="1"/>
  <c r="L6" i="82" s="1"/>
  <c r="C53" i="4"/>
  <c r="AM12" i="61"/>
  <c r="E16" i="61"/>
  <c r="G16" i="61" s="1"/>
  <c r="H16" i="61" s="1"/>
  <c r="K16" i="61" s="1"/>
  <c r="L16" i="61" s="1"/>
  <c r="E15" i="59"/>
  <c r="G15" i="59" s="1"/>
  <c r="H15" i="59" s="1"/>
  <c r="K15" i="59" s="1"/>
  <c r="L15" i="59" s="1"/>
  <c r="E6" i="59"/>
  <c r="G6" i="59" s="1"/>
  <c r="H6" i="59" s="1"/>
  <c r="K6" i="59" s="1"/>
  <c r="L6" i="59" s="1"/>
  <c r="E10" i="59"/>
  <c r="G10" i="59" s="1"/>
  <c r="H10" i="59" s="1"/>
  <c r="K10" i="59" s="1"/>
  <c r="L10" i="59" s="1"/>
  <c r="E16" i="59"/>
  <c r="G16" i="59" s="1"/>
  <c r="H16" i="59" s="1"/>
  <c r="K16" i="59" s="1"/>
  <c r="L16" i="59" s="1"/>
  <c r="E20" i="59"/>
  <c r="G20" i="59" s="1"/>
  <c r="H20" i="59" s="1"/>
  <c r="K20" i="59" s="1"/>
  <c r="L20" i="59" s="1"/>
  <c r="C52" i="59"/>
  <c r="E19" i="59"/>
  <c r="G19" i="59" s="1"/>
  <c r="H19" i="59" s="1"/>
  <c r="K19" i="59" s="1"/>
  <c r="L19" i="59" s="1"/>
  <c r="E7" i="59"/>
  <c r="G7" i="59" s="1"/>
  <c r="H7" i="59" s="1"/>
  <c r="K7" i="59" s="1"/>
  <c r="L7" i="59" s="1"/>
  <c r="E17" i="59"/>
  <c r="G17" i="59" s="1"/>
  <c r="H17" i="59" s="1"/>
  <c r="K17" i="59" s="1"/>
  <c r="L17" i="59" s="1"/>
  <c r="E18" i="59"/>
  <c r="G18" i="59" s="1"/>
  <c r="H18" i="59" s="1"/>
  <c r="K18" i="59" s="1"/>
  <c r="L18" i="59" s="1"/>
  <c r="E8" i="59"/>
  <c r="G8" i="59" s="1"/>
  <c r="H8" i="59" s="1"/>
  <c r="K8" i="59" s="1"/>
  <c r="L8" i="59" s="1"/>
  <c r="J53" i="53"/>
  <c r="B73" i="53" s="1"/>
  <c r="C52" i="46"/>
  <c r="E11" i="46"/>
  <c r="G11" i="46" s="1"/>
  <c r="H11" i="46" s="1"/>
  <c r="K11" i="46" s="1"/>
  <c r="L11" i="46" s="1"/>
  <c r="E9" i="46"/>
  <c r="G9" i="46" s="1"/>
  <c r="H9" i="46" s="1"/>
  <c r="K9" i="46" s="1"/>
  <c r="L9" i="46" s="1"/>
  <c r="E14" i="46"/>
  <c r="G14" i="46" s="1"/>
  <c r="H14" i="46" s="1"/>
  <c r="K14" i="46" s="1"/>
  <c r="L14" i="46" s="1"/>
  <c r="E8" i="46"/>
  <c r="G8" i="46" s="1"/>
  <c r="H8" i="46" s="1"/>
  <c r="K8" i="46" s="1"/>
  <c r="L8" i="46" s="1"/>
  <c r="E15" i="46"/>
  <c r="G15" i="46" s="1"/>
  <c r="H15" i="46" s="1"/>
  <c r="K15" i="46" s="1"/>
  <c r="L15" i="46" s="1"/>
  <c r="E7" i="46"/>
  <c r="G7" i="46" s="1"/>
  <c r="H7" i="46" s="1"/>
  <c r="K7" i="46" s="1"/>
  <c r="L7" i="46" s="1"/>
  <c r="E10" i="46"/>
  <c r="G10" i="46" s="1"/>
  <c r="H10" i="46" s="1"/>
  <c r="K10" i="46" s="1"/>
  <c r="L10" i="46" s="1"/>
  <c r="E6" i="46"/>
  <c r="G6" i="46" s="1"/>
  <c r="H6" i="46" s="1"/>
  <c r="K6" i="46" s="1"/>
  <c r="L6" i="46" s="1"/>
  <c r="E12" i="46"/>
  <c r="G12" i="46" s="1"/>
  <c r="H12" i="46" s="1"/>
  <c r="K12" i="46" s="1"/>
  <c r="L12" i="46" s="1"/>
  <c r="E13" i="46"/>
  <c r="G13" i="46" s="1"/>
  <c r="H13" i="46" s="1"/>
  <c r="K13" i="46" s="1"/>
  <c r="L13" i="46" s="1"/>
  <c r="J54" i="46"/>
  <c r="G1" i="24"/>
  <c r="E10" i="67"/>
  <c r="G10" i="67" s="1"/>
  <c r="H10" i="67" s="1"/>
  <c r="K10" i="67" s="1"/>
  <c r="L10" i="67" s="1"/>
  <c r="E12" i="67"/>
  <c r="G12" i="67" s="1"/>
  <c r="H12" i="67" s="1"/>
  <c r="K12" i="67" s="1"/>
  <c r="L12" i="67" s="1"/>
  <c r="E15" i="57"/>
  <c r="G15" i="57" s="1"/>
  <c r="H15" i="57" s="1"/>
  <c r="K15" i="57" s="1"/>
  <c r="L15" i="57" s="1"/>
  <c r="G1" i="53"/>
  <c r="I1" i="53" s="1"/>
  <c r="D52" i="53"/>
  <c r="AM13" i="47"/>
  <c r="AO13" i="47" s="1"/>
  <c r="AP13" i="47" s="1"/>
  <c r="AS13" i="47" s="1"/>
  <c r="AT13" i="47" s="1"/>
  <c r="AM5" i="47"/>
  <c r="AO5" i="47" s="1"/>
  <c r="AP5" i="47" s="1"/>
  <c r="AM17" i="47"/>
  <c r="AO17" i="47" s="1"/>
  <c r="AP17" i="47" s="1"/>
  <c r="AS17" i="47" s="1"/>
  <c r="AT17" i="47" s="1"/>
  <c r="I52" i="47"/>
  <c r="AM12" i="47"/>
  <c r="AO12" i="47" s="1"/>
  <c r="AP12" i="47" s="1"/>
  <c r="AS12" i="47" s="1"/>
  <c r="AT12" i="47" s="1"/>
  <c r="AM9" i="47"/>
  <c r="AO9" i="47" s="1"/>
  <c r="AP9" i="47" s="1"/>
  <c r="AS9" i="47" s="1"/>
  <c r="AT9" i="47" s="1"/>
  <c r="AM8" i="47"/>
  <c r="AO8" i="47" s="1"/>
  <c r="AP8" i="47" s="1"/>
  <c r="AS8" i="47" s="1"/>
  <c r="AT8" i="47" s="1"/>
  <c r="AM7" i="47"/>
  <c r="AO7" i="47" s="1"/>
  <c r="AP7" i="47" s="1"/>
  <c r="AS7" i="47" s="1"/>
  <c r="AT7" i="47" s="1"/>
  <c r="AM6" i="47"/>
  <c r="AO6" i="47" s="1"/>
  <c r="AP6" i="47" s="1"/>
  <c r="AM14" i="47"/>
  <c r="AO14" i="47" s="1"/>
  <c r="AP14" i="47" s="1"/>
  <c r="AS14" i="47" s="1"/>
  <c r="AT14" i="47" s="1"/>
  <c r="AM10" i="47"/>
  <c r="AO10" i="47" s="1"/>
  <c r="AP10" i="47" s="1"/>
  <c r="AS10" i="47" s="1"/>
  <c r="AT10" i="47" s="1"/>
  <c r="AM15" i="47"/>
  <c r="AO15" i="47" s="1"/>
  <c r="AP15" i="47" s="1"/>
  <c r="AS15" i="47" s="1"/>
  <c r="AT15" i="47" s="1"/>
  <c r="AM11" i="47"/>
  <c r="AO11" i="47" s="1"/>
  <c r="AP11" i="47" s="1"/>
  <c r="AS11" i="47" s="1"/>
  <c r="AT11" i="47" s="1"/>
  <c r="AM16" i="47"/>
  <c r="AO16" i="47" s="1"/>
  <c r="AP16" i="47" s="1"/>
  <c r="AS16" i="47" s="1"/>
  <c r="AT16" i="47" s="1"/>
  <c r="I53" i="46"/>
  <c r="J55" i="34"/>
  <c r="B98" i="34" s="1"/>
  <c r="H98" i="34" s="1"/>
  <c r="D52" i="24"/>
  <c r="B74" i="24" s="1"/>
  <c r="J53" i="20"/>
  <c r="B81" i="20" s="1"/>
  <c r="AM13" i="18"/>
  <c r="AO13" i="18" s="1"/>
  <c r="AP13" i="18" s="1"/>
  <c r="AS13" i="18" s="1"/>
  <c r="AT13" i="18" s="1"/>
  <c r="AM10" i="18"/>
  <c r="AO10" i="18" s="1"/>
  <c r="AP10" i="18" s="1"/>
  <c r="AS10" i="18" s="1"/>
  <c r="AT10" i="18" s="1"/>
  <c r="AM16" i="18"/>
  <c r="AO16" i="18" s="1"/>
  <c r="AP16" i="18" s="1"/>
  <c r="AS16" i="18" s="1"/>
  <c r="AT16" i="18" s="1"/>
  <c r="E15" i="17"/>
  <c r="G15" i="17" s="1"/>
  <c r="H15" i="17" s="1"/>
  <c r="K15" i="17" s="1"/>
  <c r="L15" i="17" s="1"/>
  <c r="E19" i="17"/>
  <c r="G19" i="17" s="1"/>
  <c r="H19" i="17" s="1"/>
  <c r="K19" i="17" s="1"/>
  <c r="L19" i="17" s="1"/>
  <c r="E8" i="17"/>
  <c r="G8" i="17" s="1"/>
  <c r="H8" i="17" s="1"/>
  <c r="K8" i="17" s="1"/>
  <c r="L8" i="17" s="1"/>
  <c r="E13" i="17"/>
  <c r="G13" i="17" s="1"/>
  <c r="H13" i="17" s="1"/>
  <c r="K13" i="17" s="1"/>
  <c r="L13" i="17" s="1"/>
  <c r="E24" i="17"/>
  <c r="G24" i="17" s="1"/>
  <c r="H24" i="17" s="1"/>
  <c r="K24" i="17" s="1"/>
  <c r="L24" i="17" s="1"/>
  <c r="E7" i="17"/>
  <c r="G7" i="17" s="1"/>
  <c r="H7" i="17" s="1"/>
  <c r="K7" i="17" s="1"/>
  <c r="L7" i="17" s="1"/>
  <c r="E27" i="17"/>
  <c r="G27" i="17" s="1"/>
  <c r="H27" i="17" s="1"/>
  <c r="K27" i="17" s="1"/>
  <c r="L27" i="17" s="1"/>
  <c r="E18" i="17"/>
  <c r="G18" i="17" s="1"/>
  <c r="H18" i="17" s="1"/>
  <c r="K18" i="17" s="1"/>
  <c r="L18" i="17" s="1"/>
  <c r="E6" i="17"/>
  <c r="G6" i="17" s="1"/>
  <c r="H6" i="17" s="1"/>
  <c r="K6" i="17" s="1"/>
  <c r="L6" i="17" s="1"/>
  <c r="E28" i="17"/>
  <c r="G28" i="17" s="1"/>
  <c r="H28" i="17" s="1"/>
  <c r="K28" i="17" s="1"/>
  <c r="L28" i="17" s="1"/>
  <c r="E23" i="17"/>
  <c r="G23" i="17" s="1"/>
  <c r="H23" i="17" s="1"/>
  <c r="K23" i="17" s="1"/>
  <c r="L23" i="17" s="1"/>
  <c r="E25" i="17"/>
  <c r="G25" i="17" s="1"/>
  <c r="H25" i="17" s="1"/>
  <c r="K25" i="17" s="1"/>
  <c r="L25" i="17" s="1"/>
  <c r="E11" i="17"/>
  <c r="G11" i="17" s="1"/>
  <c r="H11" i="17" s="1"/>
  <c r="K11" i="17" s="1"/>
  <c r="L11" i="17" s="1"/>
  <c r="C52" i="15"/>
  <c r="E21" i="15"/>
  <c r="G21" i="15" s="1"/>
  <c r="H21" i="15" s="1"/>
  <c r="K21" i="15" s="1"/>
  <c r="L21" i="15" s="1"/>
  <c r="E7" i="15"/>
  <c r="G7" i="15" s="1"/>
  <c r="H7" i="15" s="1"/>
  <c r="K7" i="15" s="1"/>
  <c r="L7" i="15" s="1"/>
  <c r="E6" i="15"/>
  <c r="G6" i="15" s="1"/>
  <c r="H6" i="15" s="1"/>
  <c r="K6" i="15" s="1"/>
  <c r="L6" i="15" s="1"/>
  <c r="E25" i="15"/>
  <c r="G25" i="15" s="1"/>
  <c r="H25" i="15" s="1"/>
  <c r="K25" i="15" s="1"/>
  <c r="L25" i="15" s="1"/>
  <c r="E28" i="15"/>
  <c r="G28" i="15" s="1"/>
  <c r="H28" i="15" s="1"/>
  <c r="K28" i="15" s="1"/>
  <c r="L28" i="15" s="1"/>
  <c r="E18" i="15"/>
  <c r="G18" i="15" s="1"/>
  <c r="H18" i="15" s="1"/>
  <c r="K18" i="15" s="1"/>
  <c r="L18" i="15" s="1"/>
  <c r="E15" i="15"/>
  <c r="G15" i="15" s="1"/>
  <c r="H15" i="15" s="1"/>
  <c r="K15" i="15" s="1"/>
  <c r="L15" i="15" s="1"/>
  <c r="E29" i="15"/>
  <c r="G29" i="15" s="1"/>
  <c r="H29" i="15" s="1"/>
  <c r="K29" i="15" s="1"/>
  <c r="L29" i="15" s="1"/>
  <c r="E12" i="15"/>
  <c r="G12" i="15" s="1"/>
  <c r="H12" i="15" s="1"/>
  <c r="K12" i="15" s="1"/>
  <c r="L12" i="15" s="1"/>
  <c r="E10" i="15"/>
  <c r="G10" i="15" s="1"/>
  <c r="H10" i="15" s="1"/>
  <c r="K10" i="15" s="1"/>
  <c r="L10" i="15" s="1"/>
  <c r="E23" i="15"/>
  <c r="G23" i="15" s="1"/>
  <c r="H23" i="15" s="1"/>
  <c r="K23" i="15" s="1"/>
  <c r="L23" i="15" s="1"/>
  <c r="E14" i="15"/>
  <c r="G14" i="15" s="1"/>
  <c r="H14" i="15" s="1"/>
  <c r="K14" i="15" s="1"/>
  <c r="L14" i="15" s="1"/>
  <c r="E22" i="15"/>
  <c r="G22" i="15" s="1"/>
  <c r="H22" i="15" s="1"/>
  <c r="K22" i="15" s="1"/>
  <c r="L22" i="15" s="1"/>
  <c r="E17" i="15"/>
  <c r="G17" i="15" s="1"/>
  <c r="H17" i="15" s="1"/>
  <c r="K17" i="15" s="1"/>
  <c r="L17" i="15" s="1"/>
  <c r="E9" i="15"/>
  <c r="G9" i="15" s="1"/>
  <c r="H9" i="15" s="1"/>
  <c r="K9" i="15" s="1"/>
  <c r="L9" i="15" s="1"/>
  <c r="E26" i="15"/>
  <c r="G26" i="15" s="1"/>
  <c r="H26" i="15" s="1"/>
  <c r="K26" i="15" s="1"/>
  <c r="L26" i="15" s="1"/>
  <c r="E13" i="15"/>
  <c r="G13" i="15" s="1"/>
  <c r="H13" i="15" s="1"/>
  <c r="K13" i="15" s="1"/>
  <c r="L13" i="15" s="1"/>
  <c r="E20" i="15"/>
  <c r="G20" i="15" s="1"/>
  <c r="H20" i="15" s="1"/>
  <c r="K20" i="15" s="1"/>
  <c r="L20" i="15" s="1"/>
  <c r="J53" i="8"/>
  <c r="B85" i="8" s="1"/>
  <c r="E7" i="67"/>
  <c r="G7" i="67" s="1"/>
  <c r="H7" i="67" s="1"/>
  <c r="K7" i="67" s="1"/>
  <c r="L7" i="67" s="1"/>
  <c r="C52" i="67"/>
  <c r="E12" i="59"/>
  <c r="G12" i="59" s="1"/>
  <c r="H12" i="59" s="1"/>
  <c r="K12" i="59" s="1"/>
  <c r="L12" i="59" s="1"/>
  <c r="E14" i="59"/>
  <c r="G14" i="59" s="1"/>
  <c r="H14" i="59" s="1"/>
  <c r="K14" i="59" s="1"/>
  <c r="L14" i="59" s="1"/>
  <c r="E13" i="59"/>
  <c r="G13" i="59" s="1"/>
  <c r="H13" i="59" s="1"/>
  <c r="K13" i="59" s="1"/>
  <c r="L13" i="59" s="1"/>
  <c r="E11" i="59"/>
  <c r="G11" i="59" s="1"/>
  <c r="H11" i="59" s="1"/>
  <c r="K11" i="59" s="1"/>
  <c r="L11" i="59" s="1"/>
  <c r="E9" i="59"/>
  <c r="G9" i="59" s="1"/>
  <c r="H9" i="59" s="1"/>
  <c r="K9" i="59" s="1"/>
  <c r="L9" i="59" s="1"/>
  <c r="E12" i="57"/>
  <c r="G12" i="57" s="1"/>
  <c r="H12" i="57" s="1"/>
  <c r="K12" i="57" s="1"/>
  <c r="L12" i="57" s="1"/>
  <c r="E10" i="57"/>
  <c r="G10" i="57" s="1"/>
  <c r="H10" i="57" s="1"/>
  <c r="K10" i="57" s="1"/>
  <c r="L10" i="57" s="1"/>
  <c r="E11" i="57"/>
  <c r="G11" i="57" s="1"/>
  <c r="H11" i="57" s="1"/>
  <c r="K11" i="57" s="1"/>
  <c r="L11" i="57" s="1"/>
  <c r="E7" i="57"/>
  <c r="G7" i="57" s="1"/>
  <c r="H7" i="57" s="1"/>
  <c r="K7" i="57" s="1"/>
  <c r="L7" i="57" s="1"/>
  <c r="E6" i="57"/>
  <c r="G6" i="57" s="1"/>
  <c r="H6" i="57" s="1"/>
  <c r="K6" i="57" s="1"/>
  <c r="L6" i="57" s="1"/>
  <c r="E9" i="57"/>
  <c r="G9" i="57" s="1"/>
  <c r="H9" i="57" s="1"/>
  <c r="K9" i="57" s="1"/>
  <c r="L9" i="57" s="1"/>
  <c r="E14" i="57"/>
  <c r="G14" i="57" s="1"/>
  <c r="H14" i="57" s="1"/>
  <c r="K14" i="57" s="1"/>
  <c r="L14" i="57" s="1"/>
  <c r="E15" i="56"/>
  <c r="G15" i="56" s="1"/>
  <c r="H15" i="56" s="1"/>
  <c r="K15" i="56" s="1"/>
  <c r="L15" i="56" s="1"/>
  <c r="E16" i="56"/>
  <c r="G16" i="56" s="1"/>
  <c r="H16" i="56" s="1"/>
  <c r="K16" i="56" s="1"/>
  <c r="L16" i="56" s="1"/>
  <c r="E13" i="56"/>
  <c r="G13" i="56" s="1"/>
  <c r="H13" i="56" s="1"/>
  <c r="K13" i="56" s="1"/>
  <c r="L13" i="56" s="1"/>
  <c r="E11" i="56"/>
  <c r="G11" i="56" s="1"/>
  <c r="H11" i="56" s="1"/>
  <c r="K11" i="56" s="1"/>
  <c r="L11" i="56" s="1"/>
  <c r="E8" i="56"/>
  <c r="G8" i="56" s="1"/>
  <c r="H8" i="56" s="1"/>
  <c r="K8" i="56" s="1"/>
  <c r="L8" i="56" s="1"/>
  <c r="E6" i="56"/>
  <c r="G6" i="56" s="1"/>
  <c r="H6" i="56" s="1"/>
  <c r="K6" i="56" s="1"/>
  <c r="L6" i="56" s="1"/>
  <c r="E14" i="56"/>
  <c r="G14" i="56" s="1"/>
  <c r="H14" i="56" s="1"/>
  <c r="K14" i="56" s="1"/>
  <c r="L14" i="56" s="1"/>
  <c r="E12" i="56"/>
  <c r="G12" i="56" s="1"/>
  <c r="H12" i="56" s="1"/>
  <c r="K12" i="56" s="1"/>
  <c r="L12" i="56" s="1"/>
  <c r="C52" i="56"/>
  <c r="E10" i="56"/>
  <c r="G10" i="56" s="1"/>
  <c r="H10" i="56" s="1"/>
  <c r="K10" i="56" s="1"/>
  <c r="L10" i="56" s="1"/>
  <c r="E9" i="56"/>
  <c r="G9" i="56" s="1"/>
  <c r="H9" i="56" s="1"/>
  <c r="K9" i="56" s="1"/>
  <c r="L9" i="56" s="1"/>
  <c r="E7" i="56"/>
  <c r="G7" i="56" s="1"/>
  <c r="H7" i="56" s="1"/>
  <c r="K7" i="56" s="1"/>
  <c r="L7" i="56" s="1"/>
  <c r="H53" i="44"/>
  <c r="I53" i="44"/>
  <c r="E6" i="44"/>
  <c r="G6" i="44" s="1"/>
  <c r="H6" i="44" s="1"/>
  <c r="K6" i="44" s="1"/>
  <c r="L6" i="44" s="1"/>
  <c r="E8" i="44"/>
  <c r="G8" i="44" s="1"/>
  <c r="H8" i="44" s="1"/>
  <c r="K8" i="44" s="1"/>
  <c r="L8" i="44" s="1"/>
  <c r="E16" i="44"/>
  <c r="G16" i="44" s="1"/>
  <c r="H16" i="44" s="1"/>
  <c r="K16" i="44" s="1"/>
  <c r="L16" i="44" s="1"/>
  <c r="E19" i="44"/>
  <c r="G19" i="44" s="1"/>
  <c r="H19" i="44" s="1"/>
  <c r="K19" i="44" s="1"/>
  <c r="L19" i="44" s="1"/>
  <c r="E20" i="44"/>
  <c r="G20" i="44" s="1"/>
  <c r="H20" i="44" s="1"/>
  <c r="K20" i="44" s="1"/>
  <c r="L20" i="44" s="1"/>
  <c r="E18" i="44"/>
  <c r="G18" i="44" s="1"/>
  <c r="H18" i="44" s="1"/>
  <c r="K18" i="44" s="1"/>
  <c r="L18" i="44" s="1"/>
  <c r="G1" i="42"/>
  <c r="I1" i="42" s="1"/>
  <c r="C52" i="42" s="1"/>
  <c r="I52" i="41"/>
  <c r="H52" i="41" s="1"/>
  <c r="H53" i="34"/>
  <c r="E10" i="34"/>
  <c r="G10" i="34" s="1"/>
  <c r="H10" i="34" s="1"/>
  <c r="K10" i="34" s="1"/>
  <c r="L10" i="34" s="1"/>
  <c r="E9" i="34"/>
  <c r="G9" i="34" s="1"/>
  <c r="H9" i="34" s="1"/>
  <c r="K9" i="34" s="1"/>
  <c r="L9" i="34" s="1"/>
  <c r="E7" i="34"/>
  <c r="G7" i="34" s="1"/>
  <c r="H7" i="34" s="1"/>
  <c r="K7" i="34" s="1"/>
  <c r="L7" i="34" s="1"/>
  <c r="E6" i="34"/>
  <c r="G6" i="34" s="1"/>
  <c r="H6" i="34" s="1"/>
  <c r="K6" i="34" s="1"/>
  <c r="L6" i="34" s="1"/>
  <c r="H1" i="34"/>
  <c r="E8" i="34"/>
  <c r="G8" i="34" s="1"/>
  <c r="H8" i="34" s="1"/>
  <c r="K8" i="34" s="1"/>
  <c r="L8" i="34" s="1"/>
  <c r="J53" i="26"/>
  <c r="B82" i="26" s="1"/>
  <c r="I52" i="20"/>
  <c r="H52" i="20" s="1"/>
  <c r="E19" i="15"/>
  <c r="G19" i="15" s="1"/>
  <c r="H19" i="15" s="1"/>
  <c r="K19" i="15" s="1"/>
  <c r="L19" i="15" s="1"/>
  <c r="E27" i="15"/>
  <c r="G27" i="15" s="1"/>
  <c r="H27" i="15" s="1"/>
  <c r="K27" i="15" s="1"/>
  <c r="L27" i="15" s="1"/>
  <c r="E11" i="15"/>
  <c r="G11" i="15" s="1"/>
  <c r="H11" i="15" s="1"/>
  <c r="K11" i="15" s="1"/>
  <c r="L11" i="15" s="1"/>
  <c r="G1" i="40"/>
  <c r="D52" i="40"/>
  <c r="B75" i="40" s="1"/>
  <c r="I52" i="37"/>
  <c r="H52" i="37" s="1"/>
  <c r="AM7" i="37"/>
  <c r="AO7" i="37" s="1"/>
  <c r="AP7" i="37" s="1"/>
  <c r="AS7" i="37" s="1"/>
  <c r="AT7" i="37" s="1"/>
  <c r="AM8" i="37"/>
  <c r="AO8" i="37" s="1"/>
  <c r="AP8" i="37" s="1"/>
  <c r="AS8" i="37" s="1"/>
  <c r="AT8" i="37" s="1"/>
  <c r="AM12" i="37"/>
  <c r="AO12" i="37" s="1"/>
  <c r="AP12" i="37" s="1"/>
  <c r="AS12" i="37" s="1"/>
  <c r="AT12" i="37" s="1"/>
  <c r="J53" i="37"/>
  <c r="B78" i="37" s="1"/>
  <c r="AM11" i="37"/>
  <c r="AO11" i="37" s="1"/>
  <c r="AP11" i="37" s="1"/>
  <c r="AS11" i="37" s="1"/>
  <c r="AT11" i="37" s="1"/>
  <c r="AM5" i="37"/>
  <c r="AO5" i="37" s="1"/>
  <c r="AP5" i="37" s="1"/>
  <c r="AM6" i="37"/>
  <c r="AO6" i="37" s="1"/>
  <c r="AP6" i="37" s="1"/>
  <c r="AS6" i="37" s="1"/>
  <c r="AT6" i="37" s="1"/>
  <c r="AM10" i="37"/>
  <c r="AO10" i="37" s="1"/>
  <c r="AP10" i="37" s="1"/>
  <c r="AS10" i="37" s="1"/>
  <c r="AT10" i="37" s="1"/>
  <c r="AM9" i="37"/>
  <c r="AO9" i="37" s="1"/>
  <c r="AP9" i="37" s="1"/>
  <c r="AS9" i="37" s="1"/>
  <c r="AT9" i="37" s="1"/>
  <c r="AM13" i="37"/>
  <c r="AO13" i="37" s="1"/>
  <c r="AP13" i="37" s="1"/>
  <c r="AS13" i="37" s="1"/>
  <c r="AT13" i="37" s="1"/>
  <c r="H52" i="29"/>
  <c r="E5" i="29" s="1"/>
  <c r="J53" i="29"/>
  <c r="B81" i="29" s="1"/>
  <c r="E21" i="28"/>
  <c r="G21" i="28" s="1"/>
  <c r="H21" i="28" s="1"/>
  <c r="K21" i="28" s="1"/>
  <c r="L21" i="28" s="1"/>
  <c r="E13" i="28"/>
  <c r="G13" i="28" s="1"/>
  <c r="H13" i="28" s="1"/>
  <c r="K13" i="28" s="1"/>
  <c r="L13" i="28" s="1"/>
  <c r="E9" i="28"/>
  <c r="G9" i="28" s="1"/>
  <c r="H9" i="28" s="1"/>
  <c r="K9" i="28" s="1"/>
  <c r="L9" i="28" s="1"/>
  <c r="E6" i="28"/>
  <c r="G6" i="28" s="1"/>
  <c r="H6" i="28" s="1"/>
  <c r="K6" i="28" s="1"/>
  <c r="L6" i="28" s="1"/>
  <c r="E14" i="28"/>
  <c r="G14" i="28" s="1"/>
  <c r="H14" i="28" s="1"/>
  <c r="K14" i="28" s="1"/>
  <c r="L14" i="28" s="1"/>
  <c r="C52" i="28"/>
  <c r="C53" i="28" s="1"/>
  <c r="E11" i="28"/>
  <c r="G11" i="28" s="1"/>
  <c r="H11" i="28" s="1"/>
  <c r="K11" i="28" s="1"/>
  <c r="L11" i="28" s="1"/>
  <c r="E8" i="28"/>
  <c r="G8" i="28" s="1"/>
  <c r="H8" i="28" s="1"/>
  <c r="K8" i="28" s="1"/>
  <c r="L8" i="28" s="1"/>
  <c r="E10" i="28"/>
  <c r="G10" i="28" s="1"/>
  <c r="H10" i="28" s="1"/>
  <c r="K10" i="28" s="1"/>
  <c r="L10" i="28" s="1"/>
  <c r="E18" i="28"/>
  <c r="G18" i="28" s="1"/>
  <c r="H18" i="28" s="1"/>
  <c r="K18" i="28" s="1"/>
  <c r="L18" i="28" s="1"/>
  <c r="E7" i="28"/>
  <c r="G7" i="28" s="1"/>
  <c r="H7" i="28" s="1"/>
  <c r="K7" i="28" s="1"/>
  <c r="L7" i="28" s="1"/>
  <c r="E15" i="28"/>
  <c r="G15" i="28" s="1"/>
  <c r="H15" i="28" s="1"/>
  <c r="K15" i="28" s="1"/>
  <c r="L15" i="28" s="1"/>
  <c r="E23" i="28"/>
  <c r="G23" i="28" s="1"/>
  <c r="H23" i="28" s="1"/>
  <c r="K23" i="28" s="1"/>
  <c r="L23" i="28" s="1"/>
  <c r="E12" i="28"/>
  <c r="G12" i="28" s="1"/>
  <c r="H12" i="28" s="1"/>
  <c r="K12" i="28" s="1"/>
  <c r="L12" i="28" s="1"/>
  <c r="E20" i="28"/>
  <c r="G20" i="28" s="1"/>
  <c r="H20" i="28" s="1"/>
  <c r="K20" i="28" s="1"/>
  <c r="L20" i="28" s="1"/>
  <c r="E17" i="28"/>
  <c r="G17" i="28" s="1"/>
  <c r="H17" i="28" s="1"/>
  <c r="K17" i="28" s="1"/>
  <c r="L17" i="28" s="1"/>
  <c r="E22" i="28"/>
  <c r="G22" i="28" s="1"/>
  <c r="H22" i="28" s="1"/>
  <c r="K22" i="28" s="1"/>
  <c r="L22" i="28" s="1"/>
  <c r="E16" i="28"/>
  <c r="G16" i="28" s="1"/>
  <c r="H16" i="28" s="1"/>
  <c r="K16" i="28" s="1"/>
  <c r="L16" i="28" s="1"/>
  <c r="E19" i="28"/>
  <c r="G19" i="28" s="1"/>
  <c r="H19" i="28" s="1"/>
  <c r="K19" i="28" s="1"/>
  <c r="L19" i="28" s="1"/>
  <c r="E24" i="28"/>
  <c r="G24" i="28" s="1"/>
  <c r="H24" i="28" s="1"/>
  <c r="K24" i="28" s="1"/>
  <c r="L24" i="28" s="1"/>
  <c r="I52" i="26"/>
  <c r="H52" i="26" s="1"/>
  <c r="AM5" i="26"/>
  <c r="AO5" i="26" s="1"/>
  <c r="AP5" i="26" s="1"/>
  <c r="AM12" i="26"/>
  <c r="AO12" i="26" s="1"/>
  <c r="AP12" i="26" s="1"/>
  <c r="AS12" i="26" s="1"/>
  <c r="AT12" i="26" s="1"/>
  <c r="AM11" i="26"/>
  <c r="AO11" i="26" s="1"/>
  <c r="AP11" i="26" s="1"/>
  <c r="AS11" i="26" s="1"/>
  <c r="AT11" i="26" s="1"/>
  <c r="AM7" i="26"/>
  <c r="AO7" i="26" s="1"/>
  <c r="AP7" i="26" s="1"/>
  <c r="AS7" i="26" s="1"/>
  <c r="AT7" i="26" s="1"/>
  <c r="AM9" i="26"/>
  <c r="AO9" i="26" s="1"/>
  <c r="AP9" i="26" s="1"/>
  <c r="AS9" i="26" s="1"/>
  <c r="AT9" i="26" s="1"/>
  <c r="AM8" i="26"/>
  <c r="AO8" i="26" s="1"/>
  <c r="AP8" i="26" s="1"/>
  <c r="AS8" i="26" s="1"/>
  <c r="AT8" i="26" s="1"/>
  <c r="AM10" i="26"/>
  <c r="AO10" i="26" s="1"/>
  <c r="AP10" i="26" s="1"/>
  <c r="AS10" i="26" s="1"/>
  <c r="AT10" i="26" s="1"/>
  <c r="AM6" i="26"/>
  <c r="AO6" i="26" s="1"/>
  <c r="AP6" i="26" s="1"/>
  <c r="AS6" i="26" s="1"/>
  <c r="AT6" i="26" s="1"/>
  <c r="E11" i="18"/>
  <c r="G11" i="18" s="1"/>
  <c r="H11" i="18" s="1"/>
  <c r="K11" i="18" s="1"/>
  <c r="L11" i="18" s="1"/>
  <c r="E7" i="18"/>
  <c r="G7" i="18" s="1"/>
  <c r="H7" i="18" s="1"/>
  <c r="K7" i="18" s="1"/>
  <c r="L7" i="18" s="1"/>
  <c r="E8" i="18"/>
  <c r="G8" i="18" s="1"/>
  <c r="H8" i="18" s="1"/>
  <c r="K8" i="18" s="1"/>
  <c r="L8" i="18" s="1"/>
  <c r="E16" i="18"/>
  <c r="G16" i="18" s="1"/>
  <c r="H16" i="18" s="1"/>
  <c r="K16" i="18" s="1"/>
  <c r="L16" i="18" s="1"/>
  <c r="E18" i="18"/>
  <c r="G18" i="18" s="1"/>
  <c r="H18" i="18" s="1"/>
  <c r="K18" i="18" s="1"/>
  <c r="L18" i="18" s="1"/>
  <c r="E13" i="18"/>
  <c r="G13" i="18" s="1"/>
  <c r="H13" i="18" s="1"/>
  <c r="K13" i="18" s="1"/>
  <c r="L13" i="18" s="1"/>
  <c r="E19" i="18"/>
  <c r="G19" i="18" s="1"/>
  <c r="H19" i="18" s="1"/>
  <c r="K19" i="18" s="1"/>
  <c r="L19" i="18" s="1"/>
  <c r="G6" i="18"/>
  <c r="H6" i="18" s="1"/>
  <c r="K6" i="18" s="1"/>
  <c r="L6" i="18" s="1"/>
  <c r="E14" i="18"/>
  <c r="G14" i="18" s="1"/>
  <c r="H14" i="18" s="1"/>
  <c r="K14" i="18" s="1"/>
  <c r="L14" i="18" s="1"/>
  <c r="E9" i="18"/>
  <c r="G9" i="18" s="1"/>
  <c r="H9" i="18" s="1"/>
  <c r="K9" i="18" s="1"/>
  <c r="L9" i="18" s="1"/>
  <c r="E17" i="18"/>
  <c r="G17" i="18" s="1"/>
  <c r="H17" i="18" s="1"/>
  <c r="K17" i="18" s="1"/>
  <c r="L17" i="18" s="1"/>
  <c r="E12" i="18"/>
  <c r="G12" i="18" s="1"/>
  <c r="H12" i="18" s="1"/>
  <c r="K12" i="18" s="1"/>
  <c r="L12" i="18" s="1"/>
  <c r="E20" i="18"/>
  <c r="G20" i="18" s="1"/>
  <c r="H20" i="18" s="1"/>
  <c r="K20" i="18" s="1"/>
  <c r="L20" i="18" s="1"/>
  <c r="E10" i="18"/>
  <c r="G10" i="18" s="1"/>
  <c r="H10" i="18" s="1"/>
  <c r="K10" i="18" s="1"/>
  <c r="L10" i="18" s="1"/>
  <c r="C52" i="18"/>
  <c r="E15" i="18"/>
  <c r="G15" i="18" s="1"/>
  <c r="H15" i="18" s="1"/>
  <c r="K15" i="18" s="1"/>
  <c r="L15" i="18" s="1"/>
  <c r="E20" i="17"/>
  <c r="G20" i="17" s="1"/>
  <c r="H20" i="17" s="1"/>
  <c r="K20" i="17" s="1"/>
  <c r="L20" i="17" s="1"/>
  <c r="E9" i="17"/>
  <c r="G9" i="17" s="1"/>
  <c r="H9" i="17" s="1"/>
  <c r="K9" i="17" s="1"/>
  <c r="L9" i="17" s="1"/>
  <c r="E17" i="17"/>
  <c r="G17" i="17" s="1"/>
  <c r="H17" i="17" s="1"/>
  <c r="K17" i="17" s="1"/>
  <c r="L17" i="17" s="1"/>
  <c r="E16" i="17"/>
  <c r="G16" i="17" s="1"/>
  <c r="H16" i="17" s="1"/>
  <c r="K16" i="17" s="1"/>
  <c r="L16" i="17" s="1"/>
  <c r="E21" i="17"/>
  <c r="G21" i="17" s="1"/>
  <c r="H21" i="17" s="1"/>
  <c r="K21" i="17" s="1"/>
  <c r="L21" i="17" s="1"/>
  <c r="E14" i="17"/>
  <c r="G14" i="17" s="1"/>
  <c r="H14" i="17" s="1"/>
  <c r="K14" i="17" s="1"/>
  <c r="L14" i="17" s="1"/>
  <c r="E12" i="17"/>
  <c r="G12" i="17" s="1"/>
  <c r="H12" i="17" s="1"/>
  <c r="K12" i="17" s="1"/>
  <c r="L12" i="17" s="1"/>
  <c r="E10" i="17"/>
  <c r="G10" i="17" s="1"/>
  <c r="H10" i="17" s="1"/>
  <c r="K10" i="17" s="1"/>
  <c r="L10" i="17" s="1"/>
  <c r="AM10" i="17"/>
  <c r="AO10" i="17" s="1"/>
  <c r="AP10" i="17" s="1"/>
  <c r="AS10" i="17" s="1"/>
  <c r="AT10" i="17" s="1"/>
  <c r="E22" i="17"/>
  <c r="G22" i="17" s="1"/>
  <c r="H22" i="17" s="1"/>
  <c r="K22" i="17" s="1"/>
  <c r="L22" i="17" s="1"/>
  <c r="E26" i="17"/>
  <c r="G26" i="17" s="1"/>
  <c r="H26" i="17" s="1"/>
  <c r="K26" i="17" s="1"/>
  <c r="L26" i="17" s="1"/>
  <c r="C52" i="17"/>
  <c r="J53" i="17"/>
  <c r="AM13" i="17"/>
  <c r="AO13" i="17" s="1"/>
  <c r="AP13" i="17" s="1"/>
  <c r="AS13" i="17" s="1"/>
  <c r="AT13" i="17" s="1"/>
  <c r="E24" i="15"/>
  <c r="G24" i="15" s="1"/>
  <c r="H24" i="15" s="1"/>
  <c r="K24" i="15" s="1"/>
  <c r="L24" i="15" s="1"/>
  <c r="E16" i="15"/>
  <c r="G16" i="15" s="1"/>
  <c r="H16" i="15" s="1"/>
  <c r="K16" i="15" s="1"/>
  <c r="L16" i="15" s="1"/>
  <c r="E8" i="15"/>
  <c r="G8" i="15" s="1"/>
  <c r="H8" i="15" s="1"/>
  <c r="K8" i="15" s="1"/>
  <c r="L8" i="15" s="1"/>
  <c r="AM11" i="8"/>
  <c r="AO11" i="8" s="1"/>
  <c r="AP11" i="8" s="1"/>
  <c r="AS11" i="8" s="1"/>
  <c r="AT11" i="8" s="1"/>
  <c r="AM6" i="8"/>
  <c r="AO6" i="8" s="1"/>
  <c r="AP6" i="8" s="1"/>
  <c r="AS6" i="8" s="1"/>
  <c r="AT6" i="8" s="1"/>
  <c r="AM9" i="8"/>
  <c r="AO9" i="8" s="1"/>
  <c r="AP9" i="8" s="1"/>
  <c r="AS9" i="8" s="1"/>
  <c r="AT9" i="8" s="1"/>
  <c r="AM10" i="8"/>
  <c r="AO10" i="8" s="1"/>
  <c r="AP10" i="8" s="1"/>
  <c r="AS10" i="8" s="1"/>
  <c r="AT10" i="8" s="1"/>
  <c r="AM8" i="8"/>
  <c r="AO8" i="8" s="1"/>
  <c r="AP8" i="8" s="1"/>
  <c r="AS8" i="8" s="1"/>
  <c r="AT8" i="8" s="1"/>
  <c r="H52" i="8"/>
  <c r="AM7" i="8"/>
  <c r="AO7" i="8" s="1"/>
  <c r="AP7" i="8" s="1"/>
  <c r="AS7" i="8" s="1"/>
  <c r="AT7" i="8" s="1"/>
  <c r="AM12" i="8"/>
  <c r="AO12" i="8" s="1"/>
  <c r="AP12" i="8" s="1"/>
  <c r="AS12" i="8" s="1"/>
  <c r="AT12" i="8" s="1"/>
  <c r="AM5" i="8"/>
  <c r="AO5" i="8" s="1"/>
  <c r="AP5" i="8" s="1"/>
  <c r="J54" i="5"/>
  <c r="I53" i="5"/>
  <c r="AM8" i="3"/>
  <c r="AO8" i="3" s="1"/>
  <c r="AP8" i="3" s="1"/>
  <c r="AS8" i="3" s="1"/>
  <c r="AT8" i="3" s="1"/>
  <c r="AM10" i="3"/>
  <c r="AO10" i="3" s="1"/>
  <c r="AP10" i="3" s="1"/>
  <c r="AS10" i="3" s="1"/>
  <c r="AT10" i="3" s="1"/>
  <c r="I52" i="3"/>
  <c r="H52" i="3" s="1"/>
  <c r="AM6" i="3"/>
  <c r="AO6" i="3" s="1"/>
  <c r="AP6" i="3" s="1"/>
  <c r="AS6" i="3" s="1"/>
  <c r="AT6" i="3" s="1"/>
  <c r="AM13" i="3"/>
  <c r="AO13" i="3" s="1"/>
  <c r="AP13" i="3" s="1"/>
  <c r="AS13" i="3" s="1"/>
  <c r="AT13" i="3" s="1"/>
  <c r="AM12" i="3"/>
  <c r="AO12" i="3" s="1"/>
  <c r="AP12" i="3" s="1"/>
  <c r="AS12" i="3" s="1"/>
  <c r="AT12" i="3" s="1"/>
  <c r="AM11" i="3"/>
  <c r="AO11" i="3" s="1"/>
  <c r="AP11" i="3" s="1"/>
  <c r="AS11" i="3" s="1"/>
  <c r="AT11" i="3" s="1"/>
  <c r="AM9" i="3"/>
  <c r="AO9" i="3" s="1"/>
  <c r="AP9" i="3" s="1"/>
  <c r="AS9" i="3" s="1"/>
  <c r="AT9" i="3" s="1"/>
  <c r="AM7" i="3"/>
  <c r="AO7" i="3" s="1"/>
  <c r="AP7" i="3" s="1"/>
  <c r="AS7" i="3" s="1"/>
  <c r="AT7" i="3" s="1"/>
  <c r="AP5" i="3"/>
  <c r="J53" i="3"/>
  <c r="B84" i="3" s="1"/>
  <c r="I54" i="34"/>
  <c r="AM6" i="18"/>
  <c r="AO6" i="18" s="1"/>
  <c r="AP6" i="18" s="1"/>
  <c r="AS6" i="18" s="1"/>
  <c r="AT6" i="18" s="1"/>
  <c r="AM17" i="18"/>
  <c r="AO17" i="18" s="1"/>
  <c r="AP17" i="18" s="1"/>
  <c r="AS17" i="18" s="1"/>
  <c r="AT17" i="18" s="1"/>
  <c r="AM12" i="18"/>
  <c r="AO12" i="18" s="1"/>
  <c r="AP12" i="18" s="1"/>
  <c r="AS12" i="18" s="1"/>
  <c r="AT12" i="18" s="1"/>
  <c r="AM7" i="18"/>
  <c r="AO7" i="18" s="1"/>
  <c r="AP7" i="18" s="1"/>
  <c r="AS7" i="18" s="1"/>
  <c r="AT7" i="18" s="1"/>
  <c r="AM15" i="18"/>
  <c r="AO15" i="18" s="1"/>
  <c r="AP15" i="18" s="1"/>
  <c r="AS15" i="18" s="1"/>
  <c r="AT15" i="18" s="1"/>
  <c r="AM18" i="18"/>
  <c r="AO18" i="18" s="1"/>
  <c r="AP18" i="18" s="1"/>
  <c r="AS18" i="18" s="1"/>
  <c r="AT18" i="18" s="1"/>
  <c r="AM11" i="18"/>
  <c r="AO11" i="18" s="1"/>
  <c r="AP11" i="18" s="1"/>
  <c r="AS11" i="18" s="1"/>
  <c r="AT11" i="18" s="1"/>
  <c r="AM14" i="18"/>
  <c r="AO14" i="18" s="1"/>
  <c r="AP14" i="18" s="1"/>
  <c r="AS14" i="18" s="1"/>
  <c r="AT14" i="18" s="1"/>
  <c r="AM5" i="18"/>
  <c r="AO5" i="18" s="1"/>
  <c r="AP5" i="18" s="1"/>
  <c r="AM19" i="18"/>
  <c r="AO19" i="18" s="1"/>
  <c r="AP19" i="18" s="1"/>
  <c r="AS19" i="18" s="1"/>
  <c r="AT19" i="18" s="1"/>
  <c r="AM9" i="18"/>
  <c r="AO9" i="18" s="1"/>
  <c r="AP9" i="18" s="1"/>
  <c r="AS9" i="18" s="1"/>
  <c r="AT9" i="18" s="1"/>
  <c r="E27" i="5"/>
  <c r="G27" i="5" s="1"/>
  <c r="H27" i="5" s="1"/>
  <c r="K27" i="5" s="1"/>
  <c r="L27" i="5" s="1"/>
  <c r="J53" i="21"/>
  <c r="B82" i="21" s="1"/>
  <c r="AM5" i="17"/>
  <c r="AO5" i="17" s="1"/>
  <c r="AP5" i="17" s="1"/>
  <c r="AM9" i="17"/>
  <c r="AO9" i="17" s="1"/>
  <c r="AP9" i="17" s="1"/>
  <c r="AS9" i="17" s="1"/>
  <c r="AT9" i="17" s="1"/>
  <c r="AM14" i="17"/>
  <c r="AO14" i="17" s="1"/>
  <c r="AP14" i="17" s="1"/>
  <c r="AS14" i="17" s="1"/>
  <c r="AT14" i="17" s="1"/>
  <c r="AM7" i="17"/>
  <c r="AO7" i="17" s="1"/>
  <c r="AP7" i="17" s="1"/>
  <c r="AS7" i="17" s="1"/>
  <c r="AT7" i="17" s="1"/>
  <c r="AM8" i="17"/>
  <c r="AO8" i="17" s="1"/>
  <c r="AP8" i="17" s="1"/>
  <c r="AS8" i="17" s="1"/>
  <c r="AT8" i="17" s="1"/>
  <c r="J53" i="15"/>
  <c r="G6" i="21"/>
  <c r="H6" i="21" s="1"/>
  <c r="K6" i="21" s="1"/>
  <c r="L6" i="21" s="1"/>
  <c r="C52" i="21"/>
  <c r="E12" i="21"/>
  <c r="G12" i="21" s="1"/>
  <c r="H12" i="21" s="1"/>
  <c r="K12" i="21" s="1"/>
  <c r="L12" i="21" s="1"/>
  <c r="E9" i="21"/>
  <c r="G9" i="21" s="1"/>
  <c r="H9" i="21" s="1"/>
  <c r="K9" i="21" s="1"/>
  <c r="L9" i="21" s="1"/>
  <c r="E16" i="21"/>
  <c r="G16" i="21" s="1"/>
  <c r="H16" i="21" s="1"/>
  <c r="K16" i="21" s="1"/>
  <c r="L16" i="21" s="1"/>
  <c r="E19" i="21"/>
  <c r="G19" i="21" s="1"/>
  <c r="E7" i="21"/>
  <c r="G7" i="21" s="1"/>
  <c r="H7" i="21" s="1"/>
  <c r="K7" i="21" s="1"/>
  <c r="L7" i="21" s="1"/>
  <c r="E11" i="21"/>
  <c r="G11" i="21" s="1"/>
  <c r="H11" i="21" s="1"/>
  <c r="K11" i="21" s="1"/>
  <c r="L11" i="21" s="1"/>
  <c r="E17" i="21"/>
  <c r="G17" i="21" s="1"/>
  <c r="H17" i="21" s="1"/>
  <c r="K17" i="21" s="1"/>
  <c r="L17" i="21" s="1"/>
  <c r="E13" i="21"/>
  <c r="G13" i="21" s="1"/>
  <c r="H13" i="21" s="1"/>
  <c r="K13" i="21" s="1"/>
  <c r="L13" i="21" s="1"/>
  <c r="E10" i="21"/>
  <c r="G10" i="21" s="1"/>
  <c r="H10" i="21" s="1"/>
  <c r="K10" i="21" s="1"/>
  <c r="L10" i="21" s="1"/>
  <c r="E15" i="21"/>
  <c r="G15" i="21" s="1"/>
  <c r="H15" i="21" s="1"/>
  <c r="K15" i="21" s="1"/>
  <c r="L15" i="21" s="1"/>
  <c r="E18" i="21"/>
  <c r="G18" i="21" s="1"/>
  <c r="E20" i="21"/>
  <c r="G20" i="21" s="1"/>
  <c r="E14" i="21"/>
  <c r="G14" i="21" s="1"/>
  <c r="H14" i="21" s="1"/>
  <c r="K14" i="21" s="1"/>
  <c r="L14" i="21" s="1"/>
  <c r="E8" i="21"/>
  <c r="G8" i="21" s="1"/>
  <c r="H8" i="21" s="1"/>
  <c r="K8" i="21" s="1"/>
  <c r="L8" i="21" s="1"/>
  <c r="AM11" i="17"/>
  <c r="AO11" i="17" s="1"/>
  <c r="AP11" i="17" s="1"/>
  <c r="AS11" i="17" s="1"/>
  <c r="AT11" i="17" s="1"/>
  <c r="AM15" i="17"/>
  <c r="AO15" i="17" s="1"/>
  <c r="AP15" i="17" s="1"/>
  <c r="AS15" i="17" s="1"/>
  <c r="AT15" i="17" s="1"/>
  <c r="AM16" i="17"/>
  <c r="AO16" i="17" s="1"/>
  <c r="AP16" i="17" s="1"/>
  <c r="AS16" i="17" s="1"/>
  <c r="AT16" i="17" s="1"/>
  <c r="I52" i="17"/>
  <c r="H52" i="17" s="1"/>
  <c r="H53" i="17" s="1"/>
  <c r="E65" i="17" s="1"/>
  <c r="AM12" i="17"/>
  <c r="AO12" i="17" s="1"/>
  <c r="AP12" i="17" s="1"/>
  <c r="AS12" i="17" s="1"/>
  <c r="AT12" i="17" s="1"/>
  <c r="E14" i="16"/>
  <c r="G14" i="16" s="1"/>
  <c r="H14" i="16" s="1"/>
  <c r="K14" i="16" s="1"/>
  <c r="L14" i="16" s="1"/>
  <c r="E13" i="16"/>
  <c r="G13" i="16" s="1"/>
  <c r="H13" i="16" s="1"/>
  <c r="K13" i="16" s="1"/>
  <c r="L13" i="16" s="1"/>
  <c r="E8" i="16"/>
  <c r="G8" i="16" s="1"/>
  <c r="H8" i="16" s="1"/>
  <c r="K8" i="16" s="1"/>
  <c r="L8" i="16" s="1"/>
  <c r="E11" i="16"/>
  <c r="G11" i="16" s="1"/>
  <c r="H11" i="16" s="1"/>
  <c r="K11" i="16" s="1"/>
  <c r="L11" i="16" s="1"/>
  <c r="E9" i="16"/>
  <c r="G9" i="16" s="1"/>
  <c r="H9" i="16" s="1"/>
  <c r="K9" i="16" s="1"/>
  <c r="L9" i="16" s="1"/>
  <c r="E12" i="16"/>
  <c r="G12" i="16" s="1"/>
  <c r="H12" i="16" s="1"/>
  <c r="K12" i="16" s="1"/>
  <c r="L12" i="16" s="1"/>
  <c r="E6" i="16"/>
  <c r="G6" i="16" s="1"/>
  <c r="H6" i="16" s="1"/>
  <c r="K6" i="16" s="1"/>
  <c r="L6" i="16" s="1"/>
  <c r="AB29" i="56"/>
  <c r="AE29" i="56"/>
  <c r="AC29" i="56"/>
  <c r="I52" i="7"/>
  <c r="E23" i="5"/>
  <c r="G23" i="5" s="1"/>
  <c r="H23" i="5" s="1"/>
  <c r="K23" i="5" s="1"/>
  <c r="L23" i="5" s="1"/>
  <c r="E12" i="5"/>
  <c r="G12" i="5" s="1"/>
  <c r="H12" i="5" s="1"/>
  <c r="K12" i="5" s="1"/>
  <c r="L12" i="5" s="1"/>
  <c r="E20" i="5"/>
  <c r="G20" i="5" s="1"/>
  <c r="H20" i="5" s="1"/>
  <c r="K20" i="5" s="1"/>
  <c r="L20" i="5" s="1"/>
  <c r="E17" i="5"/>
  <c r="G17" i="5" s="1"/>
  <c r="H17" i="5" s="1"/>
  <c r="K17" i="5" s="1"/>
  <c r="L17" i="5" s="1"/>
  <c r="E26" i="5"/>
  <c r="G26" i="5" s="1"/>
  <c r="H26" i="5" s="1"/>
  <c r="K26" i="5" s="1"/>
  <c r="L26" i="5" s="1"/>
  <c r="E15" i="5"/>
  <c r="G15" i="5" s="1"/>
  <c r="H15" i="5" s="1"/>
  <c r="K15" i="5" s="1"/>
  <c r="L15" i="5" s="1"/>
  <c r="E25" i="5"/>
  <c r="G25" i="5" s="1"/>
  <c r="H25" i="5" s="1"/>
  <c r="K25" i="5" s="1"/>
  <c r="L25" i="5" s="1"/>
  <c r="E16" i="5"/>
  <c r="G16" i="5" s="1"/>
  <c r="H16" i="5" s="1"/>
  <c r="K16" i="5" s="1"/>
  <c r="L16" i="5" s="1"/>
  <c r="E10" i="5"/>
  <c r="G10" i="5" s="1"/>
  <c r="H10" i="5" s="1"/>
  <c r="K10" i="5" s="1"/>
  <c r="L10" i="5" s="1"/>
  <c r="E11" i="5"/>
  <c r="G11" i="5" s="1"/>
  <c r="H11" i="5" s="1"/>
  <c r="K11" i="5" s="1"/>
  <c r="L11" i="5" s="1"/>
  <c r="E7" i="5"/>
  <c r="G7" i="5" s="1"/>
  <c r="H7" i="5" s="1"/>
  <c r="K7" i="5" s="1"/>
  <c r="L7" i="5" s="1"/>
  <c r="E8" i="5"/>
  <c r="G8" i="5" s="1"/>
  <c r="H8" i="5" s="1"/>
  <c r="K8" i="5" s="1"/>
  <c r="L8" i="5" s="1"/>
  <c r="E9" i="5"/>
  <c r="G9" i="5" s="1"/>
  <c r="H9" i="5" s="1"/>
  <c r="K9" i="5" s="1"/>
  <c r="L9" i="5" s="1"/>
  <c r="E24" i="5"/>
  <c r="G24" i="5" s="1"/>
  <c r="H24" i="5" s="1"/>
  <c r="K24" i="5" s="1"/>
  <c r="L24" i="5" s="1"/>
  <c r="E13" i="5"/>
  <c r="G13" i="5" s="1"/>
  <c r="H13" i="5" s="1"/>
  <c r="K13" i="5" s="1"/>
  <c r="L13" i="5" s="1"/>
  <c r="E18" i="5"/>
  <c r="G18" i="5" s="1"/>
  <c r="H18" i="5" s="1"/>
  <c r="K18" i="5" s="1"/>
  <c r="L18" i="5" s="1"/>
  <c r="C52" i="5"/>
  <c r="C53" i="5" s="1"/>
  <c r="E21" i="5"/>
  <c r="G21" i="5" s="1"/>
  <c r="H21" i="5" s="1"/>
  <c r="K21" i="5" s="1"/>
  <c r="L21" i="5" s="1"/>
  <c r="E22" i="5"/>
  <c r="G22" i="5" s="1"/>
  <c r="H22" i="5" s="1"/>
  <c r="K22" i="5" s="1"/>
  <c r="L22" i="5" s="1"/>
  <c r="E19" i="5"/>
  <c r="G19" i="5" s="1"/>
  <c r="H19" i="5" s="1"/>
  <c r="K19" i="5" s="1"/>
  <c r="L19" i="5" s="1"/>
  <c r="E14" i="5"/>
  <c r="G14" i="5" s="1"/>
  <c r="H14" i="5" s="1"/>
  <c r="K14" i="5" s="1"/>
  <c r="L14" i="5" s="1"/>
  <c r="E14" i="67"/>
  <c r="G14" i="67" s="1"/>
  <c r="H14" i="67" s="1"/>
  <c r="K14" i="67" s="1"/>
  <c r="L14" i="67" s="1"/>
  <c r="G1" i="58"/>
  <c r="I1" i="58" s="1"/>
  <c r="D52" i="58"/>
  <c r="E9" i="44"/>
  <c r="G9" i="44" s="1"/>
  <c r="H9" i="44" s="1"/>
  <c r="K9" i="44" s="1"/>
  <c r="L9" i="44" s="1"/>
  <c r="E7" i="44"/>
  <c r="G7" i="44" s="1"/>
  <c r="H7" i="44" s="1"/>
  <c r="K7" i="44" s="1"/>
  <c r="L7" i="44" s="1"/>
  <c r="C52" i="44"/>
  <c r="E10" i="44"/>
  <c r="G10" i="44" s="1"/>
  <c r="H10" i="44" s="1"/>
  <c r="K10" i="44" s="1"/>
  <c r="L10" i="44" s="1"/>
  <c r="E5" i="44"/>
  <c r="G5" i="44" s="1"/>
  <c r="H5" i="44" s="1"/>
  <c r="K5" i="44" s="1"/>
  <c r="L5" i="44" s="1"/>
  <c r="S35" i="44" s="1"/>
  <c r="E11" i="44"/>
  <c r="G11" i="44" s="1"/>
  <c r="H11" i="44" s="1"/>
  <c r="K11" i="44" s="1"/>
  <c r="L11" i="44" s="1"/>
  <c r="E12" i="44"/>
  <c r="G12" i="44" s="1"/>
  <c r="H12" i="44" s="1"/>
  <c r="K12" i="44" s="1"/>
  <c r="L12" i="44" s="1"/>
  <c r="E14" i="44"/>
  <c r="G14" i="44" s="1"/>
  <c r="H14" i="44" s="1"/>
  <c r="K14" i="44" s="1"/>
  <c r="L14" i="44" s="1"/>
  <c r="E17" i="44"/>
  <c r="G17" i="44" s="1"/>
  <c r="H17" i="44" s="1"/>
  <c r="K17" i="44" s="1"/>
  <c r="L17" i="44" s="1"/>
  <c r="E15" i="44"/>
  <c r="G15" i="44" s="1"/>
  <c r="H15" i="44" s="1"/>
  <c r="K15" i="44" s="1"/>
  <c r="L15" i="44" s="1"/>
  <c r="I52" i="53"/>
  <c r="H52" i="53" s="1"/>
  <c r="I51" i="56"/>
  <c r="I51" i="65"/>
  <c r="D5" i="65" s="1"/>
  <c r="D5" i="67"/>
  <c r="H51" i="67" s="1"/>
  <c r="J53" i="58"/>
  <c r="B83" i="58" s="1"/>
  <c r="I51" i="58"/>
  <c r="D91" i="70"/>
  <c r="D65" i="70"/>
  <c r="D118" i="70"/>
  <c r="D89" i="59"/>
  <c r="D65" i="59"/>
  <c r="H52" i="62"/>
  <c r="I53" i="62"/>
  <c r="J54" i="62"/>
  <c r="H51" i="70"/>
  <c r="H51" i="62"/>
  <c r="J51" i="47"/>
  <c r="X44" i="47"/>
  <c r="D85" i="49"/>
  <c r="D65" i="49"/>
  <c r="D90" i="44"/>
  <c r="D65" i="44"/>
  <c r="D81" i="41"/>
  <c r="D65" i="41"/>
  <c r="D84" i="43"/>
  <c r="D65" i="43"/>
  <c r="E7" i="49"/>
  <c r="G7" i="49" s="1"/>
  <c r="H7" i="49" s="1"/>
  <c r="K7" i="49" s="1"/>
  <c r="L7" i="49" s="1"/>
  <c r="E13" i="49"/>
  <c r="G13" i="49" s="1"/>
  <c r="H13" i="49" s="1"/>
  <c r="K13" i="49" s="1"/>
  <c r="L13" i="49" s="1"/>
  <c r="E8" i="49"/>
  <c r="G8" i="49" s="1"/>
  <c r="H8" i="49" s="1"/>
  <c r="K8" i="49" s="1"/>
  <c r="L8" i="49" s="1"/>
  <c r="E9" i="49"/>
  <c r="G9" i="49" s="1"/>
  <c r="H9" i="49" s="1"/>
  <c r="K9" i="49" s="1"/>
  <c r="L9" i="49" s="1"/>
  <c r="E11" i="49"/>
  <c r="G11" i="49" s="1"/>
  <c r="H11" i="49" s="1"/>
  <c r="K11" i="49" s="1"/>
  <c r="L11" i="49" s="1"/>
  <c r="E6" i="49"/>
  <c r="G6" i="49" s="1"/>
  <c r="H6" i="49" s="1"/>
  <c r="K6" i="49" s="1"/>
  <c r="L6" i="49" s="1"/>
  <c r="E12" i="49"/>
  <c r="G12" i="49" s="1"/>
  <c r="H12" i="49" s="1"/>
  <c r="K12" i="49" s="1"/>
  <c r="L12" i="49" s="1"/>
  <c r="E15" i="49"/>
  <c r="G15" i="49" s="1"/>
  <c r="H15" i="49" s="1"/>
  <c r="K15" i="49" s="1"/>
  <c r="L15" i="49" s="1"/>
  <c r="E17" i="49"/>
  <c r="G17" i="49" s="1"/>
  <c r="H17" i="49" s="1"/>
  <c r="K17" i="49" s="1"/>
  <c r="L17" i="49" s="1"/>
  <c r="E10" i="49"/>
  <c r="G10" i="49" s="1"/>
  <c r="H10" i="49" s="1"/>
  <c r="K10" i="49" s="1"/>
  <c r="L10" i="49" s="1"/>
  <c r="E16" i="49"/>
  <c r="G16" i="49" s="1"/>
  <c r="H16" i="49" s="1"/>
  <c r="K16" i="49" s="1"/>
  <c r="L16" i="49" s="1"/>
  <c r="E14" i="49"/>
  <c r="G14" i="49" s="1"/>
  <c r="H14" i="49" s="1"/>
  <c r="K14" i="49" s="1"/>
  <c r="L14" i="49" s="1"/>
  <c r="C52" i="49"/>
  <c r="E13" i="44"/>
  <c r="G13" i="44" s="1"/>
  <c r="H13" i="44" s="1"/>
  <c r="K13" i="44" s="1"/>
  <c r="L13" i="44" s="1"/>
  <c r="J54" i="44"/>
  <c r="H51" i="49"/>
  <c r="H51" i="41"/>
  <c r="H51" i="46"/>
  <c r="H51" i="43"/>
  <c r="I52" i="67"/>
  <c r="J53" i="67"/>
  <c r="AM5" i="43"/>
  <c r="AO5" i="43" s="1"/>
  <c r="AP5" i="43" s="1"/>
  <c r="AM6" i="43"/>
  <c r="AO6" i="43" s="1"/>
  <c r="AP6" i="43" s="1"/>
  <c r="AS6" i="43" s="1"/>
  <c r="AT6" i="43" s="1"/>
  <c r="I52" i="43"/>
  <c r="H52" i="43" s="1"/>
  <c r="J54" i="43"/>
  <c r="I53" i="43"/>
  <c r="D87" i="48"/>
  <c r="D65" i="48"/>
  <c r="H51" i="48"/>
  <c r="E16" i="43"/>
  <c r="G16" i="43" s="1"/>
  <c r="H16" i="43" s="1"/>
  <c r="K16" i="43" s="1"/>
  <c r="L16" i="43" s="1"/>
  <c r="E9" i="43"/>
  <c r="G9" i="43" s="1"/>
  <c r="H9" i="43" s="1"/>
  <c r="K9" i="43" s="1"/>
  <c r="L9" i="43" s="1"/>
  <c r="E13" i="43"/>
  <c r="G13" i="43" s="1"/>
  <c r="H13" i="43" s="1"/>
  <c r="K13" i="43" s="1"/>
  <c r="L13" i="43" s="1"/>
  <c r="E11" i="43"/>
  <c r="G11" i="43" s="1"/>
  <c r="H11" i="43" s="1"/>
  <c r="K11" i="43" s="1"/>
  <c r="L11" i="43" s="1"/>
  <c r="E14" i="43"/>
  <c r="G14" i="43" s="1"/>
  <c r="H14" i="43" s="1"/>
  <c r="K14" i="43" s="1"/>
  <c r="L14" i="43" s="1"/>
  <c r="C52" i="43"/>
  <c r="E7" i="43"/>
  <c r="G7" i="43" s="1"/>
  <c r="H7" i="43" s="1"/>
  <c r="K7" i="43" s="1"/>
  <c r="L7" i="43" s="1"/>
  <c r="E8" i="43"/>
  <c r="G8" i="43" s="1"/>
  <c r="H8" i="43" s="1"/>
  <c r="K8" i="43" s="1"/>
  <c r="L8" i="43" s="1"/>
  <c r="U35" i="43" s="1"/>
  <c r="AD30" i="43" s="1"/>
  <c r="E6" i="43"/>
  <c r="G6" i="43" s="1"/>
  <c r="H6" i="43" s="1"/>
  <c r="K6" i="43" s="1"/>
  <c r="L6" i="43" s="1"/>
  <c r="E10" i="43"/>
  <c r="G10" i="43" s="1"/>
  <c r="H10" i="43" s="1"/>
  <c r="K10" i="43" s="1"/>
  <c r="L10" i="43" s="1"/>
  <c r="E12" i="43"/>
  <c r="G12" i="43" s="1"/>
  <c r="H12" i="43" s="1"/>
  <c r="K12" i="43" s="1"/>
  <c r="L12" i="43" s="1"/>
  <c r="E15" i="43"/>
  <c r="G15" i="43" s="1"/>
  <c r="H15" i="43" s="1"/>
  <c r="K15" i="43" s="1"/>
  <c r="L15" i="43" s="1"/>
  <c r="E17" i="43"/>
  <c r="G17" i="43" s="1"/>
  <c r="H17" i="43" s="1"/>
  <c r="K17" i="43" s="1"/>
  <c r="L17" i="43" s="1"/>
  <c r="AM7" i="41"/>
  <c r="AO7" i="41" s="1"/>
  <c r="AP7" i="41" s="1"/>
  <c r="AS7" i="41" s="1"/>
  <c r="AT7" i="41" s="1"/>
  <c r="AM5" i="41"/>
  <c r="AO5" i="41" s="1"/>
  <c r="AP5" i="41" s="1"/>
  <c r="AM6" i="41"/>
  <c r="AO6" i="41" s="1"/>
  <c r="AP6" i="41" s="1"/>
  <c r="AS6" i="41" s="1"/>
  <c r="AT6" i="41" s="1"/>
  <c r="AM8" i="41"/>
  <c r="AO8" i="41" s="1"/>
  <c r="AP8" i="41" s="1"/>
  <c r="AS8" i="41" s="1"/>
  <c r="AT8" i="41" s="1"/>
  <c r="AM9" i="41"/>
  <c r="AO9" i="41" s="1"/>
  <c r="AP9" i="41" s="1"/>
  <c r="AS9" i="41" s="1"/>
  <c r="AT9" i="41" s="1"/>
  <c r="AM10" i="41"/>
  <c r="AO10" i="41" s="1"/>
  <c r="AP10" i="41" s="1"/>
  <c r="AS10" i="41" s="1"/>
  <c r="AT10" i="41" s="1"/>
  <c r="AM12" i="41"/>
  <c r="AO12" i="41" s="1"/>
  <c r="AP12" i="41" s="1"/>
  <c r="AS12" i="41" s="1"/>
  <c r="AT12" i="41" s="1"/>
  <c r="AM11" i="41"/>
  <c r="AO11" i="41" s="1"/>
  <c r="AP11" i="41" s="1"/>
  <c r="AS11" i="41" s="1"/>
  <c r="AT11" i="41" s="1"/>
  <c r="J54" i="30"/>
  <c r="B90" i="30" s="1"/>
  <c r="H54" i="50"/>
  <c r="E88" i="50" s="1"/>
  <c r="J53" i="33"/>
  <c r="B88" i="33" s="1"/>
  <c r="I51" i="33"/>
  <c r="G1" i="32"/>
  <c r="E6" i="32" s="1"/>
  <c r="D52" i="32"/>
  <c r="C52" i="8"/>
  <c r="C53" i="8" s="1"/>
  <c r="E22" i="8"/>
  <c r="G22" i="8" s="1"/>
  <c r="H22" i="8" s="1"/>
  <c r="K22" i="8" s="1"/>
  <c r="L22" i="8" s="1"/>
  <c r="E20" i="8"/>
  <c r="G20" i="8" s="1"/>
  <c r="H20" i="8" s="1"/>
  <c r="K20" i="8" s="1"/>
  <c r="L20" i="8" s="1"/>
  <c r="E19" i="8"/>
  <c r="G19" i="8" s="1"/>
  <c r="H19" i="8" s="1"/>
  <c r="K19" i="8" s="1"/>
  <c r="L19" i="8" s="1"/>
  <c r="E17" i="8"/>
  <c r="G17" i="8" s="1"/>
  <c r="H17" i="8" s="1"/>
  <c r="K17" i="8" s="1"/>
  <c r="L17" i="8" s="1"/>
  <c r="E13" i="8"/>
  <c r="G13" i="8" s="1"/>
  <c r="H13" i="8" s="1"/>
  <c r="K13" i="8" s="1"/>
  <c r="L13" i="8" s="1"/>
  <c r="E12" i="8"/>
  <c r="G12" i="8" s="1"/>
  <c r="H12" i="8" s="1"/>
  <c r="K12" i="8" s="1"/>
  <c r="L12" i="8" s="1"/>
  <c r="E10" i="8"/>
  <c r="G10" i="8" s="1"/>
  <c r="H10" i="8" s="1"/>
  <c r="K10" i="8" s="1"/>
  <c r="L10" i="8" s="1"/>
  <c r="E9" i="8"/>
  <c r="G9" i="8" s="1"/>
  <c r="H9" i="8" s="1"/>
  <c r="K9" i="8" s="1"/>
  <c r="L9" i="8" s="1"/>
  <c r="E6" i="8"/>
  <c r="G6" i="8" s="1"/>
  <c r="H6" i="8" s="1"/>
  <c r="K6" i="8" s="1"/>
  <c r="L6" i="8" s="1"/>
  <c r="E21" i="8"/>
  <c r="G21" i="8" s="1"/>
  <c r="H21" i="8" s="1"/>
  <c r="K21" i="8" s="1"/>
  <c r="L21" i="8" s="1"/>
  <c r="E16" i="8"/>
  <c r="G16" i="8" s="1"/>
  <c r="H16" i="8" s="1"/>
  <c r="K16" i="8" s="1"/>
  <c r="L16" i="8" s="1"/>
  <c r="E23" i="8"/>
  <c r="G23" i="8" s="1"/>
  <c r="H23" i="8" s="1"/>
  <c r="K23" i="8" s="1"/>
  <c r="L23" i="8" s="1"/>
  <c r="E18" i="8"/>
  <c r="G18" i="8" s="1"/>
  <c r="H18" i="8" s="1"/>
  <c r="K18" i="8" s="1"/>
  <c r="L18" i="8" s="1"/>
  <c r="E15" i="8"/>
  <c r="G15" i="8" s="1"/>
  <c r="H15" i="8" s="1"/>
  <c r="K15" i="8" s="1"/>
  <c r="L15" i="8" s="1"/>
  <c r="E14" i="8"/>
  <c r="G14" i="8" s="1"/>
  <c r="H14" i="8" s="1"/>
  <c r="K14" i="8" s="1"/>
  <c r="L14" i="8" s="1"/>
  <c r="E11" i="8"/>
  <c r="G11" i="8" s="1"/>
  <c r="H11" i="8" s="1"/>
  <c r="K11" i="8" s="1"/>
  <c r="L11" i="8" s="1"/>
  <c r="E8" i="8"/>
  <c r="G8" i="8" s="1"/>
  <c r="H8" i="8" s="1"/>
  <c r="K8" i="8" s="1"/>
  <c r="L8" i="8" s="1"/>
  <c r="E7" i="8"/>
  <c r="G7" i="8" s="1"/>
  <c r="H7" i="8" s="1"/>
  <c r="K7" i="8" s="1"/>
  <c r="L7" i="8" s="1"/>
  <c r="E21" i="33"/>
  <c r="G21" i="33" s="1"/>
  <c r="H21" i="33" s="1"/>
  <c r="K21" i="33" s="1"/>
  <c r="L21" i="33" s="1"/>
  <c r="E20" i="33"/>
  <c r="G20" i="33" s="1"/>
  <c r="H20" i="33" s="1"/>
  <c r="K20" i="33" s="1"/>
  <c r="L20" i="33" s="1"/>
  <c r="E22" i="33"/>
  <c r="G22" i="33" s="1"/>
  <c r="H22" i="33" s="1"/>
  <c r="K22" i="33" s="1"/>
  <c r="L22" i="33" s="1"/>
  <c r="E9" i="33"/>
  <c r="G9" i="33" s="1"/>
  <c r="H9" i="33" s="1"/>
  <c r="K9" i="33" s="1"/>
  <c r="L9" i="33" s="1"/>
  <c r="E25" i="33"/>
  <c r="G25" i="33" s="1"/>
  <c r="H25" i="33" s="1"/>
  <c r="K25" i="33" s="1"/>
  <c r="L25" i="33" s="1"/>
  <c r="E8" i="33"/>
  <c r="G8" i="33" s="1"/>
  <c r="H8" i="33" s="1"/>
  <c r="K8" i="33" s="1"/>
  <c r="L8" i="33" s="1"/>
  <c r="C52" i="33"/>
  <c r="E23" i="33"/>
  <c r="G23" i="33" s="1"/>
  <c r="H23" i="33" s="1"/>
  <c r="K23" i="33" s="1"/>
  <c r="L23" i="33" s="1"/>
  <c r="E10" i="33"/>
  <c r="G10" i="33" s="1"/>
  <c r="H10" i="33" s="1"/>
  <c r="K10" i="33" s="1"/>
  <c r="L10" i="33" s="1"/>
  <c r="E17" i="33"/>
  <c r="G17" i="33" s="1"/>
  <c r="H17" i="33" s="1"/>
  <c r="K17" i="33" s="1"/>
  <c r="L17" i="33" s="1"/>
  <c r="E18" i="33"/>
  <c r="G18" i="33" s="1"/>
  <c r="H18" i="33" s="1"/>
  <c r="K18" i="33" s="1"/>
  <c r="L18" i="33" s="1"/>
  <c r="E6" i="33"/>
  <c r="G6" i="33" s="1"/>
  <c r="H6" i="33" s="1"/>
  <c r="K6" i="33" s="1"/>
  <c r="L6" i="33" s="1"/>
  <c r="E14" i="33"/>
  <c r="G14" i="33" s="1"/>
  <c r="H14" i="33" s="1"/>
  <c r="K14" i="33" s="1"/>
  <c r="L14" i="33" s="1"/>
  <c r="E19" i="33"/>
  <c r="G19" i="33" s="1"/>
  <c r="H19" i="33" s="1"/>
  <c r="K19" i="33" s="1"/>
  <c r="L19" i="33" s="1"/>
  <c r="E11" i="33"/>
  <c r="G11" i="33" s="1"/>
  <c r="H11" i="33" s="1"/>
  <c r="K11" i="33" s="1"/>
  <c r="L11" i="33" s="1"/>
  <c r="E15" i="33"/>
  <c r="G15" i="33" s="1"/>
  <c r="H15" i="33" s="1"/>
  <c r="K15" i="33" s="1"/>
  <c r="L15" i="33" s="1"/>
  <c r="E16" i="33"/>
  <c r="G16" i="33" s="1"/>
  <c r="H16" i="33" s="1"/>
  <c r="K16" i="33" s="1"/>
  <c r="L16" i="33" s="1"/>
  <c r="E12" i="33"/>
  <c r="G12" i="33" s="1"/>
  <c r="H12" i="33" s="1"/>
  <c r="K12" i="33" s="1"/>
  <c r="L12" i="33" s="1"/>
  <c r="E7" i="33"/>
  <c r="G7" i="33" s="1"/>
  <c r="H7" i="33" s="1"/>
  <c r="K7" i="33" s="1"/>
  <c r="L7" i="33" s="1"/>
  <c r="E13" i="33"/>
  <c r="G13" i="33" s="1"/>
  <c r="H13" i="33" s="1"/>
  <c r="K13" i="33" s="1"/>
  <c r="L13" i="33" s="1"/>
  <c r="E24" i="33"/>
  <c r="G24" i="33" s="1"/>
  <c r="H24" i="33" s="1"/>
  <c r="K24" i="33" s="1"/>
  <c r="L24" i="33" s="1"/>
  <c r="E8" i="26"/>
  <c r="G8" i="26" s="1"/>
  <c r="H8" i="26" s="1"/>
  <c r="K8" i="26" s="1"/>
  <c r="L8" i="26" s="1"/>
  <c r="E15" i="26"/>
  <c r="G15" i="26" s="1"/>
  <c r="H15" i="26" s="1"/>
  <c r="K15" i="26" s="1"/>
  <c r="L15" i="26" s="1"/>
  <c r="E19" i="26"/>
  <c r="G19" i="26" s="1"/>
  <c r="H19" i="26" s="1"/>
  <c r="K19" i="26" s="1"/>
  <c r="L19" i="26" s="1"/>
  <c r="E16" i="26"/>
  <c r="G16" i="26" s="1"/>
  <c r="H16" i="26" s="1"/>
  <c r="K16" i="26" s="1"/>
  <c r="L16" i="26" s="1"/>
  <c r="E7" i="26"/>
  <c r="G7" i="26" s="1"/>
  <c r="H7" i="26" s="1"/>
  <c r="K7" i="26" s="1"/>
  <c r="L7" i="26" s="1"/>
  <c r="E6" i="26"/>
  <c r="G6" i="26" s="1"/>
  <c r="H6" i="26" s="1"/>
  <c r="K6" i="26" s="1"/>
  <c r="L6" i="26" s="1"/>
  <c r="C52" i="26"/>
  <c r="C53" i="26" s="1"/>
  <c r="E12" i="26"/>
  <c r="G12" i="26" s="1"/>
  <c r="H12" i="26" s="1"/>
  <c r="K12" i="26" s="1"/>
  <c r="L12" i="26" s="1"/>
  <c r="E14" i="26"/>
  <c r="G14" i="26" s="1"/>
  <c r="H14" i="26" s="1"/>
  <c r="K14" i="26" s="1"/>
  <c r="L14" i="26" s="1"/>
  <c r="E17" i="26"/>
  <c r="G17" i="26" s="1"/>
  <c r="H17" i="26" s="1"/>
  <c r="K17" i="26" s="1"/>
  <c r="L17" i="26" s="1"/>
  <c r="E9" i="26"/>
  <c r="G9" i="26" s="1"/>
  <c r="H9" i="26" s="1"/>
  <c r="K9" i="26" s="1"/>
  <c r="L9" i="26" s="1"/>
  <c r="E11" i="26"/>
  <c r="G11" i="26" s="1"/>
  <c r="H11" i="26" s="1"/>
  <c r="K11" i="26" s="1"/>
  <c r="L11" i="26" s="1"/>
  <c r="E13" i="26"/>
  <c r="G13" i="26" s="1"/>
  <c r="H13" i="26" s="1"/>
  <c r="K13" i="26" s="1"/>
  <c r="L13" i="26" s="1"/>
  <c r="E18" i="26"/>
  <c r="G18" i="26" s="1"/>
  <c r="H18" i="26" s="1"/>
  <c r="K18" i="26" s="1"/>
  <c r="L18" i="26" s="1"/>
  <c r="E10" i="26"/>
  <c r="G10" i="26" s="1"/>
  <c r="H10" i="26" s="1"/>
  <c r="K10" i="26" s="1"/>
  <c r="L10" i="26" s="1"/>
  <c r="J54" i="23"/>
  <c r="B100" i="23" s="1"/>
  <c r="E10" i="16"/>
  <c r="G10" i="16" s="1"/>
  <c r="H10" i="16" s="1"/>
  <c r="K10" i="16" s="1"/>
  <c r="L10" i="16" s="1"/>
  <c r="C52" i="16"/>
  <c r="E5" i="16"/>
  <c r="G5" i="16" s="1"/>
  <c r="H5" i="16" s="1"/>
  <c r="K5" i="16" s="1"/>
  <c r="L5" i="16" s="1"/>
  <c r="S35" i="16" s="1"/>
  <c r="E7" i="16"/>
  <c r="G7" i="16" s="1"/>
  <c r="H7" i="16" s="1"/>
  <c r="K7" i="16" s="1"/>
  <c r="L7" i="16" s="1"/>
  <c r="G5" i="10"/>
  <c r="I54" i="10"/>
  <c r="L5" i="10"/>
  <c r="J55" i="10"/>
  <c r="B95" i="10" s="1"/>
  <c r="H52" i="10"/>
  <c r="J53" i="7"/>
  <c r="B81" i="7" s="1"/>
  <c r="I51" i="7"/>
  <c r="D5" i="69"/>
  <c r="J54" i="9"/>
  <c r="AM10" i="25"/>
  <c r="AO10" i="25" s="1"/>
  <c r="AP10" i="25" s="1"/>
  <c r="AS10" i="25" s="1"/>
  <c r="AT10" i="25" s="1"/>
  <c r="AM12" i="25"/>
  <c r="AO12" i="25" s="1"/>
  <c r="AP12" i="25" s="1"/>
  <c r="AS12" i="25" s="1"/>
  <c r="AT12" i="25" s="1"/>
  <c r="AM5" i="25"/>
  <c r="AO5" i="25" s="1"/>
  <c r="AP5" i="25" s="1"/>
  <c r="AM11" i="25"/>
  <c r="AO11" i="25" s="1"/>
  <c r="AP11" i="25" s="1"/>
  <c r="AS11" i="25" s="1"/>
  <c r="AT11" i="25" s="1"/>
  <c r="AM15" i="25"/>
  <c r="AO15" i="25" s="1"/>
  <c r="AP15" i="25" s="1"/>
  <c r="AS15" i="25" s="1"/>
  <c r="AT15" i="25" s="1"/>
  <c r="E8" i="25"/>
  <c r="G8" i="25" s="1"/>
  <c r="H8" i="25" s="1"/>
  <c r="K8" i="25" s="1"/>
  <c r="L8" i="25" s="1"/>
  <c r="E7" i="25"/>
  <c r="G7" i="25" s="1"/>
  <c r="H7" i="25" s="1"/>
  <c r="K7" i="25" s="1"/>
  <c r="L7" i="25" s="1"/>
  <c r="E6" i="25"/>
  <c r="G6" i="25" s="1"/>
  <c r="H6" i="25" s="1"/>
  <c r="K6" i="25" s="1"/>
  <c r="L6" i="25" s="1"/>
  <c r="G5" i="51"/>
  <c r="H52" i="51"/>
  <c r="I53" i="51"/>
  <c r="J54" i="51"/>
  <c r="B98" i="51" s="1"/>
  <c r="H98" i="51" s="1"/>
  <c r="I52" i="60"/>
  <c r="J53" i="60"/>
  <c r="B79" i="60" s="1"/>
  <c r="AM8" i="60"/>
  <c r="AO8" i="60" s="1"/>
  <c r="AP8" i="60" s="1"/>
  <c r="AS8" i="60" s="1"/>
  <c r="AT8" i="60" s="1"/>
  <c r="AM7" i="60"/>
  <c r="AO7" i="60" s="1"/>
  <c r="AP7" i="60" s="1"/>
  <c r="AS7" i="60" s="1"/>
  <c r="AT7" i="60" s="1"/>
  <c r="AM5" i="60"/>
  <c r="AO5" i="60" s="1"/>
  <c r="AP5" i="60" s="1"/>
  <c r="AM12" i="60"/>
  <c r="AO12" i="60" s="1"/>
  <c r="AP12" i="60" s="1"/>
  <c r="AS12" i="60" s="1"/>
  <c r="AT12" i="60" s="1"/>
  <c r="AM11" i="60"/>
  <c r="AO11" i="60" s="1"/>
  <c r="AP11" i="60" s="1"/>
  <c r="AS11" i="60" s="1"/>
  <c r="AT11" i="60" s="1"/>
  <c r="AM10" i="60"/>
  <c r="AO10" i="60" s="1"/>
  <c r="AP10" i="60" s="1"/>
  <c r="AS10" i="60" s="1"/>
  <c r="AT10" i="60" s="1"/>
  <c r="AM13" i="60"/>
  <c r="AO13" i="60" s="1"/>
  <c r="AP13" i="60" s="1"/>
  <c r="AS13" i="60" s="1"/>
  <c r="AT13" i="60" s="1"/>
  <c r="AM6" i="60"/>
  <c r="AO6" i="60" s="1"/>
  <c r="AP6" i="60" s="1"/>
  <c r="AS6" i="60" s="1"/>
  <c r="AT6" i="60" s="1"/>
  <c r="AM9" i="60"/>
  <c r="AO9" i="60" s="1"/>
  <c r="AP9" i="60" s="1"/>
  <c r="AS9" i="60" s="1"/>
  <c r="AT9" i="60" s="1"/>
  <c r="AM14" i="60"/>
  <c r="AO14" i="60" s="1"/>
  <c r="AP14" i="60" s="1"/>
  <c r="AS14" i="60" s="1"/>
  <c r="AT14" i="60" s="1"/>
  <c r="G1" i="60"/>
  <c r="I1" i="60" s="1"/>
  <c r="D52" i="60"/>
  <c r="C53" i="50"/>
  <c r="J54" i="35"/>
  <c r="B81" i="35" s="1"/>
  <c r="H81" i="35" s="1"/>
  <c r="I53" i="35"/>
  <c r="G5" i="35"/>
  <c r="H52" i="35"/>
  <c r="I52" i="25"/>
  <c r="J53" i="25"/>
  <c r="AM13" i="25"/>
  <c r="AO13" i="25" s="1"/>
  <c r="AP13" i="25" s="1"/>
  <c r="AS13" i="25" s="1"/>
  <c r="AT13" i="25" s="1"/>
  <c r="AM16" i="25"/>
  <c r="AO16" i="25" s="1"/>
  <c r="AP16" i="25" s="1"/>
  <c r="AS16" i="25" s="1"/>
  <c r="AT16" i="25" s="1"/>
  <c r="AM8" i="25"/>
  <c r="AO8" i="25" s="1"/>
  <c r="AP8" i="25" s="1"/>
  <c r="AS8" i="25" s="1"/>
  <c r="AT8" i="25" s="1"/>
  <c r="AM9" i="25"/>
  <c r="AO9" i="25" s="1"/>
  <c r="AP9" i="25" s="1"/>
  <c r="AS9" i="25" s="1"/>
  <c r="AT9" i="25" s="1"/>
  <c r="AM7" i="25"/>
  <c r="AO7" i="25" s="1"/>
  <c r="AP7" i="25" s="1"/>
  <c r="AS7" i="25" s="1"/>
  <c r="AT7" i="25" s="1"/>
  <c r="AM6" i="25"/>
  <c r="AO6" i="25" s="1"/>
  <c r="AP6" i="25" s="1"/>
  <c r="AS6" i="25" s="1"/>
  <c r="AT6" i="25" s="1"/>
  <c r="AM14" i="25"/>
  <c r="AO14" i="25" s="1"/>
  <c r="AP14" i="25" s="1"/>
  <c r="AS14" i="25" s="1"/>
  <c r="AT14" i="25" s="1"/>
  <c r="E8" i="79"/>
  <c r="G8" i="79" s="1"/>
  <c r="H8" i="79" s="1"/>
  <c r="K8" i="79" s="1"/>
  <c r="L8" i="79" s="1"/>
  <c r="E7" i="79"/>
  <c r="G7" i="79" s="1"/>
  <c r="H7" i="79" s="1"/>
  <c r="K7" i="79" s="1"/>
  <c r="L7" i="79" s="1"/>
  <c r="E9" i="79"/>
  <c r="G9" i="79" s="1"/>
  <c r="H9" i="79" s="1"/>
  <c r="K9" i="79" s="1"/>
  <c r="L9" i="79" s="1"/>
  <c r="E6" i="79"/>
  <c r="G6" i="79" s="1"/>
  <c r="H6" i="79" s="1"/>
  <c r="K6" i="79" s="1"/>
  <c r="L6" i="79" s="1"/>
  <c r="G5" i="79"/>
  <c r="H5" i="79" s="1"/>
  <c r="K5" i="79" s="1"/>
  <c r="L5" i="79" s="1"/>
  <c r="S35" i="79" s="1"/>
  <c r="I1" i="79"/>
  <c r="I54" i="32"/>
  <c r="J55" i="32"/>
  <c r="I55" i="32" s="1"/>
  <c r="E6" i="68"/>
  <c r="G6" i="68" s="1"/>
  <c r="H6" i="68" s="1"/>
  <c r="K6" i="68" s="1"/>
  <c r="L6" i="68" s="1"/>
  <c r="E8" i="68"/>
  <c r="G8" i="68" s="1"/>
  <c r="H8" i="68" s="1"/>
  <c r="K8" i="68" s="1"/>
  <c r="L8" i="68" s="1"/>
  <c r="E13" i="68"/>
  <c r="G13" i="68" s="1"/>
  <c r="H13" i="68" s="1"/>
  <c r="K13" i="68" s="1"/>
  <c r="L13" i="68" s="1"/>
  <c r="E11" i="68"/>
  <c r="G11" i="68" s="1"/>
  <c r="H11" i="68" s="1"/>
  <c r="K11" i="68" s="1"/>
  <c r="L11" i="68" s="1"/>
  <c r="E9" i="68"/>
  <c r="G9" i="68" s="1"/>
  <c r="H9" i="68" s="1"/>
  <c r="K9" i="68" s="1"/>
  <c r="L9" i="68" s="1"/>
  <c r="E10" i="68"/>
  <c r="G10" i="68" s="1"/>
  <c r="H10" i="68" s="1"/>
  <c r="K10" i="68" s="1"/>
  <c r="L10" i="68" s="1"/>
  <c r="E12" i="68"/>
  <c r="G12" i="68" s="1"/>
  <c r="H12" i="68" s="1"/>
  <c r="K12" i="68" s="1"/>
  <c r="L12" i="68" s="1"/>
  <c r="E7" i="68"/>
  <c r="G7" i="68" s="1"/>
  <c r="H7" i="68" s="1"/>
  <c r="K7" i="68" s="1"/>
  <c r="L7" i="68" s="1"/>
  <c r="I54" i="50"/>
  <c r="J55" i="50"/>
  <c r="D52" i="55"/>
  <c r="B76" i="55" s="1"/>
  <c r="G1" i="55"/>
  <c r="G1" i="54"/>
  <c r="D52" i="54"/>
  <c r="B73" i="54" s="1"/>
  <c r="AA53" i="52"/>
  <c r="AB53" i="52"/>
  <c r="AC53" i="52"/>
  <c r="AA54" i="52"/>
  <c r="AC54" i="52"/>
  <c r="AB54" i="52"/>
  <c r="C52" i="39"/>
  <c r="I1" i="39"/>
  <c r="D52" i="38"/>
  <c r="B73" i="38" s="1"/>
  <c r="G1" i="38"/>
  <c r="G1" i="31"/>
  <c r="E19" i="27"/>
  <c r="G19" i="27" s="1"/>
  <c r="H19" i="27" s="1"/>
  <c r="K19" i="27" s="1"/>
  <c r="L19" i="27" s="1"/>
  <c r="E15" i="27"/>
  <c r="G15" i="27" s="1"/>
  <c r="H15" i="27" s="1"/>
  <c r="K15" i="27" s="1"/>
  <c r="L15" i="27" s="1"/>
  <c r="E14" i="27"/>
  <c r="G14" i="27" s="1"/>
  <c r="H14" i="27" s="1"/>
  <c r="K14" i="27" s="1"/>
  <c r="L14" i="27" s="1"/>
  <c r="E18" i="27"/>
  <c r="G18" i="27" s="1"/>
  <c r="H18" i="27" s="1"/>
  <c r="K18" i="27" s="1"/>
  <c r="L18" i="27" s="1"/>
  <c r="E17" i="27"/>
  <c r="G17" i="27" s="1"/>
  <c r="H17" i="27" s="1"/>
  <c r="K17" i="27" s="1"/>
  <c r="L17" i="27" s="1"/>
  <c r="E13" i="27"/>
  <c r="G13" i="27" s="1"/>
  <c r="H13" i="27" s="1"/>
  <c r="K13" i="27" s="1"/>
  <c r="L13" i="27" s="1"/>
  <c r="E11" i="27"/>
  <c r="G11" i="27" s="1"/>
  <c r="H11" i="27" s="1"/>
  <c r="K11" i="27" s="1"/>
  <c r="L11" i="27" s="1"/>
  <c r="E10" i="27"/>
  <c r="G10" i="27" s="1"/>
  <c r="H10" i="27" s="1"/>
  <c r="K10" i="27" s="1"/>
  <c r="L10" i="27" s="1"/>
  <c r="E8" i="27"/>
  <c r="G8" i="27" s="1"/>
  <c r="H8" i="27" s="1"/>
  <c r="K8" i="27" s="1"/>
  <c r="L8" i="27" s="1"/>
  <c r="E5" i="27"/>
  <c r="G5" i="27" s="1"/>
  <c r="H5" i="27" s="1"/>
  <c r="K5" i="27" s="1"/>
  <c r="L5" i="27" s="1"/>
  <c r="S35" i="27" s="1"/>
  <c r="AA30" i="27" s="1"/>
  <c r="C52" i="27"/>
  <c r="C53" i="27" s="1"/>
  <c r="E12" i="27"/>
  <c r="G12" i="27" s="1"/>
  <c r="H12" i="27" s="1"/>
  <c r="K12" i="27" s="1"/>
  <c r="L12" i="27" s="1"/>
  <c r="E16" i="27"/>
  <c r="G16" i="27" s="1"/>
  <c r="H16" i="27" s="1"/>
  <c r="K16" i="27" s="1"/>
  <c r="L16" i="27" s="1"/>
  <c r="E9" i="27"/>
  <c r="G9" i="27" s="1"/>
  <c r="H9" i="27" s="1"/>
  <c r="K9" i="27" s="1"/>
  <c r="L9" i="27" s="1"/>
  <c r="E7" i="27"/>
  <c r="G7" i="27" s="1"/>
  <c r="H7" i="27" s="1"/>
  <c r="K7" i="27" s="1"/>
  <c r="L7" i="27" s="1"/>
  <c r="E6" i="27"/>
  <c r="G6" i="27" s="1"/>
  <c r="H6" i="27" s="1"/>
  <c r="K6" i="27" s="1"/>
  <c r="L6" i="27" s="1"/>
  <c r="I54" i="27"/>
  <c r="J55" i="27"/>
  <c r="I55" i="27" s="1"/>
  <c r="J55" i="16"/>
  <c r="I54" i="16"/>
  <c r="D52" i="14"/>
  <c r="B73" i="14" s="1"/>
  <c r="G1" i="14"/>
  <c r="G1" i="13"/>
  <c r="D52" i="13"/>
  <c r="B75" i="13" s="1"/>
  <c r="E8" i="12"/>
  <c r="G8" i="12" s="1"/>
  <c r="H8" i="12" s="1"/>
  <c r="K8" i="12" s="1"/>
  <c r="L8" i="12" s="1"/>
  <c r="E13" i="12"/>
  <c r="G13" i="12" s="1"/>
  <c r="H13" i="12" s="1"/>
  <c r="K13" i="12" s="1"/>
  <c r="L13" i="12" s="1"/>
  <c r="E11" i="12"/>
  <c r="G11" i="12" s="1"/>
  <c r="H11" i="12" s="1"/>
  <c r="K11" i="12" s="1"/>
  <c r="L11" i="12" s="1"/>
  <c r="E6" i="12"/>
  <c r="G6" i="12" s="1"/>
  <c r="H6" i="12" s="1"/>
  <c r="K6" i="12" s="1"/>
  <c r="L6" i="12" s="1"/>
  <c r="C52" i="12"/>
  <c r="E9" i="12"/>
  <c r="G9" i="12" s="1"/>
  <c r="H9" i="12" s="1"/>
  <c r="K9" i="12" s="1"/>
  <c r="L9" i="12" s="1"/>
  <c r="E12" i="12"/>
  <c r="G12" i="12" s="1"/>
  <c r="H12" i="12" s="1"/>
  <c r="K12" i="12" s="1"/>
  <c r="L12" i="12" s="1"/>
  <c r="E7" i="12"/>
  <c r="G7" i="12" s="1"/>
  <c r="H7" i="12" s="1"/>
  <c r="K7" i="12" s="1"/>
  <c r="L7" i="12" s="1"/>
  <c r="E10" i="12"/>
  <c r="G10" i="12" s="1"/>
  <c r="H10" i="12" s="1"/>
  <c r="K10" i="12" s="1"/>
  <c r="L10" i="12" s="1"/>
  <c r="D52" i="37"/>
  <c r="G1" i="37"/>
  <c r="I1" i="37" s="1"/>
  <c r="H53" i="30"/>
  <c r="E65" i="30" s="1"/>
  <c r="E5" i="30"/>
  <c r="G5" i="30" s="1"/>
  <c r="H5" i="30" s="1"/>
  <c r="I53" i="30"/>
  <c r="I53" i="23"/>
  <c r="H52" i="23"/>
  <c r="G5" i="23"/>
  <c r="G5" i="21"/>
  <c r="H5" i="21" s="1"/>
  <c r="K5" i="21" s="1"/>
  <c r="L5" i="21" s="1"/>
  <c r="S35" i="21" s="1"/>
  <c r="H53" i="21"/>
  <c r="E65" i="21" s="1"/>
  <c r="G65" i="21" s="1"/>
  <c r="H65" i="21" s="1"/>
  <c r="C53" i="20"/>
  <c r="E14" i="19"/>
  <c r="G14" i="19" s="1"/>
  <c r="H14" i="19" s="1"/>
  <c r="K14" i="19" s="1"/>
  <c r="L14" i="19" s="1"/>
  <c r="E13" i="19"/>
  <c r="G13" i="19" s="1"/>
  <c r="H13" i="19" s="1"/>
  <c r="K13" i="19" s="1"/>
  <c r="L13" i="19" s="1"/>
  <c r="E6" i="19"/>
  <c r="G6" i="19" s="1"/>
  <c r="H6" i="19" s="1"/>
  <c r="K6" i="19" s="1"/>
  <c r="L6" i="19" s="1"/>
  <c r="E9" i="19"/>
  <c r="G9" i="19" s="1"/>
  <c r="H9" i="19" s="1"/>
  <c r="K9" i="19" s="1"/>
  <c r="L9" i="19" s="1"/>
  <c r="E16" i="19"/>
  <c r="G16" i="19" s="1"/>
  <c r="H16" i="19" s="1"/>
  <c r="K16" i="19" s="1"/>
  <c r="L16" i="19" s="1"/>
  <c r="C52" i="19"/>
  <c r="E15" i="19"/>
  <c r="G15" i="19" s="1"/>
  <c r="H15" i="19" s="1"/>
  <c r="K15" i="19" s="1"/>
  <c r="L15" i="19" s="1"/>
  <c r="E8" i="19"/>
  <c r="G8" i="19" s="1"/>
  <c r="H8" i="19" s="1"/>
  <c r="K8" i="19" s="1"/>
  <c r="L8" i="19" s="1"/>
  <c r="E7" i="19"/>
  <c r="G7" i="19" s="1"/>
  <c r="H7" i="19" s="1"/>
  <c r="K7" i="19" s="1"/>
  <c r="L7" i="19" s="1"/>
  <c r="E12" i="19"/>
  <c r="G12" i="19" s="1"/>
  <c r="H12" i="19" s="1"/>
  <c r="K12" i="19" s="1"/>
  <c r="L12" i="19" s="1"/>
  <c r="E10" i="19"/>
  <c r="G10" i="19" s="1"/>
  <c r="H10" i="19" s="1"/>
  <c r="K10" i="19" s="1"/>
  <c r="L10" i="19" s="1"/>
  <c r="E17" i="19"/>
  <c r="G17" i="19" s="1"/>
  <c r="H17" i="19" s="1"/>
  <c r="K17" i="19" s="1"/>
  <c r="L17" i="19" s="1"/>
  <c r="E11" i="19"/>
  <c r="G11" i="19" s="1"/>
  <c r="H11" i="19" s="1"/>
  <c r="K11" i="19" s="1"/>
  <c r="L11" i="19" s="1"/>
  <c r="C53" i="7"/>
  <c r="I51" i="45"/>
  <c r="D5" i="45" s="1"/>
  <c r="J53" i="45"/>
  <c r="B82" i="45" s="1"/>
  <c r="E17" i="3"/>
  <c r="G17" i="3" s="1"/>
  <c r="H17" i="3" s="1"/>
  <c r="K17" i="3" s="1"/>
  <c r="L17" i="3" s="1"/>
  <c r="E22" i="3"/>
  <c r="G22" i="3" s="1"/>
  <c r="H22" i="3" s="1"/>
  <c r="K22" i="3" s="1"/>
  <c r="L22" i="3" s="1"/>
  <c r="E20" i="3"/>
  <c r="G20" i="3" s="1"/>
  <c r="H20" i="3" s="1"/>
  <c r="K20" i="3" s="1"/>
  <c r="L20" i="3" s="1"/>
  <c r="E16" i="3"/>
  <c r="G16" i="3" s="1"/>
  <c r="H16" i="3" s="1"/>
  <c r="K16" i="3" s="1"/>
  <c r="L16" i="3" s="1"/>
  <c r="E14" i="3"/>
  <c r="G14" i="3" s="1"/>
  <c r="H14" i="3" s="1"/>
  <c r="K14" i="3" s="1"/>
  <c r="L14" i="3" s="1"/>
  <c r="E12" i="3"/>
  <c r="G12" i="3" s="1"/>
  <c r="H12" i="3" s="1"/>
  <c r="K12" i="3" s="1"/>
  <c r="L12" i="3" s="1"/>
  <c r="E10" i="3"/>
  <c r="G10" i="3" s="1"/>
  <c r="H10" i="3" s="1"/>
  <c r="K10" i="3" s="1"/>
  <c r="L10" i="3" s="1"/>
  <c r="E9" i="3"/>
  <c r="G9" i="3" s="1"/>
  <c r="H9" i="3" s="1"/>
  <c r="K9" i="3" s="1"/>
  <c r="L9" i="3" s="1"/>
  <c r="E8" i="3"/>
  <c r="G8" i="3" s="1"/>
  <c r="H8" i="3" s="1"/>
  <c r="K8" i="3" s="1"/>
  <c r="L8" i="3" s="1"/>
  <c r="E7" i="3"/>
  <c r="G7" i="3" s="1"/>
  <c r="H7" i="3" s="1"/>
  <c r="K7" i="3" s="1"/>
  <c r="L7" i="3" s="1"/>
  <c r="E6" i="3"/>
  <c r="G6" i="3" s="1"/>
  <c r="H6" i="3" s="1"/>
  <c r="K6" i="3" s="1"/>
  <c r="L6" i="3" s="1"/>
  <c r="E18" i="3"/>
  <c r="G18" i="3" s="1"/>
  <c r="H18" i="3" s="1"/>
  <c r="K18" i="3" s="1"/>
  <c r="L18" i="3" s="1"/>
  <c r="C52" i="3"/>
  <c r="E21" i="3"/>
  <c r="G21" i="3" s="1"/>
  <c r="H21" i="3" s="1"/>
  <c r="K21" i="3" s="1"/>
  <c r="L21" i="3" s="1"/>
  <c r="E15" i="3"/>
  <c r="G15" i="3" s="1"/>
  <c r="H15" i="3" s="1"/>
  <c r="K15" i="3" s="1"/>
  <c r="L15" i="3" s="1"/>
  <c r="E13" i="3"/>
  <c r="G13" i="3" s="1"/>
  <c r="H13" i="3" s="1"/>
  <c r="K13" i="3" s="1"/>
  <c r="L13" i="3" s="1"/>
  <c r="E11" i="3"/>
  <c r="G11" i="3" s="1"/>
  <c r="H11" i="3" s="1"/>
  <c r="K11" i="3" s="1"/>
  <c r="L11" i="3" s="1"/>
  <c r="E19" i="3"/>
  <c r="G19" i="3" s="1"/>
  <c r="H19" i="3" s="1"/>
  <c r="K19" i="3" s="1"/>
  <c r="L19" i="3" s="1"/>
  <c r="I53" i="6"/>
  <c r="E11" i="6"/>
  <c r="G11" i="6" s="1"/>
  <c r="H11" i="6" s="1"/>
  <c r="K11" i="6" s="1"/>
  <c r="L11" i="6" s="1"/>
  <c r="E10" i="6"/>
  <c r="G10" i="6" s="1"/>
  <c r="H10" i="6" s="1"/>
  <c r="K10" i="6" s="1"/>
  <c r="L10" i="6" s="1"/>
  <c r="E9" i="6"/>
  <c r="G9" i="6" s="1"/>
  <c r="H9" i="6" s="1"/>
  <c r="K9" i="6" s="1"/>
  <c r="L9" i="6" s="1"/>
  <c r="E8" i="6"/>
  <c r="G8" i="6" s="1"/>
  <c r="H8" i="6" s="1"/>
  <c r="K8" i="6" s="1"/>
  <c r="L8" i="6" s="1"/>
  <c r="E7" i="6"/>
  <c r="G7" i="6" s="1"/>
  <c r="H7" i="6" s="1"/>
  <c r="K7" i="6" s="1"/>
  <c r="L7" i="6" s="1"/>
  <c r="E6" i="6"/>
  <c r="G6" i="6" s="1"/>
  <c r="H6" i="6" s="1"/>
  <c r="K6" i="6" s="1"/>
  <c r="L6" i="6" s="1"/>
  <c r="C52" i="6"/>
  <c r="J54" i="6"/>
  <c r="B86" i="6" s="1"/>
  <c r="I53" i="9"/>
  <c r="H53" i="9"/>
  <c r="E5" i="9"/>
  <c r="G5" i="9" s="1"/>
  <c r="H5" i="9" s="1"/>
  <c r="K5" i="9" s="1"/>
  <c r="L5" i="9" s="1"/>
  <c r="S35" i="9" s="1"/>
  <c r="C53" i="9"/>
  <c r="D53" i="9" s="1"/>
  <c r="D52" i="70"/>
  <c r="G1" i="70"/>
  <c r="I1" i="70" s="1"/>
  <c r="E24" i="70" s="1"/>
  <c r="G24" i="70" s="1"/>
  <c r="H24" i="70" s="1"/>
  <c r="K24" i="70" s="1"/>
  <c r="L24" i="70" s="1"/>
  <c r="I53" i="66"/>
  <c r="J54" i="66"/>
  <c r="B90" i="66" s="1"/>
  <c r="H90" i="66" s="1"/>
  <c r="E22" i="69"/>
  <c r="G22" i="69" s="1"/>
  <c r="H22" i="69" s="1"/>
  <c r="K22" i="69" s="1"/>
  <c r="L22" i="69" s="1"/>
  <c r="E10" i="69"/>
  <c r="G10" i="69" s="1"/>
  <c r="H10" i="69" s="1"/>
  <c r="K10" i="69" s="1"/>
  <c r="L10" i="69" s="1"/>
  <c r="E20" i="69"/>
  <c r="G20" i="69" s="1"/>
  <c r="H20" i="69" s="1"/>
  <c r="K20" i="69" s="1"/>
  <c r="L20" i="69" s="1"/>
  <c r="E16" i="69"/>
  <c r="G16" i="69" s="1"/>
  <c r="H16" i="69" s="1"/>
  <c r="K16" i="69" s="1"/>
  <c r="L16" i="69" s="1"/>
  <c r="E13" i="69"/>
  <c r="G13" i="69" s="1"/>
  <c r="H13" i="69" s="1"/>
  <c r="K13" i="69" s="1"/>
  <c r="L13" i="69" s="1"/>
  <c r="E11" i="69"/>
  <c r="G11" i="69" s="1"/>
  <c r="H11" i="69" s="1"/>
  <c r="K11" i="69" s="1"/>
  <c r="L11" i="69" s="1"/>
  <c r="E7" i="69"/>
  <c r="G7" i="69" s="1"/>
  <c r="H7" i="69" s="1"/>
  <c r="K7" i="69" s="1"/>
  <c r="L7" i="69" s="1"/>
  <c r="E6" i="69"/>
  <c r="G6" i="69" s="1"/>
  <c r="H6" i="69" s="1"/>
  <c r="K6" i="69" s="1"/>
  <c r="L6" i="69" s="1"/>
  <c r="C52" i="69"/>
  <c r="C53" i="69" s="1"/>
  <c r="D53" i="69" s="1"/>
  <c r="E19" i="69"/>
  <c r="G19" i="69" s="1"/>
  <c r="H19" i="69" s="1"/>
  <c r="K19" i="69" s="1"/>
  <c r="L19" i="69" s="1"/>
  <c r="E17" i="69"/>
  <c r="G17" i="69" s="1"/>
  <c r="H17" i="69" s="1"/>
  <c r="K17" i="69" s="1"/>
  <c r="L17" i="69" s="1"/>
  <c r="E14" i="69"/>
  <c r="G14" i="69" s="1"/>
  <c r="H14" i="69" s="1"/>
  <c r="K14" i="69" s="1"/>
  <c r="L14" i="69" s="1"/>
  <c r="E12" i="69"/>
  <c r="G12" i="69" s="1"/>
  <c r="H12" i="69" s="1"/>
  <c r="K12" i="69" s="1"/>
  <c r="L12" i="69" s="1"/>
  <c r="E9" i="69"/>
  <c r="G9" i="69" s="1"/>
  <c r="H9" i="69" s="1"/>
  <c r="K9" i="69" s="1"/>
  <c r="L9" i="69" s="1"/>
  <c r="E8" i="69"/>
  <c r="G8" i="69" s="1"/>
  <c r="H8" i="69" s="1"/>
  <c r="K8" i="69" s="1"/>
  <c r="L8" i="69" s="1"/>
  <c r="E18" i="69"/>
  <c r="G18" i="69" s="1"/>
  <c r="H18" i="69" s="1"/>
  <c r="K18" i="69" s="1"/>
  <c r="L18" i="69" s="1"/>
  <c r="E15" i="69"/>
  <c r="G15" i="69" s="1"/>
  <c r="H15" i="69" s="1"/>
  <c r="K15" i="69" s="1"/>
  <c r="L15" i="69" s="1"/>
  <c r="E21" i="69"/>
  <c r="G21" i="69" s="1"/>
  <c r="H21" i="69" s="1"/>
  <c r="K21" i="69" s="1"/>
  <c r="L21" i="69" s="1"/>
  <c r="J54" i="18" l="1"/>
  <c r="B107" i="18" s="1"/>
  <c r="B82" i="18"/>
  <c r="D53" i="20"/>
  <c r="V35" i="8"/>
  <c r="AA30" i="8" s="1"/>
  <c r="V35" i="59"/>
  <c r="AC30" i="59" s="1"/>
  <c r="V28" i="59"/>
  <c r="V32" i="59" s="1"/>
  <c r="T35" i="59"/>
  <c r="AB30" i="59" s="1"/>
  <c r="B83" i="59"/>
  <c r="J54" i="59"/>
  <c r="T35" i="19"/>
  <c r="AB30" i="19" s="1"/>
  <c r="T35" i="49"/>
  <c r="B79" i="49"/>
  <c r="I53" i="49"/>
  <c r="J54" i="49"/>
  <c r="B87" i="57"/>
  <c r="K5" i="30"/>
  <c r="L5" i="30" s="1"/>
  <c r="S35" i="30" s="1"/>
  <c r="AB30" i="30" s="1"/>
  <c r="P12" i="30"/>
  <c r="P13" i="30" s="1"/>
  <c r="B79" i="19"/>
  <c r="J54" i="19"/>
  <c r="B101" i="19" s="1"/>
  <c r="I53" i="19"/>
  <c r="D53" i="28"/>
  <c r="E84" i="28"/>
  <c r="G84" i="28" s="1"/>
  <c r="H84" i="28" s="1"/>
  <c r="E85" i="28"/>
  <c r="G85" i="28" s="1"/>
  <c r="H85" i="28" s="1"/>
  <c r="D53" i="26"/>
  <c r="E80" i="26"/>
  <c r="G80" i="26" s="1"/>
  <c r="H80" i="26" s="1"/>
  <c r="E79" i="26"/>
  <c r="G79" i="26" s="1"/>
  <c r="H79" i="26" s="1"/>
  <c r="G65" i="17"/>
  <c r="H65" i="17" s="1"/>
  <c r="E5" i="49"/>
  <c r="G5" i="49" s="1"/>
  <c r="H5" i="49" s="1"/>
  <c r="K5" i="49" s="1"/>
  <c r="L5" i="49" s="1"/>
  <c r="S35" i="49" s="1"/>
  <c r="H53" i="49"/>
  <c r="E15" i="37"/>
  <c r="G15" i="37" s="1"/>
  <c r="H15" i="37" s="1"/>
  <c r="K15" i="37" s="1"/>
  <c r="L15" i="37" s="1"/>
  <c r="E14" i="37"/>
  <c r="G14" i="37" s="1"/>
  <c r="H14" i="37" s="1"/>
  <c r="K14" i="37" s="1"/>
  <c r="L14" i="37" s="1"/>
  <c r="E16" i="37"/>
  <c r="G16" i="37" s="1"/>
  <c r="H16" i="37" s="1"/>
  <c r="K16" i="37" s="1"/>
  <c r="K5" i="32"/>
  <c r="L5" i="32" s="1"/>
  <c r="S35" i="32" s="1"/>
  <c r="AA30" i="32" s="1"/>
  <c r="S33" i="85"/>
  <c r="T33" i="85"/>
  <c r="AC25" i="85" s="1"/>
  <c r="V35" i="28"/>
  <c r="AA30" i="28" s="1"/>
  <c r="V28" i="28"/>
  <c r="H52" i="67"/>
  <c r="C55" i="85"/>
  <c r="D55" i="85" s="1"/>
  <c r="D65" i="28"/>
  <c r="D92" i="28"/>
  <c r="H52" i="28"/>
  <c r="D120" i="28"/>
  <c r="H51" i="28"/>
  <c r="D53" i="4"/>
  <c r="E73" i="4"/>
  <c r="G73" i="4" s="1"/>
  <c r="H73" i="4" s="1"/>
  <c r="E74" i="4"/>
  <c r="G74" i="4" s="1"/>
  <c r="H74" i="4" s="1"/>
  <c r="E76" i="4"/>
  <c r="G76" i="4" s="1"/>
  <c r="H76" i="4" s="1"/>
  <c r="E75" i="4"/>
  <c r="G75" i="4" s="1"/>
  <c r="H75" i="4" s="1"/>
  <c r="B79" i="48"/>
  <c r="J54" i="48"/>
  <c r="I53" i="48"/>
  <c r="W35" i="43"/>
  <c r="AA30" i="43" s="1"/>
  <c r="V35" i="25"/>
  <c r="AA30" i="25" s="1"/>
  <c r="T35" i="79"/>
  <c r="T35" i="29"/>
  <c r="T35" i="67"/>
  <c r="AB30" i="67" s="1"/>
  <c r="T35" i="62"/>
  <c r="AB30" i="62" s="1"/>
  <c r="T35" i="46"/>
  <c r="T35" i="25"/>
  <c r="AC30" i="25" s="1"/>
  <c r="S33" i="68"/>
  <c r="AC25" i="68" s="1"/>
  <c r="AS6" i="70"/>
  <c r="AT6" i="70" s="1"/>
  <c r="V35" i="70" s="1"/>
  <c r="AA30" i="70" s="1"/>
  <c r="V28" i="70"/>
  <c r="V35" i="69"/>
  <c r="AA30" i="69" s="1"/>
  <c r="V28" i="69"/>
  <c r="T35" i="61"/>
  <c r="AC30" i="61" s="1"/>
  <c r="T35" i="57"/>
  <c r="V35" i="57"/>
  <c r="AA30" i="57" s="1"/>
  <c r="AA30" i="79"/>
  <c r="AS6" i="47"/>
  <c r="AT6" i="47" s="1"/>
  <c r="V35" i="47" s="1"/>
  <c r="Z30" i="47" s="1"/>
  <c r="V28" i="47"/>
  <c r="E5" i="46"/>
  <c r="G5" i="46" s="1"/>
  <c r="H5" i="46" s="1"/>
  <c r="K5" i="46" s="1"/>
  <c r="L5" i="46" s="1"/>
  <c r="S35" i="46" s="1"/>
  <c r="H53" i="46"/>
  <c r="T35" i="44"/>
  <c r="AA30" i="44"/>
  <c r="T35" i="43"/>
  <c r="AC30" i="43" s="1"/>
  <c r="V28" i="41"/>
  <c r="V35" i="41"/>
  <c r="AA30" i="41" s="1"/>
  <c r="T35" i="41"/>
  <c r="AC30" i="41" s="1"/>
  <c r="S33" i="34"/>
  <c r="E66" i="32"/>
  <c r="G66" i="32" s="1"/>
  <c r="H66" i="32" s="1"/>
  <c r="H54" i="32"/>
  <c r="T35" i="27"/>
  <c r="T35" i="26"/>
  <c r="AC30" i="26" s="1"/>
  <c r="AB30" i="21"/>
  <c r="T35" i="69"/>
  <c r="V35" i="60"/>
  <c r="AA30" i="60" s="1"/>
  <c r="T35" i="56"/>
  <c r="AA30" i="16"/>
  <c r="V35" i="26"/>
  <c r="AA30" i="26" s="1"/>
  <c r="V35" i="17"/>
  <c r="AA30" i="17" s="1"/>
  <c r="T35" i="16"/>
  <c r="AB30" i="16" s="1"/>
  <c r="V28" i="18"/>
  <c r="AC30" i="20"/>
  <c r="AC31" i="20" s="1"/>
  <c r="AB30" i="20"/>
  <c r="AB31" i="20" s="1"/>
  <c r="V35" i="18"/>
  <c r="AA30" i="18" s="1"/>
  <c r="AB30" i="9"/>
  <c r="AF30" i="9" s="1"/>
  <c r="AC25" i="9" s="1"/>
  <c r="U35" i="9"/>
  <c r="V28" i="25"/>
  <c r="E71" i="12"/>
  <c r="E72" i="12"/>
  <c r="E65" i="12"/>
  <c r="E70" i="12"/>
  <c r="E66" i="12"/>
  <c r="E67" i="12"/>
  <c r="E68" i="12"/>
  <c r="E69" i="12"/>
  <c r="E69" i="39"/>
  <c r="E67" i="39"/>
  <c r="E68" i="39"/>
  <c r="E70" i="39"/>
  <c r="E71" i="39"/>
  <c r="E66" i="39"/>
  <c r="V28" i="26"/>
  <c r="F83" i="6"/>
  <c r="F70" i="6"/>
  <c r="S30" i="82"/>
  <c r="AC24" i="82" s="1"/>
  <c r="V28" i="37"/>
  <c r="V35" i="37"/>
  <c r="AA30" i="37" s="1"/>
  <c r="T35" i="17"/>
  <c r="T35" i="28"/>
  <c r="L6" i="11"/>
  <c r="W35" i="11" s="1"/>
  <c r="AD30" i="11" s="1"/>
  <c r="AF30" i="11" s="1"/>
  <c r="AC25" i="11" s="1"/>
  <c r="W28" i="11"/>
  <c r="W32" i="11" s="1"/>
  <c r="V35" i="3"/>
  <c r="AA30" i="3" s="1"/>
  <c r="AA31" i="3" s="1"/>
  <c r="T35" i="3"/>
  <c r="V28" i="8"/>
  <c r="T35" i="8"/>
  <c r="S31" i="12"/>
  <c r="T30" i="87"/>
  <c r="AA25" i="87" s="1"/>
  <c r="U35" i="11"/>
  <c r="V28" i="60"/>
  <c r="V32" i="60" s="1"/>
  <c r="C82" i="45"/>
  <c r="W28" i="43"/>
  <c r="V28" i="57"/>
  <c r="V28" i="17"/>
  <c r="D53" i="5"/>
  <c r="E90" i="5" s="1"/>
  <c r="E88" i="5"/>
  <c r="G88" i="5" s="1"/>
  <c r="H88" i="5" s="1"/>
  <c r="V28" i="3"/>
  <c r="V32" i="3" s="1"/>
  <c r="D53" i="8"/>
  <c r="H55" i="16"/>
  <c r="E108" i="16" s="1"/>
  <c r="G108" i="16" s="1"/>
  <c r="H108" i="16" s="1"/>
  <c r="E86" i="16"/>
  <c r="G86" i="16" s="1"/>
  <c r="H86" i="16" s="1"/>
  <c r="H52" i="60"/>
  <c r="D84" i="60"/>
  <c r="D65" i="60"/>
  <c r="D53" i="68"/>
  <c r="G65" i="68"/>
  <c r="H65" i="68" s="1"/>
  <c r="E69" i="50"/>
  <c r="G69" i="50" s="1"/>
  <c r="H69" i="50" s="1"/>
  <c r="E75" i="50"/>
  <c r="G75" i="50" s="1"/>
  <c r="H75" i="50" s="1"/>
  <c r="E80" i="50"/>
  <c r="G80" i="50" s="1"/>
  <c r="H80" i="50" s="1"/>
  <c r="E73" i="50"/>
  <c r="G73" i="50" s="1"/>
  <c r="H73" i="50" s="1"/>
  <c r="E77" i="50"/>
  <c r="G77" i="50" s="1"/>
  <c r="H77" i="50" s="1"/>
  <c r="E66" i="50"/>
  <c r="G66" i="50" s="1"/>
  <c r="H66" i="50" s="1"/>
  <c r="E67" i="50"/>
  <c r="G67" i="50" s="1"/>
  <c r="H67" i="50" s="1"/>
  <c r="E68" i="50"/>
  <c r="G68" i="50" s="1"/>
  <c r="H68" i="50" s="1"/>
  <c r="E72" i="50"/>
  <c r="G72" i="50" s="1"/>
  <c r="H72" i="50" s="1"/>
  <c r="E78" i="50"/>
  <c r="G78" i="50" s="1"/>
  <c r="H78" i="50" s="1"/>
  <c r="E71" i="50"/>
  <c r="G71" i="50" s="1"/>
  <c r="H71" i="50" s="1"/>
  <c r="E76" i="50"/>
  <c r="G76" i="50" s="1"/>
  <c r="H76" i="50" s="1"/>
  <c r="E79" i="50"/>
  <c r="G79" i="50" s="1"/>
  <c r="H79" i="50" s="1"/>
  <c r="E70" i="50"/>
  <c r="G70" i="50" s="1"/>
  <c r="H70" i="50" s="1"/>
  <c r="E74" i="50"/>
  <c r="G74" i="50" s="1"/>
  <c r="H74" i="50" s="1"/>
  <c r="E81" i="50"/>
  <c r="G81" i="50" s="1"/>
  <c r="H81" i="50" s="1"/>
  <c r="H54" i="44"/>
  <c r="E65" i="44"/>
  <c r="G65" i="44" s="1"/>
  <c r="H65" i="44" s="1"/>
  <c r="D53" i="27"/>
  <c r="E69" i="27"/>
  <c r="G69" i="27" s="1"/>
  <c r="H69" i="27" s="1"/>
  <c r="E71" i="27"/>
  <c r="G71" i="27" s="1"/>
  <c r="H71" i="27" s="1"/>
  <c r="E73" i="27"/>
  <c r="G73" i="27" s="1"/>
  <c r="H73" i="27" s="1"/>
  <c r="E75" i="27"/>
  <c r="G75" i="27" s="1"/>
  <c r="H75" i="27" s="1"/>
  <c r="E77" i="27"/>
  <c r="G77" i="27" s="1"/>
  <c r="H77" i="27" s="1"/>
  <c r="E79" i="27"/>
  <c r="G79" i="27" s="1"/>
  <c r="H79" i="27" s="1"/>
  <c r="E67" i="27"/>
  <c r="G67" i="27" s="1"/>
  <c r="H67" i="27" s="1"/>
  <c r="E68" i="27"/>
  <c r="G68" i="27" s="1"/>
  <c r="H68" i="27" s="1"/>
  <c r="E72" i="27"/>
  <c r="G72" i="27" s="1"/>
  <c r="H72" i="27" s="1"/>
  <c r="E74" i="27"/>
  <c r="G74" i="27" s="1"/>
  <c r="H74" i="27" s="1"/>
  <c r="E76" i="27"/>
  <c r="G76" i="27" s="1"/>
  <c r="H76" i="27" s="1"/>
  <c r="E78" i="27"/>
  <c r="G78" i="27" s="1"/>
  <c r="H78" i="27" s="1"/>
  <c r="E66" i="27"/>
  <c r="G66" i="27" s="1"/>
  <c r="H66" i="27" s="1"/>
  <c r="E70" i="27"/>
  <c r="G70" i="27" s="1"/>
  <c r="H70" i="27" s="1"/>
  <c r="D53" i="7"/>
  <c r="D53" i="50"/>
  <c r="E83" i="50" s="1"/>
  <c r="I55" i="50"/>
  <c r="B130" i="50"/>
  <c r="C53" i="33"/>
  <c r="H82" i="45"/>
  <c r="G81" i="29"/>
  <c r="E81" i="29"/>
  <c r="E84" i="69"/>
  <c r="G84" i="69"/>
  <c r="H1" i="66"/>
  <c r="E9" i="66"/>
  <c r="G9" i="66" s="1"/>
  <c r="H9" i="66" s="1"/>
  <c r="K9" i="66" s="1"/>
  <c r="L9" i="66" s="1"/>
  <c r="E11" i="66"/>
  <c r="G11" i="66" s="1"/>
  <c r="H11" i="66" s="1"/>
  <c r="K11" i="66" s="1"/>
  <c r="L11" i="66" s="1"/>
  <c r="E6" i="66"/>
  <c r="G6" i="66" s="1"/>
  <c r="H6" i="66" s="1"/>
  <c r="K6" i="66" s="1"/>
  <c r="L6" i="66" s="1"/>
  <c r="E12" i="66"/>
  <c r="G12" i="66" s="1"/>
  <c r="H12" i="66" s="1"/>
  <c r="K12" i="66" s="1"/>
  <c r="L12" i="66" s="1"/>
  <c r="E8" i="66"/>
  <c r="G8" i="66" s="1"/>
  <c r="H8" i="66" s="1"/>
  <c r="K8" i="66" s="1"/>
  <c r="L8" i="66" s="1"/>
  <c r="H53" i="66"/>
  <c r="E10" i="66"/>
  <c r="G10" i="66" s="1"/>
  <c r="H10" i="66" s="1"/>
  <c r="K10" i="66" s="1"/>
  <c r="L10" i="66" s="1"/>
  <c r="E13" i="66"/>
  <c r="G13" i="66" s="1"/>
  <c r="H13" i="66" s="1"/>
  <c r="K13" i="66" s="1"/>
  <c r="L13" i="66" s="1"/>
  <c r="E7" i="66"/>
  <c r="G7" i="66" s="1"/>
  <c r="H7" i="66" s="1"/>
  <c r="K7" i="66" s="1"/>
  <c r="L7" i="66" s="1"/>
  <c r="J55" i="44"/>
  <c r="I55" i="44" s="1"/>
  <c r="B107" i="44"/>
  <c r="J55" i="43"/>
  <c r="I55" i="43" s="1"/>
  <c r="B98" i="43"/>
  <c r="C53" i="42"/>
  <c r="B114" i="28"/>
  <c r="B87" i="28"/>
  <c r="J54" i="17"/>
  <c r="B121" i="17" s="1"/>
  <c r="B90" i="17"/>
  <c r="I55" i="16"/>
  <c r="B123" i="16"/>
  <c r="J54" i="15"/>
  <c r="B123" i="15" s="1"/>
  <c r="B91" i="15"/>
  <c r="I54" i="4"/>
  <c r="J55" i="4"/>
  <c r="B96" i="4"/>
  <c r="H52" i="48"/>
  <c r="H52" i="25"/>
  <c r="H52" i="19"/>
  <c r="D65" i="19"/>
  <c r="D87" i="19"/>
  <c r="G78" i="4"/>
  <c r="E78" i="4"/>
  <c r="H53" i="5"/>
  <c r="E5" i="5"/>
  <c r="G5" i="5" s="1"/>
  <c r="H5" i="5" s="1"/>
  <c r="K5" i="5" s="1"/>
  <c r="L5" i="5" s="1"/>
  <c r="S35" i="5" s="1"/>
  <c r="AA30" i="5" s="1"/>
  <c r="H53" i="3"/>
  <c r="H53" i="4"/>
  <c r="E65" i="4" s="1"/>
  <c r="G65" i="4" s="1"/>
  <c r="H65" i="4" s="1"/>
  <c r="E5" i="4"/>
  <c r="G5" i="4" s="1"/>
  <c r="H5" i="4" s="1"/>
  <c r="K5" i="4" s="1"/>
  <c r="L5" i="4" s="1"/>
  <c r="H51" i="25"/>
  <c r="C53" i="39"/>
  <c r="D53" i="39" s="1"/>
  <c r="C53" i="12"/>
  <c r="D53" i="12" s="1"/>
  <c r="G66" i="82"/>
  <c r="H66" i="82" s="1"/>
  <c r="G65" i="82"/>
  <c r="H65" i="82" s="1"/>
  <c r="G68" i="82"/>
  <c r="H68" i="82" s="1"/>
  <c r="G67" i="82"/>
  <c r="H67" i="82" s="1"/>
  <c r="C54" i="82"/>
  <c r="D54" i="82" s="1"/>
  <c r="C53" i="46"/>
  <c r="E16" i="48"/>
  <c r="G16" i="48" s="1"/>
  <c r="H16" i="48" s="1"/>
  <c r="K16" i="48" s="1"/>
  <c r="L16" i="48" s="1"/>
  <c r="E6" i="48"/>
  <c r="G6" i="48" s="1"/>
  <c r="H6" i="48" s="1"/>
  <c r="K6" i="48" s="1"/>
  <c r="L6" i="48" s="1"/>
  <c r="E15" i="48"/>
  <c r="G15" i="48" s="1"/>
  <c r="H15" i="48" s="1"/>
  <c r="K15" i="48" s="1"/>
  <c r="L15" i="48" s="1"/>
  <c r="E7" i="48"/>
  <c r="G7" i="48" s="1"/>
  <c r="H7" i="48" s="1"/>
  <c r="K7" i="48" s="1"/>
  <c r="L7" i="48" s="1"/>
  <c r="C52" i="48"/>
  <c r="E12" i="48"/>
  <c r="G12" i="48" s="1"/>
  <c r="H12" i="48" s="1"/>
  <c r="K12" i="48" s="1"/>
  <c r="L12" i="48" s="1"/>
  <c r="E8" i="48"/>
  <c r="G8" i="48" s="1"/>
  <c r="H8" i="48" s="1"/>
  <c r="K8" i="48" s="1"/>
  <c r="L8" i="48" s="1"/>
  <c r="E13" i="48"/>
  <c r="G13" i="48" s="1"/>
  <c r="H13" i="48" s="1"/>
  <c r="K13" i="48" s="1"/>
  <c r="L13" i="48" s="1"/>
  <c r="E9" i="48"/>
  <c r="G9" i="48" s="1"/>
  <c r="H9" i="48" s="1"/>
  <c r="K9" i="48" s="1"/>
  <c r="L9" i="48" s="1"/>
  <c r="E11" i="48"/>
  <c r="G11" i="48" s="1"/>
  <c r="H11" i="48" s="1"/>
  <c r="K11" i="48" s="1"/>
  <c r="L11" i="48" s="1"/>
  <c r="E17" i="48"/>
  <c r="G17" i="48" s="1"/>
  <c r="H17" i="48" s="1"/>
  <c r="K17" i="48" s="1"/>
  <c r="L17" i="48" s="1"/>
  <c r="E14" i="48"/>
  <c r="G14" i="48" s="1"/>
  <c r="H14" i="48" s="1"/>
  <c r="K14" i="48" s="1"/>
  <c r="L14" i="48" s="1"/>
  <c r="E10" i="48"/>
  <c r="G10" i="48" s="1"/>
  <c r="H10" i="48" s="1"/>
  <c r="K10" i="48" s="1"/>
  <c r="L10" i="48" s="1"/>
  <c r="H52" i="70"/>
  <c r="I53" i="70"/>
  <c r="J54" i="70"/>
  <c r="C53" i="62"/>
  <c r="H53" i="57"/>
  <c r="E21" i="47"/>
  <c r="G21" i="47" s="1"/>
  <c r="H21" i="47" s="1"/>
  <c r="K21" i="47" s="1"/>
  <c r="L21" i="47" s="1"/>
  <c r="E10" i="47"/>
  <c r="G10" i="47" s="1"/>
  <c r="H10" i="47" s="1"/>
  <c r="K10" i="47" s="1"/>
  <c r="L10" i="47" s="1"/>
  <c r="E7" i="47"/>
  <c r="G7" i="47" s="1"/>
  <c r="H7" i="47" s="1"/>
  <c r="K7" i="47" s="1"/>
  <c r="L7" i="47" s="1"/>
  <c r="C52" i="47"/>
  <c r="E17" i="47"/>
  <c r="G17" i="47" s="1"/>
  <c r="H17" i="47" s="1"/>
  <c r="K17" i="47" s="1"/>
  <c r="L17" i="47" s="1"/>
  <c r="E18" i="47"/>
  <c r="G18" i="47" s="1"/>
  <c r="H18" i="47" s="1"/>
  <c r="K18" i="47" s="1"/>
  <c r="L18" i="47" s="1"/>
  <c r="E14" i="47"/>
  <c r="G14" i="47" s="1"/>
  <c r="H14" i="47" s="1"/>
  <c r="K14" i="47" s="1"/>
  <c r="L14" i="47" s="1"/>
  <c r="E20" i="47"/>
  <c r="G20" i="47" s="1"/>
  <c r="H20" i="47" s="1"/>
  <c r="K20" i="47" s="1"/>
  <c r="L20" i="47" s="1"/>
  <c r="E19" i="47"/>
  <c r="G19" i="47" s="1"/>
  <c r="H19" i="47" s="1"/>
  <c r="K19" i="47" s="1"/>
  <c r="L19" i="47" s="1"/>
  <c r="E16" i="47"/>
  <c r="G16" i="47" s="1"/>
  <c r="H16" i="47" s="1"/>
  <c r="K16" i="47" s="1"/>
  <c r="L16" i="47" s="1"/>
  <c r="E13" i="47"/>
  <c r="G13" i="47" s="1"/>
  <c r="H13" i="47" s="1"/>
  <c r="K13" i="47" s="1"/>
  <c r="L13" i="47" s="1"/>
  <c r="E9" i="47"/>
  <c r="G9" i="47" s="1"/>
  <c r="H9" i="47" s="1"/>
  <c r="K9" i="47" s="1"/>
  <c r="L9" i="47" s="1"/>
  <c r="E11" i="47"/>
  <c r="G11" i="47" s="1"/>
  <c r="H11" i="47" s="1"/>
  <c r="K11" i="47" s="1"/>
  <c r="L11" i="47" s="1"/>
  <c r="E6" i="47"/>
  <c r="G6" i="47" s="1"/>
  <c r="H6" i="47" s="1"/>
  <c r="K6" i="47" s="1"/>
  <c r="L6" i="47" s="1"/>
  <c r="E15" i="47"/>
  <c r="G15" i="47" s="1"/>
  <c r="H15" i="47" s="1"/>
  <c r="K15" i="47" s="1"/>
  <c r="L15" i="47" s="1"/>
  <c r="E12" i="47"/>
  <c r="G12" i="47" s="1"/>
  <c r="H12" i="47" s="1"/>
  <c r="K12" i="47" s="1"/>
  <c r="L12" i="47" s="1"/>
  <c r="E8" i="47"/>
  <c r="G8" i="47" s="1"/>
  <c r="H8" i="47" s="1"/>
  <c r="K8" i="47" s="1"/>
  <c r="L8" i="47" s="1"/>
  <c r="C53" i="41"/>
  <c r="C54" i="68"/>
  <c r="C55" i="83"/>
  <c r="I53" i="69"/>
  <c r="J54" i="69"/>
  <c r="B108" i="69" s="1"/>
  <c r="I53" i="61"/>
  <c r="J54" i="61"/>
  <c r="C53" i="61"/>
  <c r="J54" i="57"/>
  <c r="I53" i="57"/>
  <c r="E5" i="57"/>
  <c r="G5" i="57" s="1"/>
  <c r="H5" i="57" s="1"/>
  <c r="K5" i="57" s="1"/>
  <c r="L5" i="57" s="1"/>
  <c r="S35" i="57" s="1"/>
  <c r="H52" i="61"/>
  <c r="C53" i="57"/>
  <c r="H53" i="41"/>
  <c r="E65" i="41" s="1"/>
  <c r="E5" i="41"/>
  <c r="G5" i="41" s="1"/>
  <c r="H5" i="41" s="1"/>
  <c r="K5" i="41" s="1"/>
  <c r="L5" i="41" s="1"/>
  <c r="S35" i="41" s="1"/>
  <c r="I53" i="41"/>
  <c r="J54" i="41"/>
  <c r="B92" i="41" s="1"/>
  <c r="H53" i="29"/>
  <c r="I53" i="26"/>
  <c r="H53" i="26"/>
  <c r="E65" i="26" s="1"/>
  <c r="G65" i="26" s="1"/>
  <c r="H65" i="26" s="1"/>
  <c r="C54" i="4"/>
  <c r="E70" i="4"/>
  <c r="G70" i="4" s="1"/>
  <c r="H70" i="4" s="1"/>
  <c r="E68" i="4"/>
  <c r="G68" i="4" s="1"/>
  <c r="H68" i="4" s="1"/>
  <c r="E71" i="4"/>
  <c r="G71" i="4" s="1"/>
  <c r="H71" i="4" s="1"/>
  <c r="E66" i="4"/>
  <c r="G66" i="4" s="1"/>
  <c r="H66" i="4" s="1"/>
  <c r="E69" i="4"/>
  <c r="G69" i="4" s="1"/>
  <c r="H69" i="4" s="1"/>
  <c r="E72" i="4"/>
  <c r="G72" i="4" s="1"/>
  <c r="H72" i="4" s="1"/>
  <c r="E67" i="4"/>
  <c r="G67" i="4" s="1"/>
  <c r="H67" i="4" s="1"/>
  <c r="E5" i="3"/>
  <c r="G5" i="3" s="1"/>
  <c r="C53" i="67"/>
  <c r="D53" i="67" s="1"/>
  <c r="C53" i="59"/>
  <c r="E9" i="53"/>
  <c r="G9" i="53" s="1"/>
  <c r="H9" i="53" s="1"/>
  <c r="K9" i="53" s="1"/>
  <c r="L9" i="53" s="1"/>
  <c r="E10" i="53"/>
  <c r="G10" i="53" s="1"/>
  <c r="H10" i="53" s="1"/>
  <c r="K10" i="53" s="1"/>
  <c r="L10" i="53" s="1"/>
  <c r="C52" i="53"/>
  <c r="E6" i="53"/>
  <c r="G6" i="53" s="1"/>
  <c r="H6" i="53" s="1"/>
  <c r="K6" i="53" s="1"/>
  <c r="L6" i="53" s="1"/>
  <c r="E7" i="53"/>
  <c r="G7" i="53" s="1"/>
  <c r="H7" i="53" s="1"/>
  <c r="K7" i="53" s="1"/>
  <c r="L7" i="53" s="1"/>
  <c r="H53" i="53"/>
  <c r="E65" i="53" s="1"/>
  <c r="E8" i="53"/>
  <c r="G8" i="53" s="1"/>
  <c r="H8" i="53" s="1"/>
  <c r="K8" i="53" s="1"/>
  <c r="L8" i="53" s="1"/>
  <c r="E5" i="53"/>
  <c r="G5" i="53" s="1"/>
  <c r="H5" i="53" s="1"/>
  <c r="K5" i="53" s="1"/>
  <c r="L5" i="53" s="1"/>
  <c r="S35" i="53" s="1"/>
  <c r="I53" i="53"/>
  <c r="J54" i="53"/>
  <c r="I54" i="46"/>
  <c r="J55" i="46"/>
  <c r="I55" i="46" s="1"/>
  <c r="C52" i="24"/>
  <c r="I1" i="24"/>
  <c r="J54" i="8"/>
  <c r="B110" i="8" s="1"/>
  <c r="E68" i="34"/>
  <c r="G68" i="34" s="1"/>
  <c r="H68" i="34" s="1"/>
  <c r="I55" i="34"/>
  <c r="J56" i="34"/>
  <c r="I56" i="34" s="1"/>
  <c r="E67" i="34"/>
  <c r="G67" i="34" s="1"/>
  <c r="H67" i="34" s="1"/>
  <c r="E65" i="34"/>
  <c r="G65" i="34" s="1"/>
  <c r="H65" i="34" s="1"/>
  <c r="E70" i="34"/>
  <c r="G70" i="34" s="1"/>
  <c r="H70" i="34" s="1"/>
  <c r="E69" i="34"/>
  <c r="G69" i="34" s="1"/>
  <c r="H69" i="34" s="1"/>
  <c r="E66" i="34"/>
  <c r="G66" i="34" s="1"/>
  <c r="H66" i="34" s="1"/>
  <c r="H54" i="34"/>
  <c r="J54" i="26"/>
  <c r="E5" i="26"/>
  <c r="G5" i="26" s="1"/>
  <c r="H5" i="26" s="1"/>
  <c r="I53" i="20"/>
  <c r="J54" i="20"/>
  <c r="B103" i="20" s="1"/>
  <c r="C53" i="15"/>
  <c r="D53" i="15" s="1"/>
  <c r="I53" i="8"/>
  <c r="C53" i="56"/>
  <c r="T35" i="50"/>
  <c r="H53" i="37"/>
  <c r="E65" i="37" s="1"/>
  <c r="C53" i="49"/>
  <c r="C53" i="44"/>
  <c r="D53" i="44" s="1"/>
  <c r="I54" i="44"/>
  <c r="E6" i="42"/>
  <c r="G6" i="42" s="1"/>
  <c r="H6" i="42" s="1"/>
  <c r="K6" i="42" s="1"/>
  <c r="L6" i="42" s="1"/>
  <c r="E9" i="42"/>
  <c r="G9" i="42" s="1"/>
  <c r="H9" i="42" s="1"/>
  <c r="K9" i="42" s="1"/>
  <c r="L9" i="42" s="1"/>
  <c r="E12" i="42"/>
  <c r="G12" i="42" s="1"/>
  <c r="H12" i="42" s="1"/>
  <c r="K12" i="42" s="1"/>
  <c r="L12" i="42" s="1"/>
  <c r="E8" i="42"/>
  <c r="G8" i="42" s="1"/>
  <c r="H8" i="42" s="1"/>
  <c r="K8" i="42" s="1"/>
  <c r="L8" i="42" s="1"/>
  <c r="E5" i="42"/>
  <c r="G5" i="42" s="1"/>
  <c r="H5" i="42" s="1"/>
  <c r="K5" i="42" s="1"/>
  <c r="L5" i="42" s="1"/>
  <c r="E7" i="42"/>
  <c r="G7" i="42" s="1"/>
  <c r="H7" i="42" s="1"/>
  <c r="K7" i="42" s="1"/>
  <c r="L7" i="42" s="1"/>
  <c r="E10" i="42"/>
  <c r="G10" i="42" s="1"/>
  <c r="H10" i="42" s="1"/>
  <c r="K10" i="42" s="1"/>
  <c r="L10" i="42" s="1"/>
  <c r="E11" i="42"/>
  <c r="G11" i="42" s="1"/>
  <c r="H11" i="42" s="1"/>
  <c r="K11" i="42" s="1"/>
  <c r="L11" i="42" s="1"/>
  <c r="E5" i="37"/>
  <c r="G5" i="37" s="1"/>
  <c r="H5" i="37" s="1"/>
  <c r="K5" i="37" s="1"/>
  <c r="L5" i="37" s="1"/>
  <c r="S35" i="37" s="1"/>
  <c r="G5" i="29"/>
  <c r="H5" i="29" s="1"/>
  <c r="K5" i="29" s="1"/>
  <c r="L5" i="29" s="1"/>
  <c r="S35" i="29" s="1"/>
  <c r="I53" i="29"/>
  <c r="C53" i="21"/>
  <c r="E5" i="20"/>
  <c r="G5" i="20" s="1"/>
  <c r="H5" i="20" s="1"/>
  <c r="K5" i="20" s="1"/>
  <c r="L5" i="20" s="1"/>
  <c r="S35" i="20" s="1"/>
  <c r="H53" i="20"/>
  <c r="I53" i="3"/>
  <c r="J54" i="3"/>
  <c r="I1" i="40"/>
  <c r="C52" i="40"/>
  <c r="I53" i="37"/>
  <c r="J54" i="37"/>
  <c r="I54" i="37" s="1"/>
  <c r="J54" i="29"/>
  <c r="B103" i="29" s="1"/>
  <c r="I53" i="28"/>
  <c r="J54" i="21"/>
  <c r="I54" i="21" s="1"/>
  <c r="I53" i="21"/>
  <c r="I53" i="18"/>
  <c r="H53" i="18"/>
  <c r="E65" i="18" s="1"/>
  <c r="G65" i="18" s="1"/>
  <c r="H65" i="18" s="1"/>
  <c r="T35" i="18"/>
  <c r="AC30" i="18" s="1"/>
  <c r="G5" i="18"/>
  <c r="H5" i="18" s="1"/>
  <c r="K5" i="18" s="1"/>
  <c r="L5" i="18" s="1"/>
  <c r="S35" i="18" s="1"/>
  <c r="C53" i="18"/>
  <c r="D53" i="18" s="1"/>
  <c r="C53" i="17"/>
  <c r="I53" i="17"/>
  <c r="C53" i="16"/>
  <c r="T35" i="15"/>
  <c r="AC30" i="15" s="1"/>
  <c r="E5" i="8"/>
  <c r="G5" i="8" s="1"/>
  <c r="H5" i="8" s="1"/>
  <c r="K5" i="8" s="1"/>
  <c r="L5" i="8" s="1"/>
  <c r="S35" i="8" s="1"/>
  <c r="AB30" i="8" s="1"/>
  <c r="H53" i="8"/>
  <c r="E65" i="8" s="1"/>
  <c r="J55" i="5"/>
  <c r="I55" i="5" s="1"/>
  <c r="I54" i="5"/>
  <c r="J55" i="30"/>
  <c r="I55" i="30" s="1"/>
  <c r="I54" i="30"/>
  <c r="E5" i="17"/>
  <c r="G5" i="17" s="1"/>
  <c r="H5" i="17" s="1"/>
  <c r="K5" i="17" s="1"/>
  <c r="L5" i="17" s="1"/>
  <c r="S35" i="17" s="1"/>
  <c r="I53" i="15"/>
  <c r="J55" i="23"/>
  <c r="B122" i="23" s="1"/>
  <c r="I54" i="23"/>
  <c r="T35" i="21"/>
  <c r="U35" i="21" s="1"/>
  <c r="T35" i="5"/>
  <c r="AB30" i="5" s="1"/>
  <c r="E84" i="5"/>
  <c r="G84" i="5" s="1"/>
  <c r="H84" i="5" s="1"/>
  <c r="E76" i="5"/>
  <c r="G76" i="5" s="1"/>
  <c r="H76" i="5" s="1"/>
  <c r="E80" i="5"/>
  <c r="G80" i="5" s="1"/>
  <c r="H80" i="5" s="1"/>
  <c r="E66" i="5"/>
  <c r="G66" i="5" s="1"/>
  <c r="H66" i="5" s="1"/>
  <c r="E77" i="5"/>
  <c r="G77" i="5" s="1"/>
  <c r="H77" i="5" s="1"/>
  <c r="E75" i="5"/>
  <c r="G75" i="5" s="1"/>
  <c r="H75" i="5" s="1"/>
  <c r="E69" i="5"/>
  <c r="G69" i="5" s="1"/>
  <c r="H69" i="5" s="1"/>
  <c r="E67" i="5"/>
  <c r="G67" i="5" s="1"/>
  <c r="H67" i="5" s="1"/>
  <c r="E87" i="5"/>
  <c r="G87" i="5" s="1"/>
  <c r="H87" i="5" s="1"/>
  <c r="E86" i="5"/>
  <c r="G86" i="5" s="1"/>
  <c r="H86" i="5" s="1"/>
  <c r="E83" i="5"/>
  <c r="G83" i="5" s="1"/>
  <c r="H83" i="5" s="1"/>
  <c r="E81" i="5"/>
  <c r="G81" i="5" s="1"/>
  <c r="H81" i="5" s="1"/>
  <c r="E73" i="5"/>
  <c r="G73" i="5" s="1"/>
  <c r="H73" i="5" s="1"/>
  <c r="E72" i="5"/>
  <c r="G72" i="5" s="1"/>
  <c r="H72" i="5" s="1"/>
  <c r="E71" i="5"/>
  <c r="G71" i="5" s="1"/>
  <c r="H71" i="5" s="1"/>
  <c r="E70" i="5"/>
  <c r="G70" i="5" s="1"/>
  <c r="H70" i="5" s="1"/>
  <c r="E68" i="5"/>
  <c r="G68" i="5" s="1"/>
  <c r="H68" i="5" s="1"/>
  <c r="C54" i="5"/>
  <c r="D54" i="5" s="1"/>
  <c r="E85" i="5"/>
  <c r="G85" i="5" s="1"/>
  <c r="H85" i="5" s="1"/>
  <c r="E82" i="5"/>
  <c r="G82" i="5" s="1"/>
  <c r="H82" i="5" s="1"/>
  <c r="E79" i="5"/>
  <c r="G79" i="5" s="1"/>
  <c r="H79" i="5" s="1"/>
  <c r="E78" i="5"/>
  <c r="G78" i="5" s="1"/>
  <c r="H78" i="5" s="1"/>
  <c r="E74" i="5"/>
  <c r="G74" i="5" s="1"/>
  <c r="H74" i="5" s="1"/>
  <c r="E13" i="58"/>
  <c r="G13" i="58" s="1"/>
  <c r="H13" i="58" s="1"/>
  <c r="K13" i="58" s="1"/>
  <c r="L13" i="58" s="1"/>
  <c r="E6" i="58"/>
  <c r="G6" i="58" s="1"/>
  <c r="H6" i="58" s="1"/>
  <c r="K6" i="58" s="1"/>
  <c r="L6" i="58" s="1"/>
  <c r="E7" i="58"/>
  <c r="G7" i="58" s="1"/>
  <c r="H7" i="58" s="1"/>
  <c r="K7" i="58" s="1"/>
  <c r="L7" i="58" s="1"/>
  <c r="E17" i="58"/>
  <c r="G17" i="58" s="1"/>
  <c r="H17" i="58" s="1"/>
  <c r="K17" i="58" s="1"/>
  <c r="L17" i="58" s="1"/>
  <c r="E10" i="58"/>
  <c r="G10" i="58" s="1"/>
  <c r="H10" i="58" s="1"/>
  <c r="K10" i="58" s="1"/>
  <c r="L10" i="58" s="1"/>
  <c r="E12" i="58"/>
  <c r="G12" i="58" s="1"/>
  <c r="H12" i="58" s="1"/>
  <c r="K12" i="58" s="1"/>
  <c r="L12" i="58" s="1"/>
  <c r="E16" i="58"/>
  <c r="G16" i="58" s="1"/>
  <c r="H16" i="58" s="1"/>
  <c r="K16" i="58" s="1"/>
  <c r="L16" i="58" s="1"/>
  <c r="E21" i="58"/>
  <c r="G21" i="58" s="1"/>
  <c r="H21" i="58" s="1"/>
  <c r="K21" i="58" s="1"/>
  <c r="L21" i="58" s="1"/>
  <c r="E9" i="58"/>
  <c r="G9" i="58" s="1"/>
  <c r="H9" i="58" s="1"/>
  <c r="K9" i="58" s="1"/>
  <c r="L9" i="58" s="1"/>
  <c r="E14" i="58"/>
  <c r="G14" i="58" s="1"/>
  <c r="H14" i="58" s="1"/>
  <c r="K14" i="58" s="1"/>
  <c r="L14" i="58" s="1"/>
  <c r="E20" i="58"/>
  <c r="G20" i="58" s="1"/>
  <c r="H20" i="58" s="1"/>
  <c r="K20" i="58" s="1"/>
  <c r="L20" i="58" s="1"/>
  <c r="C52" i="58"/>
  <c r="C53" i="58" s="1"/>
  <c r="D53" i="58" s="1"/>
  <c r="E8" i="58"/>
  <c r="G8" i="58" s="1"/>
  <c r="H8" i="58" s="1"/>
  <c r="K8" i="58" s="1"/>
  <c r="L8" i="58" s="1"/>
  <c r="E11" i="58"/>
  <c r="G11" i="58" s="1"/>
  <c r="H11" i="58" s="1"/>
  <c r="K11" i="58" s="1"/>
  <c r="L11" i="58" s="1"/>
  <c r="E15" i="58"/>
  <c r="G15" i="58" s="1"/>
  <c r="H15" i="58" s="1"/>
  <c r="K15" i="58" s="1"/>
  <c r="L15" i="58" s="1"/>
  <c r="E18" i="58"/>
  <c r="G18" i="58" s="1"/>
  <c r="H18" i="58" s="1"/>
  <c r="K18" i="58" s="1"/>
  <c r="L18" i="58" s="1"/>
  <c r="E19" i="58"/>
  <c r="G19" i="58" s="1"/>
  <c r="H19" i="58" s="1"/>
  <c r="K19" i="58" s="1"/>
  <c r="L19" i="58" s="1"/>
  <c r="I53" i="56"/>
  <c r="D5" i="56"/>
  <c r="H52" i="56" s="1"/>
  <c r="I53" i="58"/>
  <c r="J54" i="58"/>
  <c r="B106" i="58" s="1"/>
  <c r="D5" i="58"/>
  <c r="H51" i="58" s="1"/>
  <c r="E65" i="59"/>
  <c r="G65" i="59" s="1"/>
  <c r="H65" i="59" s="1"/>
  <c r="E5" i="59"/>
  <c r="G5" i="59" s="1"/>
  <c r="H5" i="59" s="1"/>
  <c r="K5" i="59" s="1"/>
  <c r="L5" i="59" s="1"/>
  <c r="S35" i="59" s="1"/>
  <c r="H53" i="62"/>
  <c r="E65" i="62" s="1"/>
  <c r="G65" i="62" s="1"/>
  <c r="H65" i="62" s="1"/>
  <c r="E5" i="62"/>
  <c r="G5" i="62" s="1"/>
  <c r="H5" i="62" s="1"/>
  <c r="K5" i="62" s="1"/>
  <c r="L5" i="62" s="1"/>
  <c r="S35" i="62" s="1"/>
  <c r="H51" i="69"/>
  <c r="I54" i="62"/>
  <c r="J55" i="62"/>
  <c r="I55" i="62" s="1"/>
  <c r="J53" i="47"/>
  <c r="B83" i="47" s="1"/>
  <c r="I51" i="47"/>
  <c r="D5" i="47" s="1"/>
  <c r="I53" i="67"/>
  <c r="J54" i="67"/>
  <c r="H53" i="43"/>
  <c r="E65" i="43" s="1"/>
  <c r="E5" i="43"/>
  <c r="G5" i="43" s="1"/>
  <c r="H5" i="43" s="1"/>
  <c r="K5" i="43" s="1"/>
  <c r="L5" i="43" s="1"/>
  <c r="S35" i="43" s="1"/>
  <c r="I54" i="43"/>
  <c r="D90" i="45"/>
  <c r="D112" i="45"/>
  <c r="C53" i="43"/>
  <c r="D53" i="43" s="1"/>
  <c r="E9" i="32"/>
  <c r="G9" i="32" s="1"/>
  <c r="H9" i="32" s="1"/>
  <c r="K9" i="32" s="1"/>
  <c r="L9" i="32" s="1"/>
  <c r="E10" i="32"/>
  <c r="G10" i="32" s="1"/>
  <c r="H10" i="32" s="1"/>
  <c r="K10" i="32" s="1"/>
  <c r="L10" i="32" s="1"/>
  <c r="E8" i="32"/>
  <c r="G8" i="32" s="1"/>
  <c r="H8" i="32" s="1"/>
  <c r="K8" i="32" s="1"/>
  <c r="L8" i="32" s="1"/>
  <c r="E7" i="32"/>
  <c r="G7" i="32" s="1"/>
  <c r="H7" i="32" s="1"/>
  <c r="K7" i="32" s="1"/>
  <c r="L7" i="32" s="1"/>
  <c r="I1" i="32"/>
  <c r="C52" i="32" s="1"/>
  <c r="E14" i="32"/>
  <c r="G14" i="32" s="1"/>
  <c r="H14" i="32" s="1"/>
  <c r="K14" i="32" s="1"/>
  <c r="L14" i="32" s="1"/>
  <c r="E13" i="32"/>
  <c r="G13" i="32" s="1"/>
  <c r="H13" i="32" s="1"/>
  <c r="K13" i="32" s="1"/>
  <c r="L13" i="32" s="1"/>
  <c r="E18" i="32"/>
  <c r="G18" i="32" s="1"/>
  <c r="H18" i="32" s="1"/>
  <c r="K18" i="32" s="1"/>
  <c r="L18" i="32" s="1"/>
  <c r="E11" i="32"/>
  <c r="G11" i="32" s="1"/>
  <c r="H11" i="32" s="1"/>
  <c r="K11" i="32" s="1"/>
  <c r="L11" i="32" s="1"/>
  <c r="E17" i="32"/>
  <c r="G17" i="32" s="1"/>
  <c r="H17" i="32" s="1"/>
  <c r="K17" i="32" s="1"/>
  <c r="L17" i="32" s="1"/>
  <c r="G6" i="32"/>
  <c r="H6" i="32" s="1"/>
  <c r="K6" i="32" s="1"/>
  <c r="L6" i="32" s="1"/>
  <c r="E15" i="32"/>
  <c r="G15" i="32" s="1"/>
  <c r="H15" i="32" s="1"/>
  <c r="K15" i="32" s="1"/>
  <c r="L15" i="32" s="1"/>
  <c r="E16" i="32"/>
  <c r="G16" i="32" s="1"/>
  <c r="H16" i="32" s="1"/>
  <c r="K16" i="32" s="1"/>
  <c r="L16" i="32" s="1"/>
  <c r="E19" i="32"/>
  <c r="G19" i="32" s="1"/>
  <c r="H19" i="32" s="1"/>
  <c r="K19" i="32" s="1"/>
  <c r="L19" i="32" s="1"/>
  <c r="E69" i="26"/>
  <c r="G69" i="26" s="1"/>
  <c r="H69" i="26" s="1"/>
  <c r="C54" i="25"/>
  <c r="D54" i="25" s="1"/>
  <c r="G88" i="50"/>
  <c r="H88" i="50" s="1"/>
  <c r="H55" i="50"/>
  <c r="E112" i="50" s="1"/>
  <c r="G112" i="50" s="1"/>
  <c r="H112" i="50" s="1"/>
  <c r="G65" i="50"/>
  <c r="H65" i="50" s="1"/>
  <c r="J54" i="33"/>
  <c r="B116" i="33" s="1"/>
  <c r="I53" i="33"/>
  <c r="D5" i="33"/>
  <c r="E12" i="32"/>
  <c r="G12" i="32" s="1"/>
  <c r="H12" i="32" s="1"/>
  <c r="K12" i="32" s="1"/>
  <c r="L12" i="32" s="1"/>
  <c r="C54" i="29"/>
  <c r="D54" i="29" s="1"/>
  <c r="T35" i="33"/>
  <c r="E70" i="26"/>
  <c r="G70" i="26" s="1"/>
  <c r="H70" i="26" s="1"/>
  <c r="E67" i="26"/>
  <c r="G67" i="26" s="1"/>
  <c r="H67" i="26" s="1"/>
  <c r="E78" i="26"/>
  <c r="G78" i="26" s="1"/>
  <c r="H78" i="26" s="1"/>
  <c r="C54" i="26"/>
  <c r="D54" i="26" s="1"/>
  <c r="E66" i="26"/>
  <c r="G66" i="26" s="1"/>
  <c r="H66" i="26" s="1"/>
  <c r="E68" i="26"/>
  <c r="G68" i="26" s="1"/>
  <c r="H68" i="26" s="1"/>
  <c r="E72" i="26"/>
  <c r="G72" i="26" s="1"/>
  <c r="H72" i="26" s="1"/>
  <c r="E75" i="26"/>
  <c r="G75" i="26" s="1"/>
  <c r="H75" i="26" s="1"/>
  <c r="E73" i="26"/>
  <c r="G73" i="26" s="1"/>
  <c r="H73" i="26" s="1"/>
  <c r="E77" i="26"/>
  <c r="G77" i="26" s="1"/>
  <c r="H77" i="26" s="1"/>
  <c r="E76" i="26"/>
  <c r="G76" i="26" s="1"/>
  <c r="H76" i="26" s="1"/>
  <c r="E71" i="26"/>
  <c r="G71" i="26" s="1"/>
  <c r="H71" i="26" s="1"/>
  <c r="E74" i="26"/>
  <c r="G74" i="26" s="1"/>
  <c r="H74" i="26" s="1"/>
  <c r="E67" i="20"/>
  <c r="J55" i="9"/>
  <c r="I55" i="9" s="1"/>
  <c r="I55" i="10"/>
  <c r="H53" i="10"/>
  <c r="E8" i="10"/>
  <c r="G8" i="10" s="1"/>
  <c r="H8" i="10" s="1"/>
  <c r="K8" i="10" s="1"/>
  <c r="L8" i="10" s="1"/>
  <c r="E9" i="10"/>
  <c r="G9" i="10" s="1"/>
  <c r="H9" i="10" s="1"/>
  <c r="K9" i="10" s="1"/>
  <c r="L9" i="10" s="1"/>
  <c r="E7" i="10"/>
  <c r="G7" i="10" s="1"/>
  <c r="H7" i="10" s="1"/>
  <c r="K7" i="10" s="1"/>
  <c r="L7" i="10" s="1"/>
  <c r="E6" i="10"/>
  <c r="G6" i="10" s="1"/>
  <c r="H6" i="10" s="1"/>
  <c r="K6" i="10" s="1"/>
  <c r="L6" i="10" s="1"/>
  <c r="H1" i="10"/>
  <c r="J56" i="10"/>
  <c r="B106" i="10" s="1"/>
  <c r="J54" i="7"/>
  <c r="B104" i="7" s="1"/>
  <c r="I53" i="7"/>
  <c r="D5" i="7"/>
  <c r="D132" i="7" s="1"/>
  <c r="C54" i="7"/>
  <c r="D54" i="7" s="1"/>
  <c r="H52" i="69"/>
  <c r="D89" i="69"/>
  <c r="D65" i="69"/>
  <c r="I54" i="9"/>
  <c r="I53" i="25"/>
  <c r="J54" i="25"/>
  <c r="E17" i="51"/>
  <c r="G17" i="51" s="1"/>
  <c r="H17" i="51" s="1"/>
  <c r="K17" i="51" s="1"/>
  <c r="L17" i="51" s="1"/>
  <c r="E13" i="51"/>
  <c r="G13" i="51" s="1"/>
  <c r="H13" i="51" s="1"/>
  <c r="K13" i="51" s="1"/>
  <c r="L13" i="51" s="1"/>
  <c r="E11" i="51"/>
  <c r="G11" i="51" s="1"/>
  <c r="H11" i="51" s="1"/>
  <c r="K11" i="51" s="1"/>
  <c r="L11" i="51" s="1"/>
  <c r="E6" i="51"/>
  <c r="G6" i="51" s="1"/>
  <c r="H6" i="51" s="1"/>
  <c r="K6" i="51" s="1"/>
  <c r="L6" i="51" s="1"/>
  <c r="H1" i="51"/>
  <c r="E16" i="51"/>
  <c r="G16" i="51" s="1"/>
  <c r="H16" i="51" s="1"/>
  <c r="K16" i="51" s="1"/>
  <c r="L16" i="51" s="1"/>
  <c r="E10" i="51"/>
  <c r="G10" i="51" s="1"/>
  <c r="H10" i="51" s="1"/>
  <c r="K10" i="51" s="1"/>
  <c r="L10" i="51" s="1"/>
  <c r="E9" i="51"/>
  <c r="G9" i="51" s="1"/>
  <c r="H9" i="51" s="1"/>
  <c r="K9" i="51" s="1"/>
  <c r="L9" i="51" s="1"/>
  <c r="E8" i="51"/>
  <c r="G8" i="51" s="1"/>
  <c r="H8" i="51" s="1"/>
  <c r="K8" i="51" s="1"/>
  <c r="L8" i="51" s="1"/>
  <c r="E7" i="51"/>
  <c r="G7" i="51" s="1"/>
  <c r="H7" i="51" s="1"/>
  <c r="K7" i="51" s="1"/>
  <c r="L7" i="51" s="1"/>
  <c r="E14" i="51"/>
  <c r="G14" i="51" s="1"/>
  <c r="H14" i="51" s="1"/>
  <c r="K14" i="51" s="1"/>
  <c r="L14" i="51" s="1"/>
  <c r="E12" i="51"/>
  <c r="G12" i="51" s="1"/>
  <c r="H12" i="51" s="1"/>
  <c r="K12" i="51" s="1"/>
  <c r="L12" i="51" s="1"/>
  <c r="E15" i="51"/>
  <c r="G15" i="51" s="1"/>
  <c r="H15" i="51" s="1"/>
  <c r="K15" i="51" s="1"/>
  <c r="L15" i="51" s="1"/>
  <c r="H53" i="51"/>
  <c r="I54" i="51"/>
  <c r="J55" i="51"/>
  <c r="I53" i="60"/>
  <c r="E6" i="60"/>
  <c r="G6" i="60" s="1"/>
  <c r="H6" i="60" s="1"/>
  <c r="K6" i="60" s="1"/>
  <c r="L6" i="60" s="1"/>
  <c r="E13" i="60"/>
  <c r="G13" i="60" s="1"/>
  <c r="H13" i="60" s="1"/>
  <c r="K13" i="60" s="1"/>
  <c r="L13" i="60" s="1"/>
  <c r="E10" i="60"/>
  <c r="G10" i="60" s="1"/>
  <c r="H10" i="60" s="1"/>
  <c r="K10" i="60" s="1"/>
  <c r="L10" i="60" s="1"/>
  <c r="E12" i="60"/>
  <c r="G12" i="60" s="1"/>
  <c r="H12" i="60" s="1"/>
  <c r="K12" i="60" s="1"/>
  <c r="L12" i="60" s="1"/>
  <c r="E9" i="60"/>
  <c r="G9" i="60" s="1"/>
  <c r="H9" i="60" s="1"/>
  <c r="K9" i="60" s="1"/>
  <c r="L9" i="60" s="1"/>
  <c r="E7" i="60"/>
  <c r="G7" i="60" s="1"/>
  <c r="H7" i="60" s="1"/>
  <c r="K7" i="60" s="1"/>
  <c r="L7" i="60" s="1"/>
  <c r="E8" i="60"/>
  <c r="G8" i="60" s="1"/>
  <c r="H8" i="60" s="1"/>
  <c r="K8" i="60" s="1"/>
  <c r="L8" i="60" s="1"/>
  <c r="E11" i="60"/>
  <c r="G11" i="60" s="1"/>
  <c r="H11" i="60" s="1"/>
  <c r="K11" i="60" s="1"/>
  <c r="L11" i="60" s="1"/>
  <c r="E16" i="60"/>
  <c r="G16" i="60" s="1"/>
  <c r="H16" i="60" s="1"/>
  <c r="K16" i="60" s="1"/>
  <c r="L16" i="60" s="1"/>
  <c r="E14" i="60"/>
  <c r="G14" i="60" s="1"/>
  <c r="H14" i="60" s="1"/>
  <c r="K14" i="60" s="1"/>
  <c r="L14" i="60" s="1"/>
  <c r="C52" i="60"/>
  <c r="E15" i="60"/>
  <c r="G15" i="60" s="1"/>
  <c r="H15" i="60" s="1"/>
  <c r="K15" i="60" s="1"/>
  <c r="L15" i="60" s="1"/>
  <c r="E17" i="60"/>
  <c r="G17" i="60" s="1"/>
  <c r="H17" i="60" s="1"/>
  <c r="K17" i="60" s="1"/>
  <c r="L17" i="60" s="1"/>
  <c r="J54" i="60"/>
  <c r="C54" i="50"/>
  <c r="I54" i="35"/>
  <c r="J55" i="35"/>
  <c r="B95" i="35" s="1"/>
  <c r="H95" i="35" s="1"/>
  <c r="E6" i="35"/>
  <c r="G6" i="35" s="1"/>
  <c r="H6" i="35" s="1"/>
  <c r="K6" i="35" s="1"/>
  <c r="L6" i="35" s="1"/>
  <c r="E9" i="35"/>
  <c r="G9" i="35" s="1"/>
  <c r="H9" i="35" s="1"/>
  <c r="K9" i="35" s="1"/>
  <c r="L9" i="35" s="1"/>
  <c r="H53" i="35"/>
  <c r="H1" i="35"/>
  <c r="E7" i="35"/>
  <c r="G7" i="35" s="1"/>
  <c r="H7" i="35" s="1"/>
  <c r="K7" i="35" s="1"/>
  <c r="L7" i="35" s="1"/>
  <c r="E8" i="35"/>
  <c r="G8" i="35" s="1"/>
  <c r="H8" i="35" s="1"/>
  <c r="K8" i="35" s="1"/>
  <c r="L8" i="35" s="1"/>
  <c r="C54" i="27"/>
  <c r="D54" i="27" s="1"/>
  <c r="G65" i="30"/>
  <c r="H65" i="30" s="1"/>
  <c r="H54" i="30"/>
  <c r="E80" i="30" s="1"/>
  <c r="G80" i="30" s="1"/>
  <c r="H80" i="30" s="1"/>
  <c r="G70" i="68"/>
  <c r="H70" i="68" s="1"/>
  <c r="G67" i="68"/>
  <c r="H67" i="68" s="1"/>
  <c r="G72" i="68"/>
  <c r="H72" i="68" s="1"/>
  <c r="G68" i="68"/>
  <c r="H68" i="68" s="1"/>
  <c r="G66" i="68"/>
  <c r="H66" i="68" s="1"/>
  <c r="G71" i="68"/>
  <c r="H71" i="68" s="1"/>
  <c r="G69" i="68"/>
  <c r="H69" i="68" s="1"/>
  <c r="C52" i="55"/>
  <c r="I1" i="55"/>
  <c r="I1" i="54"/>
  <c r="C52" i="54"/>
  <c r="E11" i="39"/>
  <c r="G11" i="39" s="1"/>
  <c r="H11" i="39" s="1"/>
  <c r="K11" i="39" s="1"/>
  <c r="L11" i="39" s="1"/>
  <c r="E10" i="39"/>
  <c r="G10" i="39" s="1"/>
  <c r="H10" i="39" s="1"/>
  <c r="K10" i="39" s="1"/>
  <c r="L10" i="39" s="1"/>
  <c r="E7" i="39"/>
  <c r="G7" i="39" s="1"/>
  <c r="H7" i="39" s="1"/>
  <c r="K7" i="39" s="1"/>
  <c r="L7" i="39" s="1"/>
  <c r="E9" i="39"/>
  <c r="G9" i="39" s="1"/>
  <c r="H9" i="39" s="1"/>
  <c r="K9" i="39" s="1"/>
  <c r="L9" i="39" s="1"/>
  <c r="E6" i="39"/>
  <c r="G6" i="39" s="1"/>
  <c r="H6" i="39" s="1"/>
  <c r="K6" i="39" s="1"/>
  <c r="L6" i="39" s="1"/>
  <c r="E8" i="39"/>
  <c r="G8" i="39" s="1"/>
  <c r="H8" i="39" s="1"/>
  <c r="K8" i="39" s="1"/>
  <c r="L8" i="39" s="1"/>
  <c r="C52" i="38"/>
  <c r="I1" i="38"/>
  <c r="E9" i="31"/>
  <c r="G9" i="31" s="1"/>
  <c r="H9" i="31" s="1"/>
  <c r="K9" i="31" s="1"/>
  <c r="L9" i="31" s="1"/>
  <c r="E8" i="31"/>
  <c r="G8" i="31" s="1"/>
  <c r="H8" i="31" s="1"/>
  <c r="K8" i="31" s="1"/>
  <c r="L8" i="31" s="1"/>
  <c r="E16" i="31"/>
  <c r="G16" i="31" s="1"/>
  <c r="H16" i="31" s="1"/>
  <c r="K16" i="31" s="1"/>
  <c r="L16" i="31" s="1"/>
  <c r="E12" i="31"/>
  <c r="G12" i="31" s="1"/>
  <c r="H12" i="31" s="1"/>
  <c r="K12" i="31" s="1"/>
  <c r="L12" i="31" s="1"/>
  <c r="E14" i="31"/>
  <c r="G14" i="31" s="1"/>
  <c r="H14" i="31" s="1"/>
  <c r="K14" i="31" s="1"/>
  <c r="L14" i="31" s="1"/>
  <c r="E11" i="31"/>
  <c r="G11" i="31" s="1"/>
  <c r="H11" i="31" s="1"/>
  <c r="K11" i="31" s="1"/>
  <c r="L11" i="31" s="1"/>
  <c r="E10" i="31"/>
  <c r="G10" i="31" s="1"/>
  <c r="H10" i="31" s="1"/>
  <c r="K10" i="31" s="1"/>
  <c r="L10" i="31" s="1"/>
  <c r="E22" i="31"/>
  <c r="G22" i="31" s="1"/>
  <c r="H22" i="31" s="1"/>
  <c r="K22" i="31" s="1"/>
  <c r="L22" i="31" s="1"/>
  <c r="E21" i="31"/>
  <c r="G21" i="31" s="1"/>
  <c r="H21" i="31" s="1"/>
  <c r="K21" i="31" s="1"/>
  <c r="L21" i="31" s="1"/>
  <c r="E20" i="31"/>
  <c r="G20" i="31" s="1"/>
  <c r="H20" i="31" s="1"/>
  <c r="K20" i="31" s="1"/>
  <c r="L20" i="31" s="1"/>
  <c r="E19" i="31"/>
  <c r="G19" i="31" s="1"/>
  <c r="H19" i="31" s="1"/>
  <c r="K19" i="31" s="1"/>
  <c r="L19" i="31" s="1"/>
  <c r="E18" i="31"/>
  <c r="G18" i="31" s="1"/>
  <c r="H18" i="31" s="1"/>
  <c r="K18" i="31" s="1"/>
  <c r="L18" i="31" s="1"/>
  <c r="E13" i="31"/>
  <c r="G13" i="31" s="1"/>
  <c r="H13" i="31" s="1"/>
  <c r="K13" i="31" s="1"/>
  <c r="L13" i="31" s="1"/>
  <c r="E7" i="31"/>
  <c r="G7" i="31" s="1"/>
  <c r="H7" i="31" s="1"/>
  <c r="K7" i="31" s="1"/>
  <c r="L7" i="31" s="1"/>
  <c r="E6" i="31"/>
  <c r="G6" i="31" s="1"/>
  <c r="H6" i="31" s="1"/>
  <c r="K6" i="31" s="1"/>
  <c r="L6" i="31" s="1"/>
  <c r="E15" i="31"/>
  <c r="G15" i="31" s="1"/>
  <c r="H15" i="31" s="1"/>
  <c r="K15" i="31" s="1"/>
  <c r="L15" i="31" s="1"/>
  <c r="E24" i="31"/>
  <c r="G24" i="31" s="1"/>
  <c r="H24" i="31" s="1"/>
  <c r="K24" i="31" s="1"/>
  <c r="L24" i="31" s="1"/>
  <c r="I1" i="31"/>
  <c r="C52" i="31" s="1"/>
  <c r="E23" i="31"/>
  <c r="G23" i="31" s="1"/>
  <c r="H23" i="31" s="1"/>
  <c r="K23" i="31" s="1"/>
  <c r="L23" i="31" s="1"/>
  <c r="E17" i="31"/>
  <c r="G17" i="31" s="1"/>
  <c r="H17" i="31" s="1"/>
  <c r="K17" i="31" s="1"/>
  <c r="L17" i="31" s="1"/>
  <c r="I1" i="14"/>
  <c r="C52" i="14"/>
  <c r="C52" i="13"/>
  <c r="I1" i="13"/>
  <c r="E8" i="37"/>
  <c r="G8" i="37" s="1"/>
  <c r="H8" i="37" s="1"/>
  <c r="K8" i="37" s="1"/>
  <c r="L8" i="37" s="1"/>
  <c r="E11" i="37"/>
  <c r="G11" i="37" s="1"/>
  <c r="H11" i="37" s="1"/>
  <c r="K11" i="37" s="1"/>
  <c r="L11" i="37" s="1"/>
  <c r="E7" i="37"/>
  <c r="G7" i="37" s="1"/>
  <c r="H7" i="37" s="1"/>
  <c r="K7" i="37" s="1"/>
  <c r="L7" i="37" s="1"/>
  <c r="E6" i="37"/>
  <c r="G6" i="37" s="1"/>
  <c r="H6" i="37" s="1"/>
  <c r="K6" i="37" s="1"/>
  <c r="L6" i="37" s="1"/>
  <c r="E9" i="37"/>
  <c r="G9" i="37" s="1"/>
  <c r="H9" i="37" s="1"/>
  <c r="K9" i="37" s="1"/>
  <c r="L9" i="37" s="1"/>
  <c r="E12" i="37"/>
  <c r="G12" i="37" s="1"/>
  <c r="H12" i="37" s="1"/>
  <c r="K12" i="37" s="1"/>
  <c r="L12" i="37" s="1"/>
  <c r="E10" i="37"/>
  <c r="G10" i="37" s="1"/>
  <c r="H10" i="37" s="1"/>
  <c r="K10" i="37" s="1"/>
  <c r="L10" i="37" s="1"/>
  <c r="C52" i="37"/>
  <c r="E72" i="29"/>
  <c r="G72" i="29" s="1"/>
  <c r="H72" i="29" s="1"/>
  <c r="E70" i="29"/>
  <c r="G70" i="29" s="1"/>
  <c r="H70" i="29" s="1"/>
  <c r="E67" i="29"/>
  <c r="G67" i="29" s="1"/>
  <c r="H67" i="29" s="1"/>
  <c r="E75" i="29"/>
  <c r="G75" i="29" s="1"/>
  <c r="H75" i="29" s="1"/>
  <c r="E78" i="29"/>
  <c r="G78" i="29" s="1"/>
  <c r="H78" i="29" s="1"/>
  <c r="E73" i="29"/>
  <c r="G73" i="29" s="1"/>
  <c r="H73" i="29" s="1"/>
  <c r="E71" i="29"/>
  <c r="G71" i="29" s="1"/>
  <c r="H71" i="29" s="1"/>
  <c r="E79" i="29"/>
  <c r="G79" i="29" s="1"/>
  <c r="H79" i="29" s="1"/>
  <c r="E66" i="29"/>
  <c r="G66" i="29" s="1"/>
  <c r="H66" i="29" s="1"/>
  <c r="E74" i="29"/>
  <c r="G74" i="29" s="1"/>
  <c r="H74" i="29" s="1"/>
  <c r="E76" i="29"/>
  <c r="G76" i="29" s="1"/>
  <c r="H76" i="29" s="1"/>
  <c r="E77" i="29"/>
  <c r="G77" i="29" s="1"/>
  <c r="H77" i="29" s="1"/>
  <c r="E68" i="29"/>
  <c r="G68" i="29" s="1"/>
  <c r="H68" i="29" s="1"/>
  <c r="E69" i="29"/>
  <c r="G69" i="29" s="1"/>
  <c r="H69" i="29" s="1"/>
  <c r="AC30" i="7"/>
  <c r="H53" i="23"/>
  <c r="E8" i="23"/>
  <c r="G8" i="23" s="1"/>
  <c r="H8" i="23" s="1"/>
  <c r="K8" i="23" s="1"/>
  <c r="L8" i="23" s="1"/>
  <c r="E16" i="23"/>
  <c r="G16" i="23" s="1"/>
  <c r="H16" i="23" s="1"/>
  <c r="K16" i="23" s="1"/>
  <c r="L16" i="23" s="1"/>
  <c r="E6" i="23"/>
  <c r="G6" i="23" s="1"/>
  <c r="H6" i="23" s="1"/>
  <c r="K6" i="23" s="1"/>
  <c r="H1" i="23"/>
  <c r="E11" i="23"/>
  <c r="G11" i="23" s="1"/>
  <c r="H11" i="23" s="1"/>
  <c r="K11" i="23" s="1"/>
  <c r="L11" i="23" s="1"/>
  <c r="E14" i="23"/>
  <c r="G14" i="23" s="1"/>
  <c r="H14" i="23" s="1"/>
  <c r="K14" i="23" s="1"/>
  <c r="L14" i="23" s="1"/>
  <c r="E9" i="23"/>
  <c r="G9" i="23" s="1"/>
  <c r="H9" i="23" s="1"/>
  <c r="K9" i="23" s="1"/>
  <c r="L9" i="23" s="1"/>
  <c r="E17" i="23"/>
  <c r="G17" i="23" s="1"/>
  <c r="H17" i="23" s="1"/>
  <c r="K17" i="23" s="1"/>
  <c r="L17" i="23" s="1"/>
  <c r="E12" i="23"/>
  <c r="G12" i="23" s="1"/>
  <c r="H12" i="23" s="1"/>
  <c r="K12" i="23" s="1"/>
  <c r="L12" i="23" s="1"/>
  <c r="E10" i="23"/>
  <c r="G10" i="23" s="1"/>
  <c r="H10" i="23" s="1"/>
  <c r="K10" i="23" s="1"/>
  <c r="L10" i="23" s="1"/>
  <c r="E18" i="23"/>
  <c r="G18" i="23" s="1"/>
  <c r="H18" i="23" s="1"/>
  <c r="K18" i="23" s="1"/>
  <c r="L18" i="23" s="1"/>
  <c r="E7" i="23"/>
  <c r="G7" i="23" s="1"/>
  <c r="H7" i="23" s="1"/>
  <c r="K7" i="23" s="1"/>
  <c r="L7" i="23" s="1"/>
  <c r="E15" i="23"/>
  <c r="G15" i="23" s="1"/>
  <c r="H15" i="23" s="1"/>
  <c r="K15" i="23" s="1"/>
  <c r="L15" i="23" s="1"/>
  <c r="E13" i="23"/>
  <c r="G13" i="23" s="1"/>
  <c r="H13" i="23" s="1"/>
  <c r="K13" i="23" s="1"/>
  <c r="L13" i="23" s="1"/>
  <c r="H20" i="21"/>
  <c r="H18" i="21"/>
  <c r="H54" i="21"/>
  <c r="H55" i="21" s="1"/>
  <c r="H19" i="21"/>
  <c r="E71" i="20"/>
  <c r="G71" i="20" s="1"/>
  <c r="H71" i="20" s="1"/>
  <c r="E79" i="20"/>
  <c r="G79" i="20" s="1"/>
  <c r="H79" i="20" s="1"/>
  <c r="E66" i="20"/>
  <c r="G66" i="20" s="1"/>
  <c r="H66" i="20" s="1"/>
  <c r="E74" i="20"/>
  <c r="G74" i="20" s="1"/>
  <c r="H74" i="20" s="1"/>
  <c r="E69" i="20"/>
  <c r="G69" i="20" s="1"/>
  <c r="H69" i="20" s="1"/>
  <c r="E77" i="20"/>
  <c r="G77" i="20" s="1"/>
  <c r="H77" i="20" s="1"/>
  <c r="E78" i="20"/>
  <c r="G78" i="20" s="1"/>
  <c r="H78" i="20" s="1"/>
  <c r="E72" i="20"/>
  <c r="G72" i="20" s="1"/>
  <c r="H72" i="20" s="1"/>
  <c r="E75" i="20"/>
  <c r="G75" i="20" s="1"/>
  <c r="H75" i="20" s="1"/>
  <c r="E70" i="20"/>
  <c r="G70" i="20" s="1"/>
  <c r="H70" i="20" s="1"/>
  <c r="E73" i="20"/>
  <c r="G73" i="20" s="1"/>
  <c r="H73" i="20" s="1"/>
  <c r="E68" i="20"/>
  <c r="G68" i="20" s="1"/>
  <c r="H68" i="20" s="1"/>
  <c r="E76" i="20"/>
  <c r="G76" i="20" s="1"/>
  <c r="H76" i="20" s="1"/>
  <c r="C54" i="20"/>
  <c r="D54" i="20" s="1"/>
  <c r="C53" i="19"/>
  <c r="H54" i="17"/>
  <c r="E96" i="17" s="1"/>
  <c r="G96" i="17" s="1"/>
  <c r="H96" i="17" s="1"/>
  <c r="AB30" i="7"/>
  <c r="E79" i="7"/>
  <c r="G79" i="7" s="1"/>
  <c r="H79" i="7" s="1"/>
  <c r="E74" i="7"/>
  <c r="G74" i="7" s="1"/>
  <c r="H74" i="7" s="1"/>
  <c r="E72" i="7"/>
  <c r="G72" i="7" s="1"/>
  <c r="H72" i="7" s="1"/>
  <c r="E68" i="7"/>
  <c r="G68" i="7" s="1"/>
  <c r="H68" i="7" s="1"/>
  <c r="E76" i="7"/>
  <c r="G76" i="7" s="1"/>
  <c r="H76" i="7" s="1"/>
  <c r="E71" i="7"/>
  <c r="G71" i="7" s="1"/>
  <c r="H71" i="7" s="1"/>
  <c r="E66" i="7"/>
  <c r="G66" i="7" s="1"/>
  <c r="H66" i="7" s="1"/>
  <c r="E78" i="7"/>
  <c r="G78" i="7" s="1"/>
  <c r="H78" i="7" s="1"/>
  <c r="E69" i="7"/>
  <c r="G69" i="7" s="1"/>
  <c r="H69" i="7" s="1"/>
  <c r="E77" i="7"/>
  <c r="G77" i="7" s="1"/>
  <c r="H77" i="7" s="1"/>
  <c r="E73" i="7"/>
  <c r="G73" i="7" s="1"/>
  <c r="H73" i="7" s="1"/>
  <c r="E67" i="7"/>
  <c r="G67" i="7" s="1"/>
  <c r="H67" i="7" s="1"/>
  <c r="E75" i="7"/>
  <c r="G75" i="7" s="1"/>
  <c r="H75" i="7" s="1"/>
  <c r="E70" i="7"/>
  <c r="G70" i="7" s="1"/>
  <c r="H70" i="7" s="1"/>
  <c r="E67" i="45"/>
  <c r="G67" i="45" s="1"/>
  <c r="H67" i="45" s="1"/>
  <c r="E75" i="45"/>
  <c r="G75" i="45" s="1"/>
  <c r="H75" i="45" s="1"/>
  <c r="E80" i="45"/>
  <c r="G80" i="45" s="1"/>
  <c r="H80" i="45" s="1"/>
  <c r="C54" i="45"/>
  <c r="D54" i="45" s="1"/>
  <c r="E70" i="45"/>
  <c r="G70" i="45" s="1"/>
  <c r="H70" i="45" s="1"/>
  <c r="E78" i="45"/>
  <c r="G78" i="45" s="1"/>
  <c r="H78" i="45" s="1"/>
  <c r="E73" i="45"/>
  <c r="G73" i="45" s="1"/>
  <c r="H73" i="45" s="1"/>
  <c r="E68" i="45"/>
  <c r="G68" i="45" s="1"/>
  <c r="H68" i="45" s="1"/>
  <c r="E76" i="45"/>
  <c r="G76" i="45" s="1"/>
  <c r="H76" i="45" s="1"/>
  <c r="E71" i="45"/>
  <c r="G71" i="45" s="1"/>
  <c r="H71" i="45" s="1"/>
  <c r="E79" i="45"/>
  <c r="G79" i="45" s="1"/>
  <c r="H79" i="45" s="1"/>
  <c r="E66" i="45"/>
  <c r="G66" i="45" s="1"/>
  <c r="H66" i="45" s="1"/>
  <c r="E69" i="45"/>
  <c r="G69" i="45" s="1"/>
  <c r="H69" i="45" s="1"/>
  <c r="E77" i="45"/>
  <c r="G77" i="45" s="1"/>
  <c r="H77" i="45" s="1"/>
  <c r="E72" i="45"/>
  <c r="G72" i="45" s="1"/>
  <c r="H72" i="45" s="1"/>
  <c r="E74" i="45"/>
  <c r="G74" i="45" s="1"/>
  <c r="H74" i="45" s="1"/>
  <c r="J54" i="45"/>
  <c r="B107" i="45" s="1"/>
  <c r="I53" i="45"/>
  <c r="T35" i="6"/>
  <c r="C53" i="3"/>
  <c r="D53" i="3" s="1"/>
  <c r="C53" i="6"/>
  <c r="D53" i="6" s="1"/>
  <c r="I54" i="6"/>
  <c r="J55" i="6"/>
  <c r="I55" i="6" s="1"/>
  <c r="E83" i="8"/>
  <c r="G83" i="8" s="1"/>
  <c r="H83" i="8" s="1"/>
  <c r="E80" i="8"/>
  <c r="G80" i="8" s="1"/>
  <c r="H80" i="8" s="1"/>
  <c r="E68" i="8"/>
  <c r="G68" i="8" s="1"/>
  <c r="H68" i="8" s="1"/>
  <c r="E66" i="8"/>
  <c r="G66" i="8" s="1"/>
  <c r="H66" i="8" s="1"/>
  <c r="E74" i="8"/>
  <c r="G74" i="8" s="1"/>
  <c r="H74" i="8" s="1"/>
  <c r="E78" i="8"/>
  <c r="G78" i="8" s="1"/>
  <c r="H78" i="8" s="1"/>
  <c r="E70" i="8"/>
  <c r="G70" i="8" s="1"/>
  <c r="H70" i="8" s="1"/>
  <c r="E67" i="8"/>
  <c r="G67" i="8" s="1"/>
  <c r="H67" i="8" s="1"/>
  <c r="E79" i="8"/>
  <c r="G79" i="8" s="1"/>
  <c r="H79" i="8" s="1"/>
  <c r="E77" i="8"/>
  <c r="G77" i="8" s="1"/>
  <c r="H77" i="8" s="1"/>
  <c r="E82" i="8"/>
  <c r="G82" i="8" s="1"/>
  <c r="H82" i="8" s="1"/>
  <c r="E73" i="8"/>
  <c r="G73" i="8" s="1"/>
  <c r="H73" i="8" s="1"/>
  <c r="E69" i="8"/>
  <c r="G69" i="8" s="1"/>
  <c r="H69" i="8" s="1"/>
  <c r="E76" i="8"/>
  <c r="G76" i="8" s="1"/>
  <c r="H76" i="8" s="1"/>
  <c r="E81" i="8"/>
  <c r="G81" i="8" s="1"/>
  <c r="H81" i="8" s="1"/>
  <c r="E75" i="8"/>
  <c r="G75" i="8" s="1"/>
  <c r="H75" i="8" s="1"/>
  <c r="E71" i="8"/>
  <c r="G71" i="8" s="1"/>
  <c r="H71" i="8" s="1"/>
  <c r="E72" i="8"/>
  <c r="G72" i="8" s="1"/>
  <c r="H72" i="8" s="1"/>
  <c r="C54" i="8"/>
  <c r="G65" i="9"/>
  <c r="H65" i="9" s="1"/>
  <c r="H54" i="9"/>
  <c r="C54" i="9"/>
  <c r="D54" i="9" s="1"/>
  <c r="E12" i="70"/>
  <c r="G12" i="70" s="1"/>
  <c r="H12" i="70" s="1"/>
  <c r="K12" i="70" s="1"/>
  <c r="L12" i="70" s="1"/>
  <c r="E10" i="70"/>
  <c r="G10" i="70" s="1"/>
  <c r="H10" i="70" s="1"/>
  <c r="K10" i="70" s="1"/>
  <c r="L10" i="70" s="1"/>
  <c r="E14" i="70"/>
  <c r="G14" i="70" s="1"/>
  <c r="H14" i="70" s="1"/>
  <c r="K14" i="70" s="1"/>
  <c r="L14" i="70" s="1"/>
  <c r="E17" i="70"/>
  <c r="G17" i="70" s="1"/>
  <c r="H17" i="70" s="1"/>
  <c r="K17" i="70" s="1"/>
  <c r="L17" i="70" s="1"/>
  <c r="E15" i="70"/>
  <c r="G15" i="70" s="1"/>
  <c r="H15" i="70" s="1"/>
  <c r="K15" i="70" s="1"/>
  <c r="L15" i="70" s="1"/>
  <c r="E9" i="70"/>
  <c r="G9" i="70" s="1"/>
  <c r="H9" i="70" s="1"/>
  <c r="K9" i="70" s="1"/>
  <c r="L9" i="70" s="1"/>
  <c r="E8" i="70"/>
  <c r="G8" i="70" s="1"/>
  <c r="H8" i="70" s="1"/>
  <c r="K8" i="70" s="1"/>
  <c r="L8" i="70" s="1"/>
  <c r="E7" i="70"/>
  <c r="G7" i="70" s="1"/>
  <c r="H7" i="70" s="1"/>
  <c r="K7" i="70" s="1"/>
  <c r="L7" i="70" s="1"/>
  <c r="E6" i="70"/>
  <c r="G6" i="70" s="1"/>
  <c r="H6" i="70" s="1"/>
  <c r="K6" i="70" s="1"/>
  <c r="L6" i="70" s="1"/>
  <c r="C52" i="70"/>
  <c r="E22" i="70"/>
  <c r="G22" i="70" s="1"/>
  <c r="H22" i="70" s="1"/>
  <c r="K22" i="70" s="1"/>
  <c r="L22" i="70" s="1"/>
  <c r="E20" i="70"/>
  <c r="G20" i="70" s="1"/>
  <c r="H20" i="70" s="1"/>
  <c r="K20" i="70" s="1"/>
  <c r="L20" i="70" s="1"/>
  <c r="E18" i="70"/>
  <c r="G18" i="70" s="1"/>
  <c r="H18" i="70" s="1"/>
  <c r="K18" i="70" s="1"/>
  <c r="L18" i="70" s="1"/>
  <c r="E16" i="70"/>
  <c r="G16" i="70" s="1"/>
  <c r="H16" i="70" s="1"/>
  <c r="K16" i="70" s="1"/>
  <c r="L16" i="70" s="1"/>
  <c r="E11" i="70"/>
  <c r="G11" i="70" s="1"/>
  <c r="H11" i="70" s="1"/>
  <c r="K11" i="70" s="1"/>
  <c r="L11" i="70" s="1"/>
  <c r="E23" i="70"/>
  <c r="G23" i="70" s="1"/>
  <c r="H23" i="70" s="1"/>
  <c r="K23" i="70" s="1"/>
  <c r="L23" i="70" s="1"/>
  <c r="E19" i="70"/>
  <c r="G19" i="70" s="1"/>
  <c r="H19" i="70" s="1"/>
  <c r="K19" i="70" s="1"/>
  <c r="L19" i="70" s="1"/>
  <c r="E21" i="70"/>
  <c r="G21" i="70" s="1"/>
  <c r="H21" i="70" s="1"/>
  <c r="K21" i="70" s="1"/>
  <c r="L21" i="70" s="1"/>
  <c r="E13" i="70"/>
  <c r="G13" i="70" s="1"/>
  <c r="H13" i="70" s="1"/>
  <c r="K13" i="70" s="1"/>
  <c r="L13" i="70" s="1"/>
  <c r="I54" i="66"/>
  <c r="J55" i="66"/>
  <c r="E81" i="34" l="1"/>
  <c r="G81" i="34" s="1"/>
  <c r="H81" i="34" s="1"/>
  <c r="D53" i="21"/>
  <c r="G81" i="20"/>
  <c r="E81" i="20"/>
  <c r="D53" i="17"/>
  <c r="G104" i="7"/>
  <c r="E104" i="7"/>
  <c r="D53" i="16"/>
  <c r="AB30" i="29"/>
  <c r="U35" i="29"/>
  <c r="U35" i="49"/>
  <c r="U35" i="59"/>
  <c r="B107" i="59"/>
  <c r="J55" i="59"/>
  <c r="I55" i="59" s="1"/>
  <c r="I54" i="59"/>
  <c r="AA30" i="49"/>
  <c r="B99" i="49"/>
  <c r="I54" i="49"/>
  <c r="J55" i="49"/>
  <c r="I55" i="49" s="1"/>
  <c r="D53" i="57"/>
  <c r="J55" i="19"/>
  <c r="I55" i="19" s="1"/>
  <c r="I54" i="19"/>
  <c r="E82" i="26"/>
  <c r="G82" i="26"/>
  <c r="D53" i="49"/>
  <c r="D53" i="19"/>
  <c r="E81" i="59"/>
  <c r="G81" i="59" s="1"/>
  <c r="H81" i="59" s="1"/>
  <c r="E80" i="59"/>
  <c r="G80" i="59" s="1"/>
  <c r="H80" i="59" s="1"/>
  <c r="D53" i="59"/>
  <c r="E86" i="33"/>
  <c r="G86" i="33" s="1"/>
  <c r="H86" i="33" s="1"/>
  <c r="E85" i="33"/>
  <c r="G85" i="33" s="1"/>
  <c r="H85" i="33" s="1"/>
  <c r="H54" i="49"/>
  <c r="H55" i="49" s="1"/>
  <c r="E65" i="49"/>
  <c r="G65" i="49" s="1"/>
  <c r="H65" i="49" s="1"/>
  <c r="L16" i="37"/>
  <c r="W28" i="37"/>
  <c r="T35" i="58"/>
  <c r="AB30" i="58" s="1"/>
  <c r="AB31" i="58" s="1"/>
  <c r="S35" i="4"/>
  <c r="M5" i="4"/>
  <c r="H53" i="67"/>
  <c r="H54" i="67" s="1"/>
  <c r="H55" i="67" s="1"/>
  <c r="E5" i="67"/>
  <c r="G5" i="67" s="1"/>
  <c r="H5" i="67" s="1"/>
  <c r="K5" i="67" s="1"/>
  <c r="L5" i="67" s="1"/>
  <c r="S35" i="67" s="1"/>
  <c r="H53" i="28"/>
  <c r="E5" i="28"/>
  <c r="G5" i="28" s="1"/>
  <c r="H5" i="28" s="1"/>
  <c r="K5" i="28" s="1"/>
  <c r="L5" i="28" s="1"/>
  <c r="S35" i="28" s="1"/>
  <c r="AB30" i="28" s="1"/>
  <c r="D54" i="4"/>
  <c r="E91" i="4"/>
  <c r="G91" i="4" s="1"/>
  <c r="H91" i="4" s="1"/>
  <c r="E92" i="4"/>
  <c r="G92" i="4" s="1"/>
  <c r="H92" i="4" s="1"/>
  <c r="E93" i="4"/>
  <c r="G93" i="4" s="1"/>
  <c r="H93" i="4" s="1"/>
  <c r="E94" i="4"/>
  <c r="G94" i="4" s="1"/>
  <c r="H94" i="4" s="1"/>
  <c r="I54" i="48"/>
  <c r="J55" i="48"/>
  <c r="B101" i="48"/>
  <c r="E87" i="32"/>
  <c r="H55" i="32"/>
  <c r="AB30" i="79"/>
  <c r="AD30" i="79" s="1"/>
  <c r="AC25" i="79" s="1"/>
  <c r="U35" i="79"/>
  <c r="AB32" i="20"/>
  <c r="AC30" i="29"/>
  <c r="AD30" i="29"/>
  <c r="T33" i="34"/>
  <c r="AA30" i="34"/>
  <c r="AC30" i="34" s="1"/>
  <c r="AC25" i="34" s="1"/>
  <c r="T35" i="47"/>
  <c r="AB30" i="47" s="1"/>
  <c r="T35" i="53"/>
  <c r="AC30" i="53" s="1"/>
  <c r="U35" i="46"/>
  <c r="AA30" i="46"/>
  <c r="U35" i="27"/>
  <c r="AB30" i="27"/>
  <c r="T35" i="70"/>
  <c r="S33" i="66"/>
  <c r="AA30" i="62"/>
  <c r="AD30" i="62" s="1"/>
  <c r="U35" i="62"/>
  <c r="AA30" i="59"/>
  <c r="AD30" i="59" s="1"/>
  <c r="U35" i="57"/>
  <c r="AB30" i="57"/>
  <c r="AB30" i="53"/>
  <c r="S33" i="51"/>
  <c r="AB30" i="50"/>
  <c r="U35" i="50"/>
  <c r="T35" i="48"/>
  <c r="E65" i="46"/>
  <c r="G65" i="46" s="1"/>
  <c r="H65" i="46" s="1"/>
  <c r="H54" i="46"/>
  <c r="H55" i="46" s="1"/>
  <c r="AB30" i="44"/>
  <c r="AD30" i="44" s="1"/>
  <c r="AC25" i="44" s="1"/>
  <c r="U35" i="44"/>
  <c r="AB30" i="43"/>
  <c r="V35" i="43"/>
  <c r="AB30" i="41"/>
  <c r="AE30" i="41" s="1"/>
  <c r="AC25" i="41" s="1"/>
  <c r="U35" i="41"/>
  <c r="S34" i="39"/>
  <c r="T35" i="37"/>
  <c r="AB30" i="37"/>
  <c r="AC30" i="21"/>
  <c r="AE30" i="21" s="1"/>
  <c r="AC25" i="21" s="1"/>
  <c r="AA30" i="20"/>
  <c r="U35" i="20"/>
  <c r="AC30" i="69"/>
  <c r="AD30" i="69"/>
  <c r="T35" i="60"/>
  <c r="AD30" i="57"/>
  <c r="AC30" i="57"/>
  <c r="AC30" i="56"/>
  <c r="G90" i="5"/>
  <c r="C90" i="5" s="1"/>
  <c r="U35" i="16"/>
  <c r="AB30" i="18"/>
  <c r="AE30" i="18" s="1"/>
  <c r="AC25" i="18" s="1"/>
  <c r="U35" i="18"/>
  <c r="E71" i="24"/>
  <c r="E65" i="24"/>
  <c r="E70" i="24"/>
  <c r="E72" i="24"/>
  <c r="E66" i="24"/>
  <c r="E67" i="24"/>
  <c r="E68" i="24"/>
  <c r="E69" i="24"/>
  <c r="E66" i="55"/>
  <c r="E67" i="55"/>
  <c r="E68" i="55"/>
  <c r="E69" i="55"/>
  <c r="E70" i="55"/>
  <c r="E74" i="55"/>
  <c r="E71" i="55"/>
  <c r="E72" i="55"/>
  <c r="E73" i="55"/>
  <c r="E68" i="38"/>
  <c r="E69" i="38"/>
  <c r="E70" i="38"/>
  <c r="E71" i="38"/>
  <c r="E65" i="38"/>
  <c r="E67" i="38"/>
  <c r="E66" i="38"/>
  <c r="E67" i="13"/>
  <c r="E70" i="13"/>
  <c r="E68" i="13"/>
  <c r="E73" i="13"/>
  <c r="E69" i="13"/>
  <c r="E71" i="13"/>
  <c r="E72" i="13"/>
  <c r="E65" i="13"/>
  <c r="E66" i="13"/>
  <c r="E66" i="54"/>
  <c r="E70" i="54"/>
  <c r="E71" i="54"/>
  <c r="E65" i="54"/>
  <c r="E67" i="54"/>
  <c r="E68" i="54"/>
  <c r="E69" i="54"/>
  <c r="E66" i="14"/>
  <c r="E67" i="14"/>
  <c r="E68" i="14"/>
  <c r="E69" i="14"/>
  <c r="E70" i="14"/>
  <c r="E71" i="14"/>
  <c r="E65" i="14"/>
  <c r="E69" i="40"/>
  <c r="E70" i="40"/>
  <c r="E72" i="40"/>
  <c r="E71" i="40"/>
  <c r="E73" i="40"/>
  <c r="E65" i="40"/>
  <c r="E68" i="40"/>
  <c r="E66" i="40"/>
  <c r="E67" i="40"/>
  <c r="AC30" i="6"/>
  <c r="AD30" i="6"/>
  <c r="AD31" i="6" s="1"/>
  <c r="AC30" i="17"/>
  <c r="AD30" i="17"/>
  <c r="AD30" i="28"/>
  <c r="AC30" i="28"/>
  <c r="S33" i="10"/>
  <c r="AB31" i="30"/>
  <c r="AC24" i="12"/>
  <c r="T31" i="12"/>
  <c r="U35" i="17"/>
  <c r="AB30" i="17"/>
  <c r="AE30" i="5"/>
  <c r="AC25" i="5" s="1"/>
  <c r="AD30" i="8"/>
  <c r="AC30" i="8"/>
  <c r="AB32" i="8"/>
  <c r="AC30" i="3"/>
  <c r="AC31" i="3" s="1"/>
  <c r="AD30" i="3"/>
  <c r="AD31" i="3" s="1"/>
  <c r="U35" i="8"/>
  <c r="G84" i="3"/>
  <c r="E84" i="3"/>
  <c r="G81" i="27"/>
  <c r="E81" i="27"/>
  <c r="H81" i="27" s="1"/>
  <c r="L6" i="23"/>
  <c r="AC25" i="23" s="1"/>
  <c r="G85" i="8"/>
  <c r="E85" i="8"/>
  <c r="K5" i="26"/>
  <c r="L5" i="26" s="1"/>
  <c r="S35" i="26" s="1"/>
  <c r="D54" i="8"/>
  <c r="D53" i="56"/>
  <c r="E66" i="56"/>
  <c r="G66" i="56" s="1"/>
  <c r="H66" i="56" s="1"/>
  <c r="H53" i="60"/>
  <c r="E5" i="60"/>
  <c r="G5" i="60" s="1"/>
  <c r="H5" i="60" s="1"/>
  <c r="K5" i="60" s="1"/>
  <c r="L5" i="60" s="1"/>
  <c r="D53" i="62"/>
  <c r="E66" i="62"/>
  <c r="G66" i="62" s="1"/>
  <c r="H66" i="62" s="1"/>
  <c r="D53" i="61"/>
  <c r="E66" i="61"/>
  <c r="G66" i="61" s="1"/>
  <c r="H66" i="61" s="1"/>
  <c r="D54" i="50"/>
  <c r="E89" i="50"/>
  <c r="G89" i="50" s="1"/>
  <c r="H89" i="50" s="1"/>
  <c r="D53" i="46"/>
  <c r="E66" i="46"/>
  <c r="G66" i="46" s="1"/>
  <c r="H66" i="46" s="1"/>
  <c r="H55" i="44"/>
  <c r="E90" i="44"/>
  <c r="G90" i="44" s="1"/>
  <c r="H90" i="44" s="1"/>
  <c r="D53" i="42"/>
  <c r="G74" i="42" s="1"/>
  <c r="C74" i="42" s="1"/>
  <c r="E69" i="42"/>
  <c r="E66" i="42"/>
  <c r="E68" i="42"/>
  <c r="E70" i="42"/>
  <c r="E71" i="42"/>
  <c r="E72" i="42"/>
  <c r="E65" i="42"/>
  <c r="E67" i="42"/>
  <c r="D53" i="41"/>
  <c r="E66" i="41"/>
  <c r="G66" i="41" s="1"/>
  <c r="H66" i="41" s="1"/>
  <c r="E68" i="41"/>
  <c r="G68" i="41" s="1"/>
  <c r="H68" i="41" s="1"/>
  <c r="C53" i="38"/>
  <c r="G81" i="7"/>
  <c r="E81" i="7"/>
  <c r="H81" i="7" s="1"/>
  <c r="C55" i="7"/>
  <c r="G83" i="50"/>
  <c r="C83" i="50" s="1"/>
  <c r="D53" i="33"/>
  <c r="C54" i="33"/>
  <c r="E107" i="45"/>
  <c r="G107" i="45"/>
  <c r="E82" i="44"/>
  <c r="G82" i="44"/>
  <c r="G79" i="43"/>
  <c r="E79" i="43"/>
  <c r="E103" i="29"/>
  <c r="G103" i="29"/>
  <c r="G104" i="27"/>
  <c r="E104" i="27"/>
  <c r="G103" i="20"/>
  <c r="E103" i="20"/>
  <c r="G82" i="18"/>
  <c r="E82" i="18"/>
  <c r="G91" i="15"/>
  <c r="E91" i="15"/>
  <c r="G73" i="6"/>
  <c r="E73" i="6"/>
  <c r="J55" i="15"/>
  <c r="I55" i="15" s="1"/>
  <c r="C55" i="68"/>
  <c r="D54" i="68"/>
  <c r="C56" i="83"/>
  <c r="D55" i="83"/>
  <c r="E83" i="58"/>
  <c r="G83" i="58"/>
  <c r="J55" i="17"/>
  <c r="I55" i="17" s="1"/>
  <c r="I54" i="17"/>
  <c r="I54" i="15"/>
  <c r="J56" i="4"/>
  <c r="H54" i="66"/>
  <c r="E73" i="66"/>
  <c r="G73" i="66" s="1"/>
  <c r="H73" i="66" s="1"/>
  <c r="E72" i="66"/>
  <c r="G72" i="66" s="1"/>
  <c r="H72" i="66" s="1"/>
  <c r="E71" i="66"/>
  <c r="G71" i="66" s="1"/>
  <c r="H71" i="66" s="1"/>
  <c r="E70" i="66"/>
  <c r="G70" i="66" s="1"/>
  <c r="H70" i="66" s="1"/>
  <c r="E69" i="66"/>
  <c r="G69" i="66" s="1"/>
  <c r="H69" i="66" s="1"/>
  <c r="E68" i="66"/>
  <c r="G68" i="66" s="1"/>
  <c r="H68" i="66" s="1"/>
  <c r="E67" i="66"/>
  <c r="G67" i="66" s="1"/>
  <c r="H67" i="66" s="1"/>
  <c r="E66" i="66"/>
  <c r="G66" i="66" s="1"/>
  <c r="H66" i="66" s="1"/>
  <c r="E65" i="66"/>
  <c r="G65" i="66" s="1"/>
  <c r="H65" i="66" s="1"/>
  <c r="J55" i="70"/>
  <c r="B139" i="70" s="1"/>
  <c r="B112" i="70"/>
  <c r="H84" i="69"/>
  <c r="C84" i="69"/>
  <c r="J56" i="66"/>
  <c r="B107" i="66"/>
  <c r="H107" i="66" s="1"/>
  <c r="J55" i="60"/>
  <c r="I55" i="60" s="1"/>
  <c r="B98" i="60"/>
  <c r="J55" i="57"/>
  <c r="B115" i="57"/>
  <c r="J56" i="51"/>
  <c r="B138" i="51" s="1"/>
  <c r="H138" i="51" s="1"/>
  <c r="B119" i="51"/>
  <c r="H119" i="51" s="1"/>
  <c r="H53" i="48"/>
  <c r="E5" i="48"/>
  <c r="G5" i="48" s="1"/>
  <c r="H5" i="48" s="1"/>
  <c r="K5" i="48" s="1"/>
  <c r="L5" i="48" s="1"/>
  <c r="S35" i="48" s="1"/>
  <c r="C54" i="42"/>
  <c r="H81" i="29"/>
  <c r="C81" i="29"/>
  <c r="J55" i="28"/>
  <c r="I54" i="28"/>
  <c r="H54" i="23"/>
  <c r="G80" i="23"/>
  <c r="E80" i="23"/>
  <c r="H90" i="5"/>
  <c r="I55" i="4"/>
  <c r="B116" i="4"/>
  <c r="C55" i="4"/>
  <c r="G96" i="4"/>
  <c r="E96" i="4"/>
  <c r="J55" i="3"/>
  <c r="B136" i="3" s="1"/>
  <c r="B108" i="3"/>
  <c r="C53" i="55"/>
  <c r="D53" i="55" s="1"/>
  <c r="C53" i="54"/>
  <c r="D93" i="33"/>
  <c r="H52" i="33"/>
  <c r="C53" i="31"/>
  <c r="E5" i="25"/>
  <c r="G5" i="25" s="1"/>
  <c r="H5" i="25" s="1"/>
  <c r="K5" i="25" s="1"/>
  <c r="L5" i="25" s="1"/>
  <c r="S35" i="25" s="1"/>
  <c r="H53" i="25"/>
  <c r="G71" i="10"/>
  <c r="E71" i="10"/>
  <c r="H53" i="19"/>
  <c r="E65" i="19" s="1"/>
  <c r="G65" i="19" s="1"/>
  <c r="H65" i="19" s="1"/>
  <c r="E5" i="19"/>
  <c r="G5" i="19" s="1"/>
  <c r="H5" i="19" s="1"/>
  <c r="K5" i="19" s="1"/>
  <c r="L5" i="19" s="1"/>
  <c r="S35" i="19" s="1"/>
  <c r="U35" i="19" s="1"/>
  <c r="H78" i="4"/>
  <c r="C78" i="4"/>
  <c r="H54" i="5"/>
  <c r="H55" i="5" s="1"/>
  <c r="E65" i="5"/>
  <c r="G65" i="5" s="1"/>
  <c r="H65" i="5" s="1"/>
  <c r="H54" i="3"/>
  <c r="E65" i="3"/>
  <c r="H54" i="4"/>
  <c r="E83" i="4" s="1"/>
  <c r="G83" i="4" s="1"/>
  <c r="H83" i="4" s="1"/>
  <c r="C54" i="46"/>
  <c r="D54" i="46" s="1"/>
  <c r="C53" i="40"/>
  <c r="D53" i="40" s="1"/>
  <c r="C54" i="39"/>
  <c r="D54" i="39" s="1"/>
  <c r="C53" i="24"/>
  <c r="D53" i="24" s="1"/>
  <c r="C53" i="14"/>
  <c r="D53" i="14" s="1"/>
  <c r="C53" i="13"/>
  <c r="D53" i="13" s="1"/>
  <c r="C54" i="12"/>
  <c r="D54" i="12" s="1"/>
  <c r="C55" i="82"/>
  <c r="D55" i="82" s="1"/>
  <c r="E78" i="16"/>
  <c r="G78" i="16" s="1"/>
  <c r="H78" i="16" s="1"/>
  <c r="E79" i="16"/>
  <c r="G79" i="16" s="1"/>
  <c r="H79" i="16" s="1"/>
  <c r="E76" i="16"/>
  <c r="G76" i="16" s="1"/>
  <c r="H76" i="16" s="1"/>
  <c r="E77" i="16"/>
  <c r="G77" i="16" s="1"/>
  <c r="H77" i="16" s="1"/>
  <c r="E75" i="16"/>
  <c r="G75" i="16" s="1"/>
  <c r="H75" i="16" s="1"/>
  <c r="E72" i="46"/>
  <c r="G72" i="46" s="1"/>
  <c r="H72" i="46" s="1"/>
  <c r="E75" i="46"/>
  <c r="G75" i="46" s="1"/>
  <c r="H75" i="46" s="1"/>
  <c r="E74" i="46"/>
  <c r="G74" i="46" s="1"/>
  <c r="H74" i="46" s="1"/>
  <c r="E70" i="46"/>
  <c r="G70" i="46" s="1"/>
  <c r="H70" i="46" s="1"/>
  <c r="E73" i="46"/>
  <c r="G73" i="46" s="1"/>
  <c r="H73" i="46" s="1"/>
  <c r="E71" i="46"/>
  <c r="G71" i="46" s="1"/>
  <c r="H71" i="46" s="1"/>
  <c r="E69" i="46"/>
  <c r="G69" i="46" s="1"/>
  <c r="H69" i="46" s="1"/>
  <c r="E67" i="46"/>
  <c r="G67" i="46" s="1"/>
  <c r="H67" i="46" s="1"/>
  <c r="E68" i="46"/>
  <c r="G68" i="46" s="1"/>
  <c r="H68" i="46" s="1"/>
  <c r="H53" i="70"/>
  <c r="C53" i="48"/>
  <c r="D53" i="48" s="1"/>
  <c r="E5" i="70"/>
  <c r="G5" i="70" s="1"/>
  <c r="H5" i="70" s="1"/>
  <c r="K5" i="70" s="1"/>
  <c r="L5" i="70" s="1"/>
  <c r="S35" i="70" s="1"/>
  <c r="I54" i="70"/>
  <c r="C54" i="62"/>
  <c r="D54" i="62" s="1"/>
  <c r="E72" i="62"/>
  <c r="G72" i="62" s="1"/>
  <c r="H72" i="62" s="1"/>
  <c r="E69" i="62"/>
  <c r="G69" i="62" s="1"/>
  <c r="H69" i="62" s="1"/>
  <c r="E70" i="62"/>
  <c r="G70" i="62" s="1"/>
  <c r="H70" i="62" s="1"/>
  <c r="E73" i="62"/>
  <c r="G73" i="62" s="1"/>
  <c r="H73" i="62" s="1"/>
  <c r="E79" i="62"/>
  <c r="G79" i="62" s="1"/>
  <c r="H79" i="62" s="1"/>
  <c r="E78" i="62"/>
  <c r="G78" i="62" s="1"/>
  <c r="H78" i="62" s="1"/>
  <c r="E75" i="62"/>
  <c r="G75" i="62" s="1"/>
  <c r="H75" i="62" s="1"/>
  <c r="E74" i="62"/>
  <c r="G74" i="62" s="1"/>
  <c r="H74" i="62" s="1"/>
  <c r="E77" i="62"/>
  <c r="G77" i="62" s="1"/>
  <c r="H77" i="62" s="1"/>
  <c r="E80" i="62"/>
  <c r="G80" i="62" s="1"/>
  <c r="H80" i="62" s="1"/>
  <c r="E76" i="62"/>
  <c r="G76" i="62" s="1"/>
  <c r="H76" i="62" s="1"/>
  <c r="E68" i="62"/>
  <c r="G68" i="62" s="1"/>
  <c r="H68" i="62" s="1"/>
  <c r="E71" i="62"/>
  <c r="G71" i="62" s="1"/>
  <c r="H71" i="62" s="1"/>
  <c r="E67" i="62"/>
  <c r="G67" i="62" s="1"/>
  <c r="H67" i="62" s="1"/>
  <c r="E65" i="57"/>
  <c r="G65" i="57" s="1"/>
  <c r="H65" i="57" s="1"/>
  <c r="H54" i="57"/>
  <c r="C53" i="47"/>
  <c r="E70" i="41"/>
  <c r="G70" i="41" s="1"/>
  <c r="H70" i="41" s="1"/>
  <c r="E73" i="41"/>
  <c r="G73" i="41" s="1"/>
  <c r="H73" i="41" s="1"/>
  <c r="E71" i="41"/>
  <c r="G71" i="41" s="1"/>
  <c r="H71" i="41" s="1"/>
  <c r="E74" i="41"/>
  <c r="G74" i="41" s="1"/>
  <c r="H74" i="41" s="1"/>
  <c r="E69" i="41"/>
  <c r="G69" i="41" s="1"/>
  <c r="H69" i="41" s="1"/>
  <c r="E72" i="41"/>
  <c r="G72" i="41" s="1"/>
  <c r="H72" i="41" s="1"/>
  <c r="E67" i="41"/>
  <c r="G67" i="41" s="1"/>
  <c r="H67" i="41" s="1"/>
  <c r="C54" i="41"/>
  <c r="E6" i="24"/>
  <c r="G6" i="24" s="1"/>
  <c r="H6" i="24" s="1"/>
  <c r="K6" i="24" s="1"/>
  <c r="L6" i="24" s="1"/>
  <c r="E9" i="24"/>
  <c r="G9" i="24" s="1"/>
  <c r="H9" i="24" s="1"/>
  <c r="K9" i="24" s="1"/>
  <c r="L9" i="24" s="1"/>
  <c r="E12" i="24"/>
  <c r="G12" i="24" s="1"/>
  <c r="H12" i="24" s="1"/>
  <c r="K12" i="24" s="1"/>
  <c r="L12" i="24" s="1"/>
  <c r="E7" i="24"/>
  <c r="G7" i="24" s="1"/>
  <c r="H7" i="24" s="1"/>
  <c r="K7" i="24" s="1"/>
  <c r="L7" i="24" s="1"/>
  <c r="E10" i="24"/>
  <c r="G10" i="24" s="1"/>
  <c r="H10" i="24" s="1"/>
  <c r="K10" i="24" s="1"/>
  <c r="L10" i="24" s="1"/>
  <c r="I54" i="69"/>
  <c r="J55" i="69"/>
  <c r="I55" i="69" s="1"/>
  <c r="I54" i="61"/>
  <c r="J55" i="61"/>
  <c r="I55" i="61" s="1"/>
  <c r="E77" i="61"/>
  <c r="G77" i="61" s="1"/>
  <c r="H77" i="61" s="1"/>
  <c r="E70" i="61"/>
  <c r="G70" i="61" s="1"/>
  <c r="H70" i="61" s="1"/>
  <c r="E75" i="61"/>
  <c r="G75" i="61" s="1"/>
  <c r="H75" i="61" s="1"/>
  <c r="E76" i="61"/>
  <c r="G76" i="61" s="1"/>
  <c r="H76" i="61" s="1"/>
  <c r="E69" i="61"/>
  <c r="G69" i="61" s="1"/>
  <c r="H69" i="61" s="1"/>
  <c r="E67" i="61"/>
  <c r="G67" i="61" s="1"/>
  <c r="H67" i="61" s="1"/>
  <c r="E74" i="61"/>
  <c r="G74" i="61" s="1"/>
  <c r="H74" i="61" s="1"/>
  <c r="E71" i="61"/>
  <c r="G71" i="61" s="1"/>
  <c r="H71" i="61" s="1"/>
  <c r="E72" i="61"/>
  <c r="G72" i="61" s="1"/>
  <c r="H72" i="61" s="1"/>
  <c r="C54" i="61"/>
  <c r="E78" i="61"/>
  <c r="G78" i="61" s="1"/>
  <c r="H78" i="61" s="1"/>
  <c r="E73" i="61"/>
  <c r="G73" i="61" s="1"/>
  <c r="H73" i="61" s="1"/>
  <c r="E68" i="61"/>
  <c r="G68" i="61" s="1"/>
  <c r="H68" i="61" s="1"/>
  <c r="I54" i="57"/>
  <c r="E13" i="24"/>
  <c r="G13" i="24" s="1"/>
  <c r="H13" i="24" s="1"/>
  <c r="K13" i="24" s="1"/>
  <c r="L13" i="24" s="1"/>
  <c r="E85" i="4"/>
  <c r="G85" i="4" s="1"/>
  <c r="H85" i="4" s="1"/>
  <c r="E89" i="4"/>
  <c r="G89" i="4" s="1"/>
  <c r="H89" i="4" s="1"/>
  <c r="E90" i="4"/>
  <c r="G90" i="4" s="1"/>
  <c r="H90" i="4" s="1"/>
  <c r="E8" i="24"/>
  <c r="G8" i="24" s="1"/>
  <c r="H8" i="24" s="1"/>
  <c r="K8" i="24" s="1"/>
  <c r="L8" i="24" s="1"/>
  <c r="E11" i="24"/>
  <c r="G11" i="24" s="1"/>
  <c r="H11" i="24" s="1"/>
  <c r="K11" i="24" s="1"/>
  <c r="L11" i="24" s="1"/>
  <c r="E84" i="4"/>
  <c r="G84" i="4" s="1"/>
  <c r="H84" i="4" s="1"/>
  <c r="E86" i="4"/>
  <c r="G86" i="4" s="1"/>
  <c r="H86" i="4" s="1"/>
  <c r="E87" i="4"/>
  <c r="G87" i="4" s="1"/>
  <c r="H87" i="4" s="1"/>
  <c r="E5" i="61"/>
  <c r="G5" i="61" s="1"/>
  <c r="H5" i="61" s="1"/>
  <c r="K5" i="61" s="1"/>
  <c r="L5" i="61" s="1"/>
  <c r="S35" i="61" s="1"/>
  <c r="H53" i="61"/>
  <c r="E68" i="57"/>
  <c r="G68" i="57" s="1"/>
  <c r="H68" i="57" s="1"/>
  <c r="E76" i="57"/>
  <c r="G76" i="57" s="1"/>
  <c r="H76" i="57" s="1"/>
  <c r="C54" i="57"/>
  <c r="E83" i="57"/>
  <c r="G83" i="57" s="1"/>
  <c r="H83" i="57" s="1"/>
  <c r="E81" i="57"/>
  <c r="G81" i="57" s="1"/>
  <c r="H81" i="57" s="1"/>
  <c r="E80" i="57"/>
  <c r="G80" i="57" s="1"/>
  <c r="H80" i="57" s="1"/>
  <c r="E84" i="57"/>
  <c r="G84" i="57" s="1"/>
  <c r="H84" i="57" s="1"/>
  <c r="E85" i="57"/>
  <c r="G85" i="57" s="1"/>
  <c r="H85" i="57" s="1"/>
  <c r="E82" i="57"/>
  <c r="G82" i="57" s="1"/>
  <c r="H82" i="57" s="1"/>
  <c r="E79" i="57"/>
  <c r="G79" i="57" s="1"/>
  <c r="H79" i="57" s="1"/>
  <c r="E77" i="57"/>
  <c r="G77" i="57" s="1"/>
  <c r="H77" i="57" s="1"/>
  <c r="E74" i="57"/>
  <c r="G74" i="57" s="1"/>
  <c r="H74" i="57" s="1"/>
  <c r="E73" i="57"/>
  <c r="G73" i="57" s="1"/>
  <c r="H73" i="57" s="1"/>
  <c r="E72" i="57"/>
  <c r="G72" i="57" s="1"/>
  <c r="H72" i="57" s="1"/>
  <c r="E71" i="57"/>
  <c r="G71" i="57" s="1"/>
  <c r="H71" i="57" s="1"/>
  <c r="E70" i="57"/>
  <c r="G70" i="57" s="1"/>
  <c r="H70" i="57" s="1"/>
  <c r="E69" i="57"/>
  <c r="G69" i="57" s="1"/>
  <c r="H69" i="57" s="1"/>
  <c r="E67" i="57"/>
  <c r="G67" i="57" s="1"/>
  <c r="H67" i="57" s="1"/>
  <c r="E66" i="57"/>
  <c r="G66" i="57" s="1"/>
  <c r="H66" i="57" s="1"/>
  <c r="E78" i="57"/>
  <c r="G78" i="57" s="1"/>
  <c r="H78" i="57" s="1"/>
  <c r="E75" i="57"/>
  <c r="G75" i="57" s="1"/>
  <c r="H75" i="57" s="1"/>
  <c r="G65" i="41"/>
  <c r="H65" i="41" s="1"/>
  <c r="H54" i="41"/>
  <c r="E81" i="41" s="1"/>
  <c r="G81" i="41" s="1"/>
  <c r="H81" i="41" s="1"/>
  <c r="J55" i="41"/>
  <c r="I55" i="41" s="1"/>
  <c r="I54" i="41"/>
  <c r="E65" i="29"/>
  <c r="G65" i="29" s="1"/>
  <c r="H65" i="29" s="1"/>
  <c r="H54" i="29"/>
  <c r="E87" i="29" s="1"/>
  <c r="G87" i="29" s="1"/>
  <c r="H87" i="29" s="1"/>
  <c r="J55" i="20"/>
  <c r="B124" i="20" s="1"/>
  <c r="I54" i="20"/>
  <c r="C54" i="67"/>
  <c r="D54" i="67" s="1"/>
  <c r="H54" i="26"/>
  <c r="H55" i="26" s="1"/>
  <c r="E88" i="4"/>
  <c r="G88" i="4" s="1"/>
  <c r="H88" i="4" s="1"/>
  <c r="H5" i="3"/>
  <c r="G65" i="3"/>
  <c r="G89" i="3"/>
  <c r="G117" i="3"/>
  <c r="E79" i="59"/>
  <c r="G79" i="59" s="1"/>
  <c r="H79" i="59" s="1"/>
  <c r="E76" i="59"/>
  <c r="G76" i="59" s="1"/>
  <c r="H76" i="59" s="1"/>
  <c r="E74" i="59"/>
  <c r="G74" i="59" s="1"/>
  <c r="H74" i="59" s="1"/>
  <c r="E71" i="59"/>
  <c r="G71" i="59" s="1"/>
  <c r="H71" i="59" s="1"/>
  <c r="E77" i="59"/>
  <c r="G77" i="59" s="1"/>
  <c r="H77" i="59" s="1"/>
  <c r="E72" i="59"/>
  <c r="G72" i="59" s="1"/>
  <c r="H72" i="59" s="1"/>
  <c r="E68" i="59"/>
  <c r="G68" i="59" s="1"/>
  <c r="H68" i="59" s="1"/>
  <c r="E67" i="59"/>
  <c r="G67" i="59" s="1"/>
  <c r="H67" i="59" s="1"/>
  <c r="E70" i="59"/>
  <c r="G70" i="59" s="1"/>
  <c r="H70" i="59" s="1"/>
  <c r="E73" i="59"/>
  <c r="G73" i="59" s="1"/>
  <c r="H73" i="59" s="1"/>
  <c r="E69" i="59"/>
  <c r="G69" i="59" s="1"/>
  <c r="H69" i="59" s="1"/>
  <c r="E75" i="59"/>
  <c r="G75" i="59" s="1"/>
  <c r="H75" i="59" s="1"/>
  <c r="E78" i="59"/>
  <c r="G78" i="59" s="1"/>
  <c r="H78" i="59" s="1"/>
  <c r="E66" i="59"/>
  <c r="G66" i="59" s="1"/>
  <c r="H66" i="59" s="1"/>
  <c r="C54" i="59"/>
  <c r="I54" i="53"/>
  <c r="C53" i="53"/>
  <c r="E70" i="53" s="1"/>
  <c r="G70" i="53" s="1"/>
  <c r="H70" i="53" s="1"/>
  <c r="H54" i="53"/>
  <c r="H55" i="53" s="1"/>
  <c r="J55" i="53"/>
  <c r="I55" i="53" s="1"/>
  <c r="G65" i="53"/>
  <c r="H65" i="53" s="1"/>
  <c r="AB30" i="46"/>
  <c r="G65" i="43"/>
  <c r="H65" i="43" s="1"/>
  <c r="E80" i="34"/>
  <c r="G80" i="34" s="1"/>
  <c r="H80" i="34" s="1"/>
  <c r="E79" i="34"/>
  <c r="G79" i="34" s="1"/>
  <c r="H79" i="34" s="1"/>
  <c r="E77" i="34"/>
  <c r="G77" i="34" s="1"/>
  <c r="H77" i="34" s="1"/>
  <c r="I55" i="23"/>
  <c r="J55" i="8"/>
  <c r="I54" i="8"/>
  <c r="C54" i="49"/>
  <c r="D54" i="49" s="1"/>
  <c r="E82" i="34"/>
  <c r="G82" i="34" s="1"/>
  <c r="H82" i="34" s="1"/>
  <c r="H55" i="34"/>
  <c r="E78" i="34"/>
  <c r="G78" i="34" s="1"/>
  <c r="H78" i="34" s="1"/>
  <c r="I54" i="26"/>
  <c r="J55" i="26"/>
  <c r="I55" i="26" s="1"/>
  <c r="C54" i="15"/>
  <c r="D54" i="15" s="1"/>
  <c r="E73" i="15"/>
  <c r="G73" i="15" s="1"/>
  <c r="H73" i="15" s="1"/>
  <c r="E81" i="15"/>
  <c r="G81" i="15" s="1"/>
  <c r="H81" i="15" s="1"/>
  <c r="E89" i="15"/>
  <c r="G89" i="15" s="1"/>
  <c r="H89" i="15" s="1"/>
  <c r="E68" i="15"/>
  <c r="G68" i="15" s="1"/>
  <c r="H68" i="15" s="1"/>
  <c r="E76" i="15"/>
  <c r="G76" i="15" s="1"/>
  <c r="H76" i="15" s="1"/>
  <c r="E84" i="15"/>
  <c r="G84" i="15" s="1"/>
  <c r="H84" i="15" s="1"/>
  <c r="E85" i="15"/>
  <c r="G85" i="15" s="1"/>
  <c r="H85" i="15" s="1"/>
  <c r="E71" i="15"/>
  <c r="G71" i="15" s="1"/>
  <c r="H71" i="15" s="1"/>
  <c r="E79" i="15"/>
  <c r="G79" i="15" s="1"/>
  <c r="H79" i="15" s="1"/>
  <c r="E87" i="15"/>
  <c r="G87" i="15" s="1"/>
  <c r="H87" i="15" s="1"/>
  <c r="E66" i="15"/>
  <c r="G66" i="15" s="1"/>
  <c r="H66" i="15" s="1"/>
  <c r="E74" i="15"/>
  <c r="G74" i="15" s="1"/>
  <c r="H74" i="15" s="1"/>
  <c r="E82" i="15"/>
  <c r="G82" i="15" s="1"/>
  <c r="H82" i="15" s="1"/>
  <c r="E69" i="15"/>
  <c r="G69" i="15" s="1"/>
  <c r="H69" i="15" s="1"/>
  <c r="E77" i="15"/>
  <c r="G77" i="15" s="1"/>
  <c r="H77" i="15" s="1"/>
  <c r="E67" i="15"/>
  <c r="G67" i="15" s="1"/>
  <c r="H67" i="15" s="1"/>
  <c r="E75" i="15"/>
  <c r="G75" i="15" s="1"/>
  <c r="H75" i="15" s="1"/>
  <c r="E83" i="15"/>
  <c r="G83" i="15" s="1"/>
  <c r="H83" i="15" s="1"/>
  <c r="E72" i="15"/>
  <c r="G72" i="15" s="1"/>
  <c r="H72" i="15" s="1"/>
  <c r="E80" i="15"/>
  <c r="G80" i="15" s="1"/>
  <c r="H80" i="15" s="1"/>
  <c r="E88" i="15"/>
  <c r="G88" i="15" s="1"/>
  <c r="H88" i="15" s="1"/>
  <c r="E70" i="15"/>
  <c r="G70" i="15" s="1"/>
  <c r="H70" i="15" s="1"/>
  <c r="E78" i="15"/>
  <c r="G78" i="15" s="1"/>
  <c r="H78" i="15" s="1"/>
  <c r="E86" i="15"/>
  <c r="G86" i="15" s="1"/>
  <c r="H86" i="15" s="1"/>
  <c r="E77" i="56"/>
  <c r="G77" i="56" s="1"/>
  <c r="H77" i="56" s="1"/>
  <c r="E76" i="56"/>
  <c r="G76" i="56" s="1"/>
  <c r="H76" i="56" s="1"/>
  <c r="E74" i="56"/>
  <c r="G74" i="56" s="1"/>
  <c r="H74" i="56" s="1"/>
  <c r="E67" i="56"/>
  <c r="G67" i="56" s="1"/>
  <c r="H67" i="56" s="1"/>
  <c r="E71" i="56"/>
  <c r="G71" i="56" s="1"/>
  <c r="H71" i="56" s="1"/>
  <c r="E70" i="56"/>
  <c r="G70" i="56" s="1"/>
  <c r="H70" i="56" s="1"/>
  <c r="E69" i="56"/>
  <c r="G69" i="56" s="1"/>
  <c r="H69" i="56" s="1"/>
  <c r="E72" i="56"/>
  <c r="G72" i="56" s="1"/>
  <c r="H72" i="56" s="1"/>
  <c r="E73" i="56"/>
  <c r="G73" i="56" s="1"/>
  <c r="H73" i="56" s="1"/>
  <c r="E75" i="56"/>
  <c r="G75" i="56" s="1"/>
  <c r="H75" i="56" s="1"/>
  <c r="E68" i="56"/>
  <c r="G68" i="56" s="1"/>
  <c r="H68" i="56" s="1"/>
  <c r="C54" i="56"/>
  <c r="D54" i="56" s="1"/>
  <c r="G65" i="37"/>
  <c r="H65" i="37" s="1"/>
  <c r="H54" i="37"/>
  <c r="H55" i="37" s="1"/>
  <c r="E77" i="49"/>
  <c r="G77" i="49" s="1"/>
  <c r="H77" i="49" s="1"/>
  <c r="E73" i="49"/>
  <c r="G73" i="49" s="1"/>
  <c r="H73" i="49" s="1"/>
  <c r="E68" i="49"/>
  <c r="G68" i="49" s="1"/>
  <c r="H68" i="49" s="1"/>
  <c r="E67" i="49"/>
  <c r="G67" i="49" s="1"/>
  <c r="H67" i="49" s="1"/>
  <c r="E74" i="49"/>
  <c r="G74" i="49" s="1"/>
  <c r="H74" i="49" s="1"/>
  <c r="E70" i="49"/>
  <c r="G70" i="49" s="1"/>
  <c r="H70" i="49" s="1"/>
  <c r="E75" i="49"/>
  <c r="G75" i="49" s="1"/>
  <c r="H75" i="49" s="1"/>
  <c r="E76" i="49"/>
  <c r="G76" i="49" s="1"/>
  <c r="H76" i="49" s="1"/>
  <c r="E69" i="49"/>
  <c r="G69" i="49" s="1"/>
  <c r="H69" i="49" s="1"/>
  <c r="E71" i="49"/>
  <c r="G71" i="49" s="1"/>
  <c r="H71" i="49" s="1"/>
  <c r="E72" i="49"/>
  <c r="G72" i="49" s="1"/>
  <c r="H72" i="49" s="1"/>
  <c r="E66" i="49"/>
  <c r="G66" i="49" s="1"/>
  <c r="H66" i="49" s="1"/>
  <c r="E75" i="44"/>
  <c r="G75" i="44" s="1"/>
  <c r="H75" i="44" s="1"/>
  <c r="E76" i="44"/>
  <c r="G76" i="44" s="1"/>
  <c r="H76" i="44" s="1"/>
  <c r="E78" i="44"/>
  <c r="G78" i="44" s="1"/>
  <c r="H78" i="44" s="1"/>
  <c r="E77" i="44"/>
  <c r="G77" i="44" s="1"/>
  <c r="H77" i="44" s="1"/>
  <c r="E70" i="44"/>
  <c r="G70" i="44" s="1"/>
  <c r="H70" i="44" s="1"/>
  <c r="E69" i="44"/>
  <c r="G69" i="44" s="1"/>
  <c r="H69" i="44" s="1"/>
  <c r="E79" i="44"/>
  <c r="G79" i="44" s="1"/>
  <c r="H79" i="44" s="1"/>
  <c r="E73" i="44"/>
  <c r="G73" i="44" s="1"/>
  <c r="H73" i="44" s="1"/>
  <c r="E68" i="44"/>
  <c r="G68" i="44" s="1"/>
  <c r="H68" i="44" s="1"/>
  <c r="E67" i="44"/>
  <c r="G67" i="44" s="1"/>
  <c r="H67" i="44" s="1"/>
  <c r="E66" i="44"/>
  <c r="G66" i="44" s="1"/>
  <c r="H66" i="44" s="1"/>
  <c r="E80" i="44"/>
  <c r="G80" i="44" s="1"/>
  <c r="H80" i="44" s="1"/>
  <c r="E74" i="44"/>
  <c r="G74" i="44" s="1"/>
  <c r="H74" i="44" s="1"/>
  <c r="E71" i="44"/>
  <c r="G71" i="44" s="1"/>
  <c r="H71" i="44" s="1"/>
  <c r="E72" i="44"/>
  <c r="G72" i="44" s="1"/>
  <c r="H72" i="44" s="1"/>
  <c r="C54" i="44"/>
  <c r="D54" i="44" s="1"/>
  <c r="H54" i="43"/>
  <c r="E84" i="43" s="1"/>
  <c r="G84" i="43" s="1"/>
  <c r="H84" i="43" s="1"/>
  <c r="S34" i="42"/>
  <c r="C54" i="21"/>
  <c r="D54" i="21" s="1"/>
  <c r="E68" i="21"/>
  <c r="G68" i="21" s="1"/>
  <c r="H68" i="21" s="1"/>
  <c r="E79" i="21"/>
  <c r="G79" i="21" s="1"/>
  <c r="H79" i="21" s="1"/>
  <c r="E78" i="21"/>
  <c r="G78" i="21" s="1"/>
  <c r="H78" i="21" s="1"/>
  <c r="E80" i="21"/>
  <c r="G80" i="21" s="1"/>
  <c r="H80" i="21" s="1"/>
  <c r="E66" i="21"/>
  <c r="G66" i="21" s="1"/>
  <c r="H66" i="21" s="1"/>
  <c r="E67" i="21"/>
  <c r="G67" i="21" s="1"/>
  <c r="H67" i="21" s="1"/>
  <c r="E70" i="21"/>
  <c r="G70" i="21" s="1"/>
  <c r="H70" i="21" s="1"/>
  <c r="E73" i="21"/>
  <c r="G73" i="21" s="1"/>
  <c r="H73" i="21" s="1"/>
  <c r="E77" i="21"/>
  <c r="G77" i="21" s="1"/>
  <c r="H77" i="21" s="1"/>
  <c r="E69" i="21"/>
  <c r="G69" i="21" s="1"/>
  <c r="H69" i="21" s="1"/>
  <c r="E72" i="21"/>
  <c r="G72" i="21" s="1"/>
  <c r="H72" i="21" s="1"/>
  <c r="E71" i="21"/>
  <c r="G71" i="21" s="1"/>
  <c r="H71" i="21" s="1"/>
  <c r="E74" i="21"/>
  <c r="G74" i="21" s="1"/>
  <c r="H74" i="21" s="1"/>
  <c r="E76" i="21"/>
  <c r="G76" i="21" s="1"/>
  <c r="H76" i="21" s="1"/>
  <c r="E75" i="21"/>
  <c r="G75" i="21" s="1"/>
  <c r="H75" i="21" s="1"/>
  <c r="H54" i="20"/>
  <c r="E65" i="20"/>
  <c r="G65" i="20" s="1"/>
  <c r="H65" i="20" s="1"/>
  <c r="H54" i="18"/>
  <c r="E90" i="18" s="1"/>
  <c r="I54" i="18"/>
  <c r="J55" i="18"/>
  <c r="I55" i="18" s="1"/>
  <c r="E87" i="17"/>
  <c r="G87" i="17" s="1"/>
  <c r="H87" i="17" s="1"/>
  <c r="E88" i="17"/>
  <c r="G88" i="17" s="1"/>
  <c r="H88" i="17" s="1"/>
  <c r="E66" i="17"/>
  <c r="G66" i="17" s="1"/>
  <c r="H66" i="17" s="1"/>
  <c r="E82" i="17"/>
  <c r="G82" i="17" s="1"/>
  <c r="H82" i="17" s="1"/>
  <c r="E83" i="17"/>
  <c r="G83" i="17" s="1"/>
  <c r="H83" i="17" s="1"/>
  <c r="E78" i="17"/>
  <c r="G78" i="17" s="1"/>
  <c r="H78" i="17" s="1"/>
  <c r="E86" i="17"/>
  <c r="G86" i="17" s="1"/>
  <c r="H86" i="17" s="1"/>
  <c r="E81" i="17"/>
  <c r="G81" i="17" s="1"/>
  <c r="H81" i="17" s="1"/>
  <c r="E76" i="17"/>
  <c r="G76" i="17" s="1"/>
  <c r="H76" i="17" s="1"/>
  <c r="E69" i="17"/>
  <c r="G69" i="17" s="1"/>
  <c r="H69" i="17" s="1"/>
  <c r="E79" i="17"/>
  <c r="G79" i="17" s="1"/>
  <c r="H79" i="17" s="1"/>
  <c r="E75" i="17"/>
  <c r="G75" i="17" s="1"/>
  <c r="H75" i="17" s="1"/>
  <c r="E70" i="17"/>
  <c r="G70" i="17" s="1"/>
  <c r="H70" i="17" s="1"/>
  <c r="E68" i="17"/>
  <c r="G68" i="17" s="1"/>
  <c r="H68" i="17" s="1"/>
  <c r="E84" i="17"/>
  <c r="G84" i="17" s="1"/>
  <c r="H84" i="17" s="1"/>
  <c r="E77" i="17"/>
  <c r="G77" i="17" s="1"/>
  <c r="H77" i="17" s="1"/>
  <c r="E71" i="17"/>
  <c r="G71" i="17" s="1"/>
  <c r="H71" i="17" s="1"/>
  <c r="E73" i="17"/>
  <c r="G73" i="17" s="1"/>
  <c r="H73" i="17" s="1"/>
  <c r="E74" i="17"/>
  <c r="G74" i="17" s="1"/>
  <c r="H74" i="17" s="1"/>
  <c r="E85" i="17"/>
  <c r="G85" i="17" s="1"/>
  <c r="H85" i="17" s="1"/>
  <c r="C54" i="16"/>
  <c r="E72" i="16"/>
  <c r="G72" i="16" s="1"/>
  <c r="H72" i="16" s="1"/>
  <c r="E68" i="16"/>
  <c r="G68" i="16" s="1"/>
  <c r="H68" i="16" s="1"/>
  <c r="E71" i="16"/>
  <c r="G71" i="16" s="1"/>
  <c r="H71" i="16" s="1"/>
  <c r="G66" i="16"/>
  <c r="H66" i="16" s="1"/>
  <c r="E74" i="16"/>
  <c r="G74" i="16" s="1"/>
  <c r="H74" i="16" s="1"/>
  <c r="E69" i="16"/>
  <c r="G69" i="16" s="1"/>
  <c r="H69" i="16" s="1"/>
  <c r="I54" i="3"/>
  <c r="E11" i="40"/>
  <c r="G11" i="40" s="1"/>
  <c r="H11" i="40" s="1"/>
  <c r="K11" i="40" s="1"/>
  <c r="L11" i="40" s="1"/>
  <c r="E7" i="40"/>
  <c r="G7" i="40" s="1"/>
  <c r="H7" i="40" s="1"/>
  <c r="K7" i="40" s="1"/>
  <c r="L7" i="40" s="1"/>
  <c r="E12" i="40"/>
  <c r="G12" i="40" s="1"/>
  <c r="H12" i="40" s="1"/>
  <c r="K12" i="40" s="1"/>
  <c r="L12" i="40" s="1"/>
  <c r="E8" i="40"/>
  <c r="G8" i="40" s="1"/>
  <c r="H8" i="40" s="1"/>
  <c r="K8" i="40" s="1"/>
  <c r="L8" i="40" s="1"/>
  <c r="E14" i="40"/>
  <c r="G14" i="40" s="1"/>
  <c r="H14" i="40" s="1"/>
  <c r="K14" i="40" s="1"/>
  <c r="L14" i="40" s="1"/>
  <c r="E10" i="40"/>
  <c r="G10" i="40" s="1"/>
  <c r="H10" i="40" s="1"/>
  <c r="K10" i="40" s="1"/>
  <c r="L10" i="40" s="1"/>
  <c r="E13" i="40"/>
  <c r="G13" i="40" s="1"/>
  <c r="H13" i="40" s="1"/>
  <c r="K13" i="40" s="1"/>
  <c r="L13" i="40" s="1"/>
  <c r="E6" i="40"/>
  <c r="G6" i="40" s="1"/>
  <c r="H6" i="40" s="1"/>
  <c r="K6" i="40" s="1"/>
  <c r="L6" i="40" s="1"/>
  <c r="E9" i="40"/>
  <c r="G9" i="40" s="1"/>
  <c r="H9" i="40" s="1"/>
  <c r="K9" i="40" s="1"/>
  <c r="L9" i="40" s="1"/>
  <c r="J55" i="37"/>
  <c r="I55" i="37" s="1"/>
  <c r="J55" i="29"/>
  <c r="B126" i="29" s="1"/>
  <c r="I54" i="29"/>
  <c r="E94" i="29"/>
  <c r="G94" i="29" s="1"/>
  <c r="H94" i="29" s="1"/>
  <c r="E89" i="29"/>
  <c r="G89" i="29" s="1"/>
  <c r="H89" i="29" s="1"/>
  <c r="E92" i="29"/>
  <c r="G92" i="29" s="1"/>
  <c r="H92" i="29" s="1"/>
  <c r="E88" i="29"/>
  <c r="G88" i="29" s="1"/>
  <c r="H88" i="29" s="1"/>
  <c r="E100" i="29"/>
  <c r="G100" i="29" s="1"/>
  <c r="H100" i="29" s="1"/>
  <c r="E90" i="29"/>
  <c r="G90" i="29" s="1"/>
  <c r="H90" i="29" s="1"/>
  <c r="E97" i="29"/>
  <c r="G97" i="29" s="1"/>
  <c r="H97" i="29" s="1"/>
  <c r="E93" i="29"/>
  <c r="G93" i="29" s="1"/>
  <c r="H93" i="29" s="1"/>
  <c r="E98" i="29"/>
  <c r="G98" i="29" s="1"/>
  <c r="H98" i="29" s="1"/>
  <c r="E96" i="29"/>
  <c r="G96" i="29" s="1"/>
  <c r="H96" i="29" s="1"/>
  <c r="E95" i="29"/>
  <c r="G95" i="29" s="1"/>
  <c r="H95" i="29" s="1"/>
  <c r="E91" i="29"/>
  <c r="G91" i="29" s="1"/>
  <c r="H91" i="29" s="1"/>
  <c r="E99" i="29"/>
  <c r="G99" i="29" s="1"/>
  <c r="H99" i="29" s="1"/>
  <c r="E101" i="29"/>
  <c r="G101" i="29" s="1"/>
  <c r="H101" i="29" s="1"/>
  <c r="C54" i="28"/>
  <c r="E74" i="28"/>
  <c r="G74" i="28" s="1"/>
  <c r="H74" i="28" s="1"/>
  <c r="E78" i="28"/>
  <c r="G78" i="28" s="1"/>
  <c r="H78" i="28" s="1"/>
  <c r="E81" i="28"/>
  <c r="G81" i="28" s="1"/>
  <c r="H81" i="28" s="1"/>
  <c r="E76" i="28"/>
  <c r="G76" i="28" s="1"/>
  <c r="H76" i="28" s="1"/>
  <c r="E79" i="28"/>
  <c r="G79" i="28" s="1"/>
  <c r="H79" i="28" s="1"/>
  <c r="E82" i="28"/>
  <c r="G82" i="28" s="1"/>
  <c r="H82" i="28" s="1"/>
  <c r="E69" i="28"/>
  <c r="G69" i="28" s="1"/>
  <c r="H69" i="28" s="1"/>
  <c r="E72" i="28"/>
  <c r="G72" i="28" s="1"/>
  <c r="H72" i="28" s="1"/>
  <c r="E75" i="28"/>
  <c r="G75" i="28" s="1"/>
  <c r="H75" i="28" s="1"/>
  <c r="E71" i="28"/>
  <c r="G71" i="28" s="1"/>
  <c r="H71" i="28" s="1"/>
  <c r="E70" i="28"/>
  <c r="G70" i="28" s="1"/>
  <c r="H70" i="28" s="1"/>
  <c r="E80" i="28"/>
  <c r="G80" i="28" s="1"/>
  <c r="H80" i="28" s="1"/>
  <c r="E83" i="28"/>
  <c r="G83" i="28" s="1"/>
  <c r="H83" i="28" s="1"/>
  <c r="E68" i="28"/>
  <c r="G68" i="28" s="1"/>
  <c r="H68" i="28" s="1"/>
  <c r="E66" i="28"/>
  <c r="G66" i="28" s="1"/>
  <c r="H66" i="28" s="1"/>
  <c r="E77" i="28"/>
  <c r="G77" i="28" s="1"/>
  <c r="H77" i="28" s="1"/>
  <c r="E67" i="28"/>
  <c r="G67" i="28" s="1"/>
  <c r="H67" i="28" s="1"/>
  <c r="E73" i="28"/>
  <c r="G73" i="28" s="1"/>
  <c r="H73" i="28" s="1"/>
  <c r="J55" i="21"/>
  <c r="I55" i="21" s="1"/>
  <c r="C54" i="18"/>
  <c r="D54" i="18" s="1"/>
  <c r="E71" i="18"/>
  <c r="G71" i="18" s="1"/>
  <c r="H71" i="18" s="1"/>
  <c r="E80" i="18"/>
  <c r="G80" i="18" s="1"/>
  <c r="H80" i="18" s="1"/>
  <c r="E75" i="18"/>
  <c r="G75" i="18" s="1"/>
  <c r="H75" i="18" s="1"/>
  <c r="E76" i="18"/>
  <c r="G76" i="18" s="1"/>
  <c r="H76" i="18" s="1"/>
  <c r="E77" i="18"/>
  <c r="G77" i="18" s="1"/>
  <c r="H77" i="18" s="1"/>
  <c r="E70" i="18"/>
  <c r="G70" i="18" s="1"/>
  <c r="H70" i="18" s="1"/>
  <c r="E66" i="18"/>
  <c r="G66" i="18" s="1"/>
  <c r="H66" i="18" s="1"/>
  <c r="E74" i="18"/>
  <c r="G74" i="18" s="1"/>
  <c r="H74" i="18" s="1"/>
  <c r="E79" i="18"/>
  <c r="G79" i="18" s="1"/>
  <c r="H79" i="18" s="1"/>
  <c r="E72" i="18"/>
  <c r="G72" i="18" s="1"/>
  <c r="H72" i="18" s="1"/>
  <c r="E68" i="18"/>
  <c r="G68" i="18" s="1"/>
  <c r="H68" i="18" s="1"/>
  <c r="E73" i="18"/>
  <c r="G73" i="18" s="1"/>
  <c r="H73" i="18" s="1"/>
  <c r="E69" i="18"/>
  <c r="G69" i="18" s="1"/>
  <c r="H69" i="18" s="1"/>
  <c r="E78" i="18"/>
  <c r="G78" i="18" s="1"/>
  <c r="H78" i="18" s="1"/>
  <c r="E67" i="18"/>
  <c r="G67" i="18" s="1"/>
  <c r="H67" i="18" s="1"/>
  <c r="C54" i="17"/>
  <c r="E67" i="17"/>
  <c r="E72" i="17"/>
  <c r="G72" i="17" s="1"/>
  <c r="H72" i="17" s="1"/>
  <c r="E80" i="17"/>
  <c r="G80" i="17" s="1"/>
  <c r="H80" i="17" s="1"/>
  <c r="E73" i="16"/>
  <c r="G73" i="16" s="1"/>
  <c r="H73" i="16" s="1"/>
  <c r="E70" i="16"/>
  <c r="G70" i="16" s="1"/>
  <c r="H70" i="16" s="1"/>
  <c r="E67" i="16"/>
  <c r="G67" i="16" s="1"/>
  <c r="H67" i="16" s="1"/>
  <c r="H54" i="10"/>
  <c r="G65" i="8"/>
  <c r="H65" i="8" s="1"/>
  <c r="H54" i="8"/>
  <c r="E90" i="8" s="1"/>
  <c r="G90" i="8" s="1"/>
  <c r="H90" i="8" s="1"/>
  <c r="C55" i="25"/>
  <c r="D55" i="25" s="1"/>
  <c r="H55" i="17"/>
  <c r="J56" i="23"/>
  <c r="U35" i="5"/>
  <c r="C55" i="5"/>
  <c r="D55" i="5" s="1"/>
  <c r="H54" i="59"/>
  <c r="H54" i="62"/>
  <c r="H55" i="62" s="1"/>
  <c r="E72" i="58"/>
  <c r="G72" i="58" s="1"/>
  <c r="H72" i="58" s="1"/>
  <c r="E66" i="58"/>
  <c r="G66" i="58" s="1"/>
  <c r="H66" i="58" s="1"/>
  <c r="E67" i="58"/>
  <c r="G67" i="58" s="1"/>
  <c r="H67" i="58" s="1"/>
  <c r="E76" i="58"/>
  <c r="G76" i="58" s="1"/>
  <c r="H76" i="58" s="1"/>
  <c r="E74" i="58"/>
  <c r="G74" i="58" s="1"/>
  <c r="H74" i="58" s="1"/>
  <c r="E77" i="58"/>
  <c r="G77" i="58" s="1"/>
  <c r="H77" i="58" s="1"/>
  <c r="C54" i="58"/>
  <c r="D54" i="58" s="1"/>
  <c r="E71" i="58"/>
  <c r="G71" i="58" s="1"/>
  <c r="H71" i="58" s="1"/>
  <c r="E78" i="58"/>
  <c r="G78" i="58" s="1"/>
  <c r="H78" i="58" s="1"/>
  <c r="E70" i="58"/>
  <c r="G70" i="58" s="1"/>
  <c r="H70" i="58" s="1"/>
  <c r="E79" i="58"/>
  <c r="G79" i="58" s="1"/>
  <c r="H79" i="58" s="1"/>
  <c r="E75" i="58"/>
  <c r="G75" i="58" s="1"/>
  <c r="H75" i="58" s="1"/>
  <c r="E73" i="58"/>
  <c r="G73" i="58" s="1"/>
  <c r="H73" i="58" s="1"/>
  <c r="E68" i="58"/>
  <c r="G68" i="58" s="1"/>
  <c r="H68" i="58" s="1"/>
  <c r="E69" i="58"/>
  <c r="G69" i="58" s="1"/>
  <c r="H69" i="58" s="1"/>
  <c r="E80" i="58"/>
  <c r="G80" i="58" s="1"/>
  <c r="H80" i="58" s="1"/>
  <c r="E81" i="58"/>
  <c r="G81" i="58" s="1"/>
  <c r="H81" i="58" s="1"/>
  <c r="I54" i="56"/>
  <c r="J55" i="56"/>
  <c r="I55" i="56" s="1"/>
  <c r="D85" i="56"/>
  <c r="D65" i="56"/>
  <c r="I54" i="58"/>
  <c r="J55" i="58"/>
  <c r="I55" i="58" s="1"/>
  <c r="H52" i="58"/>
  <c r="D88" i="58"/>
  <c r="D65" i="58"/>
  <c r="H51" i="56"/>
  <c r="J54" i="47"/>
  <c r="B107" i="47" s="1"/>
  <c r="I53" i="47"/>
  <c r="H52" i="47"/>
  <c r="D89" i="47"/>
  <c r="D65" i="47"/>
  <c r="I54" i="67"/>
  <c r="J55" i="67"/>
  <c r="I55" i="67" s="1"/>
  <c r="E67" i="43"/>
  <c r="G67" i="43" s="1"/>
  <c r="H67" i="43" s="1"/>
  <c r="E70" i="43"/>
  <c r="G70" i="43" s="1"/>
  <c r="H70" i="43" s="1"/>
  <c r="E76" i="43"/>
  <c r="G76" i="43" s="1"/>
  <c r="H76" i="43" s="1"/>
  <c r="E77" i="43"/>
  <c r="G77" i="43" s="1"/>
  <c r="H77" i="43" s="1"/>
  <c r="E72" i="43"/>
  <c r="G72" i="43" s="1"/>
  <c r="H72" i="43" s="1"/>
  <c r="E69" i="43"/>
  <c r="G69" i="43" s="1"/>
  <c r="H69" i="43" s="1"/>
  <c r="E73" i="43"/>
  <c r="G73" i="43" s="1"/>
  <c r="H73" i="43" s="1"/>
  <c r="E74" i="43"/>
  <c r="G74" i="43" s="1"/>
  <c r="H74" i="43" s="1"/>
  <c r="E66" i="43"/>
  <c r="G66" i="43" s="1"/>
  <c r="H66" i="43" s="1"/>
  <c r="E68" i="43"/>
  <c r="G68" i="43" s="1"/>
  <c r="H68" i="43" s="1"/>
  <c r="E71" i="43"/>
  <c r="G71" i="43" s="1"/>
  <c r="H71" i="43" s="1"/>
  <c r="E75" i="43"/>
  <c r="G75" i="43" s="1"/>
  <c r="H75" i="43" s="1"/>
  <c r="C54" i="43"/>
  <c r="D54" i="43" s="1"/>
  <c r="C53" i="32"/>
  <c r="C55" i="29"/>
  <c r="D55" i="29" s="1"/>
  <c r="C55" i="50"/>
  <c r="E90" i="50"/>
  <c r="G90" i="50" s="1"/>
  <c r="H90" i="50" s="1"/>
  <c r="E91" i="50"/>
  <c r="G91" i="50" s="1"/>
  <c r="H91" i="50" s="1"/>
  <c r="E92" i="50"/>
  <c r="G92" i="50" s="1"/>
  <c r="H92" i="50" s="1"/>
  <c r="E93" i="50"/>
  <c r="G93" i="50" s="1"/>
  <c r="H93" i="50" s="1"/>
  <c r="E94" i="50"/>
  <c r="G94" i="50" s="1"/>
  <c r="H94" i="50" s="1"/>
  <c r="E95" i="50"/>
  <c r="G95" i="50" s="1"/>
  <c r="H95" i="50" s="1"/>
  <c r="E96" i="50"/>
  <c r="G96" i="50" s="1"/>
  <c r="H96" i="50" s="1"/>
  <c r="E97" i="50"/>
  <c r="G97" i="50" s="1"/>
  <c r="H97" i="50" s="1"/>
  <c r="E98" i="50"/>
  <c r="G98" i="50" s="1"/>
  <c r="H98" i="50" s="1"/>
  <c r="E99" i="50"/>
  <c r="G99" i="50" s="1"/>
  <c r="H99" i="50" s="1"/>
  <c r="E100" i="50"/>
  <c r="G100" i="50" s="1"/>
  <c r="H100" i="50" s="1"/>
  <c r="E101" i="50"/>
  <c r="G101" i="50" s="1"/>
  <c r="H101" i="50" s="1"/>
  <c r="E102" i="50"/>
  <c r="G102" i="50" s="1"/>
  <c r="H102" i="50" s="1"/>
  <c r="E103" i="50"/>
  <c r="G103" i="50" s="1"/>
  <c r="H103" i="50" s="1"/>
  <c r="E104" i="50"/>
  <c r="G104" i="50" s="1"/>
  <c r="H104" i="50" s="1"/>
  <c r="I54" i="33"/>
  <c r="J55" i="33"/>
  <c r="I55" i="33" s="1"/>
  <c r="D65" i="33"/>
  <c r="H51" i="33"/>
  <c r="T35" i="32"/>
  <c r="U35" i="32" s="1"/>
  <c r="H55" i="30"/>
  <c r="E76" i="33"/>
  <c r="G76" i="33" s="1"/>
  <c r="H76" i="33" s="1"/>
  <c r="E71" i="33"/>
  <c r="G71" i="33" s="1"/>
  <c r="H71" i="33" s="1"/>
  <c r="E66" i="33"/>
  <c r="G66" i="33" s="1"/>
  <c r="H66" i="33" s="1"/>
  <c r="E72" i="33"/>
  <c r="G72" i="33" s="1"/>
  <c r="H72" i="33" s="1"/>
  <c r="E82" i="33"/>
  <c r="G82" i="33" s="1"/>
  <c r="H82" i="33" s="1"/>
  <c r="E70" i="33"/>
  <c r="G70" i="33" s="1"/>
  <c r="H70" i="33" s="1"/>
  <c r="E67" i="33"/>
  <c r="G67" i="33" s="1"/>
  <c r="H67" i="33" s="1"/>
  <c r="E80" i="33"/>
  <c r="G80" i="33" s="1"/>
  <c r="H80" i="33" s="1"/>
  <c r="E79" i="33"/>
  <c r="G79" i="33" s="1"/>
  <c r="H79" i="33" s="1"/>
  <c r="E69" i="33"/>
  <c r="G69" i="33" s="1"/>
  <c r="H69" i="33" s="1"/>
  <c r="E77" i="33"/>
  <c r="G77" i="33" s="1"/>
  <c r="H77" i="33" s="1"/>
  <c r="E75" i="33"/>
  <c r="G75" i="33" s="1"/>
  <c r="H75" i="33" s="1"/>
  <c r="E74" i="33"/>
  <c r="G74" i="33" s="1"/>
  <c r="H74" i="33" s="1"/>
  <c r="E83" i="33"/>
  <c r="G83" i="33" s="1"/>
  <c r="H83" i="33" s="1"/>
  <c r="E81" i="33"/>
  <c r="G81" i="33" s="1"/>
  <c r="H81" i="33" s="1"/>
  <c r="E78" i="33"/>
  <c r="G78" i="33" s="1"/>
  <c r="H78" i="33" s="1"/>
  <c r="E68" i="33"/>
  <c r="G68" i="33" s="1"/>
  <c r="H68" i="33" s="1"/>
  <c r="E73" i="33"/>
  <c r="G73" i="33" s="1"/>
  <c r="H73" i="33" s="1"/>
  <c r="E84" i="33"/>
  <c r="G84" i="33" s="1"/>
  <c r="H84" i="33" s="1"/>
  <c r="AB30" i="33"/>
  <c r="E91" i="27"/>
  <c r="G91" i="27" s="1"/>
  <c r="H91" i="27" s="1"/>
  <c r="E96" i="27"/>
  <c r="G96" i="27" s="1"/>
  <c r="H96" i="27" s="1"/>
  <c r="E98" i="27"/>
  <c r="G98" i="27" s="1"/>
  <c r="H98" i="27" s="1"/>
  <c r="E89" i="27"/>
  <c r="G89" i="27" s="1"/>
  <c r="H89" i="27" s="1"/>
  <c r="E92" i="27"/>
  <c r="G92" i="27" s="1"/>
  <c r="H92" i="27" s="1"/>
  <c r="E94" i="27"/>
  <c r="G94" i="27" s="1"/>
  <c r="H94" i="27" s="1"/>
  <c r="E97" i="27"/>
  <c r="G97" i="27" s="1"/>
  <c r="H97" i="27" s="1"/>
  <c r="E100" i="27"/>
  <c r="G100" i="27" s="1"/>
  <c r="H100" i="27" s="1"/>
  <c r="E102" i="27"/>
  <c r="G102" i="27" s="1"/>
  <c r="H102" i="27" s="1"/>
  <c r="E90" i="27"/>
  <c r="G90" i="27" s="1"/>
  <c r="H90" i="27" s="1"/>
  <c r="E93" i="27"/>
  <c r="G93" i="27" s="1"/>
  <c r="H93" i="27" s="1"/>
  <c r="E95" i="27"/>
  <c r="G95" i="27" s="1"/>
  <c r="H95" i="27" s="1"/>
  <c r="E99" i="27"/>
  <c r="G99" i="27" s="1"/>
  <c r="H99" i="27" s="1"/>
  <c r="E101" i="27"/>
  <c r="G101" i="27" s="1"/>
  <c r="H101" i="27" s="1"/>
  <c r="C55" i="26"/>
  <c r="D55" i="26" s="1"/>
  <c r="G67" i="20"/>
  <c r="H67" i="20" s="1"/>
  <c r="C55" i="20"/>
  <c r="E94" i="20"/>
  <c r="G94" i="20" s="1"/>
  <c r="H94" i="20" s="1"/>
  <c r="C54" i="19"/>
  <c r="D54" i="19" s="1"/>
  <c r="E101" i="19" s="1"/>
  <c r="H101" i="19" s="1"/>
  <c r="E66" i="10"/>
  <c r="G66" i="10" s="1"/>
  <c r="H66" i="10" s="1"/>
  <c r="E65" i="10"/>
  <c r="C55" i="8"/>
  <c r="B113" i="8" s="1"/>
  <c r="I56" i="10"/>
  <c r="E67" i="10"/>
  <c r="G67" i="10" s="1"/>
  <c r="H67" i="10" s="1"/>
  <c r="E69" i="10"/>
  <c r="G69" i="10" s="1"/>
  <c r="H69" i="10" s="1"/>
  <c r="E68" i="10"/>
  <c r="G68" i="10" s="1"/>
  <c r="H68" i="10" s="1"/>
  <c r="I54" i="7"/>
  <c r="H52" i="7"/>
  <c r="D109" i="7"/>
  <c r="J55" i="7"/>
  <c r="B125" i="7" s="1"/>
  <c r="E92" i="7"/>
  <c r="G92" i="7" s="1"/>
  <c r="H92" i="7" s="1"/>
  <c r="E102" i="7"/>
  <c r="G102" i="7" s="1"/>
  <c r="H102" i="7" s="1"/>
  <c r="E101" i="7"/>
  <c r="G101" i="7" s="1"/>
  <c r="H101" i="7" s="1"/>
  <c r="E89" i="7"/>
  <c r="G89" i="7" s="1"/>
  <c r="H89" i="7" s="1"/>
  <c r="E96" i="7"/>
  <c r="G96" i="7" s="1"/>
  <c r="H96" i="7" s="1"/>
  <c r="E95" i="7"/>
  <c r="G95" i="7" s="1"/>
  <c r="H95" i="7" s="1"/>
  <c r="E91" i="7"/>
  <c r="G91" i="7" s="1"/>
  <c r="H91" i="7" s="1"/>
  <c r="E100" i="7"/>
  <c r="G100" i="7" s="1"/>
  <c r="H100" i="7" s="1"/>
  <c r="E99" i="7"/>
  <c r="G99" i="7" s="1"/>
  <c r="H99" i="7" s="1"/>
  <c r="E94" i="7"/>
  <c r="G94" i="7" s="1"/>
  <c r="H94" i="7" s="1"/>
  <c r="E90" i="7"/>
  <c r="G90" i="7" s="1"/>
  <c r="H90" i="7" s="1"/>
  <c r="E97" i="7"/>
  <c r="G97" i="7" s="1"/>
  <c r="H97" i="7" s="1"/>
  <c r="E98" i="7"/>
  <c r="G98" i="7" s="1"/>
  <c r="H98" i="7" s="1"/>
  <c r="E93" i="7"/>
  <c r="G93" i="7" s="1"/>
  <c r="H93" i="7" s="1"/>
  <c r="H51" i="7"/>
  <c r="H53" i="69"/>
  <c r="E65" i="69" s="1"/>
  <c r="G65" i="69" s="1"/>
  <c r="H65" i="69" s="1"/>
  <c r="E5" i="69"/>
  <c r="G5" i="69" s="1"/>
  <c r="H5" i="69" s="1"/>
  <c r="K5" i="69" s="1"/>
  <c r="L5" i="69" s="1"/>
  <c r="S35" i="69" s="1"/>
  <c r="J55" i="25"/>
  <c r="I55" i="25" s="1"/>
  <c r="I54" i="25"/>
  <c r="E98" i="45"/>
  <c r="G98" i="45" s="1"/>
  <c r="H98" i="45" s="1"/>
  <c r="E94" i="45"/>
  <c r="G94" i="45" s="1"/>
  <c r="H94" i="45" s="1"/>
  <c r="E95" i="45"/>
  <c r="G95" i="45" s="1"/>
  <c r="H95" i="45" s="1"/>
  <c r="E93" i="45"/>
  <c r="G93" i="45" s="1"/>
  <c r="H93" i="45" s="1"/>
  <c r="C55" i="45"/>
  <c r="D55" i="45" s="1"/>
  <c r="E99" i="45"/>
  <c r="G99" i="45" s="1"/>
  <c r="H99" i="45" s="1"/>
  <c r="E91" i="45"/>
  <c r="G91" i="45" s="1"/>
  <c r="H91" i="45" s="1"/>
  <c r="E96" i="45"/>
  <c r="G96" i="45" s="1"/>
  <c r="H96" i="45" s="1"/>
  <c r="E103" i="45"/>
  <c r="G103" i="45" s="1"/>
  <c r="H103" i="45" s="1"/>
  <c r="E100" i="45"/>
  <c r="G100" i="45" s="1"/>
  <c r="H100" i="45" s="1"/>
  <c r="E105" i="45"/>
  <c r="G105" i="45" s="1"/>
  <c r="H105" i="45" s="1"/>
  <c r="E92" i="45"/>
  <c r="G92" i="45" s="1"/>
  <c r="H92" i="45" s="1"/>
  <c r="E104" i="45"/>
  <c r="G104" i="45" s="1"/>
  <c r="H104" i="45" s="1"/>
  <c r="E102" i="45"/>
  <c r="G102" i="45" s="1"/>
  <c r="H102" i="45" s="1"/>
  <c r="E69" i="51"/>
  <c r="G69" i="51" s="1"/>
  <c r="H69" i="51" s="1"/>
  <c r="E67" i="51"/>
  <c r="G67" i="51" s="1"/>
  <c r="H67" i="51" s="1"/>
  <c r="E71" i="51"/>
  <c r="G71" i="51" s="1"/>
  <c r="H71" i="51" s="1"/>
  <c r="E65" i="51"/>
  <c r="G65" i="51" s="1"/>
  <c r="H65" i="51" s="1"/>
  <c r="E66" i="51"/>
  <c r="G66" i="51" s="1"/>
  <c r="H66" i="51" s="1"/>
  <c r="E70" i="51"/>
  <c r="G70" i="51" s="1"/>
  <c r="H70" i="51" s="1"/>
  <c r="E73" i="51"/>
  <c r="G73" i="51" s="1"/>
  <c r="H73" i="51" s="1"/>
  <c r="E68" i="51"/>
  <c r="G68" i="51" s="1"/>
  <c r="H68" i="51" s="1"/>
  <c r="E72" i="51"/>
  <c r="G72" i="51" s="1"/>
  <c r="H72" i="51" s="1"/>
  <c r="E75" i="51"/>
  <c r="G75" i="51" s="1"/>
  <c r="H75" i="51" s="1"/>
  <c r="E77" i="51"/>
  <c r="G77" i="51" s="1"/>
  <c r="H77" i="51" s="1"/>
  <c r="E74" i="51"/>
  <c r="G74" i="51" s="1"/>
  <c r="H74" i="51" s="1"/>
  <c r="E76" i="51"/>
  <c r="G76" i="51" s="1"/>
  <c r="H76" i="51" s="1"/>
  <c r="I55" i="51"/>
  <c r="H54" i="51"/>
  <c r="C53" i="60"/>
  <c r="E67" i="60" s="1"/>
  <c r="I54" i="60"/>
  <c r="I55" i="35"/>
  <c r="H54" i="35"/>
  <c r="E66" i="35"/>
  <c r="G66" i="35" s="1"/>
  <c r="H66" i="35" s="1"/>
  <c r="E67" i="35"/>
  <c r="G67" i="35" s="1"/>
  <c r="H67" i="35" s="1"/>
  <c r="E68" i="35"/>
  <c r="G68" i="35" s="1"/>
  <c r="H68" i="35" s="1"/>
  <c r="E69" i="35"/>
  <c r="G69" i="35" s="1"/>
  <c r="H69" i="35" s="1"/>
  <c r="E65" i="35"/>
  <c r="G65" i="35" s="1"/>
  <c r="H65" i="35" s="1"/>
  <c r="AB30" i="35"/>
  <c r="AC30" i="35" s="1"/>
  <c r="AC25" i="35" s="1"/>
  <c r="C55" i="27"/>
  <c r="E11" i="55"/>
  <c r="G11" i="55" s="1"/>
  <c r="H11" i="55" s="1"/>
  <c r="K11" i="55" s="1"/>
  <c r="L11" i="55" s="1"/>
  <c r="E8" i="55"/>
  <c r="G8" i="55" s="1"/>
  <c r="H8" i="55" s="1"/>
  <c r="K8" i="55" s="1"/>
  <c r="L8" i="55" s="1"/>
  <c r="E7" i="55"/>
  <c r="G7" i="55" s="1"/>
  <c r="H7" i="55" s="1"/>
  <c r="K7" i="55" s="1"/>
  <c r="L7" i="55" s="1"/>
  <c r="E9" i="55"/>
  <c r="G9" i="55" s="1"/>
  <c r="H9" i="55" s="1"/>
  <c r="K9" i="55" s="1"/>
  <c r="L9" i="55" s="1"/>
  <c r="E6" i="55"/>
  <c r="G6" i="55" s="1"/>
  <c r="H6" i="55" s="1"/>
  <c r="K6" i="55" s="1"/>
  <c r="L6" i="55" s="1"/>
  <c r="E10" i="55"/>
  <c r="G10" i="55" s="1"/>
  <c r="H10" i="55" s="1"/>
  <c r="K10" i="55" s="1"/>
  <c r="L10" i="55" s="1"/>
  <c r="E14" i="55"/>
  <c r="G14" i="55" s="1"/>
  <c r="H14" i="55" s="1"/>
  <c r="K14" i="55" s="1"/>
  <c r="L14" i="55" s="1"/>
  <c r="E13" i="55"/>
  <c r="G13" i="55" s="1"/>
  <c r="H13" i="55" s="1"/>
  <c r="K13" i="55" s="1"/>
  <c r="L13" i="55" s="1"/>
  <c r="E12" i="55"/>
  <c r="G12" i="55" s="1"/>
  <c r="H12" i="55" s="1"/>
  <c r="K12" i="55" s="1"/>
  <c r="L12" i="55" s="1"/>
  <c r="E12" i="54"/>
  <c r="G12" i="54" s="1"/>
  <c r="H12" i="54" s="1"/>
  <c r="K12" i="54" s="1"/>
  <c r="L12" i="54" s="1"/>
  <c r="E7" i="54"/>
  <c r="G7" i="54" s="1"/>
  <c r="H7" i="54" s="1"/>
  <c r="K7" i="54" s="1"/>
  <c r="L7" i="54" s="1"/>
  <c r="E6" i="54"/>
  <c r="G6" i="54" s="1"/>
  <c r="H6" i="54" s="1"/>
  <c r="K6" i="54" s="1"/>
  <c r="L6" i="54" s="1"/>
  <c r="E10" i="54"/>
  <c r="G10" i="54" s="1"/>
  <c r="H10" i="54" s="1"/>
  <c r="K10" i="54" s="1"/>
  <c r="L10" i="54" s="1"/>
  <c r="E11" i="54"/>
  <c r="G11" i="54" s="1"/>
  <c r="H11" i="54" s="1"/>
  <c r="K11" i="54" s="1"/>
  <c r="L11" i="54" s="1"/>
  <c r="E9" i="54"/>
  <c r="G9" i="54" s="1"/>
  <c r="H9" i="54" s="1"/>
  <c r="K9" i="54" s="1"/>
  <c r="L9" i="54" s="1"/>
  <c r="E8" i="54"/>
  <c r="G8" i="54" s="1"/>
  <c r="H8" i="54" s="1"/>
  <c r="K8" i="54" s="1"/>
  <c r="L8" i="54" s="1"/>
  <c r="G66" i="39"/>
  <c r="H66" i="39" s="1"/>
  <c r="G69" i="39"/>
  <c r="H69" i="39" s="1"/>
  <c r="G68" i="39"/>
  <c r="H68" i="39" s="1"/>
  <c r="G71" i="39"/>
  <c r="H71" i="39" s="1"/>
  <c r="G70" i="39"/>
  <c r="H70" i="39" s="1"/>
  <c r="G67" i="39"/>
  <c r="H67" i="39" s="1"/>
  <c r="E12" i="38"/>
  <c r="G12" i="38" s="1"/>
  <c r="H12" i="38" s="1"/>
  <c r="K12" i="38" s="1"/>
  <c r="L12" i="38" s="1"/>
  <c r="E11" i="38"/>
  <c r="G11" i="38" s="1"/>
  <c r="H11" i="38" s="1"/>
  <c r="K11" i="38" s="1"/>
  <c r="L11" i="38" s="1"/>
  <c r="E9" i="38"/>
  <c r="G9" i="38" s="1"/>
  <c r="H9" i="38" s="1"/>
  <c r="K9" i="38" s="1"/>
  <c r="L9" i="38" s="1"/>
  <c r="E7" i="38"/>
  <c r="G7" i="38" s="1"/>
  <c r="H7" i="38" s="1"/>
  <c r="K7" i="38" s="1"/>
  <c r="L7" i="38" s="1"/>
  <c r="E8" i="38"/>
  <c r="G8" i="38" s="1"/>
  <c r="H8" i="38" s="1"/>
  <c r="K8" i="38" s="1"/>
  <c r="L8" i="38" s="1"/>
  <c r="E10" i="38"/>
  <c r="G10" i="38" s="1"/>
  <c r="H10" i="38" s="1"/>
  <c r="K10" i="38" s="1"/>
  <c r="L10" i="38" s="1"/>
  <c r="E6" i="38"/>
  <c r="G6" i="38" s="1"/>
  <c r="H6" i="38" s="1"/>
  <c r="K6" i="38" s="1"/>
  <c r="L6" i="38" s="1"/>
  <c r="T35" i="31"/>
  <c r="AC25" i="31" s="1"/>
  <c r="E11" i="14"/>
  <c r="G11" i="14" s="1"/>
  <c r="H11" i="14" s="1"/>
  <c r="K11" i="14" s="1"/>
  <c r="L11" i="14" s="1"/>
  <c r="E10" i="14"/>
  <c r="G10" i="14" s="1"/>
  <c r="H10" i="14" s="1"/>
  <c r="K10" i="14" s="1"/>
  <c r="L10" i="14" s="1"/>
  <c r="E7" i="14"/>
  <c r="G7" i="14" s="1"/>
  <c r="H7" i="14" s="1"/>
  <c r="K7" i="14" s="1"/>
  <c r="L7" i="14" s="1"/>
  <c r="E12" i="14"/>
  <c r="G12" i="14" s="1"/>
  <c r="H12" i="14" s="1"/>
  <c r="K12" i="14" s="1"/>
  <c r="L12" i="14" s="1"/>
  <c r="E9" i="14"/>
  <c r="G9" i="14" s="1"/>
  <c r="H9" i="14" s="1"/>
  <c r="K9" i="14" s="1"/>
  <c r="L9" i="14" s="1"/>
  <c r="E8" i="14"/>
  <c r="G8" i="14" s="1"/>
  <c r="H8" i="14" s="1"/>
  <c r="K8" i="14" s="1"/>
  <c r="L8" i="14" s="1"/>
  <c r="E6" i="14"/>
  <c r="G6" i="14" s="1"/>
  <c r="H6" i="14" s="1"/>
  <c r="K6" i="14" s="1"/>
  <c r="L6" i="14" s="1"/>
  <c r="E12" i="13"/>
  <c r="G12" i="13" s="1"/>
  <c r="H12" i="13" s="1"/>
  <c r="K12" i="13" s="1"/>
  <c r="L12" i="13" s="1"/>
  <c r="E13" i="13"/>
  <c r="G13" i="13" s="1"/>
  <c r="H13" i="13" s="1"/>
  <c r="K13" i="13" s="1"/>
  <c r="L13" i="13" s="1"/>
  <c r="E11" i="13"/>
  <c r="G11" i="13" s="1"/>
  <c r="H11" i="13" s="1"/>
  <c r="K11" i="13" s="1"/>
  <c r="L11" i="13" s="1"/>
  <c r="E8" i="13"/>
  <c r="G8" i="13" s="1"/>
  <c r="H8" i="13" s="1"/>
  <c r="K8" i="13" s="1"/>
  <c r="L8" i="13" s="1"/>
  <c r="E6" i="13"/>
  <c r="G6" i="13" s="1"/>
  <c r="H6" i="13" s="1"/>
  <c r="K6" i="13" s="1"/>
  <c r="L6" i="13" s="1"/>
  <c r="E14" i="13"/>
  <c r="G14" i="13" s="1"/>
  <c r="H14" i="13" s="1"/>
  <c r="K14" i="13" s="1"/>
  <c r="L14" i="13" s="1"/>
  <c r="E10" i="13"/>
  <c r="G10" i="13" s="1"/>
  <c r="H10" i="13" s="1"/>
  <c r="K10" i="13" s="1"/>
  <c r="L10" i="13" s="1"/>
  <c r="E9" i="13"/>
  <c r="G9" i="13" s="1"/>
  <c r="H9" i="13" s="1"/>
  <c r="K9" i="13" s="1"/>
  <c r="L9" i="13" s="1"/>
  <c r="E7" i="13"/>
  <c r="G7" i="13" s="1"/>
  <c r="H7" i="13" s="1"/>
  <c r="K7" i="13" s="1"/>
  <c r="L7" i="13" s="1"/>
  <c r="G72" i="12"/>
  <c r="H72" i="12" s="1"/>
  <c r="G66" i="12"/>
  <c r="H66" i="12" s="1"/>
  <c r="G71" i="12"/>
  <c r="H71" i="12" s="1"/>
  <c r="G68" i="12"/>
  <c r="H68" i="12" s="1"/>
  <c r="G69" i="12"/>
  <c r="H69" i="12" s="1"/>
  <c r="G65" i="12"/>
  <c r="H65" i="12" s="1"/>
  <c r="G67" i="12"/>
  <c r="H67" i="12" s="1"/>
  <c r="G70" i="12"/>
  <c r="H70" i="12" s="1"/>
  <c r="C53" i="37"/>
  <c r="E71" i="23"/>
  <c r="G71" i="23" s="1"/>
  <c r="H71" i="23" s="1"/>
  <c r="E69" i="23"/>
  <c r="G69" i="23" s="1"/>
  <c r="H69" i="23" s="1"/>
  <c r="E77" i="23"/>
  <c r="G77" i="23" s="1"/>
  <c r="H77" i="23" s="1"/>
  <c r="E66" i="23"/>
  <c r="G66" i="23" s="1"/>
  <c r="H66" i="23" s="1"/>
  <c r="E74" i="23"/>
  <c r="G74" i="23" s="1"/>
  <c r="H74" i="23" s="1"/>
  <c r="E72" i="23"/>
  <c r="G72" i="23" s="1"/>
  <c r="H72" i="23" s="1"/>
  <c r="E67" i="23"/>
  <c r="G67" i="23" s="1"/>
  <c r="H67" i="23" s="1"/>
  <c r="E75" i="23"/>
  <c r="G75" i="23" s="1"/>
  <c r="H75" i="23" s="1"/>
  <c r="E65" i="23"/>
  <c r="G65" i="23" s="1"/>
  <c r="H65" i="23" s="1"/>
  <c r="E70" i="23"/>
  <c r="G70" i="23" s="1"/>
  <c r="H70" i="23" s="1"/>
  <c r="E78" i="23"/>
  <c r="G78" i="23" s="1"/>
  <c r="H78" i="23" s="1"/>
  <c r="E73" i="23"/>
  <c r="G73" i="23" s="1"/>
  <c r="H73" i="23" s="1"/>
  <c r="E68" i="23"/>
  <c r="G68" i="23" s="1"/>
  <c r="H68" i="23" s="1"/>
  <c r="E76" i="23"/>
  <c r="G76" i="23" s="1"/>
  <c r="H76" i="23" s="1"/>
  <c r="E90" i="20"/>
  <c r="G90" i="20" s="1"/>
  <c r="H90" i="20" s="1"/>
  <c r="E98" i="20"/>
  <c r="G98" i="20" s="1"/>
  <c r="H98" i="20" s="1"/>
  <c r="E93" i="20"/>
  <c r="G93" i="20" s="1"/>
  <c r="H93" i="20" s="1"/>
  <c r="E101" i="20"/>
  <c r="G101" i="20" s="1"/>
  <c r="H101" i="20" s="1"/>
  <c r="E88" i="20"/>
  <c r="G88" i="20" s="1"/>
  <c r="H88" i="20" s="1"/>
  <c r="E96" i="20"/>
  <c r="G96" i="20" s="1"/>
  <c r="H96" i="20" s="1"/>
  <c r="E89" i="20"/>
  <c r="G89" i="20" s="1"/>
  <c r="H89" i="20" s="1"/>
  <c r="E97" i="20"/>
  <c r="G97" i="20" s="1"/>
  <c r="H97" i="20" s="1"/>
  <c r="E92" i="20"/>
  <c r="G92" i="20" s="1"/>
  <c r="H92" i="20" s="1"/>
  <c r="E100" i="20"/>
  <c r="G100" i="20" s="1"/>
  <c r="H100" i="20" s="1"/>
  <c r="E95" i="20"/>
  <c r="G95" i="20" s="1"/>
  <c r="H95" i="20" s="1"/>
  <c r="E91" i="20"/>
  <c r="G91" i="20" s="1"/>
  <c r="H91" i="20" s="1"/>
  <c r="E99" i="20"/>
  <c r="G99" i="20" s="1"/>
  <c r="H99" i="20" s="1"/>
  <c r="E74" i="19"/>
  <c r="G74" i="19" s="1"/>
  <c r="H74" i="19" s="1"/>
  <c r="E70" i="19"/>
  <c r="G70" i="19" s="1"/>
  <c r="H70" i="19" s="1"/>
  <c r="E77" i="19"/>
  <c r="G77" i="19" s="1"/>
  <c r="H77" i="19" s="1"/>
  <c r="E67" i="19"/>
  <c r="G67" i="19" s="1"/>
  <c r="H67" i="19" s="1"/>
  <c r="E68" i="19"/>
  <c r="G68" i="19" s="1"/>
  <c r="H68" i="19" s="1"/>
  <c r="E75" i="19"/>
  <c r="G75" i="19" s="1"/>
  <c r="H75" i="19" s="1"/>
  <c r="E71" i="19"/>
  <c r="G71" i="19" s="1"/>
  <c r="H71" i="19" s="1"/>
  <c r="E72" i="19"/>
  <c r="G72" i="19" s="1"/>
  <c r="H72" i="19" s="1"/>
  <c r="E69" i="19"/>
  <c r="G69" i="19" s="1"/>
  <c r="H69" i="19" s="1"/>
  <c r="E76" i="19"/>
  <c r="G76" i="19" s="1"/>
  <c r="H76" i="19" s="1"/>
  <c r="E73" i="19"/>
  <c r="G73" i="19" s="1"/>
  <c r="H73" i="19" s="1"/>
  <c r="E66" i="19"/>
  <c r="G66" i="19" s="1"/>
  <c r="H66" i="19" s="1"/>
  <c r="E101" i="45"/>
  <c r="G101" i="45" s="1"/>
  <c r="H101" i="45" s="1"/>
  <c r="E97" i="45"/>
  <c r="G97" i="45" s="1"/>
  <c r="H97" i="45" s="1"/>
  <c r="I54" i="45"/>
  <c r="J55" i="45"/>
  <c r="E76" i="3"/>
  <c r="G76" i="3" s="1"/>
  <c r="H76" i="3" s="1"/>
  <c r="E82" i="3"/>
  <c r="G82" i="3" s="1"/>
  <c r="H82" i="3" s="1"/>
  <c r="E75" i="3"/>
  <c r="G75" i="3" s="1"/>
  <c r="H75" i="3" s="1"/>
  <c r="E77" i="3"/>
  <c r="G77" i="3" s="1"/>
  <c r="H77" i="3" s="1"/>
  <c r="E74" i="3"/>
  <c r="G74" i="3" s="1"/>
  <c r="H74" i="3" s="1"/>
  <c r="E73" i="3"/>
  <c r="G73" i="3" s="1"/>
  <c r="H73" i="3" s="1"/>
  <c r="E72" i="3"/>
  <c r="G72" i="3" s="1"/>
  <c r="H72" i="3" s="1"/>
  <c r="E71" i="3"/>
  <c r="G71" i="3" s="1"/>
  <c r="H71" i="3" s="1"/>
  <c r="E70" i="3"/>
  <c r="G70" i="3" s="1"/>
  <c r="H70" i="3" s="1"/>
  <c r="E69" i="3"/>
  <c r="G69" i="3" s="1"/>
  <c r="H69" i="3" s="1"/>
  <c r="E68" i="3"/>
  <c r="G68" i="3" s="1"/>
  <c r="H68" i="3" s="1"/>
  <c r="E67" i="3"/>
  <c r="G67" i="3" s="1"/>
  <c r="H67" i="3" s="1"/>
  <c r="E66" i="3"/>
  <c r="G66" i="3" s="1"/>
  <c r="H66" i="3" s="1"/>
  <c r="E81" i="3"/>
  <c r="G81" i="3" s="1"/>
  <c r="H81" i="3" s="1"/>
  <c r="E79" i="3"/>
  <c r="G79" i="3" s="1"/>
  <c r="H79" i="3" s="1"/>
  <c r="E80" i="3"/>
  <c r="G80" i="3" s="1"/>
  <c r="H80" i="3" s="1"/>
  <c r="E78" i="3"/>
  <c r="G78" i="3" s="1"/>
  <c r="H78" i="3" s="1"/>
  <c r="C54" i="3"/>
  <c r="E69" i="6"/>
  <c r="G69" i="6" s="1"/>
  <c r="H69" i="6" s="1"/>
  <c r="E70" i="6"/>
  <c r="G70" i="6" s="1"/>
  <c r="H70" i="6" s="1"/>
  <c r="E67" i="6"/>
  <c r="G67" i="6" s="1"/>
  <c r="H67" i="6" s="1"/>
  <c r="E71" i="6"/>
  <c r="G71" i="6" s="1"/>
  <c r="H71" i="6" s="1"/>
  <c r="E68" i="6"/>
  <c r="G68" i="6" s="1"/>
  <c r="H68" i="6" s="1"/>
  <c r="E66" i="6"/>
  <c r="G66" i="6" s="1"/>
  <c r="H66" i="6" s="1"/>
  <c r="C54" i="6"/>
  <c r="D54" i="6" s="1"/>
  <c r="E108" i="8"/>
  <c r="G108" i="8" s="1"/>
  <c r="H108" i="8" s="1"/>
  <c r="E107" i="8"/>
  <c r="G107" i="8" s="1"/>
  <c r="H107" i="8" s="1"/>
  <c r="E106" i="8"/>
  <c r="G106" i="8" s="1"/>
  <c r="H106" i="8" s="1"/>
  <c r="E105" i="8"/>
  <c r="G105" i="8" s="1"/>
  <c r="H105" i="8" s="1"/>
  <c r="E104" i="8"/>
  <c r="G104" i="8" s="1"/>
  <c r="H104" i="8" s="1"/>
  <c r="E103" i="8"/>
  <c r="G103" i="8" s="1"/>
  <c r="H103" i="8" s="1"/>
  <c r="E102" i="8"/>
  <c r="G102" i="8" s="1"/>
  <c r="H102" i="8" s="1"/>
  <c r="E101" i="8"/>
  <c r="G101" i="8" s="1"/>
  <c r="H101" i="8" s="1"/>
  <c r="E100" i="8"/>
  <c r="G100" i="8" s="1"/>
  <c r="H100" i="8" s="1"/>
  <c r="E99" i="8"/>
  <c r="G99" i="8" s="1"/>
  <c r="H99" i="8" s="1"/>
  <c r="E98" i="8"/>
  <c r="G98" i="8" s="1"/>
  <c r="H98" i="8" s="1"/>
  <c r="E97" i="8"/>
  <c r="G97" i="8" s="1"/>
  <c r="H97" i="8" s="1"/>
  <c r="E94" i="8"/>
  <c r="G94" i="8" s="1"/>
  <c r="H94" i="8" s="1"/>
  <c r="E92" i="8"/>
  <c r="G92" i="8" s="1"/>
  <c r="H92" i="8" s="1"/>
  <c r="E91" i="8"/>
  <c r="G91" i="8" s="1"/>
  <c r="H91" i="8" s="1"/>
  <c r="E96" i="8"/>
  <c r="G96" i="8" s="1"/>
  <c r="H96" i="8" s="1"/>
  <c r="E95" i="8"/>
  <c r="G95" i="8" s="1"/>
  <c r="H95" i="8" s="1"/>
  <c r="E93" i="8"/>
  <c r="G93" i="8" s="1"/>
  <c r="H93" i="8" s="1"/>
  <c r="H55" i="9"/>
  <c r="C55" i="9"/>
  <c r="D55" i="9" s="1"/>
  <c r="C53" i="70"/>
  <c r="I55" i="66"/>
  <c r="E82" i="69"/>
  <c r="G82" i="69" s="1"/>
  <c r="H82" i="69" s="1"/>
  <c r="E81" i="69"/>
  <c r="G81" i="69" s="1"/>
  <c r="H81" i="69" s="1"/>
  <c r="E80" i="69"/>
  <c r="G80" i="69" s="1"/>
  <c r="H80" i="69" s="1"/>
  <c r="E79" i="69"/>
  <c r="G79" i="69" s="1"/>
  <c r="H79" i="69" s="1"/>
  <c r="E78" i="69"/>
  <c r="G78" i="69" s="1"/>
  <c r="H78" i="69" s="1"/>
  <c r="E77" i="69"/>
  <c r="G77" i="69" s="1"/>
  <c r="H77" i="69" s="1"/>
  <c r="E76" i="69"/>
  <c r="G76" i="69" s="1"/>
  <c r="H76" i="69" s="1"/>
  <c r="E75" i="69"/>
  <c r="G75" i="69" s="1"/>
  <c r="H75" i="69" s="1"/>
  <c r="E74" i="69"/>
  <c r="G74" i="69" s="1"/>
  <c r="H74" i="69" s="1"/>
  <c r="E73" i="69"/>
  <c r="G73" i="69" s="1"/>
  <c r="H73" i="69" s="1"/>
  <c r="E72" i="69"/>
  <c r="G72" i="69" s="1"/>
  <c r="H72" i="69" s="1"/>
  <c r="E71" i="69"/>
  <c r="G71" i="69" s="1"/>
  <c r="E66" i="69"/>
  <c r="G66" i="69" s="1"/>
  <c r="H66" i="69" s="1"/>
  <c r="E70" i="69"/>
  <c r="G70" i="69" s="1"/>
  <c r="H70" i="69" s="1"/>
  <c r="E67" i="69"/>
  <c r="G67" i="69" s="1"/>
  <c r="H67" i="69" s="1"/>
  <c r="E69" i="69"/>
  <c r="G69" i="69" s="1"/>
  <c r="H69" i="69" s="1"/>
  <c r="E68" i="69"/>
  <c r="G68" i="69" s="1"/>
  <c r="H68" i="69" s="1"/>
  <c r="C54" i="69"/>
  <c r="D54" i="69" s="1"/>
  <c r="G82" i="21" l="1"/>
  <c r="E82" i="21"/>
  <c r="D53" i="31"/>
  <c r="B86" i="31" s="1"/>
  <c r="C104" i="7"/>
  <c r="G90" i="17"/>
  <c r="E90" i="17"/>
  <c r="B62" i="34"/>
  <c r="B74" i="34"/>
  <c r="B88" i="34"/>
  <c r="H81" i="20"/>
  <c r="C81" i="20"/>
  <c r="D54" i="61"/>
  <c r="D54" i="42"/>
  <c r="G88" i="42" s="1"/>
  <c r="C88" i="42" s="1"/>
  <c r="D54" i="41"/>
  <c r="D53" i="32"/>
  <c r="G82" i="32" s="1"/>
  <c r="D55" i="20"/>
  <c r="B62" i="20"/>
  <c r="B105" i="20"/>
  <c r="B84" i="20"/>
  <c r="D54" i="17"/>
  <c r="D54" i="16"/>
  <c r="E81" i="16"/>
  <c r="G81" i="16"/>
  <c r="D54" i="3"/>
  <c r="E90" i="3"/>
  <c r="G90" i="3" s="1"/>
  <c r="H90" i="3" s="1"/>
  <c r="D53" i="70"/>
  <c r="E84" i="70"/>
  <c r="G84" i="70" s="1"/>
  <c r="H84" i="70" s="1"/>
  <c r="AC30" i="49"/>
  <c r="AB30" i="49"/>
  <c r="E87" i="57"/>
  <c r="G87" i="57"/>
  <c r="B142" i="57"/>
  <c r="J56" i="57"/>
  <c r="D54" i="57"/>
  <c r="G79" i="49"/>
  <c r="E79" i="49"/>
  <c r="G83" i="59"/>
  <c r="E83" i="59"/>
  <c r="C82" i="26"/>
  <c r="H82" i="26"/>
  <c r="G79" i="19"/>
  <c r="E79" i="19"/>
  <c r="D54" i="59"/>
  <c r="E104" i="59"/>
  <c r="G104" i="59" s="1"/>
  <c r="H104" i="59" s="1"/>
  <c r="E105" i="59"/>
  <c r="G105" i="59" s="1"/>
  <c r="H105" i="59" s="1"/>
  <c r="E85" i="49"/>
  <c r="G85" i="49" s="1"/>
  <c r="H85" i="49" s="1"/>
  <c r="D54" i="33"/>
  <c r="E114" i="33"/>
  <c r="G114" i="33" s="1"/>
  <c r="H114" i="33" s="1"/>
  <c r="E113" i="33"/>
  <c r="G113" i="33" s="1"/>
  <c r="H113" i="33" s="1"/>
  <c r="D54" i="28"/>
  <c r="E112" i="28"/>
  <c r="G112" i="28" s="1"/>
  <c r="H112" i="28" s="1"/>
  <c r="E111" i="28"/>
  <c r="G111" i="28" s="1"/>
  <c r="H111" i="28" s="1"/>
  <c r="E75" i="37"/>
  <c r="G75" i="37" s="1"/>
  <c r="H75" i="37" s="1"/>
  <c r="E74" i="37"/>
  <c r="G74" i="37" s="1"/>
  <c r="H74" i="37" s="1"/>
  <c r="E76" i="37"/>
  <c r="G76" i="37" s="1"/>
  <c r="H76" i="37" s="1"/>
  <c r="E72" i="37"/>
  <c r="G72" i="37" s="1"/>
  <c r="H72" i="37" s="1"/>
  <c r="E71" i="37"/>
  <c r="G71" i="37" s="1"/>
  <c r="H71" i="37" s="1"/>
  <c r="AF30" i="17"/>
  <c r="AC25" i="17" s="1"/>
  <c r="D53" i="37"/>
  <c r="U35" i="4"/>
  <c r="AA30" i="4"/>
  <c r="AE30" i="4" s="1"/>
  <c r="AC25" i="4" s="1"/>
  <c r="U35" i="67"/>
  <c r="AA30" i="67"/>
  <c r="AE30" i="67" s="1"/>
  <c r="AC25" i="67" s="1"/>
  <c r="H54" i="28"/>
  <c r="E65" i="28"/>
  <c r="G65" i="28" s="1"/>
  <c r="H65" i="28" s="1"/>
  <c r="B120" i="48"/>
  <c r="I55" i="48"/>
  <c r="D55" i="4"/>
  <c r="E111" i="4"/>
  <c r="G111" i="4" s="1"/>
  <c r="H111" i="4" s="1"/>
  <c r="E112" i="4"/>
  <c r="G112" i="4" s="1"/>
  <c r="H112" i="4" s="1"/>
  <c r="E113" i="4"/>
  <c r="G113" i="4" s="1"/>
  <c r="H113" i="4" s="1"/>
  <c r="E114" i="4"/>
  <c r="G114" i="4" s="1"/>
  <c r="H114" i="4" s="1"/>
  <c r="AF30" i="53"/>
  <c r="U35" i="53"/>
  <c r="AF30" i="29"/>
  <c r="AC25" i="29" s="1"/>
  <c r="AF30" i="57"/>
  <c r="AC25" i="57" s="1"/>
  <c r="AA30" i="51"/>
  <c r="AC30" i="51" s="1"/>
  <c r="AC25" i="51" s="1"/>
  <c r="T33" i="51"/>
  <c r="AD30" i="46"/>
  <c r="AC25" i="46" s="1"/>
  <c r="S33" i="40"/>
  <c r="AC25" i="40" s="1"/>
  <c r="AB30" i="48"/>
  <c r="AC30" i="48"/>
  <c r="AC25" i="39"/>
  <c r="T34" i="39"/>
  <c r="AC30" i="37"/>
  <c r="AF30" i="37" s="1"/>
  <c r="AC25" i="37" s="1"/>
  <c r="U35" i="37"/>
  <c r="S34" i="55"/>
  <c r="AC30" i="70"/>
  <c r="AD30" i="70"/>
  <c r="AB30" i="70"/>
  <c r="U35" i="70"/>
  <c r="U35" i="69"/>
  <c r="AB30" i="69"/>
  <c r="AF30" i="69" s="1"/>
  <c r="AC25" i="69" s="1"/>
  <c r="AA30" i="66"/>
  <c r="AC30" i="66" s="1"/>
  <c r="AC25" i="66" s="1"/>
  <c r="T33" i="66"/>
  <c r="U35" i="61"/>
  <c r="AB30" i="61"/>
  <c r="AE30" i="61" s="1"/>
  <c r="AC25" i="61" s="1"/>
  <c r="S34" i="54"/>
  <c r="AA30" i="48"/>
  <c r="U35" i="48"/>
  <c r="S34" i="38"/>
  <c r="C81" i="27"/>
  <c r="AB30" i="26"/>
  <c r="AE30" i="26" s="1"/>
  <c r="AC25" i="26" s="1"/>
  <c r="U35" i="26"/>
  <c r="AB30" i="25"/>
  <c r="AE30" i="25" s="1"/>
  <c r="AC25" i="25" s="1"/>
  <c r="U35" i="25"/>
  <c r="S31" i="24"/>
  <c r="AE30" i="20"/>
  <c r="AC25" i="20" s="1"/>
  <c r="AA31" i="20"/>
  <c r="AC30" i="60"/>
  <c r="S35" i="60"/>
  <c r="AA30" i="19"/>
  <c r="AD30" i="19" s="1"/>
  <c r="AC25" i="19" s="1"/>
  <c r="AA30" i="10"/>
  <c r="AC30" i="10" s="1"/>
  <c r="T33" i="10"/>
  <c r="S31" i="14"/>
  <c r="AD32" i="8"/>
  <c r="AF30" i="8"/>
  <c r="AC25" i="8" s="1"/>
  <c r="S31" i="13"/>
  <c r="AC32" i="3"/>
  <c r="AC32" i="8"/>
  <c r="B112" i="8"/>
  <c r="H89" i="3"/>
  <c r="K5" i="3"/>
  <c r="L5" i="3" s="1"/>
  <c r="S35" i="3" s="1"/>
  <c r="U35" i="3" s="1"/>
  <c r="G87" i="28"/>
  <c r="E87" i="28"/>
  <c r="I55" i="28"/>
  <c r="B142" i="28"/>
  <c r="C85" i="8"/>
  <c r="H85" i="8"/>
  <c r="G110" i="8"/>
  <c r="E110" i="8"/>
  <c r="I55" i="8"/>
  <c r="B135" i="8"/>
  <c r="E120" i="8"/>
  <c r="G120" i="8" s="1"/>
  <c r="H120" i="8" s="1"/>
  <c r="E124" i="8"/>
  <c r="G124" i="8" s="1"/>
  <c r="H124" i="8" s="1"/>
  <c r="E126" i="8"/>
  <c r="G126" i="8" s="1"/>
  <c r="H126" i="8" s="1"/>
  <c r="E129" i="8"/>
  <c r="G129" i="8" s="1"/>
  <c r="H129" i="8" s="1"/>
  <c r="E132" i="8"/>
  <c r="G132" i="8" s="1"/>
  <c r="H132" i="8" s="1"/>
  <c r="E128" i="8"/>
  <c r="G128" i="8" s="1"/>
  <c r="H128" i="8" s="1"/>
  <c r="E131" i="8"/>
  <c r="G131" i="8" s="1"/>
  <c r="H131" i="8" s="1"/>
  <c r="E116" i="8"/>
  <c r="G116" i="8" s="1"/>
  <c r="H116" i="8" s="1"/>
  <c r="E117" i="8"/>
  <c r="G117" i="8" s="1"/>
  <c r="H117" i="8" s="1"/>
  <c r="E118" i="8"/>
  <c r="G118" i="8" s="1"/>
  <c r="H118" i="8" s="1"/>
  <c r="E119" i="8"/>
  <c r="G119" i="8" s="1"/>
  <c r="H119" i="8" s="1"/>
  <c r="E121" i="8"/>
  <c r="G121" i="8" s="1"/>
  <c r="H121" i="8" s="1"/>
  <c r="E122" i="8"/>
  <c r="G122" i="8" s="1"/>
  <c r="H122" i="8" s="1"/>
  <c r="E123" i="8"/>
  <c r="G123" i="8" s="1"/>
  <c r="H123" i="8" s="1"/>
  <c r="E125" i="8"/>
  <c r="G125" i="8" s="1"/>
  <c r="H125" i="8" s="1"/>
  <c r="E127" i="8"/>
  <c r="G127" i="8" s="1"/>
  <c r="H127" i="8" s="1"/>
  <c r="E130" i="8"/>
  <c r="G130" i="8" s="1"/>
  <c r="H130" i="8" s="1"/>
  <c r="E133" i="8"/>
  <c r="G133" i="8" s="1"/>
  <c r="H133" i="8" s="1"/>
  <c r="E80" i="61"/>
  <c r="G80" i="61"/>
  <c r="E79" i="56"/>
  <c r="H79" i="56" s="1"/>
  <c r="G79" i="56"/>
  <c r="G106" i="50"/>
  <c r="E106" i="50"/>
  <c r="E77" i="46"/>
  <c r="H77" i="46" s="1"/>
  <c r="G77" i="46"/>
  <c r="G76" i="41"/>
  <c r="E76" i="41"/>
  <c r="C84" i="3"/>
  <c r="E65" i="60"/>
  <c r="G65" i="60" s="1"/>
  <c r="H65" i="60" s="1"/>
  <c r="H54" i="60"/>
  <c r="E82" i="62"/>
  <c r="G82" i="62"/>
  <c r="D55" i="68"/>
  <c r="H54" i="61"/>
  <c r="H55" i="61" s="1"/>
  <c r="E65" i="61"/>
  <c r="G65" i="61" s="1"/>
  <c r="H65" i="61" s="1"/>
  <c r="D53" i="54"/>
  <c r="G65" i="54"/>
  <c r="H65" i="54" s="1"/>
  <c r="D53" i="53"/>
  <c r="E66" i="53"/>
  <c r="B110" i="50"/>
  <c r="E113" i="50"/>
  <c r="G113" i="50" s="1"/>
  <c r="H113" i="50" s="1"/>
  <c r="D53" i="47"/>
  <c r="E66" i="47"/>
  <c r="G66" i="47" s="1"/>
  <c r="H66" i="47" s="1"/>
  <c r="E80" i="42"/>
  <c r="E81" i="42"/>
  <c r="E82" i="42"/>
  <c r="E83" i="42"/>
  <c r="E84" i="42"/>
  <c r="E85" i="42"/>
  <c r="E86" i="42"/>
  <c r="E79" i="42"/>
  <c r="E67" i="31"/>
  <c r="G67" i="31" s="1"/>
  <c r="H67" i="31" s="1"/>
  <c r="E70" i="31"/>
  <c r="G70" i="31" s="1"/>
  <c r="H70" i="31" s="1"/>
  <c r="E74" i="31"/>
  <c r="G74" i="31" s="1"/>
  <c r="H74" i="31" s="1"/>
  <c r="E77" i="31"/>
  <c r="G77" i="31" s="1"/>
  <c r="H77" i="31" s="1"/>
  <c r="E83" i="31"/>
  <c r="G83" i="31" s="1"/>
  <c r="H83" i="31" s="1"/>
  <c r="E84" i="31"/>
  <c r="G84" i="31" s="1"/>
  <c r="H84" i="31" s="1"/>
  <c r="E69" i="31"/>
  <c r="G69" i="31" s="1"/>
  <c r="H69" i="31" s="1"/>
  <c r="E75" i="31"/>
  <c r="G75" i="31" s="1"/>
  <c r="H75" i="31" s="1"/>
  <c r="E79" i="31"/>
  <c r="G79" i="31" s="1"/>
  <c r="H79" i="31" s="1"/>
  <c r="E66" i="31"/>
  <c r="G66" i="31" s="1"/>
  <c r="H66" i="31" s="1"/>
  <c r="E72" i="31"/>
  <c r="G72" i="31" s="1"/>
  <c r="H72" i="31" s="1"/>
  <c r="E76" i="31"/>
  <c r="G76" i="31" s="1"/>
  <c r="H76" i="31" s="1"/>
  <c r="E80" i="31"/>
  <c r="G80" i="31" s="1"/>
  <c r="H80" i="31" s="1"/>
  <c r="E82" i="31"/>
  <c r="G82" i="31" s="1"/>
  <c r="H82" i="31" s="1"/>
  <c r="E68" i="31"/>
  <c r="G68" i="31" s="1"/>
  <c r="H68" i="31" s="1"/>
  <c r="E71" i="31"/>
  <c r="G71" i="31" s="1"/>
  <c r="H71" i="31" s="1"/>
  <c r="E73" i="31"/>
  <c r="G73" i="31" s="1"/>
  <c r="H73" i="31" s="1"/>
  <c r="E78" i="31"/>
  <c r="G78" i="31" s="1"/>
  <c r="H78" i="31" s="1"/>
  <c r="E81" i="31"/>
  <c r="G81" i="31" s="1"/>
  <c r="H81" i="31" s="1"/>
  <c r="D53" i="38"/>
  <c r="C54" i="38"/>
  <c r="C81" i="7"/>
  <c r="J56" i="7"/>
  <c r="D55" i="7"/>
  <c r="C56" i="7"/>
  <c r="B86" i="7" s="1"/>
  <c r="H83" i="50"/>
  <c r="G88" i="33"/>
  <c r="E88" i="33"/>
  <c r="H88" i="33" s="1"/>
  <c r="E106" i="4"/>
  <c r="G106" i="4" s="1"/>
  <c r="H106" i="4" s="1"/>
  <c r="E105" i="4"/>
  <c r="G105" i="4" s="1"/>
  <c r="H105" i="4" s="1"/>
  <c r="B109" i="50"/>
  <c r="D55" i="50"/>
  <c r="E120" i="50"/>
  <c r="G120" i="50" s="1"/>
  <c r="H120" i="50" s="1"/>
  <c r="E128" i="50"/>
  <c r="G128" i="50" s="1"/>
  <c r="H128" i="50" s="1"/>
  <c r="E121" i="50"/>
  <c r="G121" i="50" s="1"/>
  <c r="H121" i="50" s="1"/>
  <c r="E114" i="50"/>
  <c r="G114" i="50" s="1"/>
  <c r="H114" i="50" s="1"/>
  <c r="E122" i="50"/>
  <c r="G122" i="50" s="1"/>
  <c r="H122" i="50" s="1"/>
  <c r="E115" i="50"/>
  <c r="G115" i="50" s="1"/>
  <c r="H115" i="50" s="1"/>
  <c r="E123" i="50"/>
  <c r="G123" i="50" s="1"/>
  <c r="H123" i="50" s="1"/>
  <c r="E116" i="50"/>
  <c r="G116" i="50" s="1"/>
  <c r="H116" i="50" s="1"/>
  <c r="E124" i="50"/>
  <c r="G124" i="50" s="1"/>
  <c r="H124" i="50" s="1"/>
  <c r="E125" i="50"/>
  <c r="G125" i="50" s="1"/>
  <c r="H125" i="50" s="1"/>
  <c r="E117" i="50"/>
  <c r="G117" i="50" s="1"/>
  <c r="H117" i="50" s="1"/>
  <c r="E118" i="50"/>
  <c r="G118" i="50" s="1"/>
  <c r="H118" i="50" s="1"/>
  <c r="E126" i="50"/>
  <c r="G126" i="50" s="1"/>
  <c r="H126" i="50" s="1"/>
  <c r="E119" i="50"/>
  <c r="G119" i="50" s="1"/>
  <c r="H119" i="50" s="1"/>
  <c r="E127" i="50"/>
  <c r="G127" i="50" s="1"/>
  <c r="H127" i="50" s="1"/>
  <c r="H117" i="3"/>
  <c r="E110" i="4"/>
  <c r="G110" i="4" s="1"/>
  <c r="H110" i="4" s="1"/>
  <c r="C56" i="4"/>
  <c r="G99" i="49"/>
  <c r="E99" i="49"/>
  <c r="G79" i="48"/>
  <c r="E79" i="48"/>
  <c r="H107" i="45"/>
  <c r="C107" i="45"/>
  <c r="G129" i="45"/>
  <c r="E129" i="45"/>
  <c r="I55" i="45"/>
  <c r="B129" i="45"/>
  <c r="E107" i="44"/>
  <c r="G107" i="44"/>
  <c r="E98" i="43"/>
  <c r="G98" i="43"/>
  <c r="G126" i="29"/>
  <c r="E126" i="29"/>
  <c r="E112" i="7"/>
  <c r="G112" i="7" s="1"/>
  <c r="H112" i="7" s="1"/>
  <c r="G107" i="18"/>
  <c r="E107" i="18"/>
  <c r="G101" i="19"/>
  <c r="G123" i="15"/>
  <c r="E123" i="15"/>
  <c r="E123" i="7"/>
  <c r="G123" i="7" s="1"/>
  <c r="H123" i="7" s="1"/>
  <c r="G86" i="6"/>
  <c r="E86" i="6"/>
  <c r="E107" i="4"/>
  <c r="G107" i="4" s="1"/>
  <c r="H107" i="4" s="1"/>
  <c r="E108" i="4"/>
  <c r="G108" i="4" s="1"/>
  <c r="H108" i="4" s="1"/>
  <c r="E109" i="4"/>
  <c r="G109" i="4" s="1"/>
  <c r="H109" i="4" s="1"/>
  <c r="E104" i="4"/>
  <c r="G104" i="4" s="1"/>
  <c r="H104" i="4" s="1"/>
  <c r="D56" i="83"/>
  <c r="E120" i="7"/>
  <c r="G120" i="7" s="1"/>
  <c r="H120" i="7" s="1"/>
  <c r="I55" i="70"/>
  <c r="G108" i="69"/>
  <c r="E108" i="69"/>
  <c r="D53" i="60"/>
  <c r="C54" i="60"/>
  <c r="E106" i="58"/>
  <c r="G106" i="58"/>
  <c r="I55" i="57"/>
  <c r="E99" i="56"/>
  <c r="G99" i="56"/>
  <c r="H54" i="48"/>
  <c r="E65" i="48"/>
  <c r="G65" i="48" s="1"/>
  <c r="H65" i="48" s="1"/>
  <c r="B86" i="27"/>
  <c r="D55" i="27"/>
  <c r="E85" i="23"/>
  <c r="G85" i="23" s="1"/>
  <c r="H85" i="23" s="1"/>
  <c r="H55" i="23"/>
  <c r="E98" i="23"/>
  <c r="G98" i="23" s="1"/>
  <c r="H98" i="23" s="1"/>
  <c r="E90" i="23"/>
  <c r="G90" i="23" s="1"/>
  <c r="H90" i="23" s="1"/>
  <c r="E92" i="23"/>
  <c r="G92" i="23" s="1"/>
  <c r="H92" i="23" s="1"/>
  <c r="E95" i="23"/>
  <c r="G95" i="23" s="1"/>
  <c r="H95" i="23" s="1"/>
  <c r="E87" i="23"/>
  <c r="G87" i="23" s="1"/>
  <c r="H87" i="23" s="1"/>
  <c r="E97" i="23"/>
  <c r="G97" i="23" s="1"/>
  <c r="H97" i="23" s="1"/>
  <c r="E89" i="23"/>
  <c r="G89" i="23" s="1"/>
  <c r="H89" i="23" s="1"/>
  <c r="E94" i="23"/>
  <c r="G94" i="23" s="1"/>
  <c r="H94" i="23" s="1"/>
  <c r="E86" i="23"/>
  <c r="G86" i="23" s="1"/>
  <c r="H86" i="23" s="1"/>
  <c r="E96" i="23"/>
  <c r="G96" i="23" s="1"/>
  <c r="H96" i="23" s="1"/>
  <c r="E91" i="23"/>
  <c r="G91" i="23" s="1"/>
  <c r="H91" i="23" s="1"/>
  <c r="E88" i="23"/>
  <c r="G88" i="23" s="1"/>
  <c r="H88" i="23" s="1"/>
  <c r="E93" i="23"/>
  <c r="G93" i="23" s="1"/>
  <c r="H93" i="23" s="1"/>
  <c r="B87" i="8"/>
  <c r="D55" i="8"/>
  <c r="E117" i="7"/>
  <c r="G117" i="7" s="1"/>
  <c r="H117" i="7" s="1"/>
  <c r="I56" i="4"/>
  <c r="B135" i="4"/>
  <c r="H55" i="66"/>
  <c r="E83" i="66"/>
  <c r="G83" i="66" s="1"/>
  <c r="H83" i="66" s="1"/>
  <c r="E87" i="66"/>
  <c r="G87" i="66" s="1"/>
  <c r="H87" i="66" s="1"/>
  <c r="E86" i="66"/>
  <c r="G86" i="66" s="1"/>
  <c r="H86" i="66" s="1"/>
  <c r="E85" i="66"/>
  <c r="G85" i="66" s="1"/>
  <c r="H85" i="66" s="1"/>
  <c r="E84" i="66"/>
  <c r="G84" i="66" s="1"/>
  <c r="H84" i="66" s="1"/>
  <c r="E81" i="66"/>
  <c r="G81" i="66" s="1"/>
  <c r="H81" i="66" s="1"/>
  <c r="E82" i="66"/>
  <c r="G82" i="66" s="1"/>
  <c r="H82" i="66" s="1"/>
  <c r="E80" i="66"/>
  <c r="G80" i="66" s="1"/>
  <c r="H80" i="66" s="1"/>
  <c r="E88" i="66"/>
  <c r="G88" i="66" s="1"/>
  <c r="H88" i="66" s="1"/>
  <c r="I56" i="66"/>
  <c r="B123" i="66"/>
  <c r="H123" i="66" s="1"/>
  <c r="J57" i="66"/>
  <c r="J58" i="66" s="1"/>
  <c r="H83" i="58"/>
  <c r="C83" i="58"/>
  <c r="I56" i="51"/>
  <c r="H82" i="44"/>
  <c r="C82" i="44"/>
  <c r="H79" i="43"/>
  <c r="C79" i="43"/>
  <c r="C55" i="42"/>
  <c r="H103" i="29"/>
  <c r="C103" i="29"/>
  <c r="E116" i="29"/>
  <c r="G116" i="29" s="1"/>
  <c r="H116" i="29" s="1"/>
  <c r="E105" i="28"/>
  <c r="G105" i="28" s="1"/>
  <c r="H105" i="28" s="1"/>
  <c r="H104" i="27"/>
  <c r="C104" i="27"/>
  <c r="H54" i="25"/>
  <c r="G100" i="23"/>
  <c r="E100" i="23"/>
  <c r="H80" i="23"/>
  <c r="C80" i="23"/>
  <c r="J57" i="23"/>
  <c r="B162" i="23" s="1"/>
  <c r="B142" i="23"/>
  <c r="H103" i="20"/>
  <c r="C103" i="20"/>
  <c r="B106" i="20"/>
  <c r="H82" i="18"/>
  <c r="C82" i="18"/>
  <c r="H91" i="15"/>
  <c r="C91" i="15"/>
  <c r="E111" i="7"/>
  <c r="G111" i="7" s="1"/>
  <c r="H111" i="7" s="1"/>
  <c r="E122" i="7"/>
  <c r="G122" i="7" s="1"/>
  <c r="H122" i="7" s="1"/>
  <c r="E119" i="7"/>
  <c r="G119" i="7" s="1"/>
  <c r="H119" i="7" s="1"/>
  <c r="E116" i="7"/>
  <c r="G116" i="7" s="1"/>
  <c r="H116" i="7" s="1"/>
  <c r="E113" i="7"/>
  <c r="G113" i="7" s="1"/>
  <c r="H113" i="7" s="1"/>
  <c r="E114" i="7"/>
  <c r="G114" i="7" s="1"/>
  <c r="H114" i="7" s="1"/>
  <c r="E110" i="7"/>
  <c r="G110" i="7" s="1"/>
  <c r="H110" i="7" s="1"/>
  <c r="E121" i="7"/>
  <c r="G121" i="7" s="1"/>
  <c r="H121" i="7" s="1"/>
  <c r="E115" i="7"/>
  <c r="G115" i="7" s="1"/>
  <c r="H115" i="7" s="1"/>
  <c r="E118" i="7"/>
  <c r="G118" i="7" s="1"/>
  <c r="H118" i="7" s="1"/>
  <c r="H104" i="7"/>
  <c r="H73" i="6"/>
  <c r="C73" i="6"/>
  <c r="E116" i="4"/>
  <c r="G116" i="4"/>
  <c r="H96" i="4"/>
  <c r="C96" i="4"/>
  <c r="I55" i="3"/>
  <c r="H84" i="3"/>
  <c r="C54" i="55"/>
  <c r="C54" i="54"/>
  <c r="C54" i="31"/>
  <c r="D54" i="31" s="1"/>
  <c r="C71" i="10"/>
  <c r="H71" i="10"/>
  <c r="E82" i="10"/>
  <c r="G82" i="10"/>
  <c r="H54" i="19"/>
  <c r="E87" i="19" s="1"/>
  <c r="G87" i="19" s="1"/>
  <c r="H87" i="19" s="1"/>
  <c r="H55" i="4"/>
  <c r="E89" i="3"/>
  <c r="H55" i="3"/>
  <c r="E117" i="3" s="1"/>
  <c r="B63" i="8"/>
  <c r="B62" i="8"/>
  <c r="B88" i="8"/>
  <c r="H65" i="3"/>
  <c r="C55" i="12"/>
  <c r="D55" i="12" s="1"/>
  <c r="C55" i="46"/>
  <c r="D55" i="46" s="1"/>
  <c r="C54" i="40"/>
  <c r="D54" i="40" s="1"/>
  <c r="C55" i="39"/>
  <c r="D55" i="39" s="1"/>
  <c r="C54" i="24"/>
  <c r="D54" i="24" s="1"/>
  <c r="C54" i="14"/>
  <c r="D54" i="14" s="1"/>
  <c r="C54" i="13"/>
  <c r="D54" i="13" s="1"/>
  <c r="C56" i="82"/>
  <c r="E95" i="16"/>
  <c r="G95" i="16" s="1"/>
  <c r="H95" i="16" s="1"/>
  <c r="E98" i="16"/>
  <c r="G98" i="16" s="1"/>
  <c r="H98" i="16" s="1"/>
  <c r="E99" i="16"/>
  <c r="G99" i="16" s="1"/>
  <c r="H99" i="16" s="1"/>
  <c r="E96" i="16"/>
  <c r="G96" i="16" s="1"/>
  <c r="H96" i="16" s="1"/>
  <c r="E97" i="16"/>
  <c r="G97" i="16" s="1"/>
  <c r="H97" i="16" s="1"/>
  <c r="E68" i="48"/>
  <c r="G68" i="48" s="1"/>
  <c r="H68" i="48" s="1"/>
  <c r="E76" i="48"/>
  <c r="G76" i="48" s="1"/>
  <c r="H76" i="48" s="1"/>
  <c r="E65" i="70"/>
  <c r="G65" i="70" s="1"/>
  <c r="H65" i="70" s="1"/>
  <c r="H54" i="70"/>
  <c r="E75" i="48"/>
  <c r="G75" i="48" s="1"/>
  <c r="H75" i="48" s="1"/>
  <c r="E71" i="48"/>
  <c r="G71" i="48" s="1"/>
  <c r="H71" i="48" s="1"/>
  <c r="E72" i="48"/>
  <c r="G72" i="48" s="1"/>
  <c r="H72" i="48" s="1"/>
  <c r="E67" i="48"/>
  <c r="G67" i="48" s="1"/>
  <c r="H67" i="48" s="1"/>
  <c r="E66" i="48"/>
  <c r="G66" i="48" s="1"/>
  <c r="H66" i="48" s="1"/>
  <c r="E69" i="48"/>
  <c r="G69" i="48" s="1"/>
  <c r="H69" i="48" s="1"/>
  <c r="C54" i="48"/>
  <c r="D54" i="48" s="1"/>
  <c r="E77" i="48"/>
  <c r="G77" i="48" s="1"/>
  <c r="H77" i="48" s="1"/>
  <c r="E73" i="48"/>
  <c r="G73" i="48" s="1"/>
  <c r="H73" i="48" s="1"/>
  <c r="E70" i="48"/>
  <c r="G70" i="48" s="1"/>
  <c r="H70" i="48" s="1"/>
  <c r="E74" i="48"/>
  <c r="G74" i="48" s="1"/>
  <c r="H74" i="48" s="1"/>
  <c r="C55" i="62"/>
  <c r="D55" i="62" s="1"/>
  <c r="E67" i="47"/>
  <c r="G67" i="47" s="1"/>
  <c r="H67" i="47" s="1"/>
  <c r="E68" i="47"/>
  <c r="G68" i="47" s="1"/>
  <c r="H68" i="47" s="1"/>
  <c r="E76" i="47"/>
  <c r="G76" i="47" s="1"/>
  <c r="H76" i="47" s="1"/>
  <c r="C54" i="47"/>
  <c r="D54" i="47" s="1"/>
  <c r="E107" i="47" s="1"/>
  <c r="AC25" i="62"/>
  <c r="E93" i="57"/>
  <c r="G93" i="57" s="1"/>
  <c r="H93" i="57" s="1"/>
  <c r="H55" i="57"/>
  <c r="E73" i="47"/>
  <c r="G73" i="47" s="1"/>
  <c r="H73" i="47" s="1"/>
  <c r="E71" i="47"/>
  <c r="G71" i="47" s="1"/>
  <c r="H71" i="47" s="1"/>
  <c r="E77" i="47"/>
  <c r="G77" i="47" s="1"/>
  <c r="H77" i="47" s="1"/>
  <c r="E70" i="47"/>
  <c r="G70" i="47" s="1"/>
  <c r="H70" i="47" s="1"/>
  <c r="E69" i="47"/>
  <c r="G69" i="47" s="1"/>
  <c r="H69" i="47" s="1"/>
  <c r="E72" i="47"/>
  <c r="G72" i="47" s="1"/>
  <c r="H72" i="47" s="1"/>
  <c r="E81" i="47"/>
  <c r="G81" i="47" s="1"/>
  <c r="H81" i="47" s="1"/>
  <c r="E80" i="47"/>
  <c r="G80" i="47" s="1"/>
  <c r="H80" i="47" s="1"/>
  <c r="E78" i="47"/>
  <c r="G78" i="47" s="1"/>
  <c r="H78" i="47" s="1"/>
  <c r="E74" i="47"/>
  <c r="G74" i="47" s="1"/>
  <c r="H74" i="47" s="1"/>
  <c r="E75" i="47"/>
  <c r="G75" i="47" s="1"/>
  <c r="H75" i="47" s="1"/>
  <c r="E79" i="47"/>
  <c r="G79" i="47" s="1"/>
  <c r="H79" i="47" s="1"/>
  <c r="E84" i="41"/>
  <c r="G84" i="41" s="1"/>
  <c r="H84" i="41" s="1"/>
  <c r="E87" i="41"/>
  <c r="G87" i="41" s="1"/>
  <c r="H87" i="41" s="1"/>
  <c r="E82" i="41"/>
  <c r="G82" i="41" s="1"/>
  <c r="H82" i="41" s="1"/>
  <c r="E85" i="41"/>
  <c r="G85" i="41" s="1"/>
  <c r="H85" i="41" s="1"/>
  <c r="E86" i="41"/>
  <c r="G86" i="41" s="1"/>
  <c r="H86" i="41" s="1"/>
  <c r="E88" i="41"/>
  <c r="G88" i="41" s="1"/>
  <c r="H88" i="41" s="1"/>
  <c r="E89" i="41"/>
  <c r="G89" i="41" s="1"/>
  <c r="H89" i="41" s="1"/>
  <c r="E90" i="41"/>
  <c r="G90" i="41" s="1"/>
  <c r="H90" i="41" s="1"/>
  <c r="E83" i="41"/>
  <c r="G83" i="41" s="1"/>
  <c r="H83" i="41" s="1"/>
  <c r="C55" i="41"/>
  <c r="G67" i="24"/>
  <c r="H67" i="24" s="1"/>
  <c r="G66" i="24"/>
  <c r="H66" i="24" s="1"/>
  <c r="G72" i="24"/>
  <c r="H72" i="24" s="1"/>
  <c r="G71" i="24"/>
  <c r="H71" i="24" s="1"/>
  <c r="G68" i="24"/>
  <c r="H68" i="24" s="1"/>
  <c r="G65" i="24"/>
  <c r="H65" i="24" s="1"/>
  <c r="G69" i="24"/>
  <c r="H69" i="24" s="1"/>
  <c r="G70" i="24"/>
  <c r="H70" i="24" s="1"/>
  <c r="C55" i="61"/>
  <c r="D55" i="61" s="1"/>
  <c r="C55" i="57"/>
  <c r="E108" i="57"/>
  <c r="G108" i="57" s="1"/>
  <c r="H108" i="57" s="1"/>
  <c r="E107" i="57"/>
  <c r="G107" i="57" s="1"/>
  <c r="H107" i="57" s="1"/>
  <c r="E97" i="57"/>
  <c r="G97" i="57" s="1"/>
  <c r="H97" i="57" s="1"/>
  <c r="E101" i="57"/>
  <c r="G101" i="57" s="1"/>
  <c r="H101" i="57" s="1"/>
  <c r="E98" i="57"/>
  <c r="G98" i="57" s="1"/>
  <c r="H98" i="57" s="1"/>
  <c r="E100" i="57"/>
  <c r="G100" i="57" s="1"/>
  <c r="H100" i="57" s="1"/>
  <c r="E103" i="57"/>
  <c r="G103" i="57" s="1"/>
  <c r="H103" i="57" s="1"/>
  <c r="E113" i="57"/>
  <c r="G113" i="57" s="1"/>
  <c r="H113" i="57" s="1"/>
  <c r="E94" i="57"/>
  <c r="G94" i="57" s="1"/>
  <c r="H94" i="57" s="1"/>
  <c r="E105" i="57"/>
  <c r="G105" i="57" s="1"/>
  <c r="H105" i="57" s="1"/>
  <c r="E109" i="57"/>
  <c r="G109" i="57" s="1"/>
  <c r="H109" i="57" s="1"/>
  <c r="E111" i="57"/>
  <c r="G111" i="57" s="1"/>
  <c r="H111" i="57" s="1"/>
  <c r="E106" i="57"/>
  <c r="G106" i="57" s="1"/>
  <c r="H106" i="57" s="1"/>
  <c r="E104" i="57"/>
  <c r="G104" i="57" s="1"/>
  <c r="H104" i="57" s="1"/>
  <c r="E102" i="57"/>
  <c r="G102" i="57" s="1"/>
  <c r="H102" i="57" s="1"/>
  <c r="E96" i="57"/>
  <c r="G96" i="57" s="1"/>
  <c r="H96" i="57" s="1"/>
  <c r="I55" i="20"/>
  <c r="E95" i="57"/>
  <c r="G95" i="57" s="1"/>
  <c r="H95" i="57" s="1"/>
  <c r="E110" i="57"/>
  <c r="G110" i="57" s="1"/>
  <c r="H110" i="57" s="1"/>
  <c r="E112" i="57"/>
  <c r="G112" i="57" s="1"/>
  <c r="H112" i="57" s="1"/>
  <c r="E99" i="57"/>
  <c r="G99" i="57" s="1"/>
  <c r="H99" i="57" s="1"/>
  <c r="E88" i="49"/>
  <c r="G88" i="49" s="1"/>
  <c r="H88" i="49" s="1"/>
  <c r="E97" i="49"/>
  <c r="G97" i="49" s="1"/>
  <c r="H97" i="49" s="1"/>
  <c r="E94" i="49"/>
  <c r="G94" i="49" s="1"/>
  <c r="H94" i="49" s="1"/>
  <c r="E93" i="49"/>
  <c r="G93" i="49" s="1"/>
  <c r="H93" i="49" s="1"/>
  <c r="E92" i="49"/>
  <c r="G92" i="49" s="1"/>
  <c r="H92" i="49" s="1"/>
  <c r="E90" i="49"/>
  <c r="G90" i="49" s="1"/>
  <c r="H90" i="49" s="1"/>
  <c r="E89" i="49"/>
  <c r="G89" i="49" s="1"/>
  <c r="H89" i="49" s="1"/>
  <c r="E96" i="49"/>
  <c r="G96" i="49" s="1"/>
  <c r="H96" i="49" s="1"/>
  <c r="E91" i="49"/>
  <c r="G91" i="49" s="1"/>
  <c r="H91" i="49" s="1"/>
  <c r="H55" i="43"/>
  <c r="H55" i="41"/>
  <c r="H55" i="29"/>
  <c r="E110" i="29" s="1"/>
  <c r="G110" i="29" s="1"/>
  <c r="H110" i="29" s="1"/>
  <c r="C55" i="67"/>
  <c r="D55" i="67" s="1"/>
  <c r="E95" i="49"/>
  <c r="G95" i="49" s="1"/>
  <c r="H95" i="49" s="1"/>
  <c r="E86" i="49"/>
  <c r="G86" i="49" s="1"/>
  <c r="H86" i="49" s="1"/>
  <c r="B75" i="34"/>
  <c r="B89" i="34"/>
  <c r="C55" i="17"/>
  <c r="C55" i="15"/>
  <c r="D55" i="15" s="1"/>
  <c r="E109" i="15"/>
  <c r="G109" i="15" s="1"/>
  <c r="H109" i="15" s="1"/>
  <c r="E116" i="15"/>
  <c r="G116" i="15" s="1"/>
  <c r="H116" i="15" s="1"/>
  <c r="E115" i="15"/>
  <c r="G115" i="15" s="1"/>
  <c r="H115" i="15" s="1"/>
  <c r="E110" i="15"/>
  <c r="G110" i="15" s="1"/>
  <c r="H110" i="15" s="1"/>
  <c r="E105" i="15"/>
  <c r="G105" i="15" s="1"/>
  <c r="H105" i="15" s="1"/>
  <c r="E101" i="15"/>
  <c r="G101" i="15" s="1"/>
  <c r="H101" i="15" s="1"/>
  <c r="E117" i="15"/>
  <c r="G117" i="15" s="1"/>
  <c r="H117" i="15" s="1"/>
  <c r="E104" i="15"/>
  <c r="G104" i="15" s="1"/>
  <c r="H104" i="15" s="1"/>
  <c r="E112" i="15"/>
  <c r="G112" i="15" s="1"/>
  <c r="H112" i="15" s="1"/>
  <c r="E120" i="15"/>
  <c r="G120" i="15" s="1"/>
  <c r="H120" i="15" s="1"/>
  <c r="E108" i="15"/>
  <c r="G108" i="15" s="1"/>
  <c r="H108" i="15" s="1"/>
  <c r="E99" i="15"/>
  <c r="G99" i="15" s="1"/>
  <c r="H99" i="15" s="1"/>
  <c r="E107" i="15"/>
  <c r="G107" i="15" s="1"/>
  <c r="H107" i="15" s="1"/>
  <c r="E102" i="15"/>
  <c r="G102" i="15" s="1"/>
  <c r="H102" i="15" s="1"/>
  <c r="E118" i="15"/>
  <c r="G118" i="15" s="1"/>
  <c r="H118" i="15" s="1"/>
  <c r="E121" i="15"/>
  <c r="G121" i="15" s="1"/>
  <c r="H121" i="15" s="1"/>
  <c r="B62" i="5"/>
  <c r="E97" i="59"/>
  <c r="G97" i="59" s="1"/>
  <c r="H97" i="59" s="1"/>
  <c r="E103" i="59"/>
  <c r="G103" i="59" s="1"/>
  <c r="H103" i="59" s="1"/>
  <c r="E91" i="59"/>
  <c r="G91" i="59" s="1"/>
  <c r="H91" i="59" s="1"/>
  <c r="E92" i="59"/>
  <c r="G92" i="59" s="1"/>
  <c r="H92" i="59" s="1"/>
  <c r="E93" i="59"/>
  <c r="G93" i="59" s="1"/>
  <c r="H93" i="59" s="1"/>
  <c r="E94" i="59"/>
  <c r="G94" i="59" s="1"/>
  <c r="H94" i="59" s="1"/>
  <c r="E95" i="59"/>
  <c r="G95" i="59" s="1"/>
  <c r="H95" i="59" s="1"/>
  <c r="E98" i="59"/>
  <c r="G98" i="59" s="1"/>
  <c r="H98" i="59" s="1"/>
  <c r="E99" i="59"/>
  <c r="G99" i="59" s="1"/>
  <c r="H99" i="59" s="1"/>
  <c r="E100" i="59"/>
  <c r="G100" i="59" s="1"/>
  <c r="H100" i="59" s="1"/>
  <c r="E101" i="59"/>
  <c r="G101" i="59" s="1"/>
  <c r="H101" i="59" s="1"/>
  <c r="E102" i="59"/>
  <c r="G102" i="59" s="1"/>
  <c r="H102" i="59" s="1"/>
  <c r="E90" i="59"/>
  <c r="G90" i="59" s="1"/>
  <c r="H90" i="59" s="1"/>
  <c r="E96" i="59"/>
  <c r="G96" i="59" s="1"/>
  <c r="H96" i="59" s="1"/>
  <c r="C55" i="59"/>
  <c r="D55" i="59" s="1"/>
  <c r="E69" i="53"/>
  <c r="G69" i="53" s="1"/>
  <c r="H69" i="53" s="1"/>
  <c r="E67" i="53"/>
  <c r="G67" i="53" s="1"/>
  <c r="H67" i="53" s="1"/>
  <c r="E68" i="53"/>
  <c r="G68" i="53" s="1"/>
  <c r="H68" i="53" s="1"/>
  <c r="C54" i="53"/>
  <c r="D54" i="53" s="1"/>
  <c r="E87" i="49"/>
  <c r="G87" i="49" s="1"/>
  <c r="H87" i="49" s="1"/>
  <c r="E96" i="34"/>
  <c r="G96" i="34" s="1"/>
  <c r="H96" i="34" s="1"/>
  <c r="E91" i="34"/>
  <c r="G91" i="34" s="1"/>
  <c r="H91" i="34" s="1"/>
  <c r="H56" i="34"/>
  <c r="E95" i="34"/>
  <c r="G95" i="34" s="1"/>
  <c r="H95" i="34" s="1"/>
  <c r="E94" i="34"/>
  <c r="G94" i="34" s="1"/>
  <c r="H94" i="34" s="1"/>
  <c r="B63" i="34"/>
  <c r="E92" i="34"/>
  <c r="G92" i="34" s="1"/>
  <c r="H92" i="34" s="1"/>
  <c r="E93" i="34"/>
  <c r="G93" i="34" s="1"/>
  <c r="H93" i="34" s="1"/>
  <c r="E100" i="18"/>
  <c r="G100" i="18" s="1"/>
  <c r="H100" i="18" s="1"/>
  <c r="E103" i="18"/>
  <c r="G103" i="18" s="1"/>
  <c r="H103" i="18" s="1"/>
  <c r="E92" i="18"/>
  <c r="G92" i="18" s="1"/>
  <c r="H92" i="18" s="1"/>
  <c r="E105" i="18"/>
  <c r="G105" i="18" s="1"/>
  <c r="H105" i="18" s="1"/>
  <c r="E96" i="18"/>
  <c r="G96" i="18" s="1"/>
  <c r="H96" i="18" s="1"/>
  <c r="E99" i="18"/>
  <c r="G99" i="18" s="1"/>
  <c r="H99" i="18" s="1"/>
  <c r="E94" i="18"/>
  <c r="G94" i="18" s="1"/>
  <c r="H94" i="18" s="1"/>
  <c r="E97" i="18"/>
  <c r="G97" i="18" s="1"/>
  <c r="H97" i="18" s="1"/>
  <c r="E101" i="18"/>
  <c r="G101" i="18" s="1"/>
  <c r="H101" i="18" s="1"/>
  <c r="E91" i="18"/>
  <c r="G91" i="18" s="1"/>
  <c r="H91" i="18" s="1"/>
  <c r="E104" i="18"/>
  <c r="G104" i="18" s="1"/>
  <c r="H104" i="18" s="1"/>
  <c r="E93" i="18"/>
  <c r="G93" i="18" s="1"/>
  <c r="H93" i="18" s="1"/>
  <c r="C55" i="18"/>
  <c r="D55" i="18" s="1"/>
  <c r="E100" i="15"/>
  <c r="G100" i="15" s="1"/>
  <c r="H100" i="15" s="1"/>
  <c r="E103" i="15"/>
  <c r="G103" i="15" s="1"/>
  <c r="H103" i="15" s="1"/>
  <c r="E111" i="15"/>
  <c r="G111" i="15" s="1"/>
  <c r="H111" i="15" s="1"/>
  <c r="E119" i="15"/>
  <c r="G119" i="15" s="1"/>
  <c r="H119" i="15" s="1"/>
  <c r="E98" i="15"/>
  <c r="G98" i="15" s="1"/>
  <c r="H98" i="15" s="1"/>
  <c r="E106" i="15"/>
  <c r="G106" i="15" s="1"/>
  <c r="H106" i="15" s="1"/>
  <c r="E114" i="15"/>
  <c r="G114" i="15" s="1"/>
  <c r="H114" i="15" s="1"/>
  <c r="C55" i="69"/>
  <c r="E92" i="16"/>
  <c r="G92" i="16" s="1"/>
  <c r="H92" i="16" s="1"/>
  <c r="AC25" i="59"/>
  <c r="C55" i="49"/>
  <c r="D55" i="49" s="1"/>
  <c r="E113" i="17"/>
  <c r="G113" i="17" s="1"/>
  <c r="H113" i="17" s="1"/>
  <c r="E116" i="17"/>
  <c r="G116" i="17" s="1"/>
  <c r="H116" i="17" s="1"/>
  <c r="E111" i="17"/>
  <c r="G111" i="17" s="1"/>
  <c r="H111" i="17" s="1"/>
  <c r="E97" i="17"/>
  <c r="G97" i="17" s="1"/>
  <c r="H97" i="17" s="1"/>
  <c r="G67" i="17"/>
  <c r="H67" i="17" s="1"/>
  <c r="E91" i="16"/>
  <c r="G91" i="16" s="1"/>
  <c r="H91" i="16" s="1"/>
  <c r="E94" i="16"/>
  <c r="G94" i="16" s="1"/>
  <c r="H94" i="16" s="1"/>
  <c r="E113" i="15"/>
  <c r="G113" i="15" s="1"/>
  <c r="H113" i="15" s="1"/>
  <c r="E96" i="56"/>
  <c r="G96" i="56" s="1"/>
  <c r="H96" i="56" s="1"/>
  <c r="E97" i="56"/>
  <c r="G97" i="56" s="1"/>
  <c r="H97" i="56" s="1"/>
  <c r="E88" i="56"/>
  <c r="G88" i="56" s="1"/>
  <c r="H88" i="56" s="1"/>
  <c r="E89" i="56"/>
  <c r="G89" i="56" s="1"/>
  <c r="H89" i="56" s="1"/>
  <c r="E86" i="56"/>
  <c r="G86" i="56" s="1"/>
  <c r="H86" i="56" s="1"/>
  <c r="E91" i="56"/>
  <c r="G91" i="56" s="1"/>
  <c r="H91" i="56" s="1"/>
  <c r="E94" i="56"/>
  <c r="G94" i="56" s="1"/>
  <c r="H94" i="56" s="1"/>
  <c r="E92" i="56"/>
  <c r="G92" i="56" s="1"/>
  <c r="H92" i="56" s="1"/>
  <c r="E87" i="56"/>
  <c r="G87" i="56" s="1"/>
  <c r="H87" i="56" s="1"/>
  <c r="E93" i="56"/>
  <c r="G93" i="56" s="1"/>
  <c r="H93" i="56" s="1"/>
  <c r="C55" i="56"/>
  <c r="D55" i="56" s="1"/>
  <c r="E95" i="56"/>
  <c r="G95" i="56" s="1"/>
  <c r="H95" i="56" s="1"/>
  <c r="E90" i="56"/>
  <c r="G90" i="56" s="1"/>
  <c r="H90" i="56" s="1"/>
  <c r="E100" i="44"/>
  <c r="G100" i="44" s="1"/>
  <c r="H100" i="44" s="1"/>
  <c r="E103" i="44"/>
  <c r="G103" i="44" s="1"/>
  <c r="H103" i="44" s="1"/>
  <c r="E101" i="44"/>
  <c r="G101" i="44" s="1"/>
  <c r="H101" i="44" s="1"/>
  <c r="E93" i="44"/>
  <c r="G93" i="44" s="1"/>
  <c r="H93" i="44" s="1"/>
  <c r="E105" i="44"/>
  <c r="G105" i="44" s="1"/>
  <c r="H105" i="44" s="1"/>
  <c r="E91" i="44"/>
  <c r="G91" i="44" s="1"/>
  <c r="H91" i="44" s="1"/>
  <c r="E99" i="44"/>
  <c r="G99" i="44" s="1"/>
  <c r="H99" i="44" s="1"/>
  <c r="E98" i="44"/>
  <c r="G98" i="44" s="1"/>
  <c r="H98" i="44" s="1"/>
  <c r="C55" i="44"/>
  <c r="D55" i="44" s="1"/>
  <c r="E94" i="44"/>
  <c r="G94" i="44" s="1"/>
  <c r="H94" i="44" s="1"/>
  <c r="E96" i="44"/>
  <c r="G96" i="44" s="1"/>
  <c r="H96" i="44" s="1"/>
  <c r="E92" i="44"/>
  <c r="G92" i="44" s="1"/>
  <c r="H92" i="44" s="1"/>
  <c r="E95" i="44"/>
  <c r="G95" i="44" s="1"/>
  <c r="H95" i="44" s="1"/>
  <c r="E104" i="44"/>
  <c r="G104" i="44" s="1"/>
  <c r="H104" i="44" s="1"/>
  <c r="E97" i="44"/>
  <c r="G97" i="44" s="1"/>
  <c r="H97" i="44" s="1"/>
  <c r="E102" i="44"/>
  <c r="G102" i="44" s="1"/>
  <c r="H102" i="44" s="1"/>
  <c r="G66" i="42"/>
  <c r="H66" i="42" s="1"/>
  <c r="G70" i="42"/>
  <c r="H70" i="42" s="1"/>
  <c r="G68" i="42"/>
  <c r="H68" i="42" s="1"/>
  <c r="G65" i="42"/>
  <c r="H65" i="42" s="1"/>
  <c r="G71" i="42"/>
  <c r="H71" i="42" s="1"/>
  <c r="G69" i="42"/>
  <c r="H69" i="42" s="1"/>
  <c r="G72" i="42"/>
  <c r="H72" i="42" s="1"/>
  <c r="G67" i="42"/>
  <c r="H67" i="42" s="1"/>
  <c r="T34" i="42"/>
  <c r="AC25" i="42" s="1"/>
  <c r="C55" i="28"/>
  <c r="E93" i="28"/>
  <c r="G93" i="28" s="1"/>
  <c r="H93" i="28" s="1"/>
  <c r="E102" i="28"/>
  <c r="G102" i="28" s="1"/>
  <c r="H102" i="28" s="1"/>
  <c r="E106" i="28"/>
  <c r="G106" i="28" s="1"/>
  <c r="H106" i="28" s="1"/>
  <c r="E98" i="28"/>
  <c r="G98" i="28" s="1"/>
  <c r="H98" i="28" s="1"/>
  <c r="E107" i="28"/>
  <c r="G107" i="28" s="1"/>
  <c r="H107" i="28" s="1"/>
  <c r="E99" i="28"/>
  <c r="G99" i="28" s="1"/>
  <c r="H99" i="28" s="1"/>
  <c r="E97" i="28"/>
  <c r="G97" i="28" s="1"/>
  <c r="H97" i="28" s="1"/>
  <c r="E104" i="28"/>
  <c r="G104" i="28" s="1"/>
  <c r="H104" i="28" s="1"/>
  <c r="C55" i="21"/>
  <c r="E87" i="20"/>
  <c r="G87" i="20" s="1"/>
  <c r="H87" i="20" s="1"/>
  <c r="H55" i="20"/>
  <c r="G90" i="18"/>
  <c r="H90" i="18" s="1"/>
  <c r="H55" i="18"/>
  <c r="E110" i="17"/>
  <c r="G110" i="17" s="1"/>
  <c r="H110" i="17" s="1"/>
  <c r="E100" i="17"/>
  <c r="G100" i="17" s="1"/>
  <c r="H100" i="17" s="1"/>
  <c r="E102" i="17"/>
  <c r="G102" i="17" s="1"/>
  <c r="H102" i="17" s="1"/>
  <c r="C55" i="16"/>
  <c r="E93" i="16"/>
  <c r="G93" i="16" s="1"/>
  <c r="H93" i="16" s="1"/>
  <c r="E90" i="16"/>
  <c r="G90" i="16" s="1"/>
  <c r="H90" i="16" s="1"/>
  <c r="E87" i="16"/>
  <c r="G87" i="16" s="1"/>
  <c r="H87" i="16" s="1"/>
  <c r="E89" i="16"/>
  <c r="G89" i="16" s="1"/>
  <c r="H89" i="16" s="1"/>
  <c r="E88" i="16"/>
  <c r="G88" i="16" s="1"/>
  <c r="H88" i="16" s="1"/>
  <c r="E77" i="10"/>
  <c r="G77" i="10" s="1"/>
  <c r="H77" i="10" s="1"/>
  <c r="E80" i="10"/>
  <c r="G80" i="10" s="1"/>
  <c r="H80" i="10" s="1"/>
  <c r="E76" i="10"/>
  <c r="G76" i="10" s="1"/>
  <c r="H76" i="10" s="1"/>
  <c r="E78" i="10"/>
  <c r="G78" i="10" s="1"/>
  <c r="H78" i="10" s="1"/>
  <c r="E79" i="10"/>
  <c r="G79" i="10" s="1"/>
  <c r="H79" i="10" s="1"/>
  <c r="H55" i="10"/>
  <c r="G71" i="40"/>
  <c r="H71" i="40" s="1"/>
  <c r="G68" i="40"/>
  <c r="H68" i="40" s="1"/>
  <c r="G69" i="40"/>
  <c r="H69" i="40" s="1"/>
  <c r="G73" i="40"/>
  <c r="H73" i="40" s="1"/>
  <c r="G65" i="40"/>
  <c r="H65" i="40" s="1"/>
  <c r="G66" i="40"/>
  <c r="H66" i="40" s="1"/>
  <c r="G70" i="40"/>
  <c r="H70" i="40" s="1"/>
  <c r="G67" i="40"/>
  <c r="H67" i="40" s="1"/>
  <c r="G72" i="40"/>
  <c r="H72" i="40" s="1"/>
  <c r="I55" i="29"/>
  <c r="E95" i="28"/>
  <c r="G95" i="28" s="1"/>
  <c r="H95" i="28" s="1"/>
  <c r="E110" i="28"/>
  <c r="G110" i="28" s="1"/>
  <c r="H110" i="28" s="1"/>
  <c r="E101" i="28"/>
  <c r="G101" i="28" s="1"/>
  <c r="H101" i="28" s="1"/>
  <c r="E96" i="28"/>
  <c r="G96" i="28" s="1"/>
  <c r="H96" i="28" s="1"/>
  <c r="E109" i="28"/>
  <c r="G109" i="28" s="1"/>
  <c r="H109" i="28" s="1"/>
  <c r="E100" i="28"/>
  <c r="G100" i="28" s="1"/>
  <c r="H100" i="28" s="1"/>
  <c r="E103" i="28"/>
  <c r="G103" i="28" s="1"/>
  <c r="H103" i="28" s="1"/>
  <c r="E108" i="28"/>
  <c r="G108" i="28" s="1"/>
  <c r="H108" i="28" s="1"/>
  <c r="E94" i="28"/>
  <c r="G94" i="28" s="1"/>
  <c r="H94" i="28" s="1"/>
  <c r="B63" i="26"/>
  <c r="B63" i="20"/>
  <c r="B85" i="20"/>
  <c r="E102" i="18"/>
  <c r="G102" i="18" s="1"/>
  <c r="H102" i="18" s="1"/>
  <c r="E98" i="18"/>
  <c r="G98" i="18" s="1"/>
  <c r="H98" i="18" s="1"/>
  <c r="E95" i="18"/>
  <c r="G95" i="18" s="1"/>
  <c r="H95" i="18" s="1"/>
  <c r="E105" i="17"/>
  <c r="G105" i="17" s="1"/>
  <c r="H105" i="17" s="1"/>
  <c r="E107" i="17"/>
  <c r="G107" i="17" s="1"/>
  <c r="H107" i="17" s="1"/>
  <c r="E108" i="17"/>
  <c r="G108" i="17" s="1"/>
  <c r="H108" i="17" s="1"/>
  <c r="E103" i="17"/>
  <c r="G103" i="17" s="1"/>
  <c r="H103" i="17" s="1"/>
  <c r="E98" i="17"/>
  <c r="G98" i="17" s="1"/>
  <c r="H98" i="17" s="1"/>
  <c r="E101" i="17"/>
  <c r="G101" i="17" s="1"/>
  <c r="H101" i="17" s="1"/>
  <c r="E117" i="17"/>
  <c r="G117" i="17" s="1"/>
  <c r="H117" i="17" s="1"/>
  <c r="E112" i="17"/>
  <c r="G112" i="17" s="1"/>
  <c r="H112" i="17" s="1"/>
  <c r="E99" i="17"/>
  <c r="G99" i="17" s="1"/>
  <c r="H99" i="17" s="1"/>
  <c r="E119" i="17"/>
  <c r="G119" i="17" s="1"/>
  <c r="H119" i="17" s="1"/>
  <c r="E106" i="17"/>
  <c r="G106" i="17" s="1"/>
  <c r="H106" i="17" s="1"/>
  <c r="E114" i="17"/>
  <c r="G114" i="17" s="1"/>
  <c r="H114" i="17" s="1"/>
  <c r="E109" i="17"/>
  <c r="G109" i="17" s="1"/>
  <c r="H109" i="17" s="1"/>
  <c r="E104" i="17"/>
  <c r="G104" i="17" s="1"/>
  <c r="H104" i="17" s="1"/>
  <c r="E115" i="17"/>
  <c r="G115" i="17" s="1"/>
  <c r="H115" i="17" s="1"/>
  <c r="E118" i="17"/>
  <c r="G118" i="17" s="1"/>
  <c r="H118" i="17" s="1"/>
  <c r="H55" i="8"/>
  <c r="E115" i="8" s="1"/>
  <c r="G115" i="8" s="1"/>
  <c r="H115" i="8" s="1"/>
  <c r="E113" i="29"/>
  <c r="G113" i="29" s="1"/>
  <c r="H113" i="29" s="1"/>
  <c r="B62" i="27"/>
  <c r="C54" i="37"/>
  <c r="D54" i="37" s="1"/>
  <c r="B62" i="26"/>
  <c r="B85" i="27"/>
  <c r="I56" i="23"/>
  <c r="E114" i="20"/>
  <c r="G114" i="20" s="1"/>
  <c r="H114" i="20" s="1"/>
  <c r="E122" i="20"/>
  <c r="G122" i="20" s="1"/>
  <c r="H122" i="20" s="1"/>
  <c r="E110" i="20"/>
  <c r="G110" i="20" s="1"/>
  <c r="H110" i="20" s="1"/>
  <c r="E113" i="20"/>
  <c r="G113" i="20" s="1"/>
  <c r="H113" i="20" s="1"/>
  <c r="E116" i="20"/>
  <c r="G116" i="20" s="1"/>
  <c r="H116" i="20" s="1"/>
  <c r="E117" i="20"/>
  <c r="G117" i="20" s="1"/>
  <c r="H117" i="20" s="1"/>
  <c r="E109" i="20"/>
  <c r="G109" i="20" s="1"/>
  <c r="H109" i="20" s="1"/>
  <c r="E121" i="20"/>
  <c r="G121" i="20" s="1"/>
  <c r="H121" i="20" s="1"/>
  <c r="B63" i="5"/>
  <c r="H55" i="59"/>
  <c r="E89" i="59"/>
  <c r="G89" i="59" s="1"/>
  <c r="H89" i="59" s="1"/>
  <c r="E104" i="58"/>
  <c r="G104" i="58" s="1"/>
  <c r="H104" i="58" s="1"/>
  <c r="E89" i="58"/>
  <c r="G89" i="58" s="1"/>
  <c r="H89" i="58" s="1"/>
  <c r="E94" i="58"/>
  <c r="G94" i="58" s="1"/>
  <c r="H94" i="58" s="1"/>
  <c r="E91" i="58"/>
  <c r="G91" i="58" s="1"/>
  <c r="H91" i="58" s="1"/>
  <c r="E96" i="58"/>
  <c r="G96" i="58" s="1"/>
  <c r="H96" i="58" s="1"/>
  <c r="E92" i="58"/>
  <c r="G92" i="58" s="1"/>
  <c r="H92" i="58" s="1"/>
  <c r="E100" i="58"/>
  <c r="G100" i="58" s="1"/>
  <c r="H100" i="58" s="1"/>
  <c r="E93" i="58"/>
  <c r="G93" i="58" s="1"/>
  <c r="H93" i="58" s="1"/>
  <c r="E98" i="58"/>
  <c r="G98" i="58" s="1"/>
  <c r="H98" i="58" s="1"/>
  <c r="E102" i="58"/>
  <c r="G102" i="58" s="1"/>
  <c r="H102" i="58" s="1"/>
  <c r="E99" i="58"/>
  <c r="G99" i="58" s="1"/>
  <c r="H99" i="58" s="1"/>
  <c r="E101" i="58"/>
  <c r="G101" i="58" s="1"/>
  <c r="H101" i="58" s="1"/>
  <c r="E103" i="58"/>
  <c r="G103" i="58" s="1"/>
  <c r="H103" i="58" s="1"/>
  <c r="E97" i="58"/>
  <c r="G97" i="58" s="1"/>
  <c r="H97" i="58" s="1"/>
  <c r="E95" i="58"/>
  <c r="G95" i="58" s="1"/>
  <c r="H95" i="58" s="1"/>
  <c r="E90" i="58"/>
  <c r="G90" i="58" s="1"/>
  <c r="H90" i="58" s="1"/>
  <c r="C55" i="58"/>
  <c r="D55" i="58" s="1"/>
  <c r="E5" i="56"/>
  <c r="G5" i="56" s="1"/>
  <c r="H5" i="56" s="1"/>
  <c r="K5" i="56" s="1"/>
  <c r="L5" i="56" s="1"/>
  <c r="S35" i="56" s="1"/>
  <c r="H53" i="56"/>
  <c r="E65" i="56" s="1"/>
  <c r="G65" i="56" s="1"/>
  <c r="H65" i="56" s="1"/>
  <c r="E5" i="58"/>
  <c r="G5" i="58" s="1"/>
  <c r="H5" i="58" s="1"/>
  <c r="K5" i="58" s="1"/>
  <c r="L5" i="58" s="1"/>
  <c r="S35" i="58" s="1"/>
  <c r="AA30" i="58" s="1"/>
  <c r="AD30" i="58" s="1"/>
  <c r="H53" i="58"/>
  <c r="E65" i="58" s="1"/>
  <c r="G65" i="58" s="1"/>
  <c r="H65" i="58" s="1"/>
  <c r="I54" i="47"/>
  <c r="J55" i="47"/>
  <c r="I55" i="47" s="1"/>
  <c r="E5" i="47"/>
  <c r="G5" i="47" s="1"/>
  <c r="H5" i="47" s="1"/>
  <c r="K5" i="47" s="1"/>
  <c r="L5" i="47" s="1"/>
  <c r="S35" i="47" s="1"/>
  <c r="H53" i="47"/>
  <c r="E65" i="47" s="1"/>
  <c r="B63" i="50"/>
  <c r="B62" i="50"/>
  <c r="B86" i="50"/>
  <c r="C55" i="43"/>
  <c r="D55" i="43" s="1"/>
  <c r="E96" i="43"/>
  <c r="G96" i="43" s="1"/>
  <c r="H96" i="43" s="1"/>
  <c r="E94" i="43"/>
  <c r="G94" i="43" s="1"/>
  <c r="H94" i="43" s="1"/>
  <c r="E92" i="43"/>
  <c r="G92" i="43" s="1"/>
  <c r="H92" i="43" s="1"/>
  <c r="E93" i="43"/>
  <c r="G93" i="43" s="1"/>
  <c r="H93" i="43" s="1"/>
  <c r="E85" i="43"/>
  <c r="G85" i="43" s="1"/>
  <c r="H85" i="43" s="1"/>
  <c r="E86" i="43"/>
  <c r="G86" i="43" s="1"/>
  <c r="H86" i="43" s="1"/>
  <c r="E88" i="43"/>
  <c r="G88" i="43" s="1"/>
  <c r="H88" i="43" s="1"/>
  <c r="E90" i="43"/>
  <c r="G90" i="43" s="1"/>
  <c r="H90" i="43" s="1"/>
  <c r="E95" i="43"/>
  <c r="G95" i="43" s="1"/>
  <c r="H95" i="43" s="1"/>
  <c r="E87" i="43"/>
  <c r="G87" i="43" s="1"/>
  <c r="H87" i="43" s="1"/>
  <c r="E89" i="43"/>
  <c r="G89" i="43" s="1"/>
  <c r="H89" i="43" s="1"/>
  <c r="E91" i="43"/>
  <c r="G91" i="43" s="1"/>
  <c r="H91" i="43" s="1"/>
  <c r="AB30" i="32"/>
  <c r="AD30" i="32" s="1"/>
  <c r="AC25" i="32" s="1"/>
  <c r="H55" i="35"/>
  <c r="B87" i="35" s="1"/>
  <c r="C54" i="32"/>
  <c r="E80" i="32"/>
  <c r="G80" i="32" s="1"/>
  <c r="H80" i="32" s="1"/>
  <c r="E79" i="32"/>
  <c r="G79" i="32" s="1"/>
  <c r="H79" i="32" s="1"/>
  <c r="E78" i="32"/>
  <c r="G78" i="32" s="1"/>
  <c r="H78" i="32" s="1"/>
  <c r="E77" i="32"/>
  <c r="G77" i="32" s="1"/>
  <c r="H77" i="32" s="1"/>
  <c r="E76" i="32"/>
  <c r="G76" i="32" s="1"/>
  <c r="H76" i="32" s="1"/>
  <c r="E75" i="32"/>
  <c r="G75" i="32" s="1"/>
  <c r="H75" i="32" s="1"/>
  <c r="E74" i="32"/>
  <c r="G74" i="32" s="1"/>
  <c r="H74" i="32" s="1"/>
  <c r="E73" i="32"/>
  <c r="G73" i="32" s="1"/>
  <c r="H73" i="32" s="1"/>
  <c r="E72" i="32"/>
  <c r="G72" i="32" s="1"/>
  <c r="H72" i="32" s="1"/>
  <c r="E71" i="32"/>
  <c r="G71" i="32" s="1"/>
  <c r="H71" i="32" s="1"/>
  <c r="E70" i="32"/>
  <c r="G70" i="32" s="1"/>
  <c r="H70" i="32" s="1"/>
  <c r="E69" i="32"/>
  <c r="G69" i="32" s="1"/>
  <c r="H69" i="32" s="1"/>
  <c r="E68" i="32"/>
  <c r="G68" i="32" s="1"/>
  <c r="H68" i="32" s="1"/>
  <c r="E67" i="32"/>
  <c r="G67" i="32" s="1"/>
  <c r="H67" i="32" s="1"/>
  <c r="B85" i="29"/>
  <c r="B62" i="29"/>
  <c r="B63" i="29"/>
  <c r="B84" i="29"/>
  <c r="B107" i="29"/>
  <c r="E119" i="29"/>
  <c r="G119" i="29" s="1"/>
  <c r="H119" i="29" s="1"/>
  <c r="E112" i="29"/>
  <c r="G112" i="29" s="1"/>
  <c r="H112" i="29" s="1"/>
  <c r="E121" i="29"/>
  <c r="G121" i="29" s="1"/>
  <c r="H121" i="29" s="1"/>
  <c r="E111" i="29"/>
  <c r="G111" i="29" s="1"/>
  <c r="H111" i="29" s="1"/>
  <c r="E118" i="29"/>
  <c r="G118" i="29" s="1"/>
  <c r="H118" i="29" s="1"/>
  <c r="E122" i="29"/>
  <c r="G122" i="29" s="1"/>
  <c r="H122" i="29" s="1"/>
  <c r="E120" i="29"/>
  <c r="G120" i="29" s="1"/>
  <c r="H120" i="29" s="1"/>
  <c r="E123" i="29"/>
  <c r="G123" i="29" s="1"/>
  <c r="H123" i="29" s="1"/>
  <c r="E115" i="29"/>
  <c r="G115" i="29" s="1"/>
  <c r="H115" i="29" s="1"/>
  <c r="E124" i="29"/>
  <c r="G124" i="29" s="1"/>
  <c r="H124" i="29" s="1"/>
  <c r="E117" i="29"/>
  <c r="G117" i="29" s="1"/>
  <c r="H117" i="29" s="1"/>
  <c r="E114" i="29"/>
  <c r="G114" i="29" s="1"/>
  <c r="H114" i="29" s="1"/>
  <c r="B85" i="50"/>
  <c r="B110" i="45"/>
  <c r="B109" i="45"/>
  <c r="B63" i="45"/>
  <c r="E113" i="45"/>
  <c r="G113" i="45" s="1"/>
  <c r="H113" i="45" s="1"/>
  <c r="E114" i="45"/>
  <c r="G114" i="45" s="1"/>
  <c r="H114" i="45" s="1"/>
  <c r="E115" i="45"/>
  <c r="G115" i="45" s="1"/>
  <c r="H115" i="45" s="1"/>
  <c r="E116" i="45"/>
  <c r="G116" i="45" s="1"/>
  <c r="H116" i="45" s="1"/>
  <c r="E117" i="45"/>
  <c r="G117" i="45" s="1"/>
  <c r="H117" i="45" s="1"/>
  <c r="E118" i="45"/>
  <c r="G118" i="45" s="1"/>
  <c r="H118" i="45" s="1"/>
  <c r="E119" i="45"/>
  <c r="G119" i="45" s="1"/>
  <c r="H119" i="45" s="1"/>
  <c r="E120" i="45"/>
  <c r="G120" i="45" s="1"/>
  <c r="H120" i="45" s="1"/>
  <c r="E121" i="45"/>
  <c r="G121" i="45" s="1"/>
  <c r="H121" i="45" s="1"/>
  <c r="E122" i="45"/>
  <c r="G122" i="45" s="1"/>
  <c r="H122" i="45" s="1"/>
  <c r="E123" i="45"/>
  <c r="G123" i="45" s="1"/>
  <c r="H123" i="45" s="1"/>
  <c r="E124" i="45"/>
  <c r="G124" i="45" s="1"/>
  <c r="H124" i="45" s="1"/>
  <c r="E125" i="45"/>
  <c r="G125" i="45" s="1"/>
  <c r="H125" i="45" s="1"/>
  <c r="E126" i="45"/>
  <c r="G126" i="45" s="1"/>
  <c r="H126" i="45" s="1"/>
  <c r="E127" i="45"/>
  <c r="G127" i="45" s="1"/>
  <c r="H127" i="45" s="1"/>
  <c r="E5" i="33"/>
  <c r="G5" i="33" s="1"/>
  <c r="H5" i="33" s="1"/>
  <c r="K5" i="33" s="1"/>
  <c r="L5" i="33" s="1"/>
  <c r="S35" i="33" s="1"/>
  <c r="H53" i="33"/>
  <c r="E65" i="33" s="1"/>
  <c r="G65" i="33" s="1"/>
  <c r="H65" i="33" s="1"/>
  <c r="E106" i="33"/>
  <c r="G106" i="33" s="1"/>
  <c r="H106" i="33" s="1"/>
  <c r="E97" i="33"/>
  <c r="G97" i="33" s="1"/>
  <c r="H97" i="33" s="1"/>
  <c r="E95" i="33"/>
  <c r="G95" i="33" s="1"/>
  <c r="H95" i="33" s="1"/>
  <c r="E103" i="33"/>
  <c r="E107" i="33"/>
  <c r="G107" i="33" s="1"/>
  <c r="H107" i="33" s="1"/>
  <c r="E96" i="33"/>
  <c r="E104" i="33"/>
  <c r="E108" i="33"/>
  <c r="G108" i="33" s="1"/>
  <c r="H108" i="33" s="1"/>
  <c r="E101" i="33"/>
  <c r="G101" i="33" s="1"/>
  <c r="H101" i="33" s="1"/>
  <c r="E105" i="33"/>
  <c r="E100" i="33"/>
  <c r="G100" i="33" s="1"/>
  <c r="H100" i="33" s="1"/>
  <c r="E109" i="33"/>
  <c r="E94" i="33"/>
  <c r="E102" i="33"/>
  <c r="E99" i="33"/>
  <c r="E112" i="33"/>
  <c r="E110" i="33"/>
  <c r="E98" i="33"/>
  <c r="E111" i="33"/>
  <c r="C55" i="33"/>
  <c r="E112" i="20"/>
  <c r="G112" i="20" s="1"/>
  <c r="H112" i="20" s="1"/>
  <c r="E120" i="20"/>
  <c r="G120" i="20" s="1"/>
  <c r="H120" i="20" s="1"/>
  <c r="E111" i="20"/>
  <c r="G111" i="20" s="1"/>
  <c r="H111" i="20" s="1"/>
  <c r="E115" i="20"/>
  <c r="G115" i="20" s="1"/>
  <c r="H115" i="20" s="1"/>
  <c r="E118" i="20"/>
  <c r="G118" i="20" s="1"/>
  <c r="H118" i="20" s="1"/>
  <c r="E119" i="20"/>
  <c r="G119" i="20" s="1"/>
  <c r="H119" i="20" s="1"/>
  <c r="E94" i="19"/>
  <c r="G94" i="19" s="1"/>
  <c r="H94" i="19" s="1"/>
  <c r="E97" i="19"/>
  <c r="G97" i="19" s="1"/>
  <c r="H97" i="19" s="1"/>
  <c r="E92" i="19"/>
  <c r="G92" i="19" s="1"/>
  <c r="H92" i="19" s="1"/>
  <c r="E95" i="19"/>
  <c r="G95" i="19" s="1"/>
  <c r="H95" i="19" s="1"/>
  <c r="E98" i="19"/>
  <c r="G98" i="19" s="1"/>
  <c r="H98" i="19" s="1"/>
  <c r="E93" i="19"/>
  <c r="G93" i="19" s="1"/>
  <c r="H93" i="19" s="1"/>
  <c r="E91" i="19"/>
  <c r="G91" i="19" s="1"/>
  <c r="H91" i="19" s="1"/>
  <c r="E88" i="19"/>
  <c r="G88" i="19" s="1"/>
  <c r="H88" i="19" s="1"/>
  <c r="E96" i="19"/>
  <c r="G96" i="19" s="1"/>
  <c r="H96" i="19" s="1"/>
  <c r="E99" i="19"/>
  <c r="G99" i="19" s="1"/>
  <c r="H99" i="19" s="1"/>
  <c r="E89" i="19"/>
  <c r="G89" i="19" s="1"/>
  <c r="H89" i="19" s="1"/>
  <c r="C55" i="19"/>
  <c r="D55" i="19" s="1"/>
  <c r="E79" i="6"/>
  <c r="G79" i="6" s="1"/>
  <c r="H79" i="6" s="1"/>
  <c r="E81" i="6"/>
  <c r="G81" i="6" s="1"/>
  <c r="H81" i="6" s="1"/>
  <c r="E80" i="6"/>
  <c r="G80" i="6" s="1"/>
  <c r="H80" i="6" s="1"/>
  <c r="E83" i="6"/>
  <c r="G83" i="6" s="1"/>
  <c r="H83" i="6" s="1"/>
  <c r="E82" i="6"/>
  <c r="G82" i="6" s="1"/>
  <c r="H82" i="6" s="1"/>
  <c r="E84" i="6"/>
  <c r="G84" i="6" s="1"/>
  <c r="H84" i="6" s="1"/>
  <c r="E90" i="19"/>
  <c r="G90" i="19" s="1"/>
  <c r="H90" i="19" s="1"/>
  <c r="G65" i="10"/>
  <c r="H65" i="10" s="1"/>
  <c r="H53" i="7"/>
  <c r="E5" i="7"/>
  <c r="G5" i="7" s="1"/>
  <c r="H5" i="7" s="1"/>
  <c r="K5" i="7" s="1"/>
  <c r="L5" i="7" s="1"/>
  <c r="S35" i="7" s="1"/>
  <c r="I55" i="7"/>
  <c r="H54" i="69"/>
  <c r="E89" i="69" s="1"/>
  <c r="G89" i="69" s="1"/>
  <c r="H89" i="69" s="1"/>
  <c r="B87" i="45"/>
  <c r="B88" i="45"/>
  <c r="B62" i="45"/>
  <c r="E85" i="51"/>
  <c r="G85" i="51" s="1"/>
  <c r="H85" i="51" s="1"/>
  <c r="E86" i="51"/>
  <c r="G86" i="51" s="1"/>
  <c r="H86" i="51" s="1"/>
  <c r="E95" i="51"/>
  <c r="G95" i="51" s="1"/>
  <c r="H95" i="51" s="1"/>
  <c r="E92" i="51"/>
  <c r="G92" i="51" s="1"/>
  <c r="H92" i="51" s="1"/>
  <c r="E90" i="51"/>
  <c r="G90" i="51" s="1"/>
  <c r="H90" i="51" s="1"/>
  <c r="E91" i="51"/>
  <c r="G91" i="51" s="1"/>
  <c r="H91" i="51" s="1"/>
  <c r="E87" i="51"/>
  <c r="G87" i="51" s="1"/>
  <c r="H87" i="51" s="1"/>
  <c r="E84" i="51"/>
  <c r="G84" i="51" s="1"/>
  <c r="H84" i="51" s="1"/>
  <c r="E94" i="51"/>
  <c r="G94" i="51" s="1"/>
  <c r="H94" i="51" s="1"/>
  <c r="E96" i="51"/>
  <c r="G96" i="51" s="1"/>
  <c r="H96" i="51" s="1"/>
  <c r="E88" i="51"/>
  <c r="G88" i="51" s="1"/>
  <c r="H88" i="51" s="1"/>
  <c r="E89" i="51"/>
  <c r="G89" i="51" s="1"/>
  <c r="H89" i="51" s="1"/>
  <c r="E93" i="51"/>
  <c r="G93" i="51" s="1"/>
  <c r="H93" i="51" s="1"/>
  <c r="H55" i="51"/>
  <c r="G67" i="60"/>
  <c r="H67" i="60" s="1"/>
  <c r="E69" i="60"/>
  <c r="G69" i="60" s="1"/>
  <c r="H69" i="60" s="1"/>
  <c r="E75" i="60"/>
  <c r="G75" i="60" s="1"/>
  <c r="H75" i="60" s="1"/>
  <c r="E76" i="60"/>
  <c r="G76" i="60" s="1"/>
  <c r="H76" i="60" s="1"/>
  <c r="E70" i="60"/>
  <c r="G70" i="60" s="1"/>
  <c r="H70" i="60" s="1"/>
  <c r="E68" i="60"/>
  <c r="G68" i="60" s="1"/>
  <c r="H68" i="60" s="1"/>
  <c r="E74" i="60"/>
  <c r="G74" i="60" s="1"/>
  <c r="H74" i="60" s="1"/>
  <c r="E77" i="60"/>
  <c r="G77" i="60" s="1"/>
  <c r="H77" i="60" s="1"/>
  <c r="E73" i="60"/>
  <c r="G73" i="60" s="1"/>
  <c r="H73" i="60" s="1"/>
  <c r="E72" i="60"/>
  <c r="G72" i="60" s="1"/>
  <c r="H72" i="60" s="1"/>
  <c r="E71" i="60"/>
  <c r="G71" i="60" s="1"/>
  <c r="H71" i="60" s="1"/>
  <c r="E66" i="60"/>
  <c r="G66" i="60" s="1"/>
  <c r="H66" i="60" s="1"/>
  <c r="AD30" i="60"/>
  <c r="E76" i="35"/>
  <c r="G76" i="35" s="1"/>
  <c r="H76" i="35" s="1"/>
  <c r="E77" i="35"/>
  <c r="G77" i="35" s="1"/>
  <c r="H77" i="35" s="1"/>
  <c r="E79" i="35"/>
  <c r="G79" i="35" s="1"/>
  <c r="H79" i="35" s="1"/>
  <c r="E78" i="35"/>
  <c r="G78" i="35" s="1"/>
  <c r="H78" i="35" s="1"/>
  <c r="B63" i="27"/>
  <c r="G67" i="55"/>
  <c r="H67" i="55" s="1"/>
  <c r="G66" i="55"/>
  <c r="H66" i="55" s="1"/>
  <c r="G71" i="55"/>
  <c r="H71" i="55" s="1"/>
  <c r="G70" i="55"/>
  <c r="H70" i="55" s="1"/>
  <c r="G68" i="55"/>
  <c r="H68" i="55" s="1"/>
  <c r="G73" i="55"/>
  <c r="H73" i="55" s="1"/>
  <c r="G74" i="55"/>
  <c r="H74" i="55" s="1"/>
  <c r="G69" i="55"/>
  <c r="H69" i="55" s="1"/>
  <c r="G72" i="55"/>
  <c r="H72" i="55" s="1"/>
  <c r="G71" i="54"/>
  <c r="H71" i="54" s="1"/>
  <c r="G70" i="54"/>
  <c r="H70" i="54" s="1"/>
  <c r="G69" i="54"/>
  <c r="H69" i="54" s="1"/>
  <c r="G68" i="54"/>
  <c r="H68" i="54" s="1"/>
  <c r="G67" i="54"/>
  <c r="H67" i="54" s="1"/>
  <c r="G66" i="54"/>
  <c r="H66" i="54" s="1"/>
  <c r="G68" i="38"/>
  <c r="H68" i="38" s="1"/>
  <c r="G67" i="38"/>
  <c r="H67" i="38" s="1"/>
  <c r="G66" i="38"/>
  <c r="H66" i="38" s="1"/>
  <c r="G65" i="38"/>
  <c r="H65" i="38" s="1"/>
  <c r="G71" i="38"/>
  <c r="H71" i="38" s="1"/>
  <c r="G70" i="38"/>
  <c r="H70" i="38" s="1"/>
  <c r="G69" i="38"/>
  <c r="H69" i="38" s="1"/>
  <c r="U35" i="31"/>
  <c r="G66" i="14"/>
  <c r="H66" i="14" s="1"/>
  <c r="G68" i="14"/>
  <c r="H68" i="14" s="1"/>
  <c r="G65" i="14"/>
  <c r="H65" i="14" s="1"/>
  <c r="G71" i="14"/>
  <c r="H71" i="14" s="1"/>
  <c r="G67" i="14"/>
  <c r="H67" i="14" s="1"/>
  <c r="G69" i="14"/>
  <c r="H69" i="14" s="1"/>
  <c r="G70" i="14"/>
  <c r="H70" i="14" s="1"/>
  <c r="G69" i="13"/>
  <c r="H69" i="13" s="1"/>
  <c r="G72" i="13"/>
  <c r="H72" i="13" s="1"/>
  <c r="G67" i="13"/>
  <c r="H67" i="13" s="1"/>
  <c r="G65" i="13"/>
  <c r="H65" i="13" s="1"/>
  <c r="G73" i="13"/>
  <c r="H73" i="13" s="1"/>
  <c r="G70" i="13"/>
  <c r="H70" i="13" s="1"/>
  <c r="G71" i="13"/>
  <c r="H71" i="13" s="1"/>
  <c r="G68" i="13"/>
  <c r="H68" i="13" s="1"/>
  <c r="G66" i="13"/>
  <c r="H66" i="13" s="1"/>
  <c r="E66" i="37"/>
  <c r="G66" i="37" s="1"/>
  <c r="H66" i="37" s="1"/>
  <c r="E69" i="37"/>
  <c r="G69" i="37" s="1"/>
  <c r="H69" i="37" s="1"/>
  <c r="E67" i="37"/>
  <c r="G67" i="37" s="1"/>
  <c r="H67" i="37" s="1"/>
  <c r="E70" i="37"/>
  <c r="G70" i="37" s="1"/>
  <c r="H70" i="37" s="1"/>
  <c r="E68" i="37"/>
  <c r="G68" i="37" s="1"/>
  <c r="H68" i="37" s="1"/>
  <c r="G131" i="16"/>
  <c r="H131" i="16" s="1"/>
  <c r="G130" i="16"/>
  <c r="H130" i="16" s="1"/>
  <c r="E92" i="3"/>
  <c r="G92" i="3" s="1"/>
  <c r="H92" i="3" s="1"/>
  <c r="E98" i="3"/>
  <c r="G98" i="3" s="1"/>
  <c r="H98" i="3" s="1"/>
  <c r="E102" i="3"/>
  <c r="G102" i="3" s="1"/>
  <c r="H102" i="3" s="1"/>
  <c r="E106" i="3"/>
  <c r="G106" i="3" s="1"/>
  <c r="H106" i="3" s="1"/>
  <c r="E93" i="3"/>
  <c r="G93" i="3" s="1"/>
  <c r="H93" i="3" s="1"/>
  <c r="E96" i="3"/>
  <c r="G96" i="3" s="1"/>
  <c r="H96" i="3" s="1"/>
  <c r="E99" i="3"/>
  <c r="G99" i="3" s="1"/>
  <c r="H99" i="3" s="1"/>
  <c r="E97" i="3"/>
  <c r="G97" i="3" s="1"/>
  <c r="H97" i="3" s="1"/>
  <c r="E104" i="3"/>
  <c r="G104" i="3" s="1"/>
  <c r="H104" i="3" s="1"/>
  <c r="E101" i="3"/>
  <c r="G101" i="3" s="1"/>
  <c r="H101" i="3" s="1"/>
  <c r="E103" i="3"/>
  <c r="G103" i="3" s="1"/>
  <c r="H103" i="3" s="1"/>
  <c r="E95" i="3"/>
  <c r="G95" i="3" s="1"/>
  <c r="H95" i="3" s="1"/>
  <c r="E100" i="3"/>
  <c r="G100" i="3" s="1"/>
  <c r="H100" i="3" s="1"/>
  <c r="E94" i="3"/>
  <c r="G94" i="3" s="1"/>
  <c r="H94" i="3" s="1"/>
  <c r="E105" i="3"/>
  <c r="G105" i="3" s="1"/>
  <c r="H105" i="3" s="1"/>
  <c r="E91" i="3"/>
  <c r="G91" i="3" s="1"/>
  <c r="H91" i="3" s="1"/>
  <c r="C55" i="3"/>
  <c r="D55" i="3" s="1"/>
  <c r="R48" i="3" s="1"/>
  <c r="C55" i="6"/>
  <c r="E80" i="70"/>
  <c r="G80" i="70" s="1"/>
  <c r="H80" i="70" s="1"/>
  <c r="E79" i="70"/>
  <c r="G79" i="70" s="1"/>
  <c r="H79" i="70" s="1"/>
  <c r="E78" i="70"/>
  <c r="G78" i="70" s="1"/>
  <c r="H78" i="70" s="1"/>
  <c r="E75" i="70"/>
  <c r="G75" i="70" s="1"/>
  <c r="H75" i="70" s="1"/>
  <c r="E74" i="70"/>
  <c r="G74" i="70" s="1"/>
  <c r="H74" i="70" s="1"/>
  <c r="E69" i="70"/>
  <c r="G69" i="70" s="1"/>
  <c r="H69" i="70" s="1"/>
  <c r="E68" i="70"/>
  <c r="G68" i="70" s="1"/>
  <c r="H68" i="70" s="1"/>
  <c r="E67" i="70"/>
  <c r="G67" i="70" s="1"/>
  <c r="H67" i="70" s="1"/>
  <c r="E83" i="70"/>
  <c r="G83" i="70" s="1"/>
  <c r="H83" i="70" s="1"/>
  <c r="E77" i="70"/>
  <c r="G77" i="70" s="1"/>
  <c r="H77" i="70" s="1"/>
  <c r="E76" i="70"/>
  <c r="G76" i="70" s="1"/>
  <c r="H76" i="70" s="1"/>
  <c r="E73" i="70"/>
  <c r="G73" i="70" s="1"/>
  <c r="H73" i="70" s="1"/>
  <c r="E72" i="70"/>
  <c r="G72" i="70" s="1"/>
  <c r="H72" i="70" s="1"/>
  <c r="E71" i="70"/>
  <c r="G71" i="70" s="1"/>
  <c r="H71" i="70" s="1"/>
  <c r="E66" i="70"/>
  <c r="G66" i="70" s="1"/>
  <c r="H66" i="70" s="1"/>
  <c r="E82" i="70"/>
  <c r="G82" i="70" s="1"/>
  <c r="H82" i="70" s="1"/>
  <c r="E81" i="70"/>
  <c r="G81" i="70" s="1"/>
  <c r="H81" i="70" s="1"/>
  <c r="E70" i="70"/>
  <c r="G70" i="70" s="1"/>
  <c r="H70" i="70" s="1"/>
  <c r="C54" i="70"/>
  <c r="E106" i="69"/>
  <c r="G106" i="69" s="1"/>
  <c r="H106" i="69" s="1"/>
  <c r="E105" i="69"/>
  <c r="G105" i="69" s="1"/>
  <c r="H105" i="69" s="1"/>
  <c r="E104" i="69"/>
  <c r="G104" i="69" s="1"/>
  <c r="H104" i="69" s="1"/>
  <c r="E103" i="69"/>
  <c r="G103" i="69" s="1"/>
  <c r="H103" i="69" s="1"/>
  <c r="E102" i="69"/>
  <c r="G102" i="69" s="1"/>
  <c r="H102" i="69" s="1"/>
  <c r="E101" i="69"/>
  <c r="G101" i="69" s="1"/>
  <c r="H101" i="69" s="1"/>
  <c r="E99" i="69"/>
  <c r="G99" i="69" s="1"/>
  <c r="H99" i="69" s="1"/>
  <c r="E98" i="69"/>
  <c r="G98" i="69" s="1"/>
  <c r="H98" i="69" s="1"/>
  <c r="E92" i="69"/>
  <c r="G92" i="69" s="1"/>
  <c r="H92" i="69" s="1"/>
  <c r="E91" i="69"/>
  <c r="G91" i="69" s="1"/>
  <c r="H91" i="69" s="1"/>
  <c r="E90" i="69"/>
  <c r="G90" i="69" s="1"/>
  <c r="H90" i="69" s="1"/>
  <c r="E94" i="69"/>
  <c r="G94" i="69" s="1"/>
  <c r="H94" i="69" s="1"/>
  <c r="E96" i="69"/>
  <c r="G96" i="69" s="1"/>
  <c r="H96" i="69" s="1"/>
  <c r="E95" i="69"/>
  <c r="G95" i="69" s="1"/>
  <c r="E100" i="69"/>
  <c r="G100" i="69" s="1"/>
  <c r="H100" i="69" s="1"/>
  <c r="E97" i="69"/>
  <c r="G97" i="69" s="1"/>
  <c r="H97" i="69" s="1"/>
  <c r="E93" i="69"/>
  <c r="G93" i="69" s="1"/>
  <c r="H93" i="69" s="1"/>
  <c r="B62" i="4" l="1"/>
  <c r="B119" i="4"/>
  <c r="H82" i="21"/>
  <c r="C82" i="21"/>
  <c r="B80" i="4"/>
  <c r="B100" i="4"/>
  <c r="B63" i="31"/>
  <c r="B64" i="31"/>
  <c r="H90" i="17"/>
  <c r="C90" i="17"/>
  <c r="E101" i="16"/>
  <c r="H101" i="16" s="1"/>
  <c r="G101" i="16"/>
  <c r="E92" i="41"/>
  <c r="G92" i="41"/>
  <c r="E121" i="17"/>
  <c r="G121" i="17"/>
  <c r="B63" i="61"/>
  <c r="B62" i="61"/>
  <c r="E82" i="32"/>
  <c r="B91" i="42"/>
  <c r="B62" i="42"/>
  <c r="B76" i="42"/>
  <c r="D55" i="41"/>
  <c r="B78" i="41"/>
  <c r="B62" i="41"/>
  <c r="G78" i="37"/>
  <c r="E78" i="37"/>
  <c r="D54" i="32"/>
  <c r="E103" i="32" s="1"/>
  <c r="D55" i="21"/>
  <c r="B62" i="21"/>
  <c r="E124" i="20"/>
  <c r="H124" i="20" s="1"/>
  <c r="G124" i="20"/>
  <c r="B94" i="17"/>
  <c r="B62" i="17"/>
  <c r="B93" i="17"/>
  <c r="D55" i="16"/>
  <c r="B63" i="16"/>
  <c r="G108" i="3"/>
  <c r="E108" i="3"/>
  <c r="H81" i="16"/>
  <c r="C81" i="16"/>
  <c r="B83" i="16"/>
  <c r="B105" i="16"/>
  <c r="E86" i="70"/>
  <c r="G86" i="70"/>
  <c r="D54" i="70"/>
  <c r="E110" i="70"/>
  <c r="G110" i="70" s="1"/>
  <c r="H110" i="70" s="1"/>
  <c r="AD30" i="49"/>
  <c r="AC25" i="49" s="1"/>
  <c r="H87" i="57"/>
  <c r="C87" i="57"/>
  <c r="E115" i="57"/>
  <c r="G115" i="57"/>
  <c r="C56" i="57"/>
  <c r="E153" i="57" s="1"/>
  <c r="G153" i="57" s="1"/>
  <c r="H153" i="57" s="1"/>
  <c r="B145" i="57"/>
  <c r="B169" i="57"/>
  <c r="I56" i="57"/>
  <c r="E120" i="57"/>
  <c r="G120" i="57" s="1"/>
  <c r="H120" i="57" s="1"/>
  <c r="H56" i="57"/>
  <c r="E147" i="57" s="1"/>
  <c r="G147" i="57" s="1"/>
  <c r="H147" i="57" s="1"/>
  <c r="D55" i="57"/>
  <c r="B144" i="57"/>
  <c r="C79" i="19"/>
  <c r="H79" i="19"/>
  <c r="H83" i="59"/>
  <c r="C83" i="59"/>
  <c r="E107" i="59"/>
  <c r="G107" i="59"/>
  <c r="H79" i="49"/>
  <c r="C79" i="49"/>
  <c r="E116" i="33"/>
  <c r="G116" i="33"/>
  <c r="G114" i="28"/>
  <c r="E114" i="28"/>
  <c r="B83" i="49"/>
  <c r="B63" i="49"/>
  <c r="B82" i="49"/>
  <c r="B62" i="49"/>
  <c r="D55" i="28"/>
  <c r="E140" i="28"/>
  <c r="G140" i="28" s="1"/>
  <c r="H140" i="28" s="1"/>
  <c r="E139" i="28"/>
  <c r="G139" i="28" s="1"/>
  <c r="H139" i="28" s="1"/>
  <c r="B85" i="19"/>
  <c r="B63" i="19"/>
  <c r="B84" i="19"/>
  <c r="B62" i="19"/>
  <c r="B87" i="59"/>
  <c r="B86" i="59"/>
  <c r="B62" i="59"/>
  <c r="B63" i="59"/>
  <c r="AE30" i="48"/>
  <c r="AC25" i="48" s="1"/>
  <c r="H55" i="28"/>
  <c r="E120" i="28" s="1"/>
  <c r="G120" i="28" s="1"/>
  <c r="H120" i="28" s="1"/>
  <c r="E92" i="28"/>
  <c r="G92" i="28" s="1"/>
  <c r="H92" i="28" s="1"/>
  <c r="E133" i="4"/>
  <c r="G133" i="4" s="1"/>
  <c r="H133" i="4" s="1"/>
  <c r="E130" i="4"/>
  <c r="G130" i="4" s="1"/>
  <c r="H130" i="4" s="1"/>
  <c r="E131" i="4"/>
  <c r="G131" i="4" s="1"/>
  <c r="H131" i="4" s="1"/>
  <c r="E132" i="4"/>
  <c r="G132" i="4" s="1"/>
  <c r="H132" i="4" s="1"/>
  <c r="T33" i="40"/>
  <c r="T31" i="24"/>
  <c r="AC25" i="24"/>
  <c r="AF30" i="70"/>
  <c r="AC25" i="70" s="1"/>
  <c r="AC25" i="54"/>
  <c r="T34" i="54"/>
  <c r="T34" i="38"/>
  <c r="AC25" i="38"/>
  <c r="AC25" i="55"/>
  <c r="T34" i="55"/>
  <c r="U35" i="60"/>
  <c r="AB30" i="60"/>
  <c r="AF30" i="60" s="1"/>
  <c r="AC25" i="60" s="1"/>
  <c r="U35" i="58"/>
  <c r="AC25" i="58"/>
  <c r="AB30" i="56"/>
  <c r="AE30" i="56" s="1"/>
  <c r="AC25" i="56" s="1"/>
  <c r="U35" i="56"/>
  <c r="U35" i="47"/>
  <c r="AA30" i="47"/>
  <c r="AD30" i="47" s="1"/>
  <c r="AC25" i="47" s="1"/>
  <c r="AA30" i="33"/>
  <c r="AD30" i="33" s="1"/>
  <c r="AC25" i="33" s="1"/>
  <c r="U35" i="33"/>
  <c r="C77" i="46"/>
  <c r="B63" i="17"/>
  <c r="B62" i="43"/>
  <c r="AC25" i="14"/>
  <c r="T31" i="14"/>
  <c r="AC25" i="13"/>
  <c r="T31" i="13"/>
  <c r="AB30" i="3"/>
  <c r="AF30" i="3" s="1"/>
  <c r="AC25" i="3" s="1"/>
  <c r="AA30" i="7"/>
  <c r="U35" i="7"/>
  <c r="V48" i="3"/>
  <c r="Y48" i="3" s="1"/>
  <c r="W48" i="3"/>
  <c r="AC25" i="53"/>
  <c r="H106" i="50"/>
  <c r="C106" i="50"/>
  <c r="H87" i="28"/>
  <c r="C87" i="28"/>
  <c r="E123" i="28"/>
  <c r="G123" i="28" s="1"/>
  <c r="H123" i="28" s="1"/>
  <c r="E127" i="28"/>
  <c r="G127" i="28" s="1"/>
  <c r="H127" i="28" s="1"/>
  <c r="E130" i="28"/>
  <c r="G130" i="28" s="1"/>
  <c r="H130" i="28" s="1"/>
  <c r="E135" i="28"/>
  <c r="G135" i="28" s="1"/>
  <c r="H135" i="28" s="1"/>
  <c r="E138" i="28"/>
  <c r="G138" i="28" s="1"/>
  <c r="H138" i="28" s="1"/>
  <c r="E124" i="28"/>
  <c r="G124" i="28" s="1"/>
  <c r="H124" i="28" s="1"/>
  <c r="E126" i="28"/>
  <c r="G126" i="28" s="1"/>
  <c r="H126" i="28" s="1"/>
  <c r="E129" i="28"/>
  <c r="G129" i="28" s="1"/>
  <c r="H129" i="28" s="1"/>
  <c r="E132" i="28"/>
  <c r="G132" i="28" s="1"/>
  <c r="H132" i="28" s="1"/>
  <c r="E136" i="28"/>
  <c r="G136" i="28" s="1"/>
  <c r="H136" i="28" s="1"/>
  <c r="E121" i="28"/>
  <c r="G121" i="28" s="1"/>
  <c r="H121" i="28" s="1"/>
  <c r="E128" i="28"/>
  <c r="G128" i="28" s="1"/>
  <c r="H128" i="28" s="1"/>
  <c r="E133" i="28"/>
  <c r="G133" i="28" s="1"/>
  <c r="H133" i="28" s="1"/>
  <c r="E122" i="28"/>
  <c r="G122" i="28" s="1"/>
  <c r="H122" i="28" s="1"/>
  <c r="E125" i="28"/>
  <c r="G125" i="28" s="1"/>
  <c r="H125" i="28" s="1"/>
  <c r="E131" i="28"/>
  <c r="G131" i="28" s="1"/>
  <c r="H131" i="28" s="1"/>
  <c r="E134" i="28"/>
  <c r="G134" i="28" s="1"/>
  <c r="H134" i="28" s="1"/>
  <c r="E137" i="28"/>
  <c r="G137" i="28" s="1"/>
  <c r="H137" i="28" s="1"/>
  <c r="B118" i="28"/>
  <c r="B117" i="28"/>
  <c r="C79" i="56"/>
  <c r="H110" i="8"/>
  <c r="C110" i="8"/>
  <c r="G135" i="8"/>
  <c r="E135" i="8"/>
  <c r="H80" i="61"/>
  <c r="C80" i="61"/>
  <c r="H76" i="41"/>
  <c r="C76" i="41"/>
  <c r="D55" i="69"/>
  <c r="B62" i="69"/>
  <c r="C82" i="62"/>
  <c r="H82" i="62"/>
  <c r="E84" i="60"/>
  <c r="G84" i="60" s="1"/>
  <c r="H84" i="60" s="1"/>
  <c r="H55" i="60"/>
  <c r="D54" i="60"/>
  <c r="E85" i="60"/>
  <c r="G85" i="60" s="1"/>
  <c r="H85" i="60" s="1"/>
  <c r="D54" i="54"/>
  <c r="G73" i="53"/>
  <c r="E73" i="53"/>
  <c r="G83" i="47"/>
  <c r="E83" i="47"/>
  <c r="D55" i="42"/>
  <c r="G103" i="42" s="1"/>
  <c r="C103" i="42" s="1"/>
  <c r="B63" i="42"/>
  <c r="B77" i="42"/>
  <c r="B92" i="42"/>
  <c r="E95" i="42"/>
  <c r="G95" i="42" s="1"/>
  <c r="H95" i="42" s="1"/>
  <c r="E96" i="42"/>
  <c r="G96" i="42" s="1"/>
  <c r="H96" i="42" s="1"/>
  <c r="E97" i="42"/>
  <c r="G97" i="42" s="1"/>
  <c r="H97" i="42" s="1"/>
  <c r="E98" i="42"/>
  <c r="G98" i="42" s="1"/>
  <c r="H98" i="42" s="1"/>
  <c r="E99" i="42"/>
  <c r="G99" i="42" s="1"/>
  <c r="H99" i="42" s="1"/>
  <c r="E100" i="42"/>
  <c r="G100" i="42" s="1"/>
  <c r="H100" i="42" s="1"/>
  <c r="E101" i="42"/>
  <c r="G101" i="42" s="1"/>
  <c r="H101" i="42" s="1"/>
  <c r="E94" i="42"/>
  <c r="G94" i="42" s="1"/>
  <c r="H94" i="42" s="1"/>
  <c r="B111" i="31"/>
  <c r="E93" i="31"/>
  <c r="G93" i="31" s="1"/>
  <c r="H93" i="31" s="1"/>
  <c r="E100" i="31"/>
  <c r="G100" i="31" s="1"/>
  <c r="H100" i="31" s="1"/>
  <c r="E105" i="31"/>
  <c r="G105" i="31" s="1"/>
  <c r="H105" i="31" s="1"/>
  <c r="E106" i="31"/>
  <c r="G106" i="31" s="1"/>
  <c r="H106" i="31" s="1"/>
  <c r="E108" i="31"/>
  <c r="G108" i="31" s="1"/>
  <c r="H108" i="31" s="1"/>
  <c r="E109" i="31"/>
  <c r="G109" i="31" s="1"/>
  <c r="H109" i="31" s="1"/>
  <c r="E92" i="31"/>
  <c r="G92" i="31" s="1"/>
  <c r="H92" i="31" s="1"/>
  <c r="E94" i="31"/>
  <c r="G94" i="31" s="1"/>
  <c r="H94" i="31" s="1"/>
  <c r="E95" i="31"/>
  <c r="G95" i="31" s="1"/>
  <c r="H95" i="31" s="1"/>
  <c r="E96" i="31"/>
  <c r="G96" i="31" s="1"/>
  <c r="H96" i="31" s="1"/>
  <c r="E98" i="31"/>
  <c r="G98" i="31" s="1"/>
  <c r="H98" i="31" s="1"/>
  <c r="E99" i="31"/>
  <c r="G99" i="31" s="1"/>
  <c r="H99" i="31" s="1"/>
  <c r="E102" i="31"/>
  <c r="G102" i="31" s="1"/>
  <c r="H102" i="31" s="1"/>
  <c r="E104" i="31"/>
  <c r="G104" i="31" s="1"/>
  <c r="H104" i="31" s="1"/>
  <c r="E107" i="31"/>
  <c r="G107" i="31" s="1"/>
  <c r="H107" i="31" s="1"/>
  <c r="E91" i="31"/>
  <c r="G91" i="31" s="1"/>
  <c r="H91" i="31" s="1"/>
  <c r="E97" i="31"/>
  <c r="G97" i="31" s="1"/>
  <c r="H97" i="31" s="1"/>
  <c r="E101" i="31"/>
  <c r="G101" i="31" s="1"/>
  <c r="H101" i="31" s="1"/>
  <c r="E103" i="31"/>
  <c r="G103" i="31" s="1"/>
  <c r="H103" i="31" s="1"/>
  <c r="C55" i="55"/>
  <c r="D54" i="55"/>
  <c r="C55" i="38"/>
  <c r="D54" i="38"/>
  <c r="B63" i="4"/>
  <c r="B120" i="4"/>
  <c r="E125" i="7"/>
  <c r="H125" i="7" s="1"/>
  <c r="G125" i="7"/>
  <c r="B87" i="69"/>
  <c r="B86" i="69"/>
  <c r="C88" i="33"/>
  <c r="B129" i="7"/>
  <c r="B106" i="7"/>
  <c r="B63" i="7"/>
  <c r="E138" i="7"/>
  <c r="G138" i="7" s="1"/>
  <c r="H138" i="7" s="1"/>
  <c r="E146" i="7"/>
  <c r="G146" i="7" s="1"/>
  <c r="H146" i="7" s="1"/>
  <c r="E143" i="7"/>
  <c r="G143" i="7" s="1"/>
  <c r="H143" i="7" s="1"/>
  <c r="E137" i="7"/>
  <c r="G137" i="7" s="1"/>
  <c r="H137" i="7" s="1"/>
  <c r="E145" i="7"/>
  <c r="G145" i="7" s="1"/>
  <c r="H145" i="7" s="1"/>
  <c r="E139" i="7"/>
  <c r="G139" i="7" s="1"/>
  <c r="H139" i="7" s="1"/>
  <c r="E133" i="7"/>
  <c r="G133" i="7" s="1"/>
  <c r="H133" i="7" s="1"/>
  <c r="D56" i="7"/>
  <c r="E134" i="7"/>
  <c r="G134" i="7" s="1"/>
  <c r="H134" i="7" s="1"/>
  <c r="E142" i="7"/>
  <c r="G142" i="7" s="1"/>
  <c r="H142" i="7" s="1"/>
  <c r="E140" i="7"/>
  <c r="G140" i="7" s="1"/>
  <c r="H140" i="7" s="1"/>
  <c r="E141" i="7"/>
  <c r="G141" i="7" s="1"/>
  <c r="H141" i="7" s="1"/>
  <c r="E144" i="7"/>
  <c r="G144" i="7" s="1"/>
  <c r="H144" i="7" s="1"/>
  <c r="E135" i="7"/>
  <c r="G135" i="7" s="1"/>
  <c r="H135" i="7" s="1"/>
  <c r="E136" i="7"/>
  <c r="G136" i="7" s="1"/>
  <c r="H136" i="7" s="1"/>
  <c r="I56" i="7"/>
  <c r="B148" i="7"/>
  <c r="B62" i="7"/>
  <c r="B107" i="7"/>
  <c r="B130" i="7"/>
  <c r="B85" i="7"/>
  <c r="E124" i="4"/>
  <c r="G124" i="4" s="1"/>
  <c r="H124" i="4" s="1"/>
  <c r="D56" i="4"/>
  <c r="E135" i="4"/>
  <c r="H135" i="4" s="1"/>
  <c r="E126" i="4"/>
  <c r="G126" i="4" s="1"/>
  <c r="H126" i="4" s="1"/>
  <c r="E127" i="4"/>
  <c r="G127" i="4" s="1"/>
  <c r="H127" i="4" s="1"/>
  <c r="B81" i="4"/>
  <c r="E129" i="4"/>
  <c r="G129" i="4" s="1"/>
  <c r="H129" i="4" s="1"/>
  <c r="B101" i="4"/>
  <c r="E125" i="4"/>
  <c r="G125" i="4" s="1"/>
  <c r="H125" i="4" s="1"/>
  <c r="E123" i="4"/>
  <c r="G123" i="4" s="1"/>
  <c r="H123" i="4" s="1"/>
  <c r="E128" i="4"/>
  <c r="G128" i="4" s="1"/>
  <c r="H128" i="4" s="1"/>
  <c r="G130" i="50"/>
  <c r="E130" i="50"/>
  <c r="B63" i="69"/>
  <c r="C129" i="45"/>
  <c r="H129" i="45"/>
  <c r="G135" i="4"/>
  <c r="G101" i="48"/>
  <c r="E101" i="48"/>
  <c r="G136" i="3"/>
  <c r="E136" i="3"/>
  <c r="E122" i="23"/>
  <c r="G122" i="23"/>
  <c r="E120" i="23"/>
  <c r="G120" i="23" s="1"/>
  <c r="H120" i="23" s="1"/>
  <c r="E108" i="23"/>
  <c r="G108" i="23" s="1"/>
  <c r="H108" i="23" s="1"/>
  <c r="G79" i="60"/>
  <c r="E79" i="60"/>
  <c r="H55" i="48"/>
  <c r="E106" i="48" s="1"/>
  <c r="G106" i="48" s="1"/>
  <c r="H106" i="48" s="1"/>
  <c r="E87" i="48"/>
  <c r="G87" i="48" s="1"/>
  <c r="H87" i="48" s="1"/>
  <c r="G107" i="47"/>
  <c r="B90" i="33"/>
  <c r="D55" i="33"/>
  <c r="E118" i="23"/>
  <c r="G118" i="23" s="1"/>
  <c r="H118" i="23" s="1"/>
  <c r="E111" i="23"/>
  <c r="G111" i="23" s="1"/>
  <c r="H111" i="23" s="1"/>
  <c r="H56" i="23"/>
  <c r="E107" i="23"/>
  <c r="G107" i="23" s="1"/>
  <c r="H107" i="23" s="1"/>
  <c r="E115" i="23"/>
  <c r="G115" i="23" s="1"/>
  <c r="H115" i="23" s="1"/>
  <c r="E113" i="23"/>
  <c r="G113" i="23" s="1"/>
  <c r="H113" i="23" s="1"/>
  <c r="E110" i="23"/>
  <c r="G110" i="23" s="1"/>
  <c r="H110" i="23" s="1"/>
  <c r="E116" i="23"/>
  <c r="G116" i="23" s="1"/>
  <c r="H116" i="23" s="1"/>
  <c r="E119" i="23"/>
  <c r="G119" i="23" s="1"/>
  <c r="H119" i="23" s="1"/>
  <c r="E117" i="23"/>
  <c r="G117" i="23" s="1"/>
  <c r="H117" i="23" s="1"/>
  <c r="E114" i="23"/>
  <c r="G114" i="23" s="1"/>
  <c r="H114" i="23" s="1"/>
  <c r="E109" i="23"/>
  <c r="G109" i="23" s="1"/>
  <c r="H109" i="23" s="1"/>
  <c r="E112" i="23"/>
  <c r="G112" i="23" s="1"/>
  <c r="H112" i="23" s="1"/>
  <c r="I57" i="23"/>
  <c r="D55" i="17"/>
  <c r="B75" i="6"/>
  <c r="D55" i="6"/>
  <c r="E103" i="66"/>
  <c r="G103" i="66" s="1"/>
  <c r="H103" i="66" s="1"/>
  <c r="E97" i="66"/>
  <c r="G97" i="66" s="1"/>
  <c r="H97" i="66" s="1"/>
  <c r="H56" i="66"/>
  <c r="E99" i="66"/>
  <c r="G99" i="66" s="1"/>
  <c r="H99" i="66" s="1"/>
  <c r="E105" i="66"/>
  <c r="G105" i="66" s="1"/>
  <c r="H105" i="66" s="1"/>
  <c r="E102" i="66"/>
  <c r="G102" i="66" s="1"/>
  <c r="H102" i="66" s="1"/>
  <c r="E104" i="66"/>
  <c r="G104" i="66" s="1"/>
  <c r="H104" i="66" s="1"/>
  <c r="E101" i="66"/>
  <c r="G101" i="66" s="1"/>
  <c r="H101" i="66" s="1"/>
  <c r="E100" i="66"/>
  <c r="G100" i="66" s="1"/>
  <c r="H100" i="66" s="1"/>
  <c r="E98" i="66"/>
  <c r="G98" i="66" s="1"/>
  <c r="H98" i="66" s="1"/>
  <c r="H108" i="69"/>
  <c r="C108" i="69"/>
  <c r="B155" i="66"/>
  <c r="H155" i="66" s="1"/>
  <c r="I58" i="66"/>
  <c r="B139" i="66"/>
  <c r="H139" i="66" s="1"/>
  <c r="I57" i="66"/>
  <c r="H106" i="58"/>
  <c r="C106" i="58"/>
  <c r="B62" i="57"/>
  <c r="H99" i="56"/>
  <c r="C99" i="56"/>
  <c r="G66" i="53"/>
  <c r="H66" i="53" s="1"/>
  <c r="H99" i="49"/>
  <c r="C99" i="49"/>
  <c r="H79" i="48"/>
  <c r="C79" i="48"/>
  <c r="H107" i="44"/>
  <c r="C107" i="44"/>
  <c r="H98" i="43"/>
  <c r="C98" i="43"/>
  <c r="H126" i="29"/>
  <c r="C126" i="29"/>
  <c r="B108" i="29" s="1"/>
  <c r="H55" i="25"/>
  <c r="H100" i="23"/>
  <c r="C100" i="23"/>
  <c r="H107" i="18"/>
  <c r="C107" i="18"/>
  <c r="C101" i="19"/>
  <c r="B106" i="16"/>
  <c r="H123" i="15"/>
  <c r="C123" i="15"/>
  <c r="H86" i="6"/>
  <c r="C86" i="6"/>
  <c r="H116" i="4"/>
  <c r="C116" i="4"/>
  <c r="B63" i="3"/>
  <c r="C55" i="54"/>
  <c r="D55" i="54" s="1"/>
  <c r="C55" i="31"/>
  <c r="D55" i="31" s="1"/>
  <c r="H82" i="10"/>
  <c r="C82" i="10"/>
  <c r="E95" i="10"/>
  <c r="G95" i="10"/>
  <c r="H55" i="19"/>
  <c r="H56" i="4"/>
  <c r="E122" i="4" s="1"/>
  <c r="G122" i="4" s="1"/>
  <c r="H122" i="4" s="1"/>
  <c r="E103" i="4"/>
  <c r="G103" i="4" s="1"/>
  <c r="H103" i="4" s="1"/>
  <c r="B62" i="46"/>
  <c r="B63" i="46"/>
  <c r="C55" i="40"/>
  <c r="D55" i="40" s="1"/>
  <c r="C56" i="39"/>
  <c r="D56" i="39" s="1"/>
  <c r="C55" i="24"/>
  <c r="C55" i="14"/>
  <c r="D55" i="14" s="1"/>
  <c r="C55" i="13"/>
  <c r="D55" i="13" s="1"/>
  <c r="D56" i="82"/>
  <c r="E117" i="16"/>
  <c r="G117" i="16" s="1"/>
  <c r="H117" i="16" s="1"/>
  <c r="E118" i="16"/>
  <c r="G118" i="16" s="1"/>
  <c r="H118" i="16" s="1"/>
  <c r="E119" i="16"/>
  <c r="G119" i="16" s="1"/>
  <c r="H119" i="16" s="1"/>
  <c r="E120" i="16"/>
  <c r="G120" i="16" s="1"/>
  <c r="H120" i="16" s="1"/>
  <c r="E121" i="16"/>
  <c r="G121" i="16" s="1"/>
  <c r="H121" i="16" s="1"/>
  <c r="E115" i="16"/>
  <c r="G115" i="16" s="1"/>
  <c r="H115" i="16" s="1"/>
  <c r="E114" i="16"/>
  <c r="G114" i="16" s="1"/>
  <c r="H114" i="16" s="1"/>
  <c r="E116" i="16"/>
  <c r="G116" i="16" s="1"/>
  <c r="H116" i="16" s="1"/>
  <c r="B84" i="16"/>
  <c r="B64" i="16"/>
  <c r="B79" i="41"/>
  <c r="B63" i="41"/>
  <c r="H55" i="70"/>
  <c r="E118" i="70" s="1"/>
  <c r="G118" i="70" s="1"/>
  <c r="H118" i="70" s="1"/>
  <c r="E91" i="70"/>
  <c r="G91" i="70" s="1"/>
  <c r="H91" i="70" s="1"/>
  <c r="B90" i="57"/>
  <c r="E98" i="48"/>
  <c r="G98" i="48" s="1"/>
  <c r="H98" i="48" s="1"/>
  <c r="C55" i="48"/>
  <c r="D55" i="48" s="1"/>
  <c r="E88" i="48"/>
  <c r="G88" i="48" s="1"/>
  <c r="H88" i="48" s="1"/>
  <c r="E93" i="48"/>
  <c r="G93" i="48" s="1"/>
  <c r="H93" i="48" s="1"/>
  <c r="E92" i="48"/>
  <c r="G92" i="48" s="1"/>
  <c r="H92" i="48" s="1"/>
  <c r="E97" i="48"/>
  <c r="G97" i="48" s="1"/>
  <c r="H97" i="48" s="1"/>
  <c r="E90" i="48"/>
  <c r="G90" i="48" s="1"/>
  <c r="H90" i="48" s="1"/>
  <c r="E94" i="48"/>
  <c r="G94" i="48" s="1"/>
  <c r="H94" i="48" s="1"/>
  <c r="E89" i="48"/>
  <c r="G89" i="48" s="1"/>
  <c r="H89" i="48" s="1"/>
  <c r="E99" i="48"/>
  <c r="G99" i="48" s="1"/>
  <c r="H99" i="48" s="1"/>
  <c r="E91" i="48"/>
  <c r="G91" i="48" s="1"/>
  <c r="H91" i="48" s="1"/>
  <c r="E96" i="48"/>
  <c r="G96" i="48" s="1"/>
  <c r="H96" i="48" s="1"/>
  <c r="E95" i="48"/>
  <c r="G95" i="48" s="1"/>
  <c r="H95" i="48" s="1"/>
  <c r="B63" i="62"/>
  <c r="B62" i="62"/>
  <c r="E100" i="47"/>
  <c r="G100" i="47" s="1"/>
  <c r="H100" i="47" s="1"/>
  <c r="E93" i="47"/>
  <c r="G93" i="47" s="1"/>
  <c r="H93" i="47" s="1"/>
  <c r="E91" i="47"/>
  <c r="G91" i="47" s="1"/>
  <c r="H91" i="47" s="1"/>
  <c r="E97" i="47"/>
  <c r="G97" i="47" s="1"/>
  <c r="H97" i="47" s="1"/>
  <c r="E103" i="47"/>
  <c r="G103" i="47" s="1"/>
  <c r="H103" i="47" s="1"/>
  <c r="E99" i="47"/>
  <c r="G99" i="47" s="1"/>
  <c r="H99" i="47" s="1"/>
  <c r="E95" i="47"/>
  <c r="G95" i="47" s="1"/>
  <c r="H95" i="47" s="1"/>
  <c r="E102" i="47"/>
  <c r="G102" i="47" s="1"/>
  <c r="H102" i="47" s="1"/>
  <c r="E96" i="47"/>
  <c r="G96" i="47" s="1"/>
  <c r="H96" i="47" s="1"/>
  <c r="E94" i="47"/>
  <c r="G94" i="47" s="1"/>
  <c r="H94" i="47" s="1"/>
  <c r="E105" i="47"/>
  <c r="G105" i="47" s="1"/>
  <c r="H105" i="47" s="1"/>
  <c r="E98" i="47"/>
  <c r="G98" i="47" s="1"/>
  <c r="H98" i="47" s="1"/>
  <c r="E101" i="47"/>
  <c r="G101" i="47" s="1"/>
  <c r="H101" i="47" s="1"/>
  <c r="E92" i="47"/>
  <c r="G92" i="47" s="1"/>
  <c r="H92" i="47" s="1"/>
  <c r="E90" i="47"/>
  <c r="G90" i="47" s="1"/>
  <c r="H90" i="47" s="1"/>
  <c r="E104" i="47"/>
  <c r="G104" i="47" s="1"/>
  <c r="H104" i="47" s="1"/>
  <c r="C55" i="47"/>
  <c r="D55" i="47" s="1"/>
  <c r="B63" i="28"/>
  <c r="B62" i="28"/>
  <c r="B89" i="28"/>
  <c r="B90" i="28"/>
  <c r="E136" i="57"/>
  <c r="G136" i="57" s="1"/>
  <c r="H136" i="57" s="1"/>
  <c r="E124" i="57"/>
  <c r="G124" i="57" s="1"/>
  <c r="H124" i="57" s="1"/>
  <c r="E123" i="57"/>
  <c r="G123" i="57" s="1"/>
  <c r="H123" i="57" s="1"/>
  <c r="E132" i="57"/>
  <c r="G132" i="57" s="1"/>
  <c r="H132" i="57" s="1"/>
  <c r="B63" i="15"/>
  <c r="B95" i="15"/>
  <c r="B94" i="15"/>
  <c r="B63" i="57"/>
  <c r="B91" i="57"/>
  <c r="B117" i="57"/>
  <c r="B118" i="57"/>
  <c r="E134" i="57"/>
  <c r="G134" i="57" s="1"/>
  <c r="H134" i="57" s="1"/>
  <c r="E138" i="57"/>
  <c r="G138" i="57" s="1"/>
  <c r="H138" i="57" s="1"/>
  <c r="E137" i="57"/>
  <c r="G137" i="57" s="1"/>
  <c r="H137" i="57" s="1"/>
  <c r="E140" i="57"/>
  <c r="G140" i="57" s="1"/>
  <c r="H140" i="57" s="1"/>
  <c r="E122" i="57"/>
  <c r="G122" i="57" s="1"/>
  <c r="H122" i="57" s="1"/>
  <c r="E130" i="57"/>
  <c r="G130" i="57" s="1"/>
  <c r="H130" i="57" s="1"/>
  <c r="E133" i="57"/>
  <c r="G133" i="57" s="1"/>
  <c r="H133" i="57" s="1"/>
  <c r="E127" i="57"/>
  <c r="G127" i="57" s="1"/>
  <c r="H127" i="57" s="1"/>
  <c r="E135" i="57"/>
  <c r="G135" i="57" s="1"/>
  <c r="H135" i="57" s="1"/>
  <c r="E121" i="57"/>
  <c r="G121" i="57" s="1"/>
  <c r="H121" i="57" s="1"/>
  <c r="E125" i="57"/>
  <c r="G125" i="57" s="1"/>
  <c r="H125" i="57" s="1"/>
  <c r="E131" i="57"/>
  <c r="G131" i="57" s="1"/>
  <c r="H131" i="57" s="1"/>
  <c r="E128" i="57"/>
  <c r="G128" i="57" s="1"/>
  <c r="H128" i="57" s="1"/>
  <c r="E129" i="57"/>
  <c r="G129" i="57" s="1"/>
  <c r="H129" i="57" s="1"/>
  <c r="E139" i="57"/>
  <c r="G139" i="57" s="1"/>
  <c r="H139" i="57" s="1"/>
  <c r="E126" i="57"/>
  <c r="G126" i="57" s="1"/>
  <c r="H126" i="57" s="1"/>
  <c r="G81" i="42"/>
  <c r="H81" i="42" s="1"/>
  <c r="G86" i="42"/>
  <c r="H86" i="42" s="1"/>
  <c r="G85" i="42"/>
  <c r="H85" i="42" s="1"/>
  <c r="G79" i="42"/>
  <c r="H79" i="42" s="1"/>
  <c r="G80" i="42"/>
  <c r="H80" i="42" s="1"/>
  <c r="G82" i="42"/>
  <c r="H82" i="42" s="1"/>
  <c r="G83" i="42"/>
  <c r="H83" i="42" s="1"/>
  <c r="G84" i="42"/>
  <c r="H84" i="42" s="1"/>
  <c r="B62" i="15"/>
  <c r="B85" i="58"/>
  <c r="B86" i="58"/>
  <c r="B63" i="58"/>
  <c r="B82" i="56"/>
  <c r="C55" i="53"/>
  <c r="B82" i="43"/>
  <c r="B81" i="43"/>
  <c r="B63" i="43"/>
  <c r="B87" i="18"/>
  <c r="B62" i="18"/>
  <c r="B63" i="18"/>
  <c r="B88" i="18"/>
  <c r="B83" i="56"/>
  <c r="B62" i="44"/>
  <c r="B63" i="21"/>
  <c r="E112" i="16"/>
  <c r="G112" i="16" s="1"/>
  <c r="H112" i="16" s="1"/>
  <c r="E109" i="16"/>
  <c r="G109" i="16" s="1"/>
  <c r="H109" i="16" s="1"/>
  <c r="E110" i="16"/>
  <c r="G110" i="16" s="1"/>
  <c r="H110" i="16" s="1"/>
  <c r="E111" i="16"/>
  <c r="G111" i="16" s="1"/>
  <c r="H111" i="16" s="1"/>
  <c r="E113" i="16"/>
  <c r="G113" i="16" s="1"/>
  <c r="H113" i="16" s="1"/>
  <c r="B127" i="16"/>
  <c r="B62" i="56"/>
  <c r="B63" i="56"/>
  <c r="H56" i="51"/>
  <c r="B62" i="51" s="1"/>
  <c r="B63" i="44"/>
  <c r="B87" i="44"/>
  <c r="B88" i="44"/>
  <c r="E108" i="20"/>
  <c r="E90" i="10"/>
  <c r="G90" i="10" s="1"/>
  <c r="H90" i="10" s="1"/>
  <c r="E91" i="10"/>
  <c r="G91" i="10" s="1"/>
  <c r="H91" i="10" s="1"/>
  <c r="E92" i="10"/>
  <c r="G92" i="10" s="1"/>
  <c r="H92" i="10" s="1"/>
  <c r="E89" i="10"/>
  <c r="G89" i="10" s="1"/>
  <c r="H89" i="10" s="1"/>
  <c r="E93" i="10"/>
  <c r="G93" i="10" s="1"/>
  <c r="H93" i="10" s="1"/>
  <c r="H56" i="10"/>
  <c r="C55" i="37"/>
  <c r="D55" i="37" s="1"/>
  <c r="B63" i="35"/>
  <c r="E93" i="35"/>
  <c r="G93" i="35" s="1"/>
  <c r="H93" i="35" s="1"/>
  <c r="B73" i="35"/>
  <c r="E92" i="35"/>
  <c r="G92" i="35" s="1"/>
  <c r="H92" i="35" s="1"/>
  <c r="E90" i="35"/>
  <c r="G90" i="35" s="1"/>
  <c r="H90" i="35" s="1"/>
  <c r="B87" i="3"/>
  <c r="E89" i="35"/>
  <c r="G89" i="35" s="1"/>
  <c r="H89" i="35" s="1"/>
  <c r="B62" i="35"/>
  <c r="E91" i="35"/>
  <c r="G91" i="35" s="1"/>
  <c r="H91" i="35" s="1"/>
  <c r="B74" i="35"/>
  <c r="B86" i="35"/>
  <c r="B63" i="33"/>
  <c r="B62" i="33"/>
  <c r="B89" i="31"/>
  <c r="B88" i="31"/>
  <c r="B76" i="6"/>
  <c r="B62" i="3"/>
  <c r="B115" i="3"/>
  <c r="B114" i="3"/>
  <c r="B62" i="58"/>
  <c r="H54" i="56"/>
  <c r="E85" i="56" s="1"/>
  <c r="G85" i="56" s="1"/>
  <c r="H85" i="56" s="1"/>
  <c r="H54" i="58"/>
  <c r="E88" i="58" s="1"/>
  <c r="G88" i="58" s="1"/>
  <c r="H88" i="58" s="1"/>
  <c r="G65" i="47"/>
  <c r="H65" i="47" s="1"/>
  <c r="H54" i="47"/>
  <c r="E89" i="47" s="1"/>
  <c r="G89" i="47" s="1"/>
  <c r="H89" i="47" s="1"/>
  <c r="E101" i="32"/>
  <c r="G101" i="32" s="1"/>
  <c r="H101" i="32" s="1"/>
  <c r="E96" i="32"/>
  <c r="G96" i="32" s="1"/>
  <c r="H96" i="32" s="1"/>
  <c r="E95" i="32"/>
  <c r="G95" i="32" s="1"/>
  <c r="H95" i="32" s="1"/>
  <c r="E94" i="32"/>
  <c r="G94" i="32" s="1"/>
  <c r="H94" i="32" s="1"/>
  <c r="E93" i="32"/>
  <c r="G93" i="32" s="1"/>
  <c r="H93" i="32" s="1"/>
  <c r="E92" i="32"/>
  <c r="G92" i="32" s="1"/>
  <c r="H92" i="32" s="1"/>
  <c r="E90" i="32"/>
  <c r="G90" i="32" s="1"/>
  <c r="H90" i="32" s="1"/>
  <c r="E89" i="32"/>
  <c r="G89" i="32" s="1"/>
  <c r="H89" i="32" s="1"/>
  <c r="G87" i="32"/>
  <c r="H87" i="32" s="1"/>
  <c r="E100" i="32"/>
  <c r="G100" i="32" s="1"/>
  <c r="H100" i="32" s="1"/>
  <c r="E91" i="32"/>
  <c r="G91" i="32" s="1"/>
  <c r="H91" i="32" s="1"/>
  <c r="E88" i="32"/>
  <c r="G88" i="32" s="1"/>
  <c r="H88" i="32" s="1"/>
  <c r="E97" i="32"/>
  <c r="G97" i="32" s="1"/>
  <c r="H97" i="32" s="1"/>
  <c r="C55" i="32"/>
  <c r="B84" i="32" s="1"/>
  <c r="E99" i="32"/>
  <c r="G99" i="32" s="1"/>
  <c r="H99" i="32" s="1"/>
  <c r="E98" i="32"/>
  <c r="G98" i="32" s="1"/>
  <c r="H98" i="32" s="1"/>
  <c r="H54" i="33"/>
  <c r="E93" i="33" s="1"/>
  <c r="G93" i="33" s="1"/>
  <c r="H93" i="33" s="1"/>
  <c r="B91" i="33"/>
  <c r="G105" i="33"/>
  <c r="H105" i="33" s="1"/>
  <c r="G94" i="33"/>
  <c r="H94" i="33" s="1"/>
  <c r="G104" i="33"/>
  <c r="H104" i="33" s="1"/>
  <c r="G98" i="33"/>
  <c r="H98" i="33" s="1"/>
  <c r="G96" i="33"/>
  <c r="H96" i="33" s="1"/>
  <c r="G99" i="33"/>
  <c r="H99" i="33" s="1"/>
  <c r="G103" i="33"/>
  <c r="H103" i="33" s="1"/>
  <c r="G112" i="33"/>
  <c r="H112" i="33" s="1"/>
  <c r="G102" i="33"/>
  <c r="H102" i="33" s="1"/>
  <c r="G111" i="33"/>
  <c r="H111" i="33" s="1"/>
  <c r="G109" i="33"/>
  <c r="H109" i="33" s="1"/>
  <c r="G110" i="33"/>
  <c r="H110" i="33" s="1"/>
  <c r="E65" i="7"/>
  <c r="D65" i="7"/>
  <c r="H54" i="7"/>
  <c r="H55" i="69"/>
  <c r="E105" i="51"/>
  <c r="G105" i="51" s="1"/>
  <c r="H105" i="51" s="1"/>
  <c r="E113" i="51"/>
  <c r="G113" i="51" s="1"/>
  <c r="H113" i="51" s="1"/>
  <c r="E115" i="51"/>
  <c r="G115" i="51" s="1"/>
  <c r="H115" i="51" s="1"/>
  <c r="E106" i="51"/>
  <c r="G106" i="51" s="1"/>
  <c r="H106" i="51" s="1"/>
  <c r="E114" i="51"/>
  <c r="G114" i="51" s="1"/>
  <c r="H114" i="51" s="1"/>
  <c r="E116" i="51"/>
  <c r="G116" i="51" s="1"/>
  <c r="H116" i="51" s="1"/>
  <c r="E109" i="51"/>
  <c r="G109" i="51" s="1"/>
  <c r="H109" i="51" s="1"/>
  <c r="E117" i="51"/>
  <c r="G117" i="51" s="1"/>
  <c r="H117" i="51" s="1"/>
  <c r="E110" i="51"/>
  <c r="G110" i="51" s="1"/>
  <c r="H110" i="51" s="1"/>
  <c r="E107" i="51"/>
  <c r="G107" i="51" s="1"/>
  <c r="H107" i="51" s="1"/>
  <c r="E111" i="51"/>
  <c r="G111" i="51" s="1"/>
  <c r="H111" i="51" s="1"/>
  <c r="E112" i="51"/>
  <c r="G112" i="51" s="1"/>
  <c r="H112" i="51" s="1"/>
  <c r="E108" i="51"/>
  <c r="G108" i="51" s="1"/>
  <c r="H108" i="51" s="1"/>
  <c r="E94" i="60"/>
  <c r="G94" i="60" s="1"/>
  <c r="H94" i="60" s="1"/>
  <c r="E96" i="60"/>
  <c r="G96" i="60" s="1"/>
  <c r="H96" i="60" s="1"/>
  <c r="E87" i="60"/>
  <c r="G87" i="60" s="1"/>
  <c r="H87" i="60" s="1"/>
  <c r="E86" i="60"/>
  <c r="G86" i="60" s="1"/>
  <c r="H86" i="60" s="1"/>
  <c r="E91" i="60"/>
  <c r="G91" i="60" s="1"/>
  <c r="H91" i="60" s="1"/>
  <c r="E90" i="60"/>
  <c r="G90" i="60" s="1"/>
  <c r="H90" i="60" s="1"/>
  <c r="E92" i="60"/>
  <c r="G92" i="60" s="1"/>
  <c r="H92" i="60" s="1"/>
  <c r="E95" i="60"/>
  <c r="G95" i="60" s="1"/>
  <c r="H95" i="60" s="1"/>
  <c r="E93" i="60"/>
  <c r="G93" i="60" s="1"/>
  <c r="H93" i="60" s="1"/>
  <c r="E88" i="60"/>
  <c r="G88" i="60" s="1"/>
  <c r="H88" i="60" s="1"/>
  <c r="E89" i="60"/>
  <c r="G89" i="60" s="1"/>
  <c r="H89" i="60" s="1"/>
  <c r="C55" i="60"/>
  <c r="D55" i="60" s="1"/>
  <c r="E118" i="3"/>
  <c r="G118" i="3" s="1"/>
  <c r="H118" i="3" s="1"/>
  <c r="E129" i="3"/>
  <c r="G129" i="3" s="1"/>
  <c r="H129" i="3" s="1"/>
  <c r="E127" i="3"/>
  <c r="G127" i="3" s="1"/>
  <c r="H127" i="3" s="1"/>
  <c r="E123" i="3"/>
  <c r="G123" i="3" s="1"/>
  <c r="H123" i="3" s="1"/>
  <c r="E133" i="3"/>
  <c r="G133" i="3" s="1"/>
  <c r="H133" i="3" s="1"/>
  <c r="E120" i="3"/>
  <c r="G120" i="3" s="1"/>
  <c r="H120" i="3" s="1"/>
  <c r="E122" i="3"/>
  <c r="G122" i="3" s="1"/>
  <c r="H122" i="3" s="1"/>
  <c r="E126" i="3"/>
  <c r="G126" i="3" s="1"/>
  <c r="H126" i="3" s="1"/>
  <c r="E121" i="3"/>
  <c r="G121" i="3" s="1"/>
  <c r="H121" i="3" s="1"/>
  <c r="E134" i="3"/>
  <c r="G134" i="3" s="1"/>
  <c r="H134" i="3" s="1"/>
  <c r="E132" i="3"/>
  <c r="G132" i="3" s="1"/>
  <c r="H132" i="3" s="1"/>
  <c r="E125" i="3"/>
  <c r="G125" i="3" s="1"/>
  <c r="H125" i="3" s="1"/>
  <c r="E124" i="3"/>
  <c r="G124" i="3" s="1"/>
  <c r="H124" i="3" s="1"/>
  <c r="E128" i="3"/>
  <c r="G128" i="3" s="1"/>
  <c r="H128" i="3" s="1"/>
  <c r="E131" i="3"/>
  <c r="G131" i="3" s="1"/>
  <c r="H131" i="3" s="1"/>
  <c r="E119" i="3"/>
  <c r="G119" i="3" s="1"/>
  <c r="H119" i="3" s="1"/>
  <c r="E130" i="3"/>
  <c r="G130" i="3" s="1"/>
  <c r="H130" i="3" s="1"/>
  <c r="B86" i="3"/>
  <c r="B63" i="6"/>
  <c r="B62" i="6"/>
  <c r="E96" i="70"/>
  <c r="G96" i="70" s="1"/>
  <c r="H96" i="70" s="1"/>
  <c r="E104" i="70"/>
  <c r="G104" i="70" s="1"/>
  <c r="H104" i="70" s="1"/>
  <c r="E108" i="70"/>
  <c r="G108" i="70" s="1"/>
  <c r="H108" i="70" s="1"/>
  <c r="E109" i="70"/>
  <c r="G109" i="70" s="1"/>
  <c r="H109" i="70" s="1"/>
  <c r="E99" i="70"/>
  <c r="G99" i="70" s="1"/>
  <c r="H99" i="70" s="1"/>
  <c r="E101" i="70"/>
  <c r="G101" i="70" s="1"/>
  <c r="H101" i="70" s="1"/>
  <c r="E93" i="70"/>
  <c r="G93" i="70" s="1"/>
  <c r="H93" i="70" s="1"/>
  <c r="E94" i="70"/>
  <c r="G94" i="70" s="1"/>
  <c r="H94" i="70" s="1"/>
  <c r="E102" i="70"/>
  <c r="G102" i="70" s="1"/>
  <c r="H102" i="70" s="1"/>
  <c r="E105" i="70"/>
  <c r="G105" i="70" s="1"/>
  <c r="H105" i="70" s="1"/>
  <c r="E92" i="70"/>
  <c r="G92" i="70" s="1"/>
  <c r="H92" i="70" s="1"/>
  <c r="E103" i="70"/>
  <c r="G103" i="70" s="1"/>
  <c r="H103" i="70" s="1"/>
  <c r="E98" i="70"/>
  <c r="G98" i="70" s="1"/>
  <c r="H98" i="70" s="1"/>
  <c r="E100" i="70"/>
  <c r="G100" i="70" s="1"/>
  <c r="H100" i="70" s="1"/>
  <c r="E107" i="70"/>
  <c r="G107" i="70" s="1"/>
  <c r="H107" i="70" s="1"/>
  <c r="E95" i="70"/>
  <c r="G95" i="70" s="1"/>
  <c r="H95" i="70" s="1"/>
  <c r="E106" i="70"/>
  <c r="G106" i="70" s="1"/>
  <c r="H106" i="70" s="1"/>
  <c r="E97" i="70"/>
  <c r="G97" i="70" s="1"/>
  <c r="H97" i="70" s="1"/>
  <c r="C55" i="70"/>
  <c r="C101" i="16" l="1"/>
  <c r="H121" i="17"/>
  <c r="C121" i="17"/>
  <c r="C92" i="41"/>
  <c r="H92" i="41"/>
  <c r="H82" i="32"/>
  <c r="C82" i="32"/>
  <c r="C124" i="20"/>
  <c r="E123" i="16"/>
  <c r="G123" i="16"/>
  <c r="B102" i="51"/>
  <c r="B81" i="51"/>
  <c r="B121" i="51"/>
  <c r="G103" i="32"/>
  <c r="C103" i="32" s="1"/>
  <c r="B63" i="32"/>
  <c r="C78" i="37"/>
  <c r="H78" i="37"/>
  <c r="C108" i="3"/>
  <c r="H108" i="3"/>
  <c r="C86" i="70"/>
  <c r="H86" i="70"/>
  <c r="E112" i="70"/>
  <c r="G112" i="70"/>
  <c r="D55" i="70"/>
  <c r="E137" i="70"/>
  <c r="G137" i="70" s="1"/>
  <c r="H137" i="70" s="1"/>
  <c r="E152" i="57"/>
  <c r="G152" i="57" s="1"/>
  <c r="H152" i="57" s="1"/>
  <c r="H115" i="57"/>
  <c r="C115" i="57"/>
  <c r="E150" i="57"/>
  <c r="G150" i="57" s="1"/>
  <c r="H150" i="57" s="1"/>
  <c r="E164" i="57"/>
  <c r="G164" i="57" s="1"/>
  <c r="H164" i="57" s="1"/>
  <c r="E167" i="57"/>
  <c r="G167" i="57" s="1"/>
  <c r="H167" i="57" s="1"/>
  <c r="E163" i="57"/>
  <c r="G163" i="57" s="1"/>
  <c r="H163" i="57" s="1"/>
  <c r="E161" i="57"/>
  <c r="G161" i="57" s="1"/>
  <c r="H161" i="57" s="1"/>
  <c r="E158" i="57"/>
  <c r="G158" i="57" s="1"/>
  <c r="H158" i="57" s="1"/>
  <c r="E149" i="57"/>
  <c r="G149" i="57" s="1"/>
  <c r="H149" i="57" s="1"/>
  <c r="D56" i="57"/>
  <c r="E162" i="57"/>
  <c r="G162" i="57" s="1"/>
  <c r="H162" i="57" s="1"/>
  <c r="E151" i="57"/>
  <c r="G151" i="57" s="1"/>
  <c r="H151" i="57" s="1"/>
  <c r="E160" i="57"/>
  <c r="G160" i="57" s="1"/>
  <c r="H160" i="57" s="1"/>
  <c r="E155" i="57"/>
  <c r="G155" i="57" s="1"/>
  <c r="H155" i="57" s="1"/>
  <c r="E156" i="57"/>
  <c r="G156" i="57" s="1"/>
  <c r="H156" i="57" s="1"/>
  <c r="E159" i="57"/>
  <c r="G159" i="57" s="1"/>
  <c r="H159" i="57" s="1"/>
  <c r="E166" i="57"/>
  <c r="G166" i="57" s="1"/>
  <c r="H166" i="57" s="1"/>
  <c r="E154" i="57"/>
  <c r="G154" i="57" s="1"/>
  <c r="H154" i="57" s="1"/>
  <c r="E165" i="57"/>
  <c r="G165" i="57" s="1"/>
  <c r="H165" i="57" s="1"/>
  <c r="E148" i="57"/>
  <c r="G148" i="57" s="1"/>
  <c r="H148" i="57" s="1"/>
  <c r="E157" i="57"/>
  <c r="G157" i="57" s="1"/>
  <c r="H157" i="57" s="1"/>
  <c r="E142" i="57"/>
  <c r="G142" i="57"/>
  <c r="H114" i="28"/>
  <c r="C114" i="28"/>
  <c r="H107" i="59"/>
  <c r="C107" i="59"/>
  <c r="H116" i="33"/>
  <c r="C116" i="33"/>
  <c r="AB31" i="3"/>
  <c r="G142" i="28"/>
  <c r="E142" i="28"/>
  <c r="H142" i="28" s="1"/>
  <c r="H135" i="8"/>
  <c r="C135" i="8"/>
  <c r="E98" i="60"/>
  <c r="G98" i="60"/>
  <c r="C73" i="53"/>
  <c r="H73" i="53"/>
  <c r="D55" i="55"/>
  <c r="H83" i="47"/>
  <c r="C83" i="47"/>
  <c r="C125" i="7"/>
  <c r="D55" i="38"/>
  <c r="C135" i="4"/>
  <c r="G148" i="7"/>
  <c r="E148" i="7"/>
  <c r="C130" i="50"/>
  <c r="H130" i="50"/>
  <c r="H122" i="23"/>
  <c r="G120" i="48"/>
  <c r="E120" i="48"/>
  <c r="C122" i="23"/>
  <c r="E142" i="23"/>
  <c r="G142" i="23"/>
  <c r="E127" i="23"/>
  <c r="G127" i="23" s="1"/>
  <c r="H127" i="23" s="1"/>
  <c r="E140" i="23"/>
  <c r="G140" i="23" s="1"/>
  <c r="H140" i="23" s="1"/>
  <c r="E128" i="23"/>
  <c r="G128" i="23" s="1"/>
  <c r="H128" i="23" s="1"/>
  <c r="E131" i="23"/>
  <c r="G131" i="23" s="1"/>
  <c r="H131" i="23" s="1"/>
  <c r="E132" i="23"/>
  <c r="G132" i="23" s="1"/>
  <c r="H132" i="23" s="1"/>
  <c r="E134" i="23"/>
  <c r="G134" i="23" s="1"/>
  <c r="H134" i="23" s="1"/>
  <c r="E136" i="23"/>
  <c r="G136" i="23" s="1"/>
  <c r="H136" i="23" s="1"/>
  <c r="E137" i="23"/>
  <c r="G137" i="23" s="1"/>
  <c r="H137" i="23" s="1"/>
  <c r="E138" i="23"/>
  <c r="G138" i="23" s="1"/>
  <c r="H138" i="23" s="1"/>
  <c r="E139" i="23"/>
  <c r="G139" i="23" s="1"/>
  <c r="H139" i="23" s="1"/>
  <c r="E129" i="23"/>
  <c r="G129" i="23" s="1"/>
  <c r="H129" i="23" s="1"/>
  <c r="H79" i="60"/>
  <c r="C79" i="60"/>
  <c r="B62" i="53"/>
  <c r="D55" i="53"/>
  <c r="D55" i="32"/>
  <c r="D55" i="24"/>
  <c r="H57" i="23"/>
  <c r="B62" i="23" s="1"/>
  <c r="E135" i="23"/>
  <c r="G135" i="23" s="1"/>
  <c r="H135" i="23" s="1"/>
  <c r="E130" i="23"/>
  <c r="G130" i="23" s="1"/>
  <c r="H130" i="23" s="1"/>
  <c r="E133" i="23"/>
  <c r="G133" i="23" s="1"/>
  <c r="H133" i="23" s="1"/>
  <c r="E113" i="66"/>
  <c r="G113" i="66" s="1"/>
  <c r="H113" i="66" s="1"/>
  <c r="E116" i="66"/>
  <c r="G116" i="66" s="1"/>
  <c r="H116" i="66" s="1"/>
  <c r="E114" i="66"/>
  <c r="G114" i="66" s="1"/>
  <c r="H114" i="66" s="1"/>
  <c r="E117" i="66"/>
  <c r="G117" i="66" s="1"/>
  <c r="H117" i="66" s="1"/>
  <c r="E118" i="66"/>
  <c r="G118" i="66" s="1"/>
  <c r="H118" i="66" s="1"/>
  <c r="E119" i="66"/>
  <c r="G119" i="66" s="1"/>
  <c r="H119" i="66" s="1"/>
  <c r="E115" i="66"/>
  <c r="G115" i="66" s="1"/>
  <c r="H115" i="66" s="1"/>
  <c r="E120" i="66"/>
  <c r="G120" i="66" s="1"/>
  <c r="H120" i="66" s="1"/>
  <c r="E121" i="66"/>
  <c r="G121" i="66" s="1"/>
  <c r="H121" i="66" s="1"/>
  <c r="H57" i="66"/>
  <c r="B62" i="48"/>
  <c r="H101" i="48"/>
  <c r="C101" i="48"/>
  <c r="B84" i="48"/>
  <c r="H107" i="47"/>
  <c r="C107" i="47"/>
  <c r="H103" i="32"/>
  <c r="H136" i="3"/>
  <c r="C136" i="3"/>
  <c r="C56" i="54"/>
  <c r="D56" i="54" s="1"/>
  <c r="C95" i="10"/>
  <c r="H95" i="10"/>
  <c r="E106" i="10"/>
  <c r="E102" i="10"/>
  <c r="G102" i="10" s="1"/>
  <c r="H102" i="10" s="1"/>
  <c r="G106" i="10"/>
  <c r="E101" i="10"/>
  <c r="G101" i="10" s="1"/>
  <c r="H101" i="10" s="1"/>
  <c r="E104" i="10"/>
  <c r="G104" i="10" s="1"/>
  <c r="H104" i="10" s="1"/>
  <c r="E103" i="10"/>
  <c r="G103" i="10" s="1"/>
  <c r="H103" i="10" s="1"/>
  <c r="E100" i="10"/>
  <c r="G100" i="10" s="1"/>
  <c r="H100" i="10" s="1"/>
  <c r="B63" i="53"/>
  <c r="B73" i="10"/>
  <c r="B63" i="60"/>
  <c r="B63" i="10"/>
  <c r="B74" i="10"/>
  <c r="B62" i="10"/>
  <c r="C57" i="39"/>
  <c r="D57" i="39" s="1"/>
  <c r="C56" i="38"/>
  <c r="C56" i="14"/>
  <c r="D56" i="14" s="1"/>
  <c r="B115" i="14" s="1"/>
  <c r="B85" i="48"/>
  <c r="B63" i="48"/>
  <c r="B104" i="48"/>
  <c r="E110" i="48"/>
  <c r="G110" i="48" s="1"/>
  <c r="H110" i="48" s="1"/>
  <c r="E114" i="48"/>
  <c r="G114" i="48" s="1"/>
  <c r="H114" i="48" s="1"/>
  <c r="E116" i="48"/>
  <c r="G116" i="48" s="1"/>
  <c r="H116" i="48" s="1"/>
  <c r="E118" i="48"/>
  <c r="G118" i="48" s="1"/>
  <c r="H118" i="48" s="1"/>
  <c r="E113" i="48"/>
  <c r="G113" i="48" s="1"/>
  <c r="H113" i="48" s="1"/>
  <c r="E112" i="48"/>
  <c r="G112" i="48" s="1"/>
  <c r="H112" i="48" s="1"/>
  <c r="E115" i="48"/>
  <c r="G115" i="48" s="1"/>
  <c r="H115" i="48" s="1"/>
  <c r="E108" i="48"/>
  <c r="G108" i="48" s="1"/>
  <c r="H108" i="48" s="1"/>
  <c r="E111" i="48"/>
  <c r="G111" i="48" s="1"/>
  <c r="H111" i="48" s="1"/>
  <c r="E109" i="48"/>
  <c r="G109" i="48" s="1"/>
  <c r="H109" i="48" s="1"/>
  <c r="B103" i="48"/>
  <c r="E117" i="48"/>
  <c r="G117" i="48" s="1"/>
  <c r="H117" i="48" s="1"/>
  <c r="E107" i="48"/>
  <c r="G107" i="48" s="1"/>
  <c r="H107" i="48" s="1"/>
  <c r="B63" i="47"/>
  <c r="B62" i="47"/>
  <c r="B86" i="47"/>
  <c r="B87" i="47"/>
  <c r="B62" i="37"/>
  <c r="B63" i="37"/>
  <c r="B82" i="60"/>
  <c r="B103" i="51"/>
  <c r="B82" i="51"/>
  <c r="B122" i="51"/>
  <c r="B63" i="51"/>
  <c r="B88" i="70"/>
  <c r="B62" i="60"/>
  <c r="B81" i="60"/>
  <c r="B86" i="10"/>
  <c r="B97" i="10"/>
  <c r="B98" i="10"/>
  <c r="E132" i="51"/>
  <c r="G132" i="51" s="1"/>
  <c r="H132" i="51" s="1"/>
  <c r="E136" i="51"/>
  <c r="G136" i="51" s="1"/>
  <c r="H136" i="51" s="1"/>
  <c r="E134" i="51"/>
  <c r="G134" i="51" s="1"/>
  <c r="H134" i="51" s="1"/>
  <c r="E124" i="51"/>
  <c r="G124" i="51" s="1"/>
  <c r="H124" i="51" s="1"/>
  <c r="E135" i="51"/>
  <c r="G135" i="51" s="1"/>
  <c r="H135" i="51" s="1"/>
  <c r="E133" i="51"/>
  <c r="G133" i="51" s="1"/>
  <c r="H133" i="51" s="1"/>
  <c r="E131" i="51"/>
  <c r="G131" i="51" s="1"/>
  <c r="H131" i="51" s="1"/>
  <c r="E130" i="51"/>
  <c r="G130" i="51" s="1"/>
  <c r="H130" i="51" s="1"/>
  <c r="E129" i="51"/>
  <c r="G129" i="51" s="1"/>
  <c r="H129" i="51" s="1"/>
  <c r="E128" i="51"/>
  <c r="G128" i="51" s="1"/>
  <c r="H128" i="51" s="1"/>
  <c r="E127" i="51"/>
  <c r="G127" i="51" s="1"/>
  <c r="H127" i="51" s="1"/>
  <c r="E126" i="51"/>
  <c r="G126" i="51" s="1"/>
  <c r="H126" i="51" s="1"/>
  <c r="E125" i="51"/>
  <c r="G125" i="51" s="1"/>
  <c r="H125" i="51" s="1"/>
  <c r="G108" i="20"/>
  <c r="H108" i="20" s="1"/>
  <c r="B87" i="10"/>
  <c r="B85" i="32"/>
  <c r="B64" i="32"/>
  <c r="H55" i="58"/>
  <c r="H55" i="56"/>
  <c r="B63" i="70"/>
  <c r="B115" i="70"/>
  <c r="B116" i="70"/>
  <c r="B89" i="70"/>
  <c r="B62" i="70"/>
  <c r="H55" i="47"/>
  <c r="H55" i="33"/>
  <c r="G65" i="7"/>
  <c r="H65" i="7" s="1"/>
  <c r="D88" i="7"/>
  <c r="E88" i="7"/>
  <c r="H55" i="7"/>
  <c r="E134" i="70"/>
  <c r="G134" i="70" s="1"/>
  <c r="H134" i="70" s="1"/>
  <c r="E132" i="70"/>
  <c r="G132" i="70" s="1"/>
  <c r="H132" i="70" s="1"/>
  <c r="E131" i="70"/>
  <c r="G131" i="70" s="1"/>
  <c r="H131" i="70" s="1"/>
  <c r="E125" i="70"/>
  <c r="G125" i="70" s="1"/>
  <c r="H125" i="70" s="1"/>
  <c r="E136" i="70"/>
  <c r="G136" i="70" s="1"/>
  <c r="H136" i="70" s="1"/>
  <c r="E128" i="70"/>
  <c r="G128" i="70" s="1"/>
  <c r="H128" i="70" s="1"/>
  <c r="E127" i="70"/>
  <c r="G127" i="70" s="1"/>
  <c r="H127" i="70" s="1"/>
  <c r="E119" i="70"/>
  <c r="G119" i="70" s="1"/>
  <c r="H119" i="70" s="1"/>
  <c r="E133" i="70"/>
  <c r="G133" i="70" s="1"/>
  <c r="H133" i="70" s="1"/>
  <c r="E123" i="70"/>
  <c r="G123" i="70" s="1"/>
  <c r="H123" i="70" s="1"/>
  <c r="E122" i="70"/>
  <c r="G122" i="70" s="1"/>
  <c r="H122" i="70" s="1"/>
  <c r="E130" i="70"/>
  <c r="G130" i="70" s="1"/>
  <c r="H130" i="70" s="1"/>
  <c r="E124" i="70"/>
  <c r="G124" i="70" s="1"/>
  <c r="H124" i="70" s="1"/>
  <c r="E129" i="70"/>
  <c r="G129" i="70" s="1"/>
  <c r="H129" i="70" s="1"/>
  <c r="E121" i="70"/>
  <c r="G121" i="70" s="1"/>
  <c r="H121" i="70" s="1"/>
  <c r="E126" i="70"/>
  <c r="G126" i="70" s="1"/>
  <c r="H126" i="70" s="1"/>
  <c r="E135" i="70"/>
  <c r="G135" i="70" s="1"/>
  <c r="H135" i="70" s="1"/>
  <c r="E120" i="70"/>
  <c r="G120" i="70" s="1"/>
  <c r="H120" i="70" s="1"/>
  <c r="H123" i="16" l="1"/>
  <c r="C123" i="16"/>
  <c r="B124" i="23"/>
  <c r="B104" i="23"/>
  <c r="B82" i="23"/>
  <c r="B144" i="23"/>
  <c r="H112" i="70"/>
  <c r="C112" i="70"/>
  <c r="G139" i="70"/>
  <c r="E139" i="70"/>
  <c r="G169" i="57"/>
  <c r="E169" i="57"/>
  <c r="H142" i="57"/>
  <c r="C142" i="57"/>
  <c r="AF31" i="3"/>
  <c r="C142" i="28"/>
  <c r="C148" i="7"/>
  <c r="H98" i="60"/>
  <c r="C98" i="60"/>
  <c r="C57" i="38"/>
  <c r="D56" i="38"/>
  <c r="H148" i="7"/>
  <c r="E109" i="7"/>
  <c r="G109" i="7" s="1"/>
  <c r="H109" i="7" s="1"/>
  <c r="H56" i="7"/>
  <c r="E132" i="7" s="1"/>
  <c r="G132" i="7" s="1"/>
  <c r="H132" i="7" s="1"/>
  <c r="H142" i="23"/>
  <c r="C142" i="23"/>
  <c r="B145" i="23"/>
  <c r="B63" i="23"/>
  <c r="B125" i="23"/>
  <c r="B105" i="23"/>
  <c r="B83" i="23"/>
  <c r="E147" i="23"/>
  <c r="G147" i="23" s="1"/>
  <c r="H147" i="23" s="1"/>
  <c r="E152" i="23"/>
  <c r="G152" i="23" s="1"/>
  <c r="H152" i="23" s="1"/>
  <c r="E150" i="23"/>
  <c r="G150" i="23" s="1"/>
  <c r="H150" i="23" s="1"/>
  <c r="E151" i="23"/>
  <c r="G151" i="23" s="1"/>
  <c r="H151" i="23" s="1"/>
  <c r="E160" i="23"/>
  <c r="G160" i="23" s="1"/>
  <c r="H160" i="23" s="1"/>
  <c r="G162" i="23"/>
  <c r="E162" i="23"/>
  <c r="E148" i="23"/>
  <c r="G148" i="23" s="1"/>
  <c r="H148" i="23" s="1"/>
  <c r="E154" i="23"/>
  <c r="G154" i="23" s="1"/>
  <c r="H154" i="23" s="1"/>
  <c r="E155" i="23"/>
  <c r="G155" i="23" s="1"/>
  <c r="H155" i="23" s="1"/>
  <c r="E157" i="23"/>
  <c r="G157" i="23" s="1"/>
  <c r="H157" i="23" s="1"/>
  <c r="E159" i="23"/>
  <c r="G159" i="23" s="1"/>
  <c r="H159" i="23" s="1"/>
  <c r="E153" i="23"/>
  <c r="G153" i="23" s="1"/>
  <c r="H153" i="23" s="1"/>
  <c r="E156" i="23"/>
  <c r="G156" i="23" s="1"/>
  <c r="H156" i="23" s="1"/>
  <c r="E158" i="23"/>
  <c r="G158" i="23" s="1"/>
  <c r="H158" i="23" s="1"/>
  <c r="E149" i="23"/>
  <c r="G149" i="23" s="1"/>
  <c r="H149" i="23" s="1"/>
  <c r="E130" i="66"/>
  <c r="G130" i="66" s="1"/>
  <c r="H130" i="66" s="1"/>
  <c r="E137" i="66"/>
  <c r="G137" i="66" s="1"/>
  <c r="H137" i="66" s="1"/>
  <c r="H58" i="66"/>
  <c r="B110" i="66" s="1"/>
  <c r="E131" i="66"/>
  <c r="G131" i="66" s="1"/>
  <c r="H131" i="66" s="1"/>
  <c r="E132" i="66"/>
  <c r="G132" i="66" s="1"/>
  <c r="H132" i="66" s="1"/>
  <c r="E133" i="66"/>
  <c r="G133" i="66" s="1"/>
  <c r="H133" i="66" s="1"/>
  <c r="E134" i="66"/>
  <c r="G134" i="66" s="1"/>
  <c r="H134" i="66" s="1"/>
  <c r="E135" i="66"/>
  <c r="G135" i="66" s="1"/>
  <c r="H135" i="66" s="1"/>
  <c r="E136" i="66"/>
  <c r="G136" i="66" s="1"/>
  <c r="H136" i="66" s="1"/>
  <c r="E129" i="66"/>
  <c r="G129" i="66" s="1"/>
  <c r="H129" i="66" s="1"/>
  <c r="H120" i="48"/>
  <c r="C120" i="48"/>
  <c r="C57" i="54"/>
  <c r="C106" i="10"/>
  <c r="H106" i="10"/>
  <c r="C57" i="14"/>
  <c r="E109" i="14"/>
  <c r="G109" i="14" s="1"/>
  <c r="H109" i="14" s="1"/>
  <c r="E107" i="14"/>
  <c r="G107" i="14" s="1"/>
  <c r="H107" i="14" s="1"/>
  <c r="E112" i="14"/>
  <c r="G112" i="14" s="1"/>
  <c r="H112" i="14" s="1"/>
  <c r="E111" i="14"/>
  <c r="G111" i="14" s="1"/>
  <c r="H111" i="14" s="1"/>
  <c r="E110" i="14"/>
  <c r="G110" i="14" s="1"/>
  <c r="H110" i="14" s="1"/>
  <c r="E113" i="14"/>
  <c r="G113" i="14" s="1"/>
  <c r="H113" i="14" s="1"/>
  <c r="E108" i="14"/>
  <c r="G108" i="14" s="1"/>
  <c r="H108" i="14" s="1"/>
  <c r="G88" i="7"/>
  <c r="H88" i="7" s="1"/>
  <c r="B95" i="66" l="1"/>
  <c r="B142" i="66"/>
  <c r="B62" i="66"/>
  <c r="B77" i="66"/>
  <c r="B126" i="66"/>
  <c r="B94" i="66"/>
  <c r="H139" i="70"/>
  <c r="C139" i="70"/>
  <c r="H169" i="57"/>
  <c r="C169" i="57"/>
  <c r="D57" i="54"/>
  <c r="C58" i="38"/>
  <c r="D57" i="38"/>
  <c r="D57" i="14"/>
  <c r="B128" i="14" s="1"/>
  <c r="B78" i="66"/>
  <c r="B143" i="66"/>
  <c r="B127" i="66"/>
  <c r="B111" i="66"/>
  <c r="H162" i="23"/>
  <c r="C162" i="23"/>
  <c r="B63" i="66"/>
  <c r="E145" i="66"/>
  <c r="G145" i="66" s="1"/>
  <c r="H145" i="66" s="1"/>
  <c r="E149" i="66"/>
  <c r="G149" i="66" s="1"/>
  <c r="H149" i="66" s="1"/>
  <c r="E151" i="66"/>
  <c r="G151" i="66" s="1"/>
  <c r="H151" i="66" s="1"/>
  <c r="E153" i="66"/>
  <c r="G153" i="66" s="1"/>
  <c r="H153" i="66" s="1"/>
  <c r="E146" i="66"/>
  <c r="G146" i="66" s="1"/>
  <c r="H146" i="66" s="1"/>
  <c r="E152" i="66"/>
  <c r="G152" i="66" s="1"/>
  <c r="H152" i="66" s="1"/>
  <c r="E147" i="66"/>
  <c r="G147" i="66" s="1"/>
  <c r="H147" i="66" s="1"/>
  <c r="E150" i="66"/>
  <c r="G150" i="66" s="1"/>
  <c r="H150" i="66" s="1"/>
  <c r="E148" i="66"/>
  <c r="G148" i="66" s="1"/>
  <c r="H148" i="66" s="1"/>
  <c r="E121" i="14"/>
  <c r="G121" i="14" s="1"/>
  <c r="H121" i="14" s="1"/>
  <c r="E124" i="14"/>
  <c r="G124" i="14" s="1"/>
  <c r="H124" i="14" s="1"/>
  <c r="E125" i="14"/>
  <c r="G125" i="14" s="1"/>
  <c r="H125" i="14" s="1"/>
  <c r="E126" i="14"/>
  <c r="G126" i="14" s="1"/>
  <c r="H126" i="14" s="1"/>
  <c r="E122" i="14"/>
  <c r="G122" i="14" s="1"/>
  <c r="H122" i="14" s="1"/>
  <c r="E123" i="14"/>
  <c r="G123" i="14" s="1"/>
  <c r="H123" i="14" s="1"/>
  <c r="E120" i="14"/>
  <c r="G120" i="14" s="1"/>
  <c r="H120" i="14" s="1"/>
  <c r="D65" i="45"/>
  <c r="H52" i="45"/>
  <c r="C59" i="38" l="1"/>
  <c r="D58" i="38"/>
  <c r="G5" i="45"/>
  <c r="H5" i="45" s="1"/>
  <c r="K5" i="45" s="1"/>
  <c r="L5" i="45" s="1"/>
  <c r="S35" i="45" s="1"/>
  <c r="U35" i="45" s="1"/>
  <c r="H53" i="45"/>
  <c r="H54" i="45" l="1"/>
  <c r="E65" i="45"/>
  <c r="G65" i="45" s="1"/>
  <c r="H65" i="45" s="1"/>
  <c r="D59" i="38"/>
  <c r="AA30" i="45"/>
  <c r="D65" i="27"/>
  <c r="E90" i="45" l="1"/>
  <c r="G90" i="45" s="1"/>
  <c r="H90" i="45" s="1"/>
  <c r="H55" i="45"/>
  <c r="E112" i="45" s="1"/>
  <c r="G112" i="45" s="1"/>
  <c r="H112" i="45" s="1"/>
  <c r="H52" i="27"/>
  <c r="H53" i="27" s="1"/>
  <c r="E65" i="27" s="1"/>
  <c r="G65" i="27" s="1"/>
  <c r="H65" i="27" s="1"/>
  <c r="H54" i="27" l="1"/>
  <c r="H52" i="15"/>
  <c r="D65" i="15"/>
  <c r="D97" i="15"/>
  <c r="H55" i="27" l="1"/>
  <c r="E88" i="27"/>
  <c r="G88" i="27" s="1"/>
  <c r="H88" i="27" s="1"/>
  <c r="H53" i="15"/>
  <c r="E5" i="15"/>
  <c r="G5" i="15" s="1"/>
  <c r="H5" i="15" s="1"/>
  <c r="K5" i="15" s="1"/>
  <c r="E65" i="15" l="1"/>
  <c r="H54" i="15"/>
  <c r="E97" i="15" s="1"/>
  <c r="L5" i="15"/>
  <c r="S35" i="15" s="1"/>
  <c r="U35" i="15" s="1"/>
  <c r="G65" i="15" l="1"/>
  <c r="H65" i="15" s="1"/>
  <c r="G97" i="15"/>
  <c r="H97" i="15" s="1"/>
  <c r="H55" i="15"/>
  <c r="AB30" i="15"/>
  <c r="AF30" i="15" s="1"/>
  <c r="AC25" i="15" s="1"/>
  <c r="H51" i="6"/>
  <c r="D78" i="6"/>
  <c r="H52" i="6"/>
  <c r="H53" i="6" s="1"/>
  <c r="D65" i="6"/>
  <c r="H54" i="6" l="1"/>
  <c r="E5" i="6"/>
  <c r="G5" i="6" s="1"/>
  <c r="H5" i="6" s="1"/>
  <c r="K5" i="6" s="1"/>
  <c r="L5" i="6" s="1"/>
  <c r="S35" i="6" s="1"/>
  <c r="E65" i="6"/>
  <c r="G65" i="6" s="1"/>
  <c r="H65" i="6" s="1"/>
  <c r="AB30" i="6" l="1"/>
  <c r="U35" i="6"/>
  <c r="E78" i="6"/>
  <c r="G78" i="6" s="1"/>
  <c r="H78" i="6" s="1"/>
  <c r="H55" i="6"/>
  <c r="AF30" i="6" l="1"/>
  <c r="AC25" i="6" s="1"/>
  <c r="AB31" i="6"/>
  <c r="AC25" i="10"/>
  <c r="AA29" i="16" l="1"/>
  <c r="AC30" i="16" s="1"/>
  <c r="AC25" i="16" s="1"/>
  <c r="AC29" i="16" l="1"/>
  <c r="AE28" i="7"/>
  <c r="AC29" i="7" s="1"/>
  <c r="AB29" i="7" l="1"/>
  <c r="AE29" i="7"/>
  <c r="AA29" i="7"/>
  <c r="T32" i="30"/>
  <c r="E1" i="30" s="1"/>
  <c r="U32" i="30"/>
  <c r="AE30" i="30" s="1"/>
  <c r="AE30" i="7" l="1"/>
  <c r="AC25" i="7" s="1"/>
  <c r="G1" i="30"/>
  <c r="I1" i="30" s="1"/>
  <c r="C52" i="30" s="1"/>
  <c r="D52" i="30"/>
  <c r="E7" i="30" l="1"/>
  <c r="G7" i="30" s="1"/>
  <c r="H7" i="30" s="1"/>
  <c r="K7" i="30" s="1"/>
  <c r="L7" i="30" s="1"/>
  <c r="E8" i="30"/>
  <c r="G8" i="30" s="1"/>
  <c r="H8" i="30" s="1"/>
  <c r="K8" i="30" s="1"/>
  <c r="L8" i="30" s="1"/>
  <c r="E12" i="30"/>
  <c r="G12" i="30" s="1"/>
  <c r="H12" i="30" s="1"/>
  <c r="K12" i="30" s="1"/>
  <c r="L12" i="30" s="1"/>
  <c r="E13" i="30"/>
  <c r="G13" i="30" s="1"/>
  <c r="H13" i="30" s="1"/>
  <c r="K13" i="30" s="1"/>
  <c r="L13" i="30" s="1"/>
  <c r="E9" i="30"/>
  <c r="G9" i="30" s="1"/>
  <c r="H9" i="30" s="1"/>
  <c r="K9" i="30" s="1"/>
  <c r="L9" i="30" s="1"/>
  <c r="E10" i="30"/>
  <c r="G10" i="30" s="1"/>
  <c r="H10" i="30" s="1"/>
  <c r="K10" i="30" s="1"/>
  <c r="L10" i="30" s="1"/>
  <c r="E11" i="30"/>
  <c r="G11" i="30" s="1"/>
  <c r="H11" i="30" s="1"/>
  <c r="K11" i="30" s="1"/>
  <c r="L11" i="30" s="1"/>
  <c r="E6" i="30"/>
  <c r="G6" i="30" s="1"/>
  <c r="H6" i="30" s="1"/>
  <c r="K6" i="30" s="1"/>
  <c r="L6" i="30" s="1"/>
  <c r="C53" i="30"/>
  <c r="T35" i="30" l="1"/>
  <c r="E70" i="30"/>
  <c r="G70" i="30" s="1"/>
  <c r="H70" i="30" s="1"/>
  <c r="E66" i="30"/>
  <c r="G66" i="30" s="1"/>
  <c r="H66" i="30" s="1"/>
  <c r="E72" i="30"/>
  <c r="G72" i="30" s="1"/>
  <c r="H72" i="30" s="1"/>
  <c r="D53" i="30"/>
  <c r="E69" i="30"/>
  <c r="G69" i="30" s="1"/>
  <c r="H69" i="30" s="1"/>
  <c r="E68" i="30"/>
  <c r="G68" i="30" s="1"/>
  <c r="H68" i="30" s="1"/>
  <c r="E67" i="30"/>
  <c r="G67" i="30" s="1"/>
  <c r="H67" i="30" s="1"/>
  <c r="E71" i="30"/>
  <c r="G71" i="30" s="1"/>
  <c r="H71" i="30" s="1"/>
  <c r="E73" i="30"/>
  <c r="G73" i="30" s="1"/>
  <c r="H73" i="30" s="1"/>
  <c r="C54" i="30"/>
  <c r="AD30" i="30" l="1"/>
  <c r="U35" i="30"/>
  <c r="AC30" i="30"/>
  <c r="E87" i="30"/>
  <c r="G87" i="30" s="1"/>
  <c r="H87" i="30" s="1"/>
  <c r="E86" i="30"/>
  <c r="G86" i="30" s="1"/>
  <c r="H86" i="30" s="1"/>
  <c r="E82" i="30"/>
  <c r="G82" i="30" s="1"/>
  <c r="H82" i="30" s="1"/>
  <c r="E88" i="30"/>
  <c r="G88" i="30" s="1"/>
  <c r="H88" i="30" s="1"/>
  <c r="E84" i="30"/>
  <c r="G84" i="30" s="1"/>
  <c r="H84" i="30" s="1"/>
  <c r="E85" i="30"/>
  <c r="G85" i="30" s="1"/>
  <c r="H85" i="30" s="1"/>
  <c r="E81" i="30"/>
  <c r="G81" i="30" s="1"/>
  <c r="H81" i="30" s="1"/>
  <c r="D54" i="30"/>
  <c r="E83" i="30"/>
  <c r="G83" i="30" s="1"/>
  <c r="H83" i="30" s="1"/>
  <c r="G75" i="30"/>
  <c r="E75" i="30"/>
  <c r="C55" i="30"/>
  <c r="B62" i="30" s="1"/>
  <c r="B78" i="30" l="1"/>
  <c r="B63" i="30"/>
  <c r="B77" i="30"/>
  <c r="AD31" i="30"/>
  <c r="AF30" i="30"/>
  <c r="AC25" i="30" s="1"/>
  <c r="D55" i="30"/>
  <c r="C75" i="30"/>
  <c r="H75" i="30"/>
  <c r="G90" i="30"/>
  <c r="E90" i="30"/>
  <c r="C90" i="30" l="1"/>
  <c r="H90" i="30"/>
  <c r="AC29" i="10"/>
  <c r="AB29" i="27" l="1"/>
  <c r="AC29" i="27"/>
  <c r="AA29" i="27"/>
  <c r="AC30" i="27" l="1"/>
  <c r="AC25" i="27" s="1"/>
  <c r="AC29" i="43"/>
  <c r="AD29" i="43"/>
  <c r="AB29" i="43"/>
  <c r="AF29" i="43"/>
  <c r="AF30" i="43" l="1"/>
  <c r="AC25" i="43" s="1"/>
  <c r="AB29" i="45"/>
  <c r="AA29" i="45"/>
  <c r="AC30" i="45" s="1"/>
  <c r="AC25" i="45" s="1"/>
  <c r="AC29" i="45"/>
  <c r="AC29" i="50"/>
  <c r="AB29" i="50"/>
  <c r="AA29" i="50"/>
  <c r="AC30" i="50" s="1"/>
  <c r="AC25" i="50" s="1"/>
  <c r="S28" i="52"/>
  <c r="S32" i="52" s="1"/>
  <c r="D1" i="52" l="1"/>
  <c r="F1" i="52" s="1"/>
  <c r="H1" i="52" s="1"/>
  <c r="E7" i="52" l="1"/>
  <c r="G7" i="52" s="1"/>
  <c r="H7" i="52" s="1"/>
  <c r="K7" i="52" s="1"/>
  <c r="L7" i="52" s="1"/>
  <c r="E9" i="52"/>
  <c r="G9" i="52" s="1"/>
  <c r="H9" i="52" s="1"/>
  <c r="K9" i="52" s="1"/>
  <c r="L9" i="52" s="1"/>
  <c r="E8" i="52"/>
  <c r="G8" i="52" s="1"/>
  <c r="H8" i="52" s="1"/>
  <c r="K8" i="52" s="1"/>
  <c r="L8" i="52" s="1"/>
  <c r="E6" i="52"/>
  <c r="G6" i="52" s="1"/>
  <c r="H6" i="52" s="1"/>
  <c r="K6" i="52" s="1"/>
  <c r="L6" i="52" s="1"/>
  <c r="S35" i="52" l="1"/>
  <c r="AC29" i="65"/>
  <c r="AA29" i="65"/>
  <c r="AB29" i="65"/>
  <c r="AC25" i="52" l="1"/>
  <c r="U35" i="52"/>
  <c r="S32" i="65" l="1"/>
  <c r="J52" i="65" s="1"/>
  <c r="R20" i="65"/>
  <c r="U32" i="65" l="1"/>
  <c r="J53" i="65"/>
  <c r="T32" i="65"/>
  <c r="U28" i="64"/>
  <c r="I52" i="65"/>
  <c r="H52" i="65" s="1"/>
  <c r="E1" i="65" l="1"/>
  <c r="G1" i="65" s="1"/>
  <c r="D52" i="65"/>
  <c r="H53" i="65"/>
  <c r="E5" i="65"/>
  <c r="G5" i="65" s="1"/>
  <c r="H5" i="65" s="1"/>
  <c r="K5" i="65" s="1"/>
  <c r="L5" i="65" s="1"/>
  <c r="S35" i="65" s="1"/>
  <c r="U34" i="64"/>
  <c r="T22" i="64"/>
  <c r="U32" i="64"/>
  <c r="T28" i="64"/>
  <c r="T32" i="64" s="1"/>
  <c r="E1" i="64" s="1"/>
  <c r="I53" i="65"/>
  <c r="J54" i="65"/>
  <c r="I54" i="65" s="1"/>
  <c r="AA30" i="65" l="1"/>
  <c r="E14" i="65"/>
  <c r="G14" i="65" s="1"/>
  <c r="H14" i="65" s="1"/>
  <c r="K14" i="65" s="1"/>
  <c r="L14" i="65" s="1"/>
  <c r="E11" i="65"/>
  <c r="G11" i="65" s="1"/>
  <c r="H11" i="65" s="1"/>
  <c r="K11" i="65" s="1"/>
  <c r="L11" i="65" s="1"/>
  <c r="E18" i="65"/>
  <c r="G18" i="65" s="1"/>
  <c r="H18" i="65" s="1"/>
  <c r="K18" i="65" s="1"/>
  <c r="L18" i="65" s="1"/>
  <c r="E8" i="65"/>
  <c r="G8" i="65" s="1"/>
  <c r="H8" i="65" s="1"/>
  <c r="K8" i="65" s="1"/>
  <c r="L8" i="65" s="1"/>
  <c r="E16" i="65"/>
  <c r="G16" i="65" s="1"/>
  <c r="H16" i="65" s="1"/>
  <c r="K16" i="65" s="1"/>
  <c r="L16" i="65" s="1"/>
  <c r="E6" i="65"/>
  <c r="G6" i="65" s="1"/>
  <c r="H6" i="65" s="1"/>
  <c r="K6" i="65" s="1"/>
  <c r="L6" i="65" s="1"/>
  <c r="E12" i="65"/>
  <c r="G12" i="65" s="1"/>
  <c r="H12" i="65" s="1"/>
  <c r="K12" i="65" s="1"/>
  <c r="L12" i="65" s="1"/>
  <c r="E17" i="65"/>
  <c r="G17" i="65" s="1"/>
  <c r="H17" i="65" s="1"/>
  <c r="K17" i="65" s="1"/>
  <c r="L17" i="65" s="1"/>
  <c r="E9" i="65"/>
  <c r="G9" i="65" s="1"/>
  <c r="H9" i="65" s="1"/>
  <c r="K9" i="65" s="1"/>
  <c r="L9" i="65" s="1"/>
  <c r="E7" i="65"/>
  <c r="G7" i="65" s="1"/>
  <c r="H7" i="65" s="1"/>
  <c r="K7" i="65" s="1"/>
  <c r="L7" i="65" s="1"/>
  <c r="E15" i="65"/>
  <c r="G15" i="65" s="1"/>
  <c r="H15" i="65" s="1"/>
  <c r="K15" i="65" s="1"/>
  <c r="L15" i="65" s="1"/>
  <c r="E19" i="65"/>
  <c r="G19" i="65" s="1"/>
  <c r="H19" i="65" s="1"/>
  <c r="K19" i="65" s="1"/>
  <c r="L19" i="65" s="1"/>
  <c r="I1" i="65"/>
  <c r="C52" i="65" s="1"/>
  <c r="E10" i="65"/>
  <c r="G10" i="65" s="1"/>
  <c r="H10" i="65" s="1"/>
  <c r="K10" i="65" s="1"/>
  <c r="L10" i="65" s="1"/>
  <c r="E13" i="65"/>
  <c r="G13" i="65" s="1"/>
  <c r="H13" i="65" s="1"/>
  <c r="K13" i="65" s="1"/>
  <c r="L13" i="65" s="1"/>
  <c r="G1" i="64"/>
  <c r="D52" i="64"/>
  <c r="H54" i="65"/>
  <c r="H55" i="65" s="1"/>
  <c r="J55" i="65"/>
  <c r="I55" i="65" s="1"/>
  <c r="E9" i="64" l="1"/>
  <c r="G9" i="64" s="1"/>
  <c r="H9" i="64" s="1"/>
  <c r="K9" i="64" s="1"/>
  <c r="L9" i="64" s="1"/>
  <c r="E5" i="64"/>
  <c r="G5" i="64" s="1"/>
  <c r="H5" i="64" s="1"/>
  <c r="K5" i="64" s="1"/>
  <c r="L5" i="64" s="1"/>
  <c r="E11" i="64"/>
  <c r="G11" i="64" s="1"/>
  <c r="H11" i="64" s="1"/>
  <c r="K11" i="64" s="1"/>
  <c r="L11" i="64" s="1"/>
  <c r="I1" i="64"/>
  <c r="C52" i="64" s="1"/>
  <c r="E7" i="64"/>
  <c r="G7" i="64" s="1"/>
  <c r="H7" i="64" s="1"/>
  <c r="K7" i="64" s="1"/>
  <c r="L7" i="64" s="1"/>
  <c r="E8" i="64"/>
  <c r="G8" i="64" s="1"/>
  <c r="H8" i="64" s="1"/>
  <c r="K8" i="64" s="1"/>
  <c r="L8" i="64" s="1"/>
  <c r="E13" i="64"/>
  <c r="G13" i="64" s="1"/>
  <c r="H13" i="64" s="1"/>
  <c r="K13" i="64" s="1"/>
  <c r="L13" i="64" s="1"/>
  <c r="E6" i="64"/>
  <c r="G6" i="64" s="1"/>
  <c r="H6" i="64" s="1"/>
  <c r="K6" i="64" s="1"/>
  <c r="L6" i="64" s="1"/>
  <c r="E12" i="64"/>
  <c r="G12" i="64" s="1"/>
  <c r="H12" i="64" s="1"/>
  <c r="K12" i="64" s="1"/>
  <c r="L12" i="64" s="1"/>
  <c r="E10" i="64"/>
  <c r="G10" i="64" s="1"/>
  <c r="H10" i="64" s="1"/>
  <c r="K10" i="64" s="1"/>
  <c r="L10" i="64" s="1"/>
  <c r="J56" i="65"/>
  <c r="H56" i="65"/>
  <c r="H57" i="65" s="1"/>
  <c r="T35" i="65"/>
  <c r="C53" i="65"/>
  <c r="D53" i="65" s="1"/>
  <c r="I56" i="65" l="1"/>
  <c r="J57" i="65"/>
  <c r="I57" i="65" s="1"/>
  <c r="C54" i="65"/>
  <c r="C53" i="64"/>
  <c r="D53" i="64" s="1"/>
  <c r="T35" i="64"/>
  <c r="AB30" i="65"/>
  <c r="AC30" i="65" s="1"/>
  <c r="AC25" i="65" s="1"/>
  <c r="U35" i="65"/>
  <c r="D54" i="65" l="1"/>
  <c r="C55" i="65"/>
  <c r="C54" i="64"/>
  <c r="D54" i="64" s="1"/>
  <c r="U35" i="64"/>
  <c r="AC25" i="64"/>
  <c r="D55" i="65" l="1"/>
  <c r="C56" i="65"/>
  <c r="D56" i="65" s="1"/>
  <c r="C55" i="64"/>
  <c r="D55" i="64" s="1"/>
  <c r="C56" i="64" l="1"/>
  <c r="D56" i="64" l="1"/>
  <c r="C57" i="64"/>
  <c r="D57" i="64" l="1"/>
  <c r="C58" i="64"/>
  <c r="D58" i="64" l="1"/>
  <c r="C59" i="64"/>
  <c r="D59" i="64" s="1"/>
  <c r="W35" i="28" l="1"/>
  <c r="U35" i="28" s="1"/>
  <c r="AE30" i="28" s="1"/>
  <c r="AF30" i="28" s="1"/>
  <c r="AC25"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tc={1DC842B1-13E5-4C73-8113-AF5C0DA1D93B}</author>
    <author>tc={44D9B5F2-A946-4132-B746-CFB757F18171}</author>
    <author>tc={3011D849-562F-4B14-BFB9-F1AD0C7CEDA5}</author>
  </authors>
  <commentList>
    <comment ref="K1" authorId="0" shapeId="0" xr:uid="{00000000-0006-0000-02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t>
        </r>
      </text>
    </comment>
    <comment ref="AC25" authorId="1" shapeId="0" xr:uid="{1DC842B1-13E5-4C73-8113-AF5C0DA1D93B}">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0200-000002000000}">
      <text>
        <r>
          <rPr>
            <sz val="11"/>
            <color theme="1"/>
            <rFont val="Arial"/>
            <family val="2"/>
          </rPr>
          <t>HP:
thr Protine is total / 1.3</t>
        </r>
      </text>
    </comment>
    <comment ref="AF28" authorId="2" shapeId="0" xr:uid="{44D9B5F2-A946-4132-B746-CFB757F18171}">
      <text>
        <t>[Threaded comment]
Your version of Excel allows you to read this threaded comment; however, any edits to it will get removed if the file is opened in a newer version of Excel. Learn more: https://go.microsoft.com/fwlink/?linkid=870924
Comment:
    If the Equation is correct, you will have the total of Protein + Mix + Topping = to the total in the Blue Table</t>
      </text>
    </comment>
    <comment ref="T29" authorId="0" shapeId="0" xr:uid="{00000000-0006-0000-0200-000003000000}">
      <text>
        <r>
          <rPr>
            <sz val="11"/>
            <color theme="1"/>
            <rFont val="Arial"/>
            <family val="2"/>
          </rPr>
          <t xml:space="preserve">0.15 of total quantity, 25gm for the 150gm plate
</t>
        </r>
      </text>
    </comment>
    <comment ref="AA30" authorId="3" shapeId="0" xr:uid="{3011D849-562F-4B14-BFB9-F1AD0C7CEDA5}">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300-000001000000}">
      <text>
        <r>
          <rPr>
            <sz val="11"/>
            <color theme="1"/>
            <rFont val="Arial"/>
            <family val="2"/>
          </rPr>
          <t>HP:
thr Protine is total / 1.3</t>
        </r>
      </text>
    </comment>
    <comment ref="T29" authorId="0" shapeId="0" xr:uid="{00000000-0006-0000-0300-000002000000}">
      <text>
        <r>
          <rPr>
            <sz val="11"/>
            <color theme="1"/>
            <rFont val="Arial"/>
            <family val="2"/>
          </rPr>
          <t>HP:1/3 of total quantity, 50gm for the 150gm plate
+ 
buffer as some Sauce will Stick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tc={081DAECB-E080-489B-8A34-165D790BF053}</author>
  </authors>
  <commentList>
    <comment ref="R17" authorId="0" shapeId="0" xr:uid="{00000000-0006-0000-05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A30" authorId="1" shapeId="0" xr:uid="{081DAECB-E080-489B-8A34-165D790BF053}">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400-000001000000}">
      <text>
        <r>
          <rPr>
            <sz val="11"/>
            <color theme="1"/>
            <rFont val="Arial"/>
            <family val="2"/>
          </rPr>
          <t>HP:
thr Protine is total / 1.3</t>
        </r>
      </text>
    </comment>
    <comment ref="T28" authorId="0" shapeId="0" xr:uid="{00000000-0006-0000-0400-000002000000}">
      <text>
        <r>
          <rPr>
            <sz val="11"/>
            <color theme="1"/>
            <rFont val="Arial"/>
            <family val="2"/>
          </rPr>
          <t>HP:
we want to allow the chicken to be self saturated after it absorb the Saucr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K1" authorId="0" shapeId="0" xr:uid="{00000000-0006-0000-07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
</t>
        </r>
      </text>
    </comment>
    <comment ref="R23" authorId="0" shapeId="0" xr:uid="{00000000-0006-0000-0700-000002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0700-000003000000}">
      <text>
        <r>
          <rPr>
            <sz val="11"/>
            <color theme="1"/>
            <rFont val="Arial"/>
            <family val="2"/>
          </rPr>
          <t>HP:
thr Protine is total / 1.3</t>
        </r>
      </text>
    </comment>
    <comment ref="T29" authorId="0" shapeId="0" xr:uid="{00000000-0006-0000-0700-000004000000}">
      <text>
        <r>
          <rPr>
            <sz val="11"/>
            <color theme="1"/>
            <rFont val="Arial"/>
            <family val="2"/>
          </rPr>
          <t>we will treat it as Rich Meal (30% Topping + 10% Buffer)
buffer as some Sauce will Stick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800-000001000000}">
      <text>
        <r>
          <rPr>
            <sz val="11"/>
            <color theme="1"/>
            <rFont val="Arial"/>
            <family val="2"/>
          </rPr>
          <t>HP:
This is a pure Protine Play</t>
        </r>
      </text>
    </comment>
    <comment ref="T29" authorId="0" shapeId="0" xr:uid="{00000000-0006-0000-0800-000002000000}">
      <text>
        <r>
          <rPr>
            <sz val="11"/>
            <color theme="1"/>
            <rFont val="Arial"/>
            <family val="2"/>
          </rPr>
          <t>HP:1/3 of total quantity, 50gm for the 150gm plate
+ 
buffer as some Sauce will Stick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0A00-000001000000}">
      <text>
        <r>
          <rPr>
            <sz val="11"/>
            <color theme="1"/>
            <rFont val="Arial"/>
            <family val="2"/>
          </rPr>
          <t>HP:1/3 of total quantity, 50gm for the 150gm plate
+ 
buffer as some Sauce will Stick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AE986694-E05A-4D27-BDA3-C387AEEF91BD}">
      <text>
        <r>
          <rPr>
            <sz val="11"/>
            <color theme="1"/>
            <rFont val="Arial"/>
            <family val="2"/>
          </rPr>
          <t>HP:1/3 of total quantity, 50gm for the 150gm plate
+ 
buffer as some Sauce will Stick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900-000001000000}">
      <text>
        <r>
          <rPr>
            <sz val="11"/>
            <color theme="1"/>
            <rFont val="Arial"/>
            <family val="2"/>
          </rPr>
          <t xml:space="preserve">HP:
total in the update is Protine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E00-000001000000}">
      <text>
        <r>
          <rPr>
            <sz val="11"/>
            <color theme="1"/>
            <rFont val="Arial"/>
            <family val="2"/>
          </rPr>
          <t>HP:
thr Protine is total / 1.3</t>
        </r>
      </text>
    </comment>
    <comment ref="T29" authorId="0" shapeId="0" xr:uid="{00000000-0006-0000-0E00-000002000000}">
      <text>
        <r>
          <rPr>
            <sz val="11"/>
            <color theme="1"/>
            <rFont val="Arial"/>
            <family val="2"/>
          </rPr>
          <t>HP:1/3 of total quantity, 50gm for the 150gm plate
+ 
buffer as some Sauce will Stick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B62E42E-93FE-4609-8091-18A67A9DF972}">
      <text>
        <r>
          <rPr>
            <sz val="11"/>
            <color theme="1"/>
            <rFont val="Arial"/>
            <family val="2"/>
          </rPr>
          <t>HP:
thr Protine is total / 1.3</t>
        </r>
      </text>
    </comment>
    <comment ref="S30" authorId="0" shapeId="0" xr:uid="{5A4ACB2E-1972-4D28-9F49-3B46FA8EB138}">
      <text>
        <r>
          <rPr>
            <sz val="11"/>
            <color theme="1"/>
            <rFont val="Arial"/>
            <family val="2"/>
          </rPr>
          <t>HP:
thr Protine is total / 1.3</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C2EC025F-199C-47E9-81AB-BAE83119F327}">
      <text>
        <r>
          <rPr>
            <sz val="11"/>
            <color theme="1"/>
            <rFont val="Arial"/>
            <family val="2"/>
          </rPr>
          <t xml:space="preserve">HP:
total in the update is Protine </t>
        </r>
      </text>
    </comment>
    <comment ref="T28" authorId="0" shapeId="0" xr:uid="{E22EB556-9B01-4677-9EF9-9B9A16B29222}">
      <text>
        <r>
          <rPr>
            <sz val="11"/>
            <color theme="1"/>
            <rFont val="Arial"/>
            <family val="2"/>
          </rPr>
          <t>for every 1 KG protine we will create 100 gm Sauce (10%)</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tc={04D417F9-FD80-4CA6-9AC1-BA13ED0B4C6D}</author>
    <author>Unknown Author</author>
  </authors>
  <commentList>
    <comment ref="AC25" authorId="0" shapeId="0" xr:uid="{04D417F9-FD80-4CA6-9AC1-BA13ED0B4C6D}">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000-000001000000}">
      <text>
        <r>
          <rPr>
            <sz val="11"/>
            <color theme="1"/>
            <rFont val="Arial"/>
            <family val="2"/>
          </rPr>
          <t>HP:
thr Protine is total / 1.3</t>
        </r>
      </text>
    </comment>
    <comment ref="T29" authorId="1" shapeId="0" xr:uid="{00000000-0006-0000-1000-000002000000}">
      <text>
        <r>
          <rPr>
            <sz val="11"/>
            <color theme="1"/>
            <rFont val="Arial"/>
            <family val="2"/>
          </rPr>
          <t>HP:1/3 of total quantity, 50gm for the 150gm plate
+ 
buffer as some Sauce will Stick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100-000001000000}">
      <text>
        <r>
          <rPr>
            <sz val="11"/>
            <color theme="1"/>
            <rFont val="Arial"/>
            <family val="2"/>
          </rPr>
          <t>HP:
thr Protine is total / 1.3</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400-000001000000}">
      <text>
        <r>
          <rPr>
            <sz val="11"/>
            <color theme="1"/>
            <rFont val="Arial"/>
            <family val="2"/>
          </rPr>
          <t>HP:
thr Protine is total / 1.3</t>
        </r>
      </text>
    </comment>
    <comment ref="T29" authorId="0" shapeId="0" xr:uid="{00000000-0006-0000-1400-000002000000}">
      <text>
        <r>
          <rPr>
            <sz val="11"/>
            <color theme="1"/>
            <rFont val="Arial"/>
            <family val="2"/>
          </rPr>
          <t>HP:1/3 of total quantity, 50gm for the 150gm plate
+ 
buffer as some Sauce will Stick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97BBCA8F-74EB-421D-9400-730122D86D22}">
      <text>
        <r>
          <rPr>
            <sz val="11"/>
            <color theme="1"/>
            <rFont val="Arial"/>
            <family val="2"/>
          </rPr>
          <t>HP:1/3 of total quantity, 50gm for the 150gm plate
+ 
buffer as some Sauce will Stick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656868B3-E960-49D7-B847-4DFBAB9DBBC6}">
      <text>
        <r>
          <rPr>
            <sz val="11"/>
            <color theme="1"/>
            <rFont val="Arial"/>
            <family val="2"/>
          </rPr>
          <t>HP:1/3 of total quantity, 50gm for the 150gm plate
+ 
buffer as some Sauce will Stick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600-000001000000}">
      <text>
        <r>
          <rPr>
            <sz val="11"/>
            <color theme="1"/>
            <rFont val="Arial"/>
            <family val="2"/>
          </rPr>
          <t xml:space="preserve">HP:
total in the update is Protine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tc={D1EFD38B-F35F-4F53-829B-6B853CA5068A}</author>
    <author>tc={DFDC8677-3B46-4597-A78A-89DFD78B19A4}</author>
    <author>tc={AFA68A81-CD12-4647-8026-78AC98878D42}</author>
  </authors>
  <commentList>
    <comment ref="I1" authorId="0" shapeId="0" xr:uid="{D1EFD38B-F35F-4F53-829B-6B853CA5068A}">
      <text>
        <t xml:space="preserve">[Threaded comment]
Your version of Excel allows you to read this threaded comment; however, any edits to it will get removed if the file is opened in a newer version of Excel. Learn more: https://go.microsoft.com/fwlink/?linkid=870924
Comment:
    There is no weight correction. For coating as it doesn’t lose weight
</t>
      </text>
    </comment>
    <comment ref="K1" authorId="1" shapeId="0" xr:uid="{DFDC8677-3B46-4597-A78A-89DFD78B19A4}">
      <text>
        <t>[Threaded comment]
Your version of Excel allows you to read this threaded comment; however, any edits to it will get removed if the file is opened in a newer version of Excel. Learn more: https://go.microsoft.com/fwlink/?linkid=870924
Comment:
    The coating will never lose weight during cooking; however there will be loses as it will not stick to the chicken , get burned, and 75% is high efficiency coating</t>
      </text>
    </comment>
    <comment ref="AC25" authorId="2" shapeId="0" xr:uid="{AFA68A81-CD12-4647-8026-78AC98878D4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tc={ADAC1321-0D8E-452C-AD0E-7D9D38F2ED51}</author>
    <author>Unknown Author</author>
  </authors>
  <commentList>
    <comment ref="AC25" authorId="0" shapeId="0" xr:uid="{ADAC1321-0D8E-452C-AD0E-7D9D38F2ED51}">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900-000001000000}">
      <text>
        <r>
          <rPr>
            <sz val="11"/>
            <color theme="1"/>
            <rFont val="Arial"/>
            <family val="2"/>
          </rPr>
          <t>HP:
thr Protine is total / 1.3</t>
        </r>
      </text>
    </comment>
    <comment ref="T29" authorId="1" shapeId="0" xr:uid="{00000000-0006-0000-1900-000002000000}">
      <text>
        <r>
          <rPr>
            <sz val="11"/>
            <color theme="1"/>
            <rFont val="Arial"/>
            <family val="2"/>
          </rPr>
          <t>HP:1/3 of total quantity, 50gm for the 150gm plate
+ 
buffer as some Sauce will Stick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3D84EAD8-7983-4FD4-9054-0C9850C20D11}">
      <text>
        <r>
          <rPr>
            <sz val="11"/>
            <color theme="1"/>
            <rFont val="Arial"/>
            <family val="2"/>
          </rPr>
          <t>HP:
thr Protine is total / 1.3</t>
        </r>
      </text>
    </comment>
    <comment ref="T29" authorId="0" shapeId="0" xr:uid="{00000000-0006-0000-1A00-000002000000}">
      <text>
        <r>
          <rPr>
            <sz val="11"/>
            <color theme="1"/>
            <rFont val="Arial"/>
            <family val="2"/>
          </rPr>
          <t>HP:1/3 of total quantity, 50gm for the 150gm plate
+ 
buffer as some Sauce will Stick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B00-000001000000}">
      <text>
        <r>
          <rPr>
            <sz val="11"/>
            <color theme="1"/>
            <rFont val="Arial"/>
            <family val="2"/>
          </rPr>
          <t>HP:
thr Protine is total / 1.3</t>
        </r>
      </text>
    </comment>
    <comment ref="T29" authorId="0" shapeId="0" xr:uid="{00000000-0006-0000-1B00-000002000000}">
      <text>
        <r>
          <rPr>
            <sz val="11"/>
            <color theme="1"/>
            <rFont val="Arial"/>
            <family val="2"/>
          </rPr>
          <t>HP:1/3 of total quantity, 50gm for the 150gm plate
+ 
buffer as some Sauce will Stick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tc={003E98E4-44CF-43F4-8018-2B4370DD5EF7}</author>
    <author>Unknown Author</author>
  </authors>
  <commentList>
    <comment ref="AC25" authorId="0" shapeId="0" xr:uid="{003E98E4-44CF-43F4-8018-2B4370DD5E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C00-000001000000}">
      <text>
        <r>
          <rPr>
            <sz val="11"/>
            <color theme="1"/>
            <rFont val="Arial"/>
            <family val="2"/>
          </rPr>
          <t xml:space="preserve">HP:
total in the update is Protine </t>
        </r>
      </text>
    </comment>
    <comment ref="T28" authorId="1" shapeId="0" xr:uid="{00000000-0006-0000-1C00-000002000000}">
      <text>
        <r>
          <rPr>
            <sz val="11"/>
            <color theme="1"/>
            <rFont val="Arial"/>
            <family val="2"/>
          </rPr>
          <t xml:space="preserve">HP:There is no Mixing Sauce
</t>
        </r>
      </text>
    </comment>
    <comment ref="T29" authorId="1" shapeId="0" xr:uid="{00000000-0006-0000-1C00-000003000000}">
      <text>
        <r>
          <rPr>
            <sz val="11"/>
            <color theme="1"/>
            <rFont val="Arial"/>
            <family val="2"/>
          </rPr>
          <t xml:space="preserve">HP:
Sauce is 50% of pure protein and we buffer 10%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R19" authorId="0" shapeId="0" xr:uid="{00000000-0006-0000-1D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1D00-000002000000}">
      <text>
        <r>
          <rPr>
            <sz val="11"/>
            <color theme="1"/>
            <rFont val="Arial"/>
            <family val="2"/>
          </rPr>
          <t xml:space="preserve">HP:
total in the update is Protine </t>
        </r>
      </text>
    </comment>
    <comment ref="T28" authorId="0" shapeId="0" xr:uid="{00000000-0006-0000-1D00-000003000000}">
      <text>
        <r>
          <rPr>
            <sz val="11"/>
            <color theme="1"/>
            <rFont val="Arial"/>
            <family val="2"/>
          </rPr>
          <t xml:space="preserve">HP:There is no Mixing Sauce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E00-000001000000}">
      <text>
        <r>
          <rPr>
            <sz val="11"/>
            <color theme="1"/>
            <rFont val="Arial"/>
            <family val="2"/>
          </rPr>
          <t>HP:
thr Protine is total / 1.3</t>
        </r>
      </text>
    </comment>
    <comment ref="T29" authorId="0" shapeId="0" xr:uid="{00000000-0006-0000-1E00-000002000000}">
      <text>
        <r>
          <rPr>
            <sz val="11"/>
            <color theme="1"/>
            <rFont val="Arial"/>
            <family val="2"/>
          </rPr>
          <t>HP:1/3 of total quantity, 50gm for the 150gm plate
+ 
buffer as some Sauce will Stick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F00-000001000000}">
      <text>
        <r>
          <rPr>
            <sz val="11"/>
            <color theme="1"/>
            <rFont val="Arial"/>
            <family val="2"/>
          </rPr>
          <t>HP:
thr Protine is total / 1.3</t>
        </r>
      </text>
    </comment>
    <comment ref="T29" authorId="0" shapeId="0" xr:uid="{00000000-0006-0000-1F00-000003000000}">
      <text>
        <r>
          <rPr>
            <sz val="11"/>
            <color theme="1"/>
            <rFont val="Arial"/>
            <family val="2"/>
          </rPr>
          <t>HP:1/3 of total quantity, 50gm for the 150gm plate
+ 
buffer as some Sauce will Stick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000-000001000000}">
      <text>
        <r>
          <rPr>
            <sz val="11"/>
            <color theme="1"/>
            <rFont val="Arial"/>
            <family val="2"/>
          </rPr>
          <t>HP:
thr Protine is total / 1.3</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100-000001000000}">
      <text>
        <r>
          <rPr>
            <sz val="11"/>
            <color theme="1"/>
            <rFont val="Arial"/>
            <family val="2"/>
          </rPr>
          <t xml:space="preserve">HP:
total in the update is Protine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200-000001000000}">
      <text>
        <r>
          <rPr>
            <sz val="11"/>
            <color theme="1"/>
            <rFont val="Arial"/>
            <family val="2"/>
          </rPr>
          <t xml:space="preserve">HP:
total in the update is Protine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2300-000001000000}">
      <text>
        <r>
          <rPr>
            <sz val="11"/>
            <color theme="1"/>
            <rFont val="Arial"/>
            <family val="2"/>
          </rPr>
          <t>HP:1/3 of total quantity, 50gm for the 150gm plate
+ 
buffer as some Sauce will Stick</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2388FE13-583C-4B70-A2DC-FA70ECC7BDC4}">
      <text>
        <r>
          <rPr>
            <sz val="11"/>
            <color theme="1"/>
            <rFont val="Arial"/>
            <family val="2"/>
          </rPr>
          <t>HP:1/3 of total quantity, 50gm for the 150gm plate
+ 
buffer as some Sauce will Stick</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400-000001000000}">
      <text>
        <r>
          <rPr>
            <sz val="11"/>
            <color theme="1"/>
            <rFont val="Arial"/>
            <family val="2"/>
          </rPr>
          <t>HP:
thr Protine is total / 1.3</t>
        </r>
      </text>
    </comment>
    <comment ref="T29" authorId="0" shapeId="0" xr:uid="{00000000-0006-0000-2400-000002000000}">
      <text>
        <r>
          <rPr>
            <sz val="11"/>
            <color theme="1"/>
            <rFont val="Arial"/>
            <family val="2"/>
          </rPr>
          <t>HP:1/3 of total quantity, 50gm for the 150gm plate
+ 
buffer as some Sauce will Stick</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8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800-000002000000}">
      <text>
        <r>
          <rPr>
            <sz val="11"/>
            <color theme="1"/>
            <rFont val="Arial"/>
            <family val="2"/>
          </rPr>
          <t xml:space="preserve">HP:
total in the update is Protine </t>
        </r>
      </text>
    </comment>
    <comment ref="T28" authorId="0" shapeId="0" xr:uid="{00000000-0006-0000-2800-000003000000}">
      <text>
        <r>
          <rPr>
            <sz val="11"/>
            <color theme="1"/>
            <rFont val="Arial"/>
            <family val="2"/>
          </rPr>
          <t xml:space="preserve">HP:There is no Mixing Sauce
</t>
        </r>
      </text>
    </comment>
    <comment ref="T29" authorId="0" shapeId="0" xr:uid="{00000000-0006-0000-2800-000004000000}">
      <text>
        <r>
          <rPr>
            <sz val="11"/>
            <color theme="1"/>
            <rFont val="Arial"/>
            <family val="2"/>
          </rPr>
          <t xml:space="preserve">HP:
Sauce is 50% of pure protein and we buffer 10%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9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900-000002000000}">
      <text>
        <r>
          <rPr>
            <sz val="11"/>
            <color theme="1"/>
            <rFont val="Arial"/>
            <family val="2"/>
          </rPr>
          <t xml:space="preserve">HP:There is no Mixing Sauce
</t>
        </r>
      </text>
    </comment>
    <comment ref="S29" authorId="0" shapeId="0" xr:uid="{00000000-0006-0000-2900-000003000000}">
      <text>
        <r>
          <rPr>
            <sz val="11"/>
            <color theme="1"/>
            <rFont val="Arial"/>
            <family val="2"/>
          </rPr>
          <t xml:space="preserve">HP:
Sauce is 50% of pure protein and we buffer 10%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Unknown Author</author>
    <author>tc={2ECC9FD7-3B29-4CC2-9BE8-C4E5CF01D92F}</author>
  </authors>
  <commentList>
    <comment ref="R23" authorId="0" shapeId="0" xr:uid="{00000000-0006-0000-2A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C25" authorId="1" shapeId="0" xr:uid="{2ECC9FD7-3B29-4CC2-9BE8-C4E5CF01D92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2A00-000002000000}">
      <text>
        <r>
          <rPr>
            <sz val="11"/>
            <color theme="1"/>
            <rFont val="Arial"/>
            <family val="2"/>
          </rPr>
          <t xml:space="preserve">HP:
total in the update is Protine </t>
        </r>
      </text>
    </comment>
    <comment ref="T28" authorId="0" shapeId="0" xr:uid="{00000000-0006-0000-2A00-000003000000}">
      <text>
        <r>
          <rPr>
            <sz val="11"/>
            <color theme="1"/>
            <rFont val="Arial"/>
            <family val="2"/>
          </rPr>
          <t>HP:
No Mixing Sauce</t>
        </r>
      </text>
    </comment>
    <comment ref="T29" authorId="0" shapeId="0" xr:uid="{00000000-0006-0000-2A00-000004000000}">
      <text>
        <r>
          <rPr>
            <sz val="11"/>
            <color theme="1"/>
            <rFont val="Arial"/>
            <family val="2"/>
          </rPr>
          <t xml:space="preserve">HP:
Sauce is 50% of pure protein and we buffer 10%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B00-000001000000}">
      <text>
        <r>
          <rPr>
            <sz val="11"/>
            <color theme="1"/>
            <rFont val="Arial"/>
            <family val="2"/>
          </rPr>
          <t>HP:
thr Protine is total / 1.3</t>
        </r>
      </text>
    </comment>
    <comment ref="T29" authorId="0" shapeId="0" xr:uid="{00000000-0006-0000-2B00-000002000000}">
      <text>
        <r>
          <rPr>
            <sz val="11"/>
            <color theme="1"/>
            <rFont val="Arial"/>
            <family val="2"/>
          </rPr>
          <t>HP:1/3 of total quantity, 50gm for the 150gm plate
+ 
buffer as some Sauce will Stick</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C00-000001000000}">
      <text>
        <r>
          <rPr>
            <sz val="11"/>
            <color theme="1"/>
            <rFont val="Arial"/>
            <family val="2"/>
          </rPr>
          <t>HP:
thr Protine is total / 1.3</t>
        </r>
      </text>
    </comment>
    <comment ref="T29" authorId="0" shapeId="0" xr:uid="{00000000-0006-0000-2C00-000002000000}">
      <text>
        <r>
          <rPr>
            <sz val="11"/>
            <color theme="1"/>
            <rFont val="Arial"/>
            <family val="2"/>
          </rPr>
          <t>HP:1/3 of total quantity, 50gm for the 150gm plate
+ 
buffer as some Sauce will Stick</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D00-000001000000}">
      <text>
        <r>
          <rPr>
            <sz val="11"/>
            <color theme="1"/>
            <rFont val="Arial"/>
            <family val="2"/>
          </rPr>
          <t>HP:
thr Protine is total / 1.3</t>
        </r>
      </text>
    </comment>
    <comment ref="T29" authorId="0" shapeId="0" xr:uid="{00000000-0006-0000-2D00-000002000000}">
      <text>
        <r>
          <rPr>
            <sz val="11"/>
            <color theme="1"/>
            <rFont val="Arial"/>
            <family val="2"/>
          </rPr>
          <t>HP:1/3 of total quantity, 50gm for the 150gm plate
+ 
buffer as some Sauce will Stick</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tc={80258C01-47E0-4C6A-B5D0-A8F68454EA8E}</author>
    <author>Unknown Author</author>
  </authors>
  <commentList>
    <comment ref="AC25" authorId="0" shapeId="0" xr:uid="{80258C01-47E0-4C6A-B5D0-A8F68454EA8E}">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2E00-000001000000}">
      <text>
        <r>
          <rPr>
            <sz val="11"/>
            <color theme="1"/>
            <rFont val="Arial"/>
            <family val="2"/>
          </rPr>
          <t>HP:
thr Protein is total / 1.3</t>
        </r>
      </text>
    </comment>
    <comment ref="T29" authorId="1" shapeId="0" xr:uid="{00000000-0006-0000-2E00-000002000000}">
      <text>
        <r>
          <rPr>
            <sz val="11"/>
            <color theme="1"/>
            <rFont val="Arial"/>
            <family val="2"/>
          </rPr>
          <t>HP:1/3 of total quantity, 50gm for the 150gm plate
+ 
buffer as some Sauce will Stick</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F00-000001000000}">
      <text>
        <r>
          <rPr>
            <sz val="11"/>
            <color theme="1"/>
            <rFont val="Arial"/>
            <family val="2"/>
          </rPr>
          <t xml:space="preserve">HP:
total in the update is Protine </t>
        </r>
      </text>
    </comment>
    <comment ref="U28" authorId="0" shapeId="0" xr:uid="{00000000-0006-0000-2F00-000002000000}">
      <text>
        <r>
          <rPr>
            <sz val="11"/>
            <color theme="1"/>
            <rFont val="Arial"/>
            <family val="2"/>
          </rPr>
          <t xml:space="preserve">HP:
total in the update is Protine </t>
        </r>
      </text>
    </comment>
    <comment ref="T29" authorId="0" shapeId="0" xr:uid="{00000000-0006-0000-2F00-000003000000}">
      <text>
        <r>
          <rPr>
            <sz val="11"/>
            <color theme="1"/>
            <rFont val="Arial"/>
            <family val="2"/>
          </rPr>
          <t xml:space="preserve">HP:
Sauce is 50% of pure protein and we buffer 10%
</t>
        </r>
      </text>
    </comment>
    <comment ref="U29" authorId="0" shapeId="0" xr:uid="{00000000-0006-0000-2F00-000004000000}">
      <text>
        <r>
          <rPr>
            <sz val="11"/>
            <color theme="1"/>
            <rFont val="Arial"/>
            <family val="2"/>
          </rPr>
          <t xml:space="preserve">HP:
Sauce is 50% of pure protein and we buffer 10%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2E925B6A-E1A9-432D-AC7C-A071247B79C0}">
      <text>
        <r>
          <rPr>
            <sz val="11"/>
            <color theme="1"/>
            <rFont val="Arial"/>
            <family val="2"/>
          </rPr>
          <t xml:space="preserve">HP:
total in the update is Protine </t>
        </r>
      </text>
    </comment>
    <comment ref="T28" authorId="0" shapeId="0" xr:uid="{7A614CDC-5FF4-49C6-9EDF-65E018849EC3}">
      <text>
        <r>
          <rPr>
            <sz val="11"/>
            <color theme="1"/>
            <rFont val="Arial"/>
            <family val="2"/>
          </rPr>
          <t>for every 1 KG protine we will create 100 gm Sauce (10%)</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tc={15FBDEDA-BE01-4524-AC62-958B07B425D9}</author>
    <author>Unknown Author</author>
  </authors>
  <commentList>
    <comment ref="AC25" authorId="0" shapeId="0" xr:uid="{15FBDEDA-BE01-4524-AC62-958B07B425D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C84A9BC4-1D33-4348-ADFC-F9A92CBC2463}">
      <text>
        <r>
          <rPr>
            <sz val="11"/>
            <color theme="1"/>
            <rFont val="Arial"/>
            <family val="2"/>
          </rPr>
          <t>HP:
thr Protine is total / 1.3</t>
        </r>
      </text>
    </comment>
    <comment ref="T29" authorId="1" shapeId="0" xr:uid="{57D006D7-57B0-4BF1-B862-8EE97074B3D0}">
      <text>
        <r>
          <rPr>
            <sz val="11"/>
            <color theme="1"/>
            <rFont val="Arial"/>
            <family val="2"/>
          </rPr>
          <t>HP:1/3 of total quantity, 50gm for the 150gm plate
+ 
buffer as some Sauce will Stick</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200-000001000000}">
      <text>
        <r>
          <rPr>
            <sz val="11"/>
            <color theme="1"/>
            <rFont val="Arial"/>
            <family val="2"/>
          </rPr>
          <t xml:space="preserve">HP:
total in the update is Protine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300-000001000000}">
      <text>
        <r>
          <rPr>
            <sz val="11"/>
            <color theme="1"/>
            <rFont val="Arial"/>
            <family val="2"/>
          </rPr>
          <t xml:space="preserve">HP:
total in the update is Protine </t>
        </r>
      </text>
    </comment>
    <comment ref="T28" authorId="0" shapeId="0" xr:uid="{00000000-0006-0000-3300-000002000000}">
      <text>
        <r>
          <rPr>
            <sz val="11"/>
            <color theme="1"/>
            <rFont val="Arial"/>
            <family val="2"/>
          </rPr>
          <t>HP:
Sauce is 50% of Chicken Quantity, we buffered 10%</t>
        </r>
      </text>
    </comment>
    <comment ref="U28" authorId="0" shapeId="0" xr:uid="{00000000-0006-0000-3300-000003000000}">
      <text>
        <r>
          <rPr>
            <sz val="11"/>
            <color theme="1"/>
            <rFont val="Arial"/>
            <family val="2"/>
          </rPr>
          <t xml:space="preserve">HP:
total in the update is Protine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400-000001000000}">
      <text>
        <r>
          <rPr>
            <sz val="11"/>
            <color theme="1"/>
            <rFont val="Arial"/>
            <family val="2"/>
          </rPr>
          <t>HP:
thr Protine is total / 1.3</t>
        </r>
      </text>
    </comment>
    <comment ref="T29" authorId="0" shapeId="0" xr:uid="{00000000-0006-0000-3400-000002000000}">
      <text>
        <r>
          <rPr>
            <sz val="11"/>
            <color theme="1"/>
            <rFont val="Arial"/>
            <family val="2"/>
          </rPr>
          <t>HP:1/3 of total quantity, 50gm for the 150gm plate
+ 
buffer as some Sauce will Stick</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8F6CB722-E593-43E3-9839-4D5AD43024E8}">
      <text>
        <r>
          <rPr>
            <sz val="11"/>
            <color theme="1"/>
            <rFont val="Arial"/>
            <family val="2"/>
          </rPr>
          <t>HP:1/3 of total quantity, 50gm for the 150gm plate
+ 
buffer as some Sauce will Stick</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5286BF27-E739-4D26-934D-19A4FF307667}">
      <text>
        <r>
          <rPr>
            <sz val="11"/>
            <color theme="1"/>
            <rFont val="Arial"/>
            <family val="2"/>
          </rPr>
          <t>HP:
This is a pure Protine Play</t>
        </r>
      </text>
    </comment>
    <comment ref="T29" authorId="0" shapeId="0" xr:uid="{4927B4FE-2501-460E-AE7F-D15435B0DBA8}">
      <text>
        <r>
          <rPr>
            <sz val="11"/>
            <color theme="1"/>
            <rFont val="Arial"/>
            <family val="2"/>
          </rPr>
          <t>HP:1/3 of total quantity, 50gm for the 150gm plate
+ 
buffer as some Sauce will Stick</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tc={2A66C493-8FD3-43DA-9452-DAC88E320BF7}</author>
    <author>Unknown Author</author>
  </authors>
  <commentList>
    <comment ref="AC25" authorId="0" shapeId="0" xr:uid="{2A66C493-8FD3-43DA-9452-DAC88E320B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700-000001000000}">
      <text>
        <r>
          <rPr>
            <sz val="11"/>
            <color theme="1"/>
            <rFont val="Arial"/>
            <family val="2"/>
          </rPr>
          <t>HP:
thr Protine is total / 1.3</t>
        </r>
      </text>
    </comment>
    <comment ref="T28" authorId="1" shapeId="0" xr:uid="{00000000-0006-0000-3700-000002000000}">
      <text>
        <r>
          <rPr>
            <sz val="11"/>
            <color theme="1"/>
            <rFont val="Arial"/>
            <family val="2"/>
          </rPr>
          <t>HP:
we want to allow the chicken to be self saturated after it absorb the Saucr</t>
        </r>
      </text>
    </comment>
    <comment ref="T29" authorId="1" shapeId="0" xr:uid="{00000000-0006-0000-3700-000003000000}">
      <text>
        <r>
          <rPr>
            <sz val="11"/>
            <color theme="1"/>
            <rFont val="Arial"/>
            <family val="2"/>
          </rPr>
          <t>HP:1/3 of total quantity, 50gm for the 150gm plate
+ 
buffer as some Sauce will Stick</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tc={3359F034-9006-4058-909C-6311A4116AA2}</author>
    <author>Unknown Author</author>
  </authors>
  <commentList>
    <comment ref="AC25" authorId="0" shapeId="0" xr:uid="{3359F034-9006-4058-909C-6311A4116AA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T29" authorId="1" shapeId="0" xr:uid="{00000000-0006-0000-3800-000001000000}">
      <text>
        <r>
          <rPr>
            <sz val="11"/>
            <color theme="1"/>
            <rFont val="Arial"/>
            <family val="2"/>
          </rPr>
          <t>HP:1/3 of total quantity, 50gm for the 150gm plate
+ 
buffer as some Sauce will Stick</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tc={608F1BEB-2EAE-4E5E-8748-AE7646B10B4F}</author>
    <author>Unknown Author</author>
  </authors>
  <commentList>
    <comment ref="AC25" authorId="0" shapeId="0" xr:uid="{608F1BEB-2EAE-4E5E-8748-AE7646B10B4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900-000001000000}">
      <text>
        <r>
          <rPr>
            <sz val="11"/>
            <color theme="1"/>
            <rFont val="Arial"/>
            <family val="2"/>
          </rPr>
          <t xml:space="preserve">HP:
total in the update is Protine </t>
        </r>
      </text>
    </comment>
    <comment ref="T29" authorId="1" shapeId="0" xr:uid="{00000000-0006-0000-3900-000002000000}">
      <text>
        <r>
          <rPr>
            <sz val="11"/>
            <color theme="1"/>
            <rFont val="Arial"/>
            <family val="2"/>
          </rPr>
          <t>HP:
buttom Sauce is 40% of Quantity, and topping Sauce is 5%</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7591983B-544B-4908-A35C-D31B2A3A7B81}">
      <text>
        <r>
          <rPr>
            <sz val="11"/>
            <color theme="1"/>
            <rFont val="Arial"/>
            <family val="2"/>
          </rPr>
          <t xml:space="preserve">HP:
total in the update is Protine </t>
        </r>
      </text>
    </comment>
    <comment ref="T28" authorId="0" shapeId="0" xr:uid="{C03E687A-EA17-4602-8067-E5E0C0A1DA60}">
      <text>
        <r>
          <rPr>
            <sz val="11"/>
            <color theme="1"/>
            <rFont val="Arial"/>
            <family val="2"/>
          </rPr>
          <t>for every 1 KG protine we will create 100 gm Sauce (10%)</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B00-000001000000}">
      <text>
        <r>
          <rPr>
            <sz val="11"/>
            <color theme="1"/>
            <rFont val="Arial"/>
            <family val="2"/>
          </rPr>
          <t xml:space="preserve">HP:
total in the update is Protine </t>
        </r>
      </text>
    </comment>
    <comment ref="T28" authorId="0" shapeId="0" xr:uid="{00000000-0006-0000-3B00-000002000000}">
      <text>
        <r>
          <rPr>
            <sz val="11"/>
            <color theme="1"/>
            <rFont val="Arial"/>
            <family val="2"/>
          </rPr>
          <t xml:space="preserve">HP:There is no Mixing Sauce
</t>
        </r>
      </text>
    </comment>
    <comment ref="T29" authorId="0" shapeId="0" xr:uid="{00000000-0006-0000-3B00-000003000000}">
      <text>
        <r>
          <rPr>
            <sz val="11"/>
            <color theme="1"/>
            <rFont val="Arial"/>
            <family val="2"/>
          </rPr>
          <t xml:space="preserve">HP:
Sauce is 50% of pure protein and we buffer 10%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tc={9BD9F61B-E342-45B6-BB85-2CCCD1168FA6}</author>
    <author>Unknown Author</author>
  </authors>
  <commentList>
    <comment ref="AC25" authorId="0" shapeId="0" xr:uid="{9BD9F61B-E342-45B6-BB85-2CCCD1168FA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C00-000001000000}">
      <text>
        <r>
          <rPr>
            <sz val="11"/>
            <color theme="1"/>
            <rFont val="Arial"/>
            <family val="2"/>
          </rPr>
          <t>HP:
thr Protine is total / 1.3</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D00-000001000000}">
      <text>
        <r>
          <rPr>
            <sz val="11"/>
            <color theme="1"/>
            <rFont val="Arial"/>
            <family val="2"/>
          </rPr>
          <t>HP:
thr Protine is total / 1.3</t>
        </r>
      </text>
    </comment>
    <comment ref="U28" authorId="0" shapeId="0" xr:uid="{00000000-0006-0000-3D00-000002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In this meal, the sauce is cooked with the protein and the final weight will be both mixed and not each separated then mixed  </t>
        </r>
      </text>
    </comment>
    <comment ref="T29" authorId="0" shapeId="0" xr:uid="{00000000-0006-0000-3D00-000003000000}">
      <text>
        <r>
          <rPr>
            <sz val="11"/>
            <color theme="1"/>
            <rFont val="Arial"/>
            <family val="2"/>
          </rPr>
          <t>HP:1/3 of total quantity, 50gm for the 150gm plate
+ 
buffer as some Sauce will Stick</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F00-000001000000}">
      <text>
        <r>
          <rPr>
            <sz val="11"/>
            <color theme="1"/>
            <rFont val="Arial"/>
            <family val="2"/>
          </rPr>
          <t>HP:
thr Protine is total / 1.3</t>
        </r>
      </text>
    </comment>
    <comment ref="T29" authorId="0" shapeId="0" xr:uid="{00000000-0006-0000-3F00-000002000000}">
      <text>
        <r>
          <rPr>
            <sz val="11"/>
            <color theme="1"/>
            <rFont val="Arial"/>
            <family val="2"/>
          </rPr>
          <t>HP:1/3 of total quantity, 50gm for the 150gm plate
+ 
buffer as some Sauce will Stick</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000-000001000000}">
      <text>
        <r>
          <rPr>
            <sz val="11"/>
            <color theme="1"/>
            <rFont val="Arial"/>
            <family val="2"/>
          </rPr>
          <t>HP:
thr Protine is total / 1.3</t>
        </r>
      </text>
    </comment>
    <comment ref="T29" authorId="0" shapeId="0" xr:uid="{00000000-0006-0000-4000-000002000000}">
      <text>
        <r>
          <rPr>
            <sz val="11"/>
            <color theme="1"/>
            <rFont val="Arial"/>
            <family val="2"/>
          </rPr>
          <t>HP:1/3 of total quantity, 50gm for the 150gm plate
+ 
buffer as some Sauce will Stick</t>
        </r>
      </text>
    </comment>
    <comment ref="S30" authorId="0" shapeId="0" xr:uid="{00000000-0006-0000-4000-000003000000}">
      <text>
        <r>
          <rPr>
            <sz val="11"/>
            <color theme="1"/>
            <rFont val="Arial"/>
            <family val="2"/>
          </rPr>
          <t>HP:
thr Protine is total / 1.3</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A66C0727-FD49-4EA7-A226-6303CD6B43D3}">
      <text>
        <r>
          <rPr>
            <sz val="11"/>
            <color theme="1"/>
            <rFont val="Arial"/>
            <family val="2"/>
          </rPr>
          <t>HP:1/3 of total quantity, 50gm for the 150gm plate
+ 
buffer as some Sauce will Stick</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E198F40-5979-4134-9C33-16BB8484BD3C}">
      <text>
        <r>
          <rPr>
            <sz val="11"/>
            <color theme="1"/>
            <rFont val="Arial"/>
            <family val="2"/>
          </rPr>
          <t>HP:
This is a pure Protine Play</t>
        </r>
      </text>
    </comment>
    <comment ref="T29" authorId="0" shapeId="0" xr:uid="{0C6E5856-C0D3-451F-B0CF-A3E630F0047A}">
      <text>
        <r>
          <rPr>
            <sz val="11"/>
            <color theme="1"/>
            <rFont val="Arial"/>
            <family val="2"/>
          </rPr>
          <t>HP:1/3 of total quantity, 50gm for the 150gm plate
+ 
buffer as some Sauce will Stick</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100-000001000000}">
      <text>
        <r>
          <rPr>
            <sz val="11"/>
            <color theme="1"/>
            <rFont val="Arial"/>
            <family val="2"/>
          </rPr>
          <t xml:space="preserve">HP:
total in the update is Protine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200-000001000000}">
      <text>
        <r>
          <rPr>
            <sz val="11"/>
            <color theme="1"/>
            <rFont val="Arial"/>
            <family val="2"/>
          </rPr>
          <t>HP:
thr Protine is total / 1.3</t>
        </r>
      </text>
    </comment>
    <comment ref="T29" authorId="0" shapeId="0" xr:uid="{00000000-0006-0000-4200-000002000000}">
      <text>
        <r>
          <rPr>
            <sz val="11"/>
            <color theme="1"/>
            <rFont val="Arial"/>
            <family val="2"/>
          </rPr>
          <t>HP:1/3 of total quantity, 50gm for the 150gm plate
+ 
buffer as some Sauce will Stick</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tc={986678C2-DF96-4A70-B0ED-C8D57D89417A}</author>
    <author>Unknown Author</author>
  </authors>
  <commentList>
    <comment ref="AC25" authorId="0" shapeId="0" xr:uid="{986678C2-DF96-4A70-B0ED-C8D57D89417A}">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400-000001000000}">
      <text>
        <r>
          <rPr>
            <sz val="11"/>
            <color theme="1"/>
            <rFont val="Arial"/>
            <family val="2"/>
          </rPr>
          <t>HP:
thr Protine is total / 1.3</t>
        </r>
      </text>
    </comment>
    <comment ref="T29" authorId="1" shapeId="0" xr:uid="{00000000-0006-0000-4400-000002000000}">
      <text>
        <r>
          <rPr>
            <sz val="11"/>
            <color theme="1"/>
            <rFont val="Arial"/>
            <family val="2"/>
          </rPr>
          <t>HP:1/3 of total quantity, 50gm for the 150gm plate
+ 
buffer as some Sauce will Stick</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tc={5FBD50BE-A056-49D3-90B4-CFD6B8C9DAA9}</author>
    <author>Unknown Author</author>
  </authors>
  <commentList>
    <comment ref="AC25" authorId="0" shapeId="0" xr:uid="{5FBD50BE-A056-49D3-90B4-CFD6B8C9DAA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500-000001000000}">
      <text>
        <r>
          <rPr>
            <sz val="11"/>
            <color theme="1"/>
            <rFont val="Arial"/>
            <family val="2"/>
          </rPr>
          <t>HP:
thr Protine is total / 1.3</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Unknown Author</author>
    <author>tc={B18422E9-EF47-49B9-B040-569F9006BEC9}</author>
  </authors>
  <commentList>
    <comment ref="K1" authorId="0" shapeId="0" xr:uid="{5A8E5DE7-7D30-4A6F-9465-27CA9A6720CA}">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The 4.6 batch came as 4.2 with given a factor of 0.91. let’s keep a healthy Safety Factor till we verify
Reply:
    Bilal said make it 0.95 and will check next when cooked
Reply:
    Actuals weighted to be 0.99
</t>
        </r>
      </text>
    </comment>
    <comment ref="AC25" authorId="1" shapeId="0" xr:uid="{B18422E9-EF47-49B9-B040-569F9006BEC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92F5F22B-17BB-4949-9812-9D40102723C9}">
      <text>
        <r>
          <rPr>
            <sz val="11"/>
            <color theme="1"/>
            <rFont val="Arial"/>
            <family val="2"/>
          </rPr>
          <t xml:space="preserve">HP:
total in the update is Protine </t>
        </r>
      </text>
    </comment>
    <comment ref="U28" authorId="0" shapeId="0" xr:uid="{1EE92D8D-C437-4CAA-9C5B-12EAE2E33ED2}">
      <text>
        <r>
          <rPr>
            <sz val="11"/>
            <color theme="1"/>
            <rFont val="Arial"/>
            <family val="2"/>
          </rPr>
          <t xml:space="preserve">HP:
total in the update is Protine </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tc={508C95CA-FC6A-4A11-86DD-9F0D520525D6}</author>
    <author>Unknown Author</author>
  </authors>
  <commentList>
    <comment ref="AC25" authorId="0" shapeId="0" xr:uid="{508C95CA-FC6A-4A11-86DD-9F0D520525D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F2AA3126-0F2B-4784-A83B-3D87BE007857}">
      <text>
        <r>
          <rPr>
            <sz val="11"/>
            <color theme="1"/>
            <rFont val="Arial"/>
            <family val="2"/>
          </rPr>
          <t>HP:
thr Protine is total / 1.3</t>
        </r>
      </text>
    </comment>
    <comment ref="T29" authorId="1" shapeId="0" xr:uid="{E79AE413-7861-4AAD-A0DF-08787A1D2751}">
      <text>
        <r>
          <rPr>
            <sz val="11"/>
            <color theme="1"/>
            <rFont val="Arial"/>
            <family val="2"/>
          </rPr>
          <t>HP:1/3 of total quantity, 50gm for the 150gm plate
+ 
buffer as some Sauce will Stick</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tc={E72FB9AB-5619-4FD9-B5C3-28CC1DEC8507}</author>
    <author>Unknown Author</author>
  </authors>
  <commentList>
    <comment ref="AC25" authorId="0" shapeId="0" xr:uid="{E72FB9AB-5619-4FD9-B5C3-28CC1DEC850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F62E00D9-4253-4B2C-8583-965F59E90FD4}">
      <text>
        <r>
          <rPr>
            <sz val="11"/>
            <color theme="1"/>
            <rFont val="Arial"/>
            <family val="2"/>
          </rPr>
          <t xml:space="preserve">HP:
total in the update is Protine </t>
        </r>
      </text>
    </comment>
    <comment ref="T28" authorId="1" shapeId="0" xr:uid="{5F5E7E0C-4A3C-4CC6-92D8-111E5BFAA2FF}">
      <text>
        <r>
          <rPr>
            <sz val="11"/>
            <color theme="1"/>
            <rFont val="Arial"/>
            <family val="2"/>
          </rPr>
          <t>for every 1 KG protine we will create 100 gm Sauce (10%)</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tc={3BE16D37-795B-43AD-8E50-87BBD5FAF9BC}</author>
    <author>Unknown Author</author>
  </authors>
  <commentList>
    <comment ref="AC25" authorId="0" shapeId="0" xr:uid="{3BE16D37-795B-43AD-8E50-87BBD5FAF9BC}">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404F05D0-0ED1-4DF8-8C0A-4529427A6BB4}">
      <text>
        <r>
          <rPr>
            <sz val="11"/>
            <color theme="1"/>
            <rFont val="Arial"/>
            <family val="2"/>
          </rPr>
          <t xml:space="preserve">HP:
total in the update is Protine </t>
        </r>
      </text>
    </comment>
    <comment ref="T28" authorId="1" shapeId="0" xr:uid="{F554A7DE-55B6-437B-9DF7-35EA240F1F24}">
      <text>
        <r>
          <rPr>
            <sz val="11"/>
            <color theme="1"/>
            <rFont val="Arial"/>
            <family val="2"/>
          </rPr>
          <t>HP:
Sauce is 50% of Chicken Quantity, we buffered 10%</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5" authorId="0" shapeId="0" xr:uid="{6F23044D-EB49-47D2-B210-38DE24AC7D7D}">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This sandwich is 80% pure beef ad 20% Fat</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DD92E473-4EB1-41D5-8EA7-7B9F0CF28EE5}">
      <text>
        <r>
          <rPr>
            <sz val="11"/>
            <color theme="1"/>
            <rFont val="Arial"/>
            <family val="2"/>
          </rPr>
          <t>HP:1/3 of total quantity, 50gm for the 150gm plate
+ 
buffer as some Sauce will Stick</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9D6DB91A-C1FB-4E49-AD7F-0B36B052E361}">
      <text>
        <r>
          <rPr>
            <sz val="11"/>
            <color theme="1"/>
            <rFont val="Arial"/>
            <family val="2"/>
          </rPr>
          <t xml:space="preserve">HP:
total in the update is Protine </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0F96305-EEC9-4DC1-AD5F-3D8C76E33F75}">
      <text>
        <r>
          <rPr>
            <sz val="11"/>
            <color theme="1"/>
            <rFont val="Arial"/>
            <family val="2"/>
          </rPr>
          <t xml:space="preserve">HP:
total in the update is Protine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<sst xmlns="http://schemas.openxmlformats.org/spreadsheetml/2006/main" count="16479" uniqueCount="1012">
  <si>
    <t>ITEMS</t>
  </si>
  <si>
    <t>Category</t>
  </si>
  <si>
    <t>Unit</t>
  </si>
  <si>
    <t>Daily Weight</t>
  </si>
  <si>
    <t>Day</t>
  </si>
  <si>
    <t>Weekly Weight</t>
  </si>
  <si>
    <t>Yield</t>
  </si>
  <si>
    <t>Order Unit</t>
  </si>
  <si>
    <t>Weekly Order</t>
  </si>
  <si>
    <t>Daily Order</t>
  </si>
  <si>
    <t>Weekly Price</t>
  </si>
  <si>
    <t>Daily Price</t>
  </si>
  <si>
    <t>Onion - بصل</t>
  </si>
  <si>
    <t>خضروات</t>
  </si>
  <si>
    <t>gm</t>
  </si>
  <si>
    <t>kg</t>
  </si>
  <si>
    <t>Curry Chicken</t>
  </si>
  <si>
    <t>Tomato - طماطم</t>
  </si>
  <si>
    <t>Kabsa Lahm</t>
  </si>
  <si>
    <t>Carrot - جزر</t>
  </si>
  <si>
    <t>Beef Chilli Dry</t>
  </si>
  <si>
    <t>Potato - بطاطس</t>
  </si>
  <si>
    <t>Pan Fried Fish</t>
  </si>
  <si>
    <t>Eggplant - باذنجان</t>
  </si>
  <si>
    <t>Meat with Bamiya</t>
  </si>
  <si>
    <t>8 Kg / Carton</t>
  </si>
  <si>
    <t>Carton</t>
  </si>
  <si>
    <t>Chinese Chicken</t>
  </si>
  <si>
    <t xml:space="preserve">Red Bell Pepper - فلفل أحمر </t>
  </si>
  <si>
    <t>Herbal Chicken</t>
  </si>
  <si>
    <t xml:space="preserve">Yellow Bell Pepper - فلفل أصفر </t>
  </si>
  <si>
    <t>Chicken Mandi (1)</t>
  </si>
  <si>
    <t>Green Bell Pepper - فلفل أخضر رومى</t>
  </si>
  <si>
    <t>Asian Chicken Sandwich</t>
  </si>
  <si>
    <t>Green Chilli Pepper - فلفل أخضر حار</t>
  </si>
  <si>
    <t>Herbal Potato Wedges</t>
  </si>
  <si>
    <t>250 g / Box</t>
  </si>
  <si>
    <t>Box</t>
  </si>
  <si>
    <t>Sautee Vegetables (1)</t>
  </si>
  <si>
    <t>Mached Potato(1)</t>
  </si>
  <si>
    <t>Green Onion - بصل أخضر</t>
  </si>
  <si>
    <t>1350 g / Pack</t>
  </si>
  <si>
    <t>Pack</t>
  </si>
  <si>
    <t>Chicken Alfredo</t>
  </si>
  <si>
    <t>Fettuccine Pasta Sauce</t>
  </si>
  <si>
    <t>Kg</t>
  </si>
  <si>
    <t>Coconut Chicken</t>
  </si>
  <si>
    <t>Zucchini - كوسة</t>
  </si>
  <si>
    <t>Chicken 65</t>
  </si>
  <si>
    <t>Orange - برتقال</t>
  </si>
  <si>
    <t>Chinese Cabbage - ملفوف صيني</t>
  </si>
  <si>
    <t>Mkhtoum Lahm</t>
  </si>
  <si>
    <t>135 g / Box</t>
  </si>
  <si>
    <t>BBQ Chicken Skewers</t>
  </si>
  <si>
    <t>Ginger - زنجبيل</t>
  </si>
  <si>
    <t>منكهات</t>
  </si>
  <si>
    <t>Beef Zurbian</t>
  </si>
  <si>
    <t>Grilled Vegetables(2)</t>
  </si>
  <si>
    <t>Almond Chicken</t>
  </si>
  <si>
    <t>Chicken Pasta with Vegetable</t>
  </si>
  <si>
    <t>Coriander Leaves - كزبرة خضراء</t>
  </si>
  <si>
    <t>أعشاب طازجة</t>
  </si>
  <si>
    <t>825 g / Pack</t>
  </si>
  <si>
    <t>Pasta with Vegetable(Pasta)</t>
  </si>
  <si>
    <t>Parsley - بقدونس</t>
  </si>
  <si>
    <t>Changezi Chicken</t>
  </si>
  <si>
    <t>100 g/Pack</t>
  </si>
  <si>
    <t>Daoud Basha</t>
  </si>
  <si>
    <t>Mint Leaves - نعناع طازج</t>
  </si>
  <si>
    <t>900 g / Pack</t>
  </si>
  <si>
    <t>Dill Leaves - شبت</t>
  </si>
  <si>
    <t>1000 g /Pack</t>
  </si>
  <si>
    <t>Moussaka Vegi</t>
  </si>
  <si>
    <t>Moussaka Meat</t>
  </si>
  <si>
    <t>Laham Oriental</t>
  </si>
  <si>
    <t>Curry Leaves - أوراق الكاري</t>
  </si>
  <si>
    <t>Chicken Saleeq (3)</t>
  </si>
  <si>
    <t>Chicken Mandi (3)</t>
  </si>
  <si>
    <t>Chicken Caesar Salad</t>
  </si>
  <si>
    <t>Dry Thyme - زعتر مجفف</t>
  </si>
  <si>
    <t>أعشاب مجففة</t>
  </si>
  <si>
    <t>Chicken Fajita</t>
  </si>
  <si>
    <t>Dry Oregano - أوريجانو مجفف</t>
  </si>
  <si>
    <t>Mached Potato(3)</t>
  </si>
  <si>
    <t>Dry Basil - ريحان مجفف</t>
  </si>
  <si>
    <t>142 g / Pack</t>
  </si>
  <si>
    <t>Potato Wedges</t>
  </si>
  <si>
    <t>Dried Mint Leaves - نعناع مجفف</t>
  </si>
  <si>
    <t>200 g / Pack</t>
  </si>
  <si>
    <t>Oven Vegetables (3)</t>
  </si>
  <si>
    <t>Bay Leaf - ورق غار</t>
  </si>
  <si>
    <t>Chicken Steak Sauce</t>
  </si>
  <si>
    <t>Chicken Steak Topping</t>
  </si>
  <si>
    <t>Salt - ملح</t>
  </si>
  <si>
    <t>توابل</t>
  </si>
  <si>
    <t>50 Kg</t>
  </si>
  <si>
    <t>Chicken Mushroom</t>
  </si>
  <si>
    <t>Black Pepper Whole - فلفل أسود حب</t>
  </si>
  <si>
    <t>Stroganoff Beef</t>
  </si>
  <si>
    <t>Black Pepper Powder - فلفل أسود مطحون</t>
  </si>
  <si>
    <t>Stroganoff pasta</t>
  </si>
  <si>
    <t>White Pepper - فلفل أبيض</t>
  </si>
  <si>
    <t>Beef Amansi</t>
  </si>
  <si>
    <t>Cumin Whole - كمون حب</t>
  </si>
  <si>
    <t>Chicken Tikka</t>
  </si>
  <si>
    <t>Cumin Powder - كمون مطحون</t>
  </si>
  <si>
    <t>Lahm Fasooliya</t>
  </si>
  <si>
    <t>Coriander Powder - كزبرة مطحونة</t>
  </si>
  <si>
    <t>Curry Powder - كاري بودرة</t>
  </si>
  <si>
    <t>Orzo Pasta</t>
  </si>
  <si>
    <t>Paprika Powder - بابريكا مطحون</t>
  </si>
  <si>
    <t>2724 gram/Carton</t>
  </si>
  <si>
    <t>Chicken Makloba</t>
  </si>
  <si>
    <t>Red Chilli Powder - شطة حمراء مطحونة</t>
  </si>
  <si>
    <t>Makloba Veggi</t>
  </si>
  <si>
    <t>Kashmiri Red Chilli Whole - فلفل كشميري أحمر كامل</t>
  </si>
  <si>
    <t>10 Kg / Carton</t>
  </si>
  <si>
    <t>BBQ Chicken</t>
  </si>
  <si>
    <t>Turmeric - كركم</t>
  </si>
  <si>
    <t>Mached Potato(4)</t>
  </si>
  <si>
    <t>Cinnamon Whole - قرفة أعواد</t>
  </si>
  <si>
    <t>Sautee Vegetables (4)</t>
  </si>
  <si>
    <t>Cinnamon Powder - قرفة مطحونة</t>
  </si>
  <si>
    <t>Sriracha Chicken</t>
  </si>
  <si>
    <t>Cloves Whole - قرنفل حب</t>
  </si>
  <si>
    <t>Butter Chicken</t>
  </si>
  <si>
    <t>Cardamom Whole - هيل حب</t>
  </si>
  <si>
    <t>Meat Kebab</t>
  </si>
  <si>
    <t>Cardamom Powder - هيل مطحون</t>
  </si>
  <si>
    <t>Star Anise - ينسون نجمي</t>
  </si>
  <si>
    <t>Kebab Hindi</t>
  </si>
  <si>
    <t>Fennel Seeds - شمر حب</t>
  </si>
  <si>
    <t>Pizziola Chicken</t>
  </si>
  <si>
    <t>50 gram</t>
  </si>
  <si>
    <t>Lahm Bolognese</t>
  </si>
  <si>
    <t>Biryani Masala - بهارات برياني</t>
  </si>
  <si>
    <t>Kabsa Spices Powder - توابل كبسة بودر</t>
  </si>
  <si>
    <t>200 gram</t>
  </si>
  <si>
    <t>Lasagne Bachamel</t>
  </si>
  <si>
    <t>Maggi Cubes - مكعبات ماجي</t>
  </si>
  <si>
    <t>Beef Lasagne Sauce</t>
  </si>
  <si>
    <t>Italian Seasoning - توابل إيطالية</t>
  </si>
  <si>
    <t>34 g</t>
  </si>
  <si>
    <t>Beef Bokhary</t>
  </si>
  <si>
    <t>Ginger Powder - زنجبيل مطحون</t>
  </si>
  <si>
    <t>Beef philly cheese steak</t>
  </si>
  <si>
    <t>Onion Powder - بصل بودرة</t>
  </si>
  <si>
    <t>Grilled Vegetables(5)</t>
  </si>
  <si>
    <t>Pink Chicken</t>
  </si>
  <si>
    <t>Garlic Powder - ثوم بودرة</t>
  </si>
  <si>
    <t>Ginger Chicken</t>
  </si>
  <si>
    <t>French Meatball</t>
  </si>
  <si>
    <t>Butter - زبدة</t>
  </si>
  <si>
    <t>منتجات ألبان</t>
  </si>
  <si>
    <t>25 Kg</t>
  </si>
  <si>
    <t>Singapore Chicken</t>
  </si>
  <si>
    <t>Ghee - سمن</t>
  </si>
  <si>
    <t>9.6 Kg / Carton</t>
  </si>
  <si>
    <t>Fish with Shabat and Lemon</t>
  </si>
  <si>
    <t>Milk - حليب</t>
  </si>
  <si>
    <t>ml</t>
  </si>
  <si>
    <t>12 L / Carton</t>
  </si>
  <si>
    <t>Chicken Molokeya</t>
  </si>
  <si>
    <t>Yogurt - زبادي</t>
  </si>
  <si>
    <t>10 Kg</t>
  </si>
  <si>
    <t>Beef Kebab Sandwich</t>
  </si>
  <si>
    <t>Cooking Cream - كريمة طبخ</t>
  </si>
  <si>
    <t>Beef Kabli</t>
  </si>
  <si>
    <t>Labneh - لبنة</t>
  </si>
  <si>
    <t>11 Kg / Carton</t>
  </si>
  <si>
    <t>Chicken Saleeq (6)</t>
  </si>
  <si>
    <t>Oven Vegetables (6)</t>
  </si>
  <si>
    <t>Mozzarella Cheese - جبنة موتزاريلا</t>
  </si>
  <si>
    <t>9.2 Kg / Carton</t>
  </si>
  <si>
    <t>Coconut Milk - حليب جوز الهند</t>
  </si>
  <si>
    <t>9.6 Kg/Carton</t>
  </si>
  <si>
    <t>Almond Whole - لوز كامل</t>
  </si>
  <si>
    <t>مكسرات</t>
  </si>
  <si>
    <t>Cashew Nut - كاجو</t>
  </si>
  <si>
    <t>Sugar - سكر</t>
  </si>
  <si>
    <t>محليات</t>
  </si>
  <si>
    <t>Brown Sugar - سكر بني</t>
  </si>
  <si>
    <t>20 Kg</t>
  </si>
  <si>
    <t>Honey - عسل</t>
  </si>
  <si>
    <t>Raisin - زبيب</t>
  </si>
  <si>
    <t>Flour - دقيق</t>
  </si>
  <si>
    <t>حبوب ودقيق</t>
  </si>
  <si>
    <t>Corn Starch - نشا ذرة</t>
  </si>
  <si>
    <t>Bread Crumbs - فتات الخبز (بقسماط)</t>
  </si>
  <si>
    <t>BBQ Sauce - صوص باربيكيو</t>
  </si>
  <si>
    <t>صوصات ومنكهات</t>
  </si>
  <si>
    <t>15.16 L / Carton</t>
  </si>
  <si>
    <t>Sriracha Sauce - صوص سريراتشا</t>
  </si>
  <si>
    <t>Light Soy Sauce - صويا صوص خفيف</t>
  </si>
  <si>
    <t>Sweet Soy Sauce - صويا صوص حلو</t>
  </si>
  <si>
    <t>7.5 L / Carton</t>
  </si>
  <si>
    <t>Oyster Sauce - صوص محار</t>
  </si>
  <si>
    <t>7.2 L / Carton</t>
  </si>
  <si>
    <t>Tomato Ketchup - كاتشب طماطم</t>
  </si>
  <si>
    <t>20 Kg / Carton</t>
  </si>
  <si>
    <t>Demi Glaze Sauce - صوص ديمي غلاز</t>
  </si>
  <si>
    <t>4.5 Kg / Carton</t>
  </si>
  <si>
    <t>Mustard - خردل</t>
  </si>
  <si>
    <t>Water - ماء</t>
  </si>
  <si>
    <t>سوائل ومرق</t>
  </si>
  <si>
    <t>L</t>
  </si>
  <si>
    <t>Rose Water - ماء الورد</t>
  </si>
  <si>
    <t>Beef Stock - مرق لحم بقري</t>
  </si>
  <si>
    <t>Vinegar - خل</t>
  </si>
  <si>
    <t>Balsamic Vinegar - خل بلسميك</t>
  </si>
  <si>
    <t>6 L / Carton</t>
  </si>
  <si>
    <t>Olive Oil - زيت زيتون</t>
  </si>
  <si>
    <t>Lemon Juice - عصير ليمون</t>
  </si>
  <si>
    <t>ألوان وإضافات</t>
  </si>
  <si>
    <t>Orange Color - لون برتقالي</t>
  </si>
  <si>
    <t>Brown Color - لون بني</t>
  </si>
  <si>
    <t>Soda Bi Carb - بيكربونات الصوديوم</t>
  </si>
  <si>
    <t>Charcoal - فحم</t>
  </si>
  <si>
    <t>12.75 Kg / Carton</t>
  </si>
  <si>
    <t>White Beans - فاصوليا بيضاء</t>
  </si>
  <si>
    <t>Chicken - دجاج</t>
  </si>
  <si>
    <t>بروتين</t>
  </si>
  <si>
    <t>Meat Fat - دهن لحم</t>
  </si>
  <si>
    <t>Indian Meat Alana  - لحم هندى ألانا</t>
  </si>
  <si>
    <t>18 Kg / Carton</t>
  </si>
  <si>
    <t>Fillet Fish - سمك فيليه</t>
  </si>
  <si>
    <t>Indian Meat Tammam Mafroom - مفروم هندى</t>
  </si>
  <si>
    <t>KG</t>
  </si>
  <si>
    <t>Sheet Name</t>
  </si>
  <si>
    <t>Egg - بيضة</t>
  </si>
  <si>
    <t>Piece</t>
  </si>
  <si>
    <t>Base Recipe (1kg Yield)</t>
  </si>
  <si>
    <t xml:space="preserve">Required Quantity </t>
  </si>
  <si>
    <t>Conversion Factor</t>
  </si>
  <si>
    <t>Corrected Conversion Factor</t>
  </si>
  <si>
    <t>Weight Correction</t>
  </si>
  <si>
    <t>Protine Cooking Method</t>
  </si>
  <si>
    <t>Grill &amp; Oven</t>
  </si>
  <si>
    <t>Protine Cooking Yield</t>
  </si>
  <si>
    <t>Marination Factor</t>
  </si>
  <si>
    <t xml:space="preserve">Curry Chicken </t>
  </si>
  <si>
    <t>Ingredient</t>
  </si>
  <si>
    <t xml:space="preserve">Unit </t>
  </si>
  <si>
    <t>Scaling Factor 
(1-10KG)</t>
  </si>
  <si>
    <t xml:space="preserve">Linear Scaled Amount </t>
  </si>
  <si>
    <t>Scaled Amount Post Conversion Factor 
كميات التحضير من فريق طوكيو</t>
  </si>
  <si>
    <t>PreCooking Yield</t>
  </si>
  <si>
    <t>Price Per KG or L</t>
  </si>
  <si>
    <t>Ordering quantity (KG or L)</t>
  </si>
  <si>
    <t>Cost</t>
  </si>
  <si>
    <t>Base Recipe (10kg Yield)</t>
  </si>
  <si>
    <t>Curry chicken دجاج بالكارى</t>
  </si>
  <si>
    <t>Size</t>
  </si>
  <si>
    <t>Rich Meal</t>
  </si>
  <si>
    <t xml:space="preserve">Actuals </t>
  </si>
  <si>
    <t xml:space="preserve">Chicken </t>
  </si>
  <si>
    <t>Sauce</t>
  </si>
  <si>
    <t xml:space="preserve">Total </t>
  </si>
  <si>
    <t>Meal Mix</t>
  </si>
  <si>
    <t>Pure Protine</t>
  </si>
  <si>
    <t>Mixing Sauce</t>
  </si>
  <si>
    <t>Topping Sauce</t>
  </si>
  <si>
    <t>Total</t>
  </si>
  <si>
    <t>Mixed</t>
  </si>
  <si>
    <t>Topping</t>
  </si>
  <si>
    <t xml:space="preserve">Safty </t>
  </si>
  <si>
    <t>Cost/gram</t>
  </si>
  <si>
    <t>Total Without Safty Factor</t>
  </si>
  <si>
    <t>Actuals (To be Filled automatically)</t>
  </si>
  <si>
    <t>Extra Quantity vs Actuals</t>
  </si>
  <si>
    <t>Protine Out of (Protine + Mixing Sauce)</t>
  </si>
  <si>
    <t>Mixing Sauce Out of (Protine + Mixing Sauce)</t>
  </si>
  <si>
    <t>Total Batch</t>
  </si>
  <si>
    <t>Total Sauce</t>
  </si>
  <si>
    <t xml:space="preserve">Mixing % </t>
  </si>
  <si>
    <t>Topping %</t>
  </si>
  <si>
    <t xml:space="preserve">Mixing KG </t>
  </si>
  <si>
    <t>Topping KG</t>
  </si>
  <si>
    <t>Protine Cooked for 10 KG Sauce Batch</t>
  </si>
  <si>
    <t>Final KG</t>
  </si>
  <si>
    <t>Protine Batches</t>
  </si>
  <si>
    <t>Un Cooked Protine</t>
  </si>
  <si>
    <t>Cooked Protine</t>
  </si>
  <si>
    <t>For 10KG Sauce output</t>
  </si>
  <si>
    <t>Batch 1</t>
  </si>
  <si>
    <t>Batch 2</t>
  </si>
  <si>
    <t>Batch 3</t>
  </si>
  <si>
    <t>Protein</t>
  </si>
  <si>
    <t>Mix</t>
  </si>
  <si>
    <t>Boil</t>
  </si>
  <si>
    <t xml:space="preserve">Kabsah Laham </t>
  </si>
  <si>
    <t>Dry Meal</t>
  </si>
  <si>
    <t>Laham</t>
  </si>
  <si>
    <t>Batch 4</t>
  </si>
  <si>
    <t>Multiplication Factor</t>
  </si>
  <si>
    <t>Beef Chili Dry</t>
  </si>
  <si>
    <t>بيف شيلى دراى  Beef Chilli Dry</t>
  </si>
  <si>
    <t>Self Saturated Meal</t>
  </si>
  <si>
    <t>Beef</t>
  </si>
  <si>
    <t>Oven</t>
  </si>
  <si>
    <t xml:space="preserve">This Meal is Pure Protine with no Mixxing, only Topping </t>
  </si>
  <si>
    <t>For Every 150 gm we Add on top ???</t>
  </si>
  <si>
    <t>بان فرايد فيش  Pan Fried Fish</t>
  </si>
  <si>
    <t xml:space="preserve">Fish </t>
  </si>
  <si>
    <t>Bamiah Laham</t>
  </si>
  <si>
    <t>Edam Meal</t>
  </si>
  <si>
    <t xml:space="preserve">Laham </t>
  </si>
  <si>
    <t>Protine Uncooked For 10 KG Sauce Batch</t>
  </si>
  <si>
    <t>for every 1 scaling factor you get 0.85KG</t>
  </si>
  <si>
    <t xml:space="preserve">For Every 150 gm we Add on top 50gm </t>
  </si>
  <si>
    <t xml:space="preserve"> </t>
  </si>
  <si>
    <t>دجاج بالأعشاب  Herbal Chicken</t>
  </si>
  <si>
    <t xml:space="preserve">Marination </t>
  </si>
  <si>
    <t>Requirered P</t>
  </si>
  <si>
    <t>Zurbian</t>
  </si>
  <si>
    <t>Totavl Conversion Factor</t>
  </si>
  <si>
    <t>Chicken Mandi - مندي دجاج</t>
  </si>
  <si>
    <t>Unit  الوحدة</t>
  </si>
  <si>
    <t>Base Recipe (1 kg Yield) — الوصفة الأساسية (إنتاج 1 كجم)</t>
  </si>
  <si>
    <t>Corrected Conversion Factor — معامل التحويل المصحح</t>
  </si>
  <si>
    <t>Scaling Factor — معامل القياس</t>
  </si>
  <si>
    <t>Linear Scaled Amount — الكمية المعدلة حسابياً</t>
  </si>
  <si>
    <t>Scaled Amount Post Conversion Factor — الكمية المعدلة بعد معامل التحويل</t>
  </si>
  <si>
    <t>For 15KG Protine output</t>
  </si>
  <si>
    <t>Saudi Cuisine</t>
  </si>
  <si>
    <t xml:space="preserve"> الوزن المطلوب</t>
  </si>
  <si>
    <t>Safty - كمية للأمان</t>
  </si>
  <si>
    <t>Total - الوزن النهائي</t>
  </si>
  <si>
    <t>Protine Out of Total</t>
  </si>
  <si>
    <t>Protine Cooked for 15 KG Sauce Batch</t>
  </si>
  <si>
    <t>Scaling Factor 
(1-15KG)</t>
  </si>
  <si>
    <t>Base Recipe (1 Portion )</t>
  </si>
  <si>
    <t>Charcol &amp; Oven</t>
  </si>
  <si>
    <t>Filling</t>
  </si>
  <si>
    <t>Asian Chicken Sandwich - ساندوتش الدجاج الاسيوي</t>
  </si>
  <si>
    <t>Scaled Amount Post Conversion Factor</t>
  </si>
  <si>
    <t>Veggi &amp; Cheese</t>
  </si>
  <si>
    <t xml:space="preserve">Potato Wedges - بطاطس ويدجز </t>
  </si>
  <si>
    <t xml:space="preserve">Edam Vegetables  </t>
  </si>
  <si>
    <t>Vegetables (Edam)</t>
  </si>
  <si>
    <t>Sat - Tues</t>
  </si>
  <si>
    <t>Steam Vegetables</t>
  </si>
  <si>
    <t xml:space="preserve">Sautee Vegetables - خضار سوتيه </t>
  </si>
  <si>
    <t>Mached Potato</t>
  </si>
  <si>
    <t>Batch 5</t>
  </si>
  <si>
    <t xml:space="preserve">Mached Potato  - بطاطس مهروسة </t>
  </si>
  <si>
    <t>بطاطس مهروسة   4/ 4</t>
  </si>
  <si>
    <t>Mached Potato 4 / 4</t>
  </si>
  <si>
    <t>بطاطس مهروسة   5/ 5</t>
  </si>
  <si>
    <t>Mached Potato 5 / 5</t>
  </si>
  <si>
    <t>Ingredient+A4:E27</t>
  </si>
  <si>
    <t>دجاج الفريدو  Chicken Alfredo</t>
  </si>
  <si>
    <t>Pasta</t>
  </si>
  <si>
    <t>1 Kg Cooked Patsa</t>
  </si>
  <si>
    <t xml:space="preserve">need 300 gm sauce </t>
  </si>
  <si>
    <t>update</t>
  </si>
  <si>
    <t>450 gm</t>
  </si>
  <si>
    <t>دجاج بجوز الهند  Chicken Coconut</t>
  </si>
  <si>
    <t>Chicken</t>
  </si>
  <si>
    <t xml:space="preserve">  Chicken 65</t>
  </si>
  <si>
    <t>Self Saturated</t>
  </si>
  <si>
    <t>3 KG mixed bel pepper</t>
  </si>
  <si>
    <t>100 gm butter</t>
  </si>
  <si>
    <t>اسياخ دجاج الباربكيو BBQ Chicken Skewers</t>
  </si>
  <si>
    <t>piece</t>
  </si>
  <si>
    <t>Sun - Wed</t>
  </si>
  <si>
    <t>Grilled Vegetables</t>
  </si>
  <si>
    <t xml:space="preserve">Grilled Vegetables - خضار مشوية </t>
  </si>
  <si>
    <t>coating</t>
  </si>
  <si>
    <t>Total Uncooked</t>
  </si>
  <si>
    <t>Total Cooked</t>
  </si>
  <si>
    <t>coating 30% of chicken</t>
  </si>
  <si>
    <t>Coating</t>
  </si>
  <si>
    <t>دجاج بالوز Almond Chicken</t>
  </si>
  <si>
    <t>دجاج مكروني بالخضار Chicken Pasta with Vegetables</t>
  </si>
  <si>
    <t>مكروني بالخضار Pasta with Vegetables</t>
  </si>
  <si>
    <t>باستا مكروني بالخضار  Pasta with Vegetables</t>
  </si>
  <si>
    <t xml:space="preserve"> دجاج تشانجيزي  Changezi Chicken</t>
  </si>
  <si>
    <t>داوود باشا  Daoud Basha</t>
  </si>
  <si>
    <t>Meat</t>
  </si>
  <si>
    <t xml:space="preserve">Moussaka Vegetables - خضار المسقعة </t>
  </si>
  <si>
    <t>meat before cooking</t>
  </si>
  <si>
    <t>meat after cooking</t>
  </si>
  <si>
    <t>meat after sauce</t>
  </si>
  <si>
    <t xml:space="preserve">Sauce of Moussaka Meat - صوص لحم المسقعة </t>
  </si>
  <si>
    <t>لحم اوريانتل   Laham Oriental</t>
  </si>
  <si>
    <t>This Meal need more Sauce than the 1/3 Rule</t>
  </si>
  <si>
    <t>Dipping Sauce</t>
  </si>
  <si>
    <t>Saleeq</t>
  </si>
  <si>
    <t>Filling gm</t>
  </si>
  <si>
    <t xml:space="preserve">تشيكن سيزر - Chicken Caesar Salad  </t>
  </si>
  <si>
    <t xml:space="preserve">تشيكن سيزر - Chicken Caesar Salad </t>
  </si>
  <si>
    <t xml:space="preserve"> ساندوتش تشيكن فاهيتا - Chicken Fajita Sandwitch</t>
  </si>
  <si>
    <t>Mon - Thursd</t>
  </si>
  <si>
    <t>Oven Vegetables</t>
  </si>
  <si>
    <t xml:space="preserve">Oven Vegetables - خضار بالفرن </t>
  </si>
  <si>
    <t>Chicken Steak mixing</t>
  </si>
  <si>
    <t xml:space="preserve">This Meal follow the 1/1.15 Rule </t>
  </si>
  <si>
    <t>ستيك دجاج  Chicken Steak</t>
  </si>
  <si>
    <t>chicken</t>
  </si>
  <si>
    <t xml:space="preserve">Chicken Mushroom </t>
  </si>
  <si>
    <t xml:space="preserve">For Every 150 gm we Add on top 75gm </t>
  </si>
  <si>
    <t>Pure Protein Play - Rich Meal</t>
  </si>
  <si>
    <t>Mashroom</t>
  </si>
  <si>
    <t>Stroganoff Pasta for Beef</t>
  </si>
  <si>
    <t xml:space="preserve">Stroganoff Beef - ستروغانوف لحم </t>
  </si>
  <si>
    <t xml:space="preserve">Self Saturated </t>
  </si>
  <si>
    <t>Stroganoff sauce for pasta</t>
  </si>
  <si>
    <t>Pasta fusilli - مكرونة مبرومة</t>
  </si>
  <si>
    <t xml:space="preserve">Stroganoff Pasta -ستروغانوف باستا </t>
  </si>
  <si>
    <t xml:space="preserve"> Self Saturated </t>
  </si>
  <si>
    <t xml:space="preserve">Beef Amansi بيف امانسي   </t>
  </si>
  <si>
    <t xml:space="preserve">Chicken Tikka دجاج تكا </t>
  </si>
  <si>
    <t xml:space="preserve">Safety </t>
  </si>
  <si>
    <t>Total Without Safety Factor</t>
  </si>
  <si>
    <t>when we mix thr meet with the sauce it absorb it</t>
  </si>
  <si>
    <t xml:space="preserve">Laham Fasooliya  فاصوليا لحم </t>
  </si>
  <si>
    <t>Edam</t>
  </si>
  <si>
    <t>Orzo Pasta أورزو باستا</t>
  </si>
  <si>
    <t>Zucchini Cooking Yield</t>
  </si>
  <si>
    <t>Potato Cooking Yield</t>
  </si>
  <si>
    <t>Carrot Cooking Yield</t>
  </si>
  <si>
    <t>Maklouba Veggi - خضار مقلوبة</t>
  </si>
  <si>
    <t>Cooking</t>
  </si>
  <si>
    <t>Before</t>
  </si>
  <si>
    <t>After</t>
  </si>
  <si>
    <t>For 1 KG Out Put</t>
  </si>
  <si>
    <t>كمية غرف الخضار للمقلوبة</t>
  </si>
  <si>
    <t>Maklouba - مقلوبة</t>
  </si>
  <si>
    <t>Veggi</t>
  </si>
  <si>
    <t>الوزن بدون كمية الأمان</t>
  </si>
  <si>
    <t>140 gm</t>
  </si>
  <si>
    <t xml:space="preserve"> ساندوتش تشيكن باربيكيو - BBQ Chicken Sandwitch</t>
  </si>
  <si>
    <t>Sriracha Chicken دجاج سيراتشا</t>
  </si>
  <si>
    <t>Extra Self Saturated Meal</t>
  </si>
  <si>
    <t xml:space="preserve">Butter Chicken دجاج هندي بالزبدة </t>
  </si>
  <si>
    <t xml:space="preserve">Meat Kebab كباب اللحم </t>
  </si>
  <si>
    <t>The Sauce will be counted for each of (upper) and (Lower) Sauce</t>
  </si>
  <si>
    <t>Kebab Hindi كباب هندى</t>
  </si>
  <si>
    <t>Kebab</t>
  </si>
  <si>
    <t xml:space="preserve">topping </t>
  </si>
  <si>
    <t>4kg Chicken</t>
  </si>
  <si>
    <t>1.50 KG cheddar</t>
  </si>
  <si>
    <t>1KG</t>
  </si>
  <si>
    <t>4Kg total with meat</t>
  </si>
  <si>
    <t>14KG Protein raw</t>
  </si>
  <si>
    <t xml:space="preserve">10 KG cooked </t>
  </si>
  <si>
    <t>4KG sauce then added</t>
  </si>
  <si>
    <t xml:space="preserve">Lahm Bolognese لحم بولونيز </t>
  </si>
  <si>
    <t>صوص بشاميل لازانيا - Lasagne Bachamel</t>
  </si>
  <si>
    <t>Pasta Lasagna Sheets - شرائح لازانيا باستا</t>
  </si>
  <si>
    <t>Batch 6</t>
  </si>
  <si>
    <t>Batch 7</t>
  </si>
  <si>
    <t>Update</t>
  </si>
  <si>
    <t>Beef Lasagne  - لحم لازانيا</t>
  </si>
  <si>
    <t>Safty</t>
  </si>
  <si>
    <t>Beef Lasagne  -  لحم لازانيا</t>
  </si>
  <si>
    <t>Biukhary</t>
  </si>
  <si>
    <t>For 10KG Protine output</t>
  </si>
  <si>
    <t>Beef Philly Cheesesteak - ساندوتش فيلادلفيا لحم</t>
  </si>
  <si>
    <t>Vegetables</t>
  </si>
  <si>
    <t>Pink Chicken دجاج بكريمة الطماطم</t>
  </si>
  <si>
    <t xml:space="preserve">Ginger Chicken </t>
  </si>
  <si>
    <t>Ginger Chicken دجاج بالزنجبيل</t>
  </si>
  <si>
    <t>PreCooked Quantity  (1kg Yield)</t>
  </si>
  <si>
    <t>Linear Scaled Amount - Precooked quantity</t>
  </si>
  <si>
    <t>French Meatball كرات اللحم الفرنسية</t>
  </si>
  <si>
    <t>Singapore Chicken  دجاج سنغافورى</t>
  </si>
  <si>
    <t>Fish with Shabat and Lemon   سمك بالشبت و الليمون</t>
  </si>
  <si>
    <t>Fish</t>
  </si>
  <si>
    <t>Chicken Molokeya ملوخية دجاج</t>
  </si>
  <si>
    <t>Charcol</t>
  </si>
  <si>
    <t xml:space="preserve">Beef Kebab sandwich  - ساندوتش كباب لحم </t>
  </si>
  <si>
    <t>Beef Count</t>
  </si>
  <si>
    <t>Beef Kabli- كابلي لحم</t>
  </si>
  <si>
    <t>Octa Poki Bowl</t>
  </si>
  <si>
    <t>Octa Poki Bowl -  أوكتا بوكى بول</t>
  </si>
  <si>
    <t>Octa Poki Bowl - أوكتا بوكى بول</t>
  </si>
  <si>
    <t>Frozen Green Peas - بازلاء خضراء مجمده</t>
  </si>
  <si>
    <t>معلبات و مجمدات</t>
  </si>
  <si>
    <t>Red Cabbage - ملفوف أحمر</t>
  </si>
  <si>
    <t>Carrot Cooking Method</t>
  </si>
  <si>
    <t>Base Recipe  1 Sandwich</t>
  </si>
  <si>
    <t>Total Chicken - الدجاج الكلي</t>
  </si>
  <si>
    <t>Chicken 65 - دجاج 65</t>
  </si>
  <si>
    <t>Total beef - اللحم الكلي</t>
  </si>
  <si>
    <t>Worcestershire sauce - صوص الورشيستر</t>
  </si>
  <si>
    <t>Top Side - توب سايد مفروم</t>
  </si>
  <si>
    <t>Octa Poki Bowl- اوكتا بوكى بول</t>
  </si>
  <si>
    <t>Pizza Chicken دجاج بيتزا</t>
  </si>
  <si>
    <t>Butchery Protein Order — Auto-Generated</t>
  </si>
  <si>
    <t>Meal Name</t>
  </si>
  <si>
    <t>Protein Ingredient</t>
  </si>
  <si>
    <t>Weight (grams)</t>
  </si>
  <si>
    <t>Weight (KG)</t>
  </si>
  <si>
    <t>Kabsah Laham</t>
  </si>
  <si>
    <t>تشيكن سيزر - Chicken Caesar Salad</t>
  </si>
  <si>
    <t>PROTEIN SUMMARY</t>
  </si>
  <si>
    <t>Total KG Needed</t>
  </si>
  <si>
    <t>22 Packet pasta = 9900</t>
  </si>
  <si>
    <t>after boiling 30800</t>
  </si>
  <si>
    <t>update = 36460</t>
  </si>
  <si>
    <t>Total Beef - اللحم الكلي</t>
  </si>
  <si>
    <t>Total Fish - السمك الكلي</t>
  </si>
  <si>
    <t>Chinese Chicken - دجاج صيني</t>
  </si>
  <si>
    <t>Cooked Pasta</t>
  </si>
  <si>
    <t>Un Cooked Pasta</t>
  </si>
  <si>
    <t>Pasta Cooked for 10 KG Sauce Batch</t>
  </si>
  <si>
    <t>Butchery</t>
  </si>
  <si>
    <t>Fettuccine Pasta - مكرونة فيتوتشيني</t>
  </si>
  <si>
    <t>Rice GM</t>
  </si>
  <si>
    <t xml:space="preserve">Required </t>
  </si>
  <si>
    <r>
      <t xml:space="preserve">Scaled Amount Post Conversion Factor 
</t>
    </r>
    <r>
      <rPr>
        <b/>
        <sz val="12"/>
        <color rgb="FFFFFFFF"/>
        <rFont val="Calibri"/>
        <family val="2"/>
        <scheme val="minor"/>
      </rPr>
      <t>كميات التحضير من فريق طوكيو</t>
    </r>
  </si>
  <si>
    <t>Pasta Cooking Yield</t>
  </si>
  <si>
    <t>Pasta Penne - مكرونة أقلام</t>
  </si>
  <si>
    <t>Pasta Orzo - مكرونة لسان عصفور</t>
  </si>
  <si>
    <t xml:space="preserve">Spaghetti pasta - مكرونة إسباكتينى </t>
  </si>
  <si>
    <t>Pasta Spaghettini  - مكرونة اسباجيتي</t>
  </si>
  <si>
    <t>Spaghetti pasta - مكرونة سباجتى</t>
  </si>
  <si>
    <t xml:space="preserve">Chicken Mushroom دجاج بالفطر   </t>
  </si>
  <si>
    <t>Spaghetti pasta</t>
  </si>
  <si>
    <t>Spaghetti pasta (2)</t>
  </si>
  <si>
    <t>Spaghetti pasta (3)</t>
  </si>
  <si>
    <t>Coating efficiency</t>
  </si>
  <si>
    <t>مكرونة</t>
  </si>
  <si>
    <t>Sweet Corn - ذرة حلوة</t>
  </si>
  <si>
    <t>Red Kidney Beans - فاصوليا حمراء</t>
  </si>
  <si>
    <t>Conv. Factor</t>
  </si>
  <si>
    <t>Base (5kg)</t>
  </si>
  <si>
    <t>Mexican Vegetables - خضار مكسيكي</t>
  </si>
  <si>
    <t>Base Recipe (5kg Yield)</t>
  </si>
  <si>
    <t>7 KG output</t>
  </si>
  <si>
    <t>Chicken Stock - مرق دجاج</t>
  </si>
  <si>
    <t>Green Beans - فاصوليا خضراء</t>
  </si>
  <si>
    <t xml:space="preserve">Sigapore Vegetables Rice   -  خضار رز سنغافورى </t>
  </si>
  <si>
    <t>Total veggi</t>
  </si>
  <si>
    <t>Jollof Sauce - صوص جولوف</t>
  </si>
  <si>
    <t xml:space="preserve">  </t>
  </si>
  <si>
    <t>Total Count</t>
  </si>
  <si>
    <t>Jollof Sauce</t>
  </si>
  <si>
    <t>Sigapore Vegetables</t>
  </si>
  <si>
    <t>Mexican Vegetables</t>
  </si>
  <si>
    <t xml:space="preserve">   </t>
  </si>
  <si>
    <t>Total (KG)</t>
  </si>
  <si>
    <t>Base Recipe (15kg Yield)</t>
  </si>
  <si>
    <t xml:space="preserve">Filling and sauce </t>
  </si>
  <si>
    <t>Count</t>
  </si>
  <si>
    <t>Pasta GM</t>
  </si>
  <si>
    <t>Chicken Saleeq</t>
  </si>
  <si>
    <t>Chicken Mandi</t>
  </si>
  <si>
    <t>Indian Meat Alana - لحم هندي ألانا</t>
  </si>
  <si>
    <t>Chicken Club Sandwich</t>
  </si>
  <si>
    <t>Indian Meat Tammam Mafroom - مفروم هندي</t>
  </si>
  <si>
    <t>.</t>
  </si>
  <si>
    <t>Update Weight</t>
  </si>
  <si>
    <t>Day No.</t>
  </si>
  <si>
    <t>Safthy</t>
  </si>
  <si>
    <t>دجاج بالكاري</t>
  </si>
  <si>
    <t>المكرونة</t>
  </si>
  <si>
    <t>خضار سوتيه</t>
  </si>
  <si>
    <t>كبسة لحم</t>
  </si>
  <si>
    <t>-</t>
  </si>
  <si>
    <t>بيف شيلي دراي</t>
  </si>
  <si>
    <t>خضار سوتيه 🌶</t>
  </si>
  <si>
    <t>البطاطس المهروسة 🌶</t>
  </si>
  <si>
    <t>بان فرايد فش</t>
  </si>
  <si>
    <t>أرز الصيادية</t>
  </si>
  <si>
    <t>بامية لحم</t>
  </si>
  <si>
    <t>الأرز بالزعفران</t>
  </si>
  <si>
    <t>دجاج صيني</t>
  </si>
  <si>
    <t>الأرز الأبيض</t>
  </si>
  <si>
    <t>دجاج بالأعشاب</t>
  </si>
  <si>
    <t>البطاطا</t>
  </si>
  <si>
    <t>مندي دجاج</t>
  </si>
  <si>
    <t>ساندوتش الدجاج الآسيوي بخبز الشوفان</t>
  </si>
  <si>
    <t>دجاج ألفريدو</t>
  </si>
  <si>
    <t>دجاج 65 الهندي الحار</t>
  </si>
  <si>
    <t>الأرز الأبيض 🌶</t>
  </si>
  <si>
    <t>مختوم لحم</t>
  </si>
  <si>
    <t>أسياخ دجاج الباربكيو</t>
  </si>
  <si>
    <t>أرز جولوف</t>
  </si>
  <si>
    <t>دجاج بكريمة جوز الهند</t>
  </si>
  <si>
    <t>زربيان لحم</t>
  </si>
  <si>
    <t>ساندوتش الدجاج بالفلفل الرومي</t>
  </si>
  <si>
    <t>دجاج باللوز في الفرن</t>
  </si>
  <si>
    <t>بطاطس ويدجز</t>
  </si>
  <si>
    <t>دجاج مكروني بالخضار</t>
  </si>
  <si>
    <t>دجاج تشانجيزي</t>
  </si>
  <si>
    <t>داوود باشا</t>
  </si>
  <si>
    <t>بطاطس مهروسة</t>
  </si>
  <si>
    <t>مسقعة اللحم عالية البروتين</t>
  </si>
  <si>
    <t>لحم أوريانتل</t>
  </si>
  <si>
    <t>الأرز بالمكسرات</t>
  </si>
  <si>
    <t>سليق دجاج</t>
  </si>
  <si>
    <t>ساندوتش فاهيتا الدجاج بخبز الشوفان</t>
  </si>
  <si>
    <t>ساندوتش الدجاج المشوي</t>
  </si>
  <si>
    <t>ستيك دجاج</t>
  </si>
  <si>
    <t>البطاطس المهروسة</t>
  </si>
  <si>
    <t>دجاج بالفطر</t>
  </si>
  <si>
    <t>ستروجانوف باستا</t>
  </si>
  <si>
    <t>بيف أمانسي</t>
  </si>
  <si>
    <t>دجاج تكا</t>
  </si>
  <si>
    <t>الأرز البرياني</t>
  </si>
  <si>
    <t>فاصولياء بيضاء باللحم</t>
  </si>
  <si>
    <t>لسان العصفور</t>
  </si>
  <si>
    <t>أوكتا بوكي بول الدجاج</t>
  </si>
  <si>
    <t>الأرز المصري بالزعفران</t>
  </si>
  <si>
    <t>مقلوبة دجاج</t>
  </si>
  <si>
    <t>ساندوتش الدجاج بالباربيكيو بخبز الشيباتا</t>
  </si>
  <si>
    <t>ساندوتش اللحم الكلاسيكي</t>
  </si>
  <si>
    <t>دجاج سيراتشا</t>
  </si>
  <si>
    <t>الأرز بالخضار 🌶</t>
  </si>
  <si>
    <t>دجاج هندي بالزبدة</t>
  </si>
  <si>
    <t>دجاج البيتزا</t>
  </si>
  <si>
    <t>الأرز بالزعفران🌶</t>
  </si>
  <si>
    <t>كباب اللحم</t>
  </si>
  <si>
    <t>الأرز المشكل</t>
  </si>
  <si>
    <t>كباب هندي</t>
  </si>
  <si>
    <t>لازانيا لحم عالية البروتين</t>
  </si>
  <si>
    <t>لحم بولونيز</t>
  </si>
  <si>
    <t>بخاري لحم</t>
  </si>
  <si>
    <t>ساندوتش فيلادلفيا لحم بخبز الشوفان</t>
  </si>
  <si>
    <t>Quantity for 1 Portion - الكمية للصحن</t>
  </si>
  <si>
    <t xml:space="preserve">Count - العدد </t>
  </si>
  <si>
    <t>كميات التحضير من فريق طوكيو-Tokyo Amount need</t>
  </si>
  <si>
    <t xml:space="preserve">Beef Zurbian Garnish - الزينة لحم زربيان </t>
  </si>
  <si>
    <t xml:space="preserve">Chinese Chicken Garnish - الزينة دجاج صيني   </t>
  </si>
  <si>
    <t>الزينة دجاج بالأعشاب Garnish Herbal Chicken</t>
  </si>
  <si>
    <t>Garnish Chicken Mandi - الزينة مندي دجاج</t>
  </si>
  <si>
    <t>Garnish Curry chicken الزينة دجاج بالكارى</t>
  </si>
  <si>
    <t>الزينة بان فرايد فيش  Garnish Pan Fried Fish</t>
  </si>
  <si>
    <t>الزينة بيف شيلى دراى  Garnish Beef Chilli Dry</t>
  </si>
  <si>
    <t>الزينة بامية لحم  Garnish Meat with Bamiya</t>
  </si>
  <si>
    <t>بامية لحم  Meat with Bamiya</t>
  </si>
  <si>
    <t>الزينة دجاج الفريدو  Garnish Chicken Alfredo</t>
  </si>
  <si>
    <t>الزينة دجاج 65 - Garnish Chicken 65</t>
  </si>
  <si>
    <t>Garnish Almond Chicken - الزينة دجاج اللوز</t>
  </si>
  <si>
    <t>الزينة دجاج تشانجيزى - Garnish Changezi chicken</t>
  </si>
  <si>
    <t>Garnish Daoud Basha - الزينة داوود باشا</t>
  </si>
  <si>
    <t>Garnish Moussaka - الزينة مسقعة</t>
  </si>
  <si>
    <t>الزينة لحم أورينتال - Garnish Lahm Oriental</t>
  </si>
  <si>
    <t>ساندوتش دجاج أوصال</t>
  </si>
  <si>
    <t>Total Grams</t>
  </si>
  <si>
    <t>Meal name</t>
  </si>
  <si>
    <t>ساندوتش الكباب</t>
  </si>
  <si>
    <t>دجاج بكريمة الطماطم</t>
  </si>
  <si>
    <t>الأرز المكسيكي</t>
  </si>
  <si>
    <t>دجاج بالزنجبيل</t>
  </si>
  <si>
    <t>كرات اللحم الفرنسية</t>
  </si>
  <si>
    <t>مكرونة سباغيتي</t>
  </si>
  <si>
    <t>دجاج سنغافوري</t>
  </si>
  <si>
    <t>الأرز بالخضار</t>
  </si>
  <si>
    <t>سمك بالشبت والليمون</t>
  </si>
  <si>
    <t>ملوخية الدجاج</t>
  </si>
  <si>
    <t>كابلي لحم</t>
  </si>
  <si>
    <t>ساندوتش كباب لحم</t>
  </si>
  <si>
    <t>سلطة السيزر</t>
  </si>
  <si>
    <t>Garnish Mandi - الزينة مندى</t>
  </si>
  <si>
    <t>الزينة دجاج ستيك - Garnish Chicken Steak</t>
  </si>
  <si>
    <t>Garnich Chicken Muchroom - الزينة دجاج مشروم</t>
  </si>
  <si>
    <t>الزينة ستوغانوف بيف - Garnish Stroganoff Beef</t>
  </si>
  <si>
    <t>Garnish Beef Amansi - الزينة بيف امانسي</t>
  </si>
  <si>
    <t>الزينة دجاج تيكا - Garnish Chicken Tikka</t>
  </si>
  <si>
    <t>Garnish Lahm Fasooliya - الزينة لحم فاصوليا</t>
  </si>
  <si>
    <t xml:space="preserve">Garnish Sriracha Chicken - الزينة دجاج سيراتشا </t>
  </si>
  <si>
    <t xml:space="preserve">الزينة دجاج هندى بالزبدة - Garnish butter Chicken </t>
  </si>
  <si>
    <t>الزينة كباب هندى - Garnish Kabab Hindi</t>
  </si>
  <si>
    <t>Garnish Lahm Bolognese - الزينة لحم بولونيز</t>
  </si>
  <si>
    <t>الزينة لحم بخارى - Garnish Beef Boukhary</t>
  </si>
  <si>
    <t>Garnish Pink Chicken - الزينة لدجاج بالكريمه</t>
  </si>
  <si>
    <t>الزينة لدجاج بالزنجبيل - Garnish Ginger Chicken</t>
  </si>
  <si>
    <t>Garnish French Meat Balls - الزينة لكرات اللحم الفرنسيه</t>
  </si>
  <si>
    <t>الزينة دجاج سنغافورى - Garnish Singapore Chicken</t>
  </si>
  <si>
    <t>Protein + Mix</t>
  </si>
  <si>
    <t>one boiing and one for sauce we  merge them - it cotains ingredient of boiling and sauce</t>
  </si>
  <si>
    <t>Boiling</t>
  </si>
  <si>
    <t xml:space="preserve">Today we need Alferdo pasta 31190.and we received raw pasta 21 pkt .after we received Quantity In Tokyo Alferdo sauce 13 kg something.so we need 19314 Cook pasta and 12876 Alferdo sauce </t>
  </si>
  <si>
    <t>We need total Alferdo pasta with sauce - 32190 gm.</t>
  </si>
  <si>
    <t xml:space="preserve">So now we need total Raw  fettuccini pasta </t>
  </si>
  <si>
    <t>16 pkt. After cooking it comes - 19200.+ We also add Alferdo sauce 12876 Total weight after mixing.i</t>
  </si>
  <si>
    <t xml:space="preserve">Total weight of Fettuccini Alferdo pasta </t>
  </si>
  <si>
    <t>32 kg Approx</t>
  </si>
  <si>
    <t xml:space="preserve">And I got 21 pkt raw pasta in Tokyo it means </t>
  </si>
  <si>
    <t>After boiling it will be - 25200.we need in Tokyo 19314 boil pasta.</t>
  </si>
  <si>
    <t>Pasta + Mix</t>
  </si>
  <si>
    <t>الزينة أوكتا بوكي بول - Garnish Poki Bowl</t>
  </si>
  <si>
    <t>Curly Parsley - بقدونس مجعد</t>
  </si>
  <si>
    <t>Ingredient - الأصناف</t>
  </si>
  <si>
    <t>Asian Potato Cubes</t>
  </si>
  <si>
    <t>Base Recipe (30kg Yield)</t>
  </si>
  <si>
    <t>Oriental Beef for Rice - صوص لحمة شرقية</t>
  </si>
  <si>
    <t>Base Recipe (5kg Yield) — الوصفة الأساسية (إنتاج 5 كجم)</t>
  </si>
  <si>
    <t>Oriental Beef Rice -  صوص لحمة شرقية</t>
  </si>
  <si>
    <t>Rice Percent</t>
  </si>
  <si>
    <t xml:space="preserve">الزينة دجاج مكرونى بالخضار Garnish Chicken Pasta with Vegetables </t>
  </si>
  <si>
    <t>Beef Oriental rice</t>
  </si>
  <si>
    <t>Hummus Peas - حمص</t>
  </si>
  <si>
    <t>Nigella Seeds - حبة البركة</t>
  </si>
  <si>
    <t>Tomato Paste - صلصة طماطم</t>
  </si>
  <si>
    <t>Frozen Molokeya - ملوخية مجمدة</t>
  </si>
  <si>
    <t>Frozen Okra - بامية مجمدة</t>
  </si>
  <si>
    <t>Pine Nuts - صنوبر</t>
  </si>
  <si>
    <t>Total Pasta</t>
  </si>
  <si>
    <t xml:space="preserve">Total Potato </t>
  </si>
  <si>
    <t>Total Veggi</t>
  </si>
  <si>
    <t>Total Potato</t>
  </si>
  <si>
    <t>Total Veggie</t>
  </si>
  <si>
    <t xml:space="preserve">Asian Potato Cubes - بطاطس مكعبات الآسيوي </t>
  </si>
  <si>
    <t>Total Potatos</t>
  </si>
  <si>
    <t>Order Base Unit وحدة الطلب الأساسية</t>
  </si>
  <si>
    <t>Order Unit وحدة الطلب</t>
  </si>
  <si>
    <t>Price of ordering unit سعر وحدة الطلب</t>
  </si>
  <si>
    <t>Cost Per KG or L السعر للكيلو او للتر</t>
  </si>
  <si>
    <t>2400 gram</t>
  </si>
  <si>
    <t>1600 Kg / Can</t>
  </si>
  <si>
    <t>2724 Kg / Carton</t>
  </si>
  <si>
    <t>Chicken club sandwich</t>
  </si>
  <si>
    <t>كلوب ساندوتش بالدجاج</t>
  </si>
  <si>
    <t>Saturday</t>
  </si>
  <si>
    <t>Sunday</t>
  </si>
  <si>
    <t>Monday</t>
  </si>
  <si>
    <t>Tuesday</t>
  </si>
  <si>
    <t>Wednesday</t>
  </si>
  <si>
    <t>Thursday</t>
  </si>
  <si>
    <t>Kasuri Methi - ورق حلبة مجففة</t>
  </si>
  <si>
    <t>BBQ seasoning – توابل المشويات</t>
  </si>
  <si>
    <t>Parmesan Cheese Powder - بديل البارميزان</t>
  </si>
  <si>
    <t>Garlic - ثوم مقشر</t>
  </si>
  <si>
    <t>Fresh Coconut - جوز هند طازج</t>
  </si>
  <si>
    <t>Fresh Thyme - بذور الزعتر</t>
  </si>
  <si>
    <t>Basil - ريحان</t>
  </si>
  <si>
    <t>100 gm/Can</t>
  </si>
  <si>
    <t>12000 ML/Cartoon</t>
  </si>
  <si>
    <t>16650 L</t>
  </si>
  <si>
    <t>4800 Kg / Carton</t>
  </si>
  <si>
    <t>9600 Kg / Carton</t>
  </si>
  <si>
    <t>5448 KG/Carton</t>
  </si>
  <si>
    <t>10800 KG/Carton</t>
  </si>
  <si>
    <t>9600 KG/Carton</t>
  </si>
  <si>
    <t>2130 ml / Carton</t>
  </si>
  <si>
    <t>3108 ml /Carton</t>
  </si>
  <si>
    <t>15.12 L / Carton</t>
  </si>
  <si>
    <t>3540 ML/Carton</t>
  </si>
  <si>
    <t>8000 KG/Carton</t>
  </si>
  <si>
    <t>10,000 KG/Bag</t>
  </si>
  <si>
    <t>10,000 KG/Bundle</t>
  </si>
  <si>
    <t>12 Kg/Carton</t>
  </si>
  <si>
    <t>2400 Kg/Carton</t>
  </si>
  <si>
    <t>6480 L/Carton</t>
  </si>
  <si>
    <t>10,000 KG/Can</t>
  </si>
  <si>
    <t>905 g / Pack</t>
  </si>
  <si>
    <t>360 Egg/Carton</t>
  </si>
  <si>
    <t>Fresh Baby Spinach - سبانخ هولندي</t>
  </si>
  <si>
    <t>125 g / Box</t>
  </si>
  <si>
    <t>Mushroom - مشروم ابيض</t>
  </si>
  <si>
    <t>100 g/ pack</t>
  </si>
  <si>
    <t>Rosemary - روزميري مستورد</t>
  </si>
  <si>
    <t xml:space="preserve">Lemon Grass - ليمون جراس </t>
  </si>
  <si>
    <t xml:space="preserve">Kaffir Lime Leaves - ورق الليمون  </t>
  </si>
  <si>
    <t>Protein - بروتين</t>
  </si>
  <si>
    <t>Signature - التوقع</t>
  </si>
  <si>
    <t>الوحده - Unit</t>
  </si>
  <si>
    <t xml:space="preserve">الكميه - Quantity </t>
  </si>
  <si>
    <t>100 gm/Carton</t>
  </si>
  <si>
    <t>10 Kg / bag</t>
  </si>
  <si>
    <t>Can</t>
  </si>
  <si>
    <t>bag</t>
  </si>
  <si>
    <t>z</t>
  </si>
  <si>
    <t>c</t>
  </si>
  <si>
    <t>corn</t>
  </si>
  <si>
    <t>chnesew</t>
  </si>
  <si>
    <t>bell</t>
  </si>
  <si>
    <t>Marination</t>
  </si>
  <si>
    <t xml:space="preserve">خضار مشوية </t>
  </si>
  <si>
    <t xml:space="preserve">Grilled Vegetables </t>
  </si>
  <si>
    <t xml:space="preserve"> مكرونة سباجتى</t>
  </si>
  <si>
    <t xml:space="preserve">Spaghetti pasta </t>
  </si>
  <si>
    <t>Saftey</t>
  </si>
  <si>
    <t>Safty KG</t>
  </si>
  <si>
    <t>Garnishing</t>
  </si>
  <si>
    <t>Bread</t>
  </si>
  <si>
    <t xml:space="preserve">Protine Filling </t>
  </si>
  <si>
    <t>Cost/Unit</t>
  </si>
  <si>
    <t xml:space="preserve">Filling Others </t>
  </si>
  <si>
    <t># Unit</t>
  </si>
  <si>
    <t>Filling Others</t>
  </si>
  <si>
    <t>بطاطس ويدجز  بالأعشاب</t>
  </si>
  <si>
    <t>خضار بالبخار</t>
  </si>
  <si>
    <t>بطاطس مكعبات الآسيوى</t>
  </si>
  <si>
    <t>خضار مشوى</t>
  </si>
  <si>
    <t>Potato wedges</t>
  </si>
  <si>
    <t>خضار بالفرن</t>
  </si>
  <si>
    <t>b</t>
  </si>
  <si>
    <t>cab</t>
  </si>
  <si>
    <t>Breads</t>
  </si>
  <si>
    <t>Other Filling</t>
  </si>
  <si>
    <t>Edam Meat  - Self Saturated</t>
  </si>
  <si>
    <t xml:space="preserve">Mashrom </t>
  </si>
  <si>
    <t>Protine</t>
  </si>
  <si>
    <t xml:space="preserve"> GM</t>
  </si>
  <si>
    <t>الزينة ساندويتش كباب - Garnish Beef Kebab</t>
  </si>
  <si>
    <t>2 Kg extra Protein</t>
  </si>
  <si>
    <t>Garnish Pizza Chicken - الزينة دجاج بيتزا</t>
  </si>
  <si>
    <t>10 readings</t>
  </si>
  <si>
    <t>yield</t>
  </si>
  <si>
    <t>Whole Wheat Burger Buns 70gm - خبز برجر بني</t>
  </si>
  <si>
    <t>($R$22*0.512)*$R$1</t>
  </si>
  <si>
    <t>($T$22*0.512)*$R$1</t>
  </si>
  <si>
    <t>مخبوزات</t>
  </si>
  <si>
    <t>Cooking Method</t>
  </si>
  <si>
    <t>Cooking yield</t>
  </si>
  <si>
    <t>120 Piece / Carton</t>
  </si>
  <si>
    <t>week 1</t>
  </si>
  <si>
    <t>week2</t>
  </si>
  <si>
    <t>week 3</t>
  </si>
  <si>
    <t xml:space="preserve">july </t>
  </si>
  <si>
    <t>june</t>
  </si>
  <si>
    <t xml:space="preserve">approx </t>
  </si>
  <si>
    <t>2 KG less after cooking</t>
  </si>
  <si>
    <t xml:space="preserve">chicken meals </t>
  </si>
  <si>
    <t>Blankwet Fish</t>
  </si>
  <si>
    <t>سمك بلانكويت  Blankwet Fish</t>
  </si>
  <si>
    <t>سمك بالسبانخ والليمون</t>
  </si>
  <si>
    <t>سمك بلانكويت</t>
  </si>
  <si>
    <t>سمك بالكاري والكريمة</t>
  </si>
  <si>
    <t>Lemon Fish</t>
  </si>
  <si>
    <t>Curry Fish</t>
  </si>
  <si>
    <t>الزينة سمك بلانكويت  Garnish Blankwet Fish</t>
  </si>
  <si>
    <t xml:space="preserve">Lemon Fish -سمك بالسبانخ و الليمون </t>
  </si>
  <si>
    <t>الزينة سمك بالسبانخ و الليمون - Garnish Lemon Fish</t>
  </si>
  <si>
    <t>Curry Fish سمك بالكارى</t>
  </si>
  <si>
    <t>Garnish Curry Fish - الزينة سمك بالكارى</t>
  </si>
  <si>
    <t>Fish with cream</t>
  </si>
  <si>
    <t>سمك بالكريمة و البازلاء  Fish with cream</t>
  </si>
  <si>
    <t>سمك بالكريمة</t>
  </si>
  <si>
    <t xml:space="preserve">Garnish Fish with Cream - الزينة سمك بالكريمة </t>
  </si>
  <si>
    <t>Sliced cheese - جبنة شرائح</t>
  </si>
  <si>
    <t>Saffron yellow color powder - لون صفار زعفران بودر</t>
  </si>
  <si>
    <t>Whole Wheat Oat Sub Roll - صامولي اسمر شوفان 16 سم</t>
  </si>
  <si>
    <t>Whole Wheat Oat Ciabatta - شيباتا اسمر شوفان</t>
  </si>
  <si>
    <t>Meat 80%</t>
  </si>
  <si>
    <t>Fat 20%</t>
  </si>
  <si>
    <t>Beef Kebab sandwich  - ساندوتش كباب لحم</t>
  </si>
  <si>
    <t>56.5 KG</t>
  </si>
  <si>
    <t>Beef Burger (Arabic) - برجر لحم عربي</t>
  </si>
  <si>
    <t>Sliced tomato - طماطم شرائح</t>
  </si>
  <si>
    <t>Beef Burger Arabic</t>
  </si>
  <si>
    <t>برجر اللحم العربي</t>
  </si>
  <si>
    <t>Total chicken - الدجاج الكلي</t>
  </si>
  <si>
    <t>Smoky BBQ Chicken Burger- برجر الدجاج بصلصة الباربكيو المدخنة</t>
  </si>
  <si>
    <t>Smoked Paprika Powder - بابريكا مدخنة مطحونة</t>
  </si>
  <si>
    <t>Oriental Chicken  - دجاج أورينتال</t>
  </si>
  <si>
    <t xml:space="preserve">الزينة دجاج اورينتال  Garnish Oriental Chicken </t>
  </si>
  <si>
    <t>Oriental Chicken</t>
  </si>
  <si>
    <t>دجاج أوريانتل</t>
  </si>
  <si>
    <t>برجر باربكيو الدجاج</t>
  </si>
  <si>
    <t>7200gm / Carton</t>
  </si>
  <si>
    <t xml:space="preserve"> BBQ Chicken Burger- برجر الدجاج بصلصة الباربكيو </t>
  </si>
  <si>
    <t>BBQ Chicken Burger- برجر الدجاج بصلصة الباربكيو</t>
  </si>
  <si>
    <t>Chicken Burger BBQ</t>
  </si>
  <si>
    <t>Chicken Minced - دجاج مفروم</t>
  </si>
  <si>
    <t>Arabic Chicken Burger - برجر الدجاج العربي</t>
  </si>
  <si>
    <t>Arabic Chicken Burger - برجر دجاج العربى</t>
  </si>
  <si>
    <t>Cucumber - خيار</t>
  </si>
  <si>
    <t>Lemon - ليمون</t>
  </si>
  <si>
    <t>(Lemon zest - برش ليمون)gm</t>
  </si>
  <si>
    <t>Arabic Chicken Burger</t>
  </si>
  <si>
    <t>برجر الدجاج العربي</t>
  </si>
  <si>
    <t>Ice Water - ماء مثلج</t>
  </si>
  <si>
    <t>شرائح اللحم مع المشروم  Meat Steak muchroom sauce</t>
  </si>
  <si>
    <t>Garnish Meat with Mashroom  - الزينة لحم بالمشروم</t>
  </si>
  <si>
    <t>Beef Burger (BBQ) - برجر لحم باربكيو</t>
  </si>
  <si>
    <t>Honey Mustard Chicken Burger - برجر الدجاج بالعسل والخردل</t>
  </si>
  <si>
    <t xml:space="preserve">Meat Mashroom </t>
  </si>
  <si>
    <t>Beef Burger BBQ</t>
  </si>
  <si>
    <t>Honey Chicken Burger</t>
  </si>
  <si>
    <t>لحم بالمشروم</t>
  </si>
  <si>
    <t>الارز الابيض</t>
  </si>
  <si>
    <t>برجر باربكيو اللحم</t>
  </si>
  <si>
    <t>برجر الدجاج بالهني ماسترد</t>
  </si>
  <si>
    <t>برجر سموكي لحم</t>
  </si>
  <si>
    <t>Beef Burger (Smoky) - برجر لحم مدخن</t>
  </si>
  <si>
    <t>Smoky Beef Burger</t>
  </si>
  <si>
    <t>نودلز الدجاج و الخضار</t>
  </si>
  <si>
    <t>برجر الدجاج الكلاسيكي</t>
  </si>
  <si>
    <t>Classic Chicken Burger - برجر الدجاج الكلاسيكي</t>
  </si>
  <si>
    <t>Chicken Noodles - دجاج بالنودلز</t>
  </si>
  <si>
    <t xml:space="preserve">الزينة دجاج النودلز  Garnish Chicken Noodles </t>
  </si>
  <si>
    <t>Sesame seeds - بذور سمسم</t>
  </si>
  <si>
    <t>Noodels Cooking Yield</t>
  </si>
  <si>
    <t>Noodles - نودلز</t>
  </si>
  <si>
    <t>on gas</t>
  </si>
  <si>
    <t>Noodles Veggie</t>
  </si>
  <si>
    <t>Chicken Stock Powder - بودرة مرق دجاج</t>
  </si>
  <si>
    <t>White Cabbage - ملفوف أبيض</t>
  </si>
  <si>
    <t xml:space="preserve">Noodles Vegetables - خضار نودلز </t>
  </si>
  <si>
    <t>خضار النودلز</t>
  </si>
  <si>
    <t>Noodles Vegetables</t>
  </si>
  <si>
    <t>Classic Chicken Burger</t>
  </si>
  <si>
    <t>Chicken Noodles</t>
  </si>
  <si>
    <t>Noodles</t>
  </si>
  <si>
    <t xml:space="preserve">Oriental Vegetables Rice   -  خضار رز أورينتال </t>
  </si>
  <si>
    <t>Oriental Vegetables</t>
  </si>
  <si>
    <t>Cutting Method</t>
  </si>
  <si>
    <t>مكرونة فيتوتشيني  Fettuccine Pasta Sauce</t>
  </si>
  <si>
    <t>شرائح رقيقة جوليان</t>
  </si>
  <si>
    <t>أعواد  جوليان</t>
  </si>
  <si>
    <t>مهروس</t>
  </si>
  <si>
    <t>مقطع ناعم</t>
  </si>
  <si>
    <t>أرباع ويدجز</t>
  </si>
  <si>
    <t>Cutting - التقطيع</t>
  </si>
  <si>
    <t>Cube - مكعبات</t>
  </si>
  <si>
    <t>Sliced - شرائح</t>
  </si>
  <si>
    <t>Whole Breast - صدر كامل</t>
  </si>
  <si>
    <t>Fillet - فيليه</t>
  </si>
  <si>
    <t>Small Cube  - مكعبات صغيرة</t>
  </si>
  <si>
    <t>Big Cube  - مكعبات كبيرة</t>
  </si>
  <si>
    <t>Sliced breast - صدور شرائح</t>
  </si>
  <si>
    <t>Meat Mashroom</t>
  </si>
  <si>
    <t>جوليان</t>
  </si>
  <si>
    <t>جوانح جوليان</t>
  </si>
  <si>
    <t>دوائر</t>
  </si>
  <si>
    <t>بورية معجون</t>
  </si>
  <si>
    <t>تنضيف</t>
  </si>
  <si>
    <t>شرائح نصف قمر</t>
  </si>
  <si>
    <t>اعواد جوليان</t>
  </si>
  <si>
    <t>شرائط</t>
  </si>
  <si>
    <t>شرائح</t>
  </si>
  <si>
    <t>شرائح نص القمر</t>
  </si>
  <si>
    <t>مكعبات</t>
  </si>
  <si>
    <t>Meat ball - كرات لحم</t>
  </si>
  <si>
    <t>Grind - مطحون</t>
  </si>
  <si>
    <t>Fillet breast - صدور فيليه</t>
  </si>
  <si>
    <t xml:space="preserve"> Oven</t>
  </si>
  <si>
    <t>Base Recipe Per Portion</t>
  </si>
  <si>
    <t>مناقيش لحمة وجبنة</t>
  </si>
  <si>
    <t>Meat and cheese mankosha pie</t>
  </si>
  <si>
    <t>Minced - مفروم</t>
  </si>
  <si>
    <t>Julienne - جوليان</t>
  </si>
  <si>
    <t>Slices - شرائح</t>
  </si>
  <si>
    <t>Chrepped - شعيرات</t>
  </si>
  <si>
    <t>Thin Long Strips - شرائح طويلة رفيعه</t>
  </si>
  <si>
    <t>On gas</t>
  </si>
  <si>
    <t>معلبات</t>
  </si>
  <si>
    <t>Cinnamon whole - قرفة أعواد</t>
  </si>
  <si>
    <t>454 g</t>
  </si>
  <si>
    <t xml:space="preserve">Soy Sauce - صلصة الصويا  </t>
  </si>
  <si>
    <t>Chopped - مفروم</t>
  </si>
  <si>
    <t xml:space="preserve"> 3540 ml /Carton</t>
  </si>
  <si>
    <t xml:space="preserve">Scaling Factor 
</t>
  </si>
  <si>
    <t>لحم مختومMkhtoum Lahm</t>
  </si>
  <si>
    <t>الزينة لحم مختومGarnish Mkhtoum Lahm</t>
  </si>
  <si>
    <t>Beef Zurbian - لحم زربيان</t>
  </si>
  <si>
    <t>دجاج باللوز Almond Chicken</t>
  </si>
  <si>
    <t xml:space="preserve">ستيك دجاج الاضافي  Chicken Steak Topping </t>
  </si>
  <si>
    <t>Chicken Makloba - دجاج مقلوبة</t>
  </si>
  <si>
    <t>Pizza Chicken</t>
  </si>
  <si>
    <t>Beef Boukhary - لحم بخاري</t>
  </si>
  <si>
    <t>Garnish Beef Kabli - الزينة كابلي لحم</t>
  </si>
  <si>
    <t>Chicken Saleeq - سليق دجاج</t>
  </si>
  <si>
    <t>Sheet name</t>
  </si>
  <si>
    <t>مستطيل جوليان</t>
  </si>
  <si>
    <t>مستطيل</t>
  </si>
  <si>
    <t xml:space="preserve">مبشور </t>
  </si>
  <si>
    <t>دائري نص قمر</t>
  </si>
  <si>
    <t>Bell Pepper mix - فلفل رومي ألوان</t>
  </si>
  <si>
    <t>شرائح رفيعه</t>
  </si>
  <si>
    <t>Arugula - جرجير</t>
  </si>
  <si>
    <t xml:space="preserve">مفروم </t>
  </si>
  <si>
    <t>Garnish Kabsa Lahm - الزينة لحم كبسة</t>
  </si>
  <si>
    <t>قطع مستطيل</t>
  </si>
  <si>
    <t>مبشور</t>
  </si>
  <si>
    <t>دائري</t>
  </si>
  <si>
    <t>قطع عشوائي</t>
  </si>
  <si>
    <t>Protine + Mixing</t>
  </si>
  <si>
    <t>Ginger Chicken - دجاج بالزنجبيل</t>
  </si>
  <si>
    <t>Singapore Chicken - دجاج سنغافوري</t>
  </si>
  <si>
    <t>Chicken Saleeq - دجاج سليق</t>
  </si>
  <si>
    <t>Chicken Club Sandwich - ساندوتش كلوب الدجاج</t>
  </si>
  <si>
    <t>French Meatball - كرات لحم فرنسية</t>
  </si>
  <si>
    <t>Beef Kebab Sandwich - ساندوتش كباب اللحم</t>
  </si>
  <si>
    <t>Beef Kabli - لحم كابلي</t>
  </si>
  <si>
    <t>Fish with Shabat and Lemon - سمك بالشبت والليمون</t>
  </si>
  <si>
    <t>Beef Burger Arabic - برجر لحم عربي</t>
  </si>
  <si>
    <t>Pink Chicken - دجاج بالكريمة</t>
  </si>
  <si>
    <t>Chicken Molokeya - ملوخية دجاج</t>
  </si>
  <si>
    <t>ارباع ويدجز</t>
  </si>
  <si>
    <t>مقطع صغير ناعم</t>
  </si>
  <si>
    <t>مفروم</t>
  </si>
  <si>
    <t>Feta cheese - جبنة فيتا</t>
  </si>
  <si>
    <t>Fresh Cream (Qishta) - قشطة</t>
  </si>
  <si>
    <t>Fresh Oregano - اوريغيانو هولندي</t>
  </si>
  <si>
    <t>Iceberg Lettuce - خس مدور أمريكى</t>
  </si>
  <si>
    <t>Sliced almond - لوز شرائح</t>
  </si>
  <si>
    <t>Curry Chicken - دجاج بالكاري</t>
  </si>
  <si>
    <t>Herbal Chicken - دجاج بالأعشاب</t>
  </si>
  <si>
    <t>Asian Chicken Sandwich - ساندوتش دجاج آسيوي</t>
  </si>
  <si>
    <t>Chicken Mandi - دجاج مندي</t>
  </si>
  <si>
    <t>Arabic Chicken Burger - برجر دجاج عربي</t>
  </si>
  <si>
    <t>Kabsah Laham - كبسة لحم</t>
  </si>
  <si>
    <t>Meat with Bamiya - لحم بالبامية</t>
  </si>
  <si>
    <t>Beef Chili Dry - بيف شيلي دراي</t>
  </si>
  <si>
    <t xml:space="preserve">Pan Fried Fish - سمك مقلي </t>
  </si>
  <si>
    <t>Meat and cheese mankosha pie - مناقيش لحمة</t>
  </si>
  <si>
    <t>Chicken Alfredo - دجاج ألفريدو</t>
  </si>
  <si>
    <t>Coconut Chicken - دجاج بجوز الهند</t>
  </si>
  <si>
    <t>BBQ Chicken Skewers - أسياخ دجاج باربكيو</t>
  </si>
  <si>
    <t>Honey Chicken Burger - برجر دجاج بالعسل</t>
  </si>
  <si>
    <t>Mkhtoum Lahm - لحم مختوم</t>
  </si>
  <si>
    <t>Meat Mushroom - لحم بالمشروم</t>
  </si>
  <si>
    <t>Beef Burger BBQ - برجر لحم باربكيو</t>
  </si>
  <si>
    <t>Blankwet Fish - سمك بلانكويت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</si>
</sst>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5">
    <numFmt numFmtId="43" formatCode="_(* #,##0.00_);_(* \(#,##0.00\);_(* &quot;-&quot;??_);_(@_)"/>
    <numFmt numFmtId="164" formatCode="_-* #,##0.00_-;\-* #,##0.00_-;_-* &quot;-&quot;??_-;_-@_-"/>
    <numFmt numFmtId="165" formatCode="_ * #,##0_ ;_ * \-#,##0_ ;_ * \-??_ ;_ @_ "/>
    <numFmt numFmtId="166" formatCode="_ * #,##0.00_ ;_ * \-#,##0.00_ ;_ * \-??_ ;_ @_ "/>
    <numFmt numFmtId="167" formatCode="_ * #,##0.0000_ ;_ * \-#,##0.0000_ ;_ * \-??_ ;_ @_ "/>
    <numFmt numFmtId="168" formatCode="0.0"/>
    <numFmt numFmtId="169" formatCode="_(* #,##0.00_);_(* \(#,##0.00\);_(* \-??_);_(@_)"/>
    <numFmt numFmtId="170" formatCode="0.000"/>
    <numFmt numFmtId="171" formatCode="0.0000"/>
    <numFmt numFmtId="172" formatCode="0.000%"/>
    <numFmt numFmtId="173" formatCode="_(* #,##0.000_);_(* \(#,##0.000\);_(* \-??_);_(@_)"/>
    <numFmt numFmtId="174" formatCode="0.0000%"/>
    <numFmt numFmtId="175" formatCode="_ * #,##0.000_ ;_ * \-#,##0.000_ ;_ * \-??_ ;_ @_ "/>
    <numFmt numFmtId="176" formatCode="_(* #,##0_);_(* \(#,##0\);_(* \-???_);_(@_)"/>
    <numFmt numFmtId="177" formatCode="_(* #,##0.000_);_(* \(#,##0.000\);_(* \-???_);_(@_)"/>
    <numFmt numFmtId="178" formatCode="_-* #,##0.00_-;\-* #,##0.00_-;_-* \-??_-;_-@_-"/>
    <numFmt numFmtId="179" formatCode="_(* #,##0.0_);_(* \(#,##0.0\);_(* \-??_);_(@_)"/>
    <numFmt numFmtId="180" formatCode="_(* #,##0.0_);_(* \(#,##0.0\);_(* \-?_);_(@_)"/>
    <numFmt numFmtId="181" formatCode="_(* #,##0_);_(* \(#,##0\);_(* \-??_);_(@_)"/>
    <numFmt numFmtId="182" formatCode="0.0%"/>
    <numFmt numFmtId="183" formatCode="_ * #,##0.0_ ;_ * \-#,##0.0_ ;_ * \-??_ ;_ @_ "/>
    <numFmt numFmtId="184" formatCode="0.00000%"/>
    <numFmt numFmtId="185" formatCode="0.000000%"/>
    <numFmt numFmtId="186" formatCode="#,##0.000"/>
    <numFmt numFmtId="187" formatCode="_ * #,##0_ ;_ * \-#,##0_ ;_ * &quot;-&quot;??_ ;_ @_ "/>
    <numFmt numFmtId="188" formatCode="_ * #,##0.000_ ;_ * \-#,##0.000_ ;_ * &quot;-&quot;??_ ;_ @_ "/>
    <numFmt numFmtId="189" formatCode="_ * #,##0.00_ ;_ * \-#,##0.00_ ;_ * &quot;-&quot;??_ ;_ @_ "/>
    <numFmt numFmtId="190" formatCode="_-* #,##0.000_-;\-* #,##0.000_-;_-* &quot;-&quot;???_-;_-@_-"/>
    <numFmt numFmtId="191" formatCode="#,##0.0&quot; gm&quot;"/>
    <numFmt numFmtId="192" formatCode="_(* #,##0.0000_);_(* \(#,##0.0000\);_(* \-??_);_(@_)"/>
    <numFmt numFmtId="193" formatCode="_(* #,##0.0_);_(* \(#,##0.0\);_(* \-???_);_(@_)"/>
    <numFmt numFmtId="194" formatCode="_-* #,##0_-;\-* #,##0_-;_-* &quot;-&quot;??_-;_-@_-"/>
    <numFmt numFmtId="195" formatCode="_(* #,##0.0000_);_(* \(#,##0.0000\);_(* &quot;-&quot;??_);_(@_)"/>
    <numFmt numFmtId="196" formatCode="_(* #,##0_);_(* \(#,##0\);_(* &quot;-&quot;??_);_(@_)"/>
    <numFmt numFmtId="197" formatCode="_-* #,##0.0_-;\-* #,##0.0_-;_-* &quot;-&quot;?_-;_-@_-"/>
    <numFmt numFmtId="198" formatCode="0.000000"/>
    <numFmt numFmtId="199" formatCode="0.00000"/>
    <numFmt numFmtId="200" formatCode="_(* #,##0.000_);_(* \(#,##0.000\);_(* &quot;-&quot;???_);_(@_)"/>
    <numFmt numFmtId="201" formatCode="_(* #,##0.0_);_(* \(#,##0.0\);_(* &quot;-&quot;?_);_(@_)"/>
    <numFmt numFmtId="202" formatCode="0.0000000000"/>
    <numFmt numFmtId="203" formatCode="_(* #,##0.000000_);_(* \(#,##0.000000\);_(* \-??_);_(@_)"/>
    <numFmt numFmtId="204" formatCode="_(* #,##0.00000_);_(* \(#,##0.00000\);_(* &quot;-&quot;??_);_(@_)"/>
    <numFmt numFmtId="205" formatCode="0.000000000000000000%"/>
    <numFmt numFmtId="206" formatCode="0.00000000"/>
    <numFmt numFmtId="207" formatCode="_ * #,##0.00000_ ;_ * \-#,##0.00000_ ;_ * \-??_ ;_ @_ "/>
  </numFmts>
  <fonts count="97"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00"/>
      <name val="Arial"/>
      <family val="2"/>
    </font>
    <font>
      <sz val="10"/>
      <color rgb="FF000000"/>
      <name val="Arial"/>
      <family val="2"/>
      <charset val="1"/>
    </font>
    <font>
      <sz val="11"/>
      <color theme="1"/>
      <name val="Arial"/>
      <family val="2"/>
      <charset val="1"/>
    </font>
    <font>
      <b/>
      <sz val="11"/>
      <color theme="1"/>
      <name val="Arial"/>
      <family val="2"/>
    </font>
    <font>
      <b/>
      <sz val="16"/>
      <color rgb="FFFF99CC"/>
      <name val="ADLaM Display"/>
    </font>
    <font>
      <b/>
      <sz val="11"/>
      <name val="Arial"/>
      <family val="2"/>
    </font>
    <font>
      <b/>
      <sz val="11"/>
      <color theme="0"/>
      <name val="Arial"/>
      <family val="2"/>
    </font>
    <font>
      <sz val="11"/>
      <color theme="0"/>
      <name val="Arial"/>
      <family val="2"/>
    </font>
    <font>
      <sz val="10"/>
      <color theme="1"/>
      <name val="Arial"/>
      <family val="2"/>
    </font>
    <font>
      <sz val="11"/>
      <color rgb="FFFF0000"/>
      <name val="Arial"/>
      <family val="2"/>
    </font>
    <font>
      <b/>
      <sz val="11"/>
      <color theme="1"/>
      <name val="Arial"/>
      <family val="2"/>
      <charset val="1"/>
    </font>
    <font>
      <b/>
      <sz val="11"/>
      <name val="Arial"/>
      <family val="2"/>
      <charset val="1"/>
    </font>
    <font>
      <sz val="11"/>
      <color theme="0"/>
      <name val="Arial"/>
      <family val="2"/>
      <charset val="1"/>
    </font>
    <font>
      <b/>
      <sz val="11"/>
      <color rgb="FF000000"/>
      <name val="Arial"/>
      <family val="2"/>
    </font>
    <font>
      <sz val="10"/>
      <color theme="0"/>
      <name val="Arial"/>
      <family val="2"/>
    </font>
    <font>
      <b/>
      <sz val="10"/>
      <color theme="1"/>
      <name val="Arial"/>
      <family val="2"/>
    </font>
    <font>
      <b/>
      <sz val="10"/>
      <color theme="0"/>
      <name val="Arial"/>
      <family val="2"/>
    </font>
    <font>
      <b/>
      <sz val="12"/>
      <color theme="0"/>
      <name val="Arial"/>
      <family val="2"/>
    </font>
    <font>
      <b/>
      <sz val="10"/>
      <color rgb="FF000000"/>
      <name val="Arial"/>
      <family val="2"/>
    </font>
    <font>
      <sz val="10"/>
      <name val="Arial"/>
      <family val="2"/>
    </font>
    <font>
      <sz val="10"/>
      <color rgb="FFFF0000"/>
      <name val="Arial"/>
      <family val="2"/>
    </font>
    <font>
      <b/>
      <sz val="14"/>
      <color rgb="FFFFFFFF"/>
      <name val="Arial"/>
      <family val="2"/>
    </font>
    <font>
      <b/>
      <sz val="16"/>
      <color theme="1"/>
      <name val="Arial"/>
      <family val="2"/>
    </font>
    <font>
      <b/>
      <sz val="14"/>
      <color theme="0"/>
      <name val="Arial"/>
      <family val="2"/>
    </font>
    <font>
      <sz val="11"/>
      <name val="Arial"/>
      <family val="2"/>
    </font>
    <font>
      <b/>
      <sz val="8"/>
      <color theme="0"/>
      <name val="Arial"/>
      <family val="2"/>
    </font>
    <font>
      <sz val="8"/>
      <color theme="0"/>
      <name val="Arial"/>
      <family val="2"/>
    </font>
    <font>
      <b/>
      <sz val="8"/>
      <color rgb="FF000000"/>
      <name val="Arial"/>
      <family val="2"/>
    </font>
    <font>
      <b/>
      <sz val="10"/>
      <color rgb="FFFF0000"/>
      <name val="Arial"/>
      <family val="2"/>
    </font>
    <font>
      <sz val="18"/>
      <color rgb="FF000000"/>
      <name val="Arial"/>
      <family val="2"/>
    </font>
    <font>
      <sz val="11"/>
      <color theme="1"/>
      <name val="Arial"/>
      <family val="2"/>
    </font>
    <font>
      <b/>
      <sz val="13"/>
      <color theme="1"/>
      <name val="Arial"/>
      <family val="2"/>
    </font>
    <font>
      <sz val="10"/>
      <color rgb="FF000000"/>
      <name val="Calibri"/>
      <family val="2"/>
      <scheme val="minor"/>
    </font>
    <font>
      <sz val="10"/>
      <color theme="1"/>
      <name val="Calibri"/>
      <family val="2"/>
      <scheme val="minor"/>
    </font>
    <font>
      <b/>
      <sz val="12"/>
      <color theme="0"/>
      <name val="Calibri"/>
      <family val="2"/>
      <scheme val="minor"/>
    </font>
    <font>
      <b/>
      <sz val="10"/>
      <color theme="1"/>
      <name val="Calibri"/>
      <family val="2"/>
      <scheme val="minor"/>
    </font>
    <font>
      <b/>
      <sz val="10"/>
      <color rgb="FF000000"/>
      <name val="Calibri"/>
      <family val="2"/>
      <scheme val="minor"/>
    </font>
    <font>
      <sz val="11"/>
      <color theme="0"/>
      <name val="Calibri"/>
      <family val="2"/>
      <scheme val="minor"/>
    </font>
    <font>
      <b/>
      <sz val="12"/>
      <color rgb="FFFFFFFF"/>
      <name val="Calibri"/>
      <family val="2"/>
      <scheme val="minor"/>
    </font>
    <font>
      <sz val="10"/>
      <color rgb="FFFF0000"/>
      <name val="Calibri"/>
      <family val="2"/>
      <scheme val="minor"/>
    </font>
    <font>
      <sz val="11"/>
      <name val="Cambria"/>
      <family val="1"/>
    </font>
    <font>
      <b/>
      <sz val="9"/>
      <color rgb="FF000000"/>
      <name val="Arial"/>
      <family val="2"/>
    </font>
    <font>
      <sz val="9"/>
      <color rgb="FF000000"/>
      <name val="Arial"/>
      <family val="2"/>
    </font>
    <font>
      <sz val="10"/>
      <color theme="1" tint="0.499984740745262"/>
      <name val="Arial"/>
      <family val="2"/>
      <charset val="1"/>
    </font>
    <font>
      <sz val="10"/>
      <color theme="1"/>
      <name val="Arial"/>
      <family val="2"/>
      <charset val="1"/>
    </font>
    <font>
      <b/>
      <sz val="10"/>
      <color rgb="FF000000"/>
      <name val="Arial"/>
      <family val="2"/>
      <charset val="1"/>
    </font>
    <font>
      <b/>
      <sz val="14"/>
      <color rgb="FFFFFFFF"/>
      <name val="Arial"/>
      <family val="2"/>
      <charset val="1"/>
    </font>
    <font>
      <b/>
      <sz val="10"/>
      <color theme="1" tint="0.499984740745262"/>
      <name val="Arial"/>
      <family val="2"/>
      <charset val="1"/>
    </font>
    <font>
      <b/>
      <sz val="10"/>
      <color theme="1"/>
      <name val="Arial"/>
      <family val="2"/>
      <charset val="1"/>
    </font>
    <font>
      <b/>
      <sz val="9"/>
      <color rgb="FF375623"/>
      <name val="Arial"/>
      <family val="2"/>
    </font>
    <font>
      <b/>
      <sz val="11"/>
      <color rgb="FFFFFFFF"/>
      <name val="Arial"/>
      <family val="2"/>
    </font>
    <font>
      <sz val="10"/>
      <color rgb="FFFF0000"/>
      <name val="Arial"/>
      <family val="2"/>
      <charset val="1"/>
    </font>
    <font>
      <sz val="10"/>
      <color theme="1"/>
      <name val="Calibri"/>
      <family val="2"/>
      <scheme val="minor"/>
    </font>
    <font>
      <sz val="10"/>
      <color rgb="FF000000"/>
      <name val="Calibri"/>
      <family val="2"/>
      <scheme val="minor"/>
    </font>
    <font>
      <b/>
      <sz val="10"/>
      <color theme="1"/>
      <name val="Calibri"/>
      <family val="2"/>
      <scheme val="minor"/>
    </font>
    <font>
      <b/>
      <sz val="10"/>
      <color rgb="FF000000"/>
      <name val="Calibri"/>
      <family val="2"/>
      <scheme val="minor"/>
    </font>
    <font>
      <b/>
      <sz val="12"/>
      <color theme="0"/>
      <name val="Arial"/>
      <family val="2"/>
      <charset val="1"/>
    </font>
    <font>
      <b/>
      <sz val="11"/>
      <color theme="1"/>
      <name val="Calibri"/>
      <family val="2"/>
      <scheme val="minor"/>
    </font>
    <font>
      <sz val="11"/>
      <color theme="1"/>
      <name val="Calibri"/>
      <family val="2"/>
      <charset val="1"/>
    </font>
    <font>
      <b/>
      <sz val="10"/>
      <color rgb="FFFFFFFF"/>
      <name val="Arial"/>
      <family val="2"/>
    </font>
    <font>
      <b/>
      <sz val="9"/>
      <color rgb="FFFFFFFF"/>
      <name val="Arial"/>
      <family val="2"/>
    </font>
    <font>
      <sz val="11"/>
      <color rgb="FFFFFF00"/>
      <name val="Arial"/>
      <family val="2"/>
    </font>
    <font>
      <sz val="8"/>
      <name val="Arial"/>
      <family val="2"/>
    </font>
    <font>
      <sz val="12"/>
      <color rgb="FF000000"/>
      <name val="Arial"/>
      <family val="2"/>
    </font>
    <font>
      <b/>
      <sz val="10"/>
      <name val="Arial"/>
      <family val="2"/>
    </font>
    <font>
      <sz val="11"/>
      <color theme="1"/>
      <name val="Calibri"/>
      <family val="2"/>
      <charset val="178"/>
      <scheme val="minor"/>
    </font>
    <font>
      <sz val="12"/>
      <color theme="1"/>
      <name val="Calibri"/>
      <family val="2"/>
      <scheme val="minor"/>
    </font>
    <font>
      <b/>
      <sz val="10"/>
      <color rgb="FF7030A0"/>
      <name val="Arial"/>
      <family val="2"/>
    </font>
    <font>
      <b/>
      <sz val="11"/>
      <color rgb="FF7030A0"/>
      <name val="Arial"/>
      <family val="2"/>
    </font>
    <font>
      <b/>
      <sz val="12"/>
      <color theme="1"/>
      <name val="Arial"/>
      <family val="2"/>
    </font>
    <font>
      <b/>
      <sz val="16"/>
      <color theme="1"/>
      <name val="Calibri Light"/>
      <family val="1"/>
      <scheme val="major"/>
    </font>
    <font>
      <sz val="11"/>
      <color theme="1"/>
      <name val="Calibri"/>
      <family val="2"/>
      <charset val="178"/>
      <scheme val="minor"/>
    </font>
    <font>
      <sz val="12"/>
      <color theme="1"/>
      <name val="Calibri"/>
      <family val="2"/>
      <scheme val="minor"/>
    </font>
    <font>
      <sz val="11"/>
      <color rgb="FF000000"/>
      <name val="Aptos Narrow"/>
      <family val="2"/>
    </font>
    <font>
      <sz val="11"/>
      <color rgb="FFC00000"/>
      <name val="Arial"/>
      <family val="2"/>
    </font>
    <font>
      <b/>
      <sz val="11"/>
      <color rgb="FFFF0000"/>
      <name val="Arial"/>
      <family val="2"/>
    </font>
    <font>
      <sz val="10"/>
      <color rgb="FF000000"/>
      <name val="Calibri"/>
      <family val="2"/>
    </font>
    <font>
      <sz val="10"/>
      <color theme="0"/>
      <name val="Calibri"/>
      <family val="2"/>
      <scheme val="minor"/>
    </font>
    <font>
      <sz val="10"/>
      <color theme="0"/>
      <name val="Arial"/>
      <family val="2"/>
      <charset val="1"/>
    </font>
    <font>
      <sz val="11"/>
      <name val="Arial"/>
      <family val="2"/>
      <charset val="1"/>
    </font>
    <font>
      <sz val="10"/>
      <name val="Calibri"/>
      <family val="2"/>
      <scheme val="minor"/>
    </font>
    <font>
      <b/>
      <sz val="18"/>
      <color theme="1"/>
      <name val="Arial"/>
      <family val="2"/>
      <charset val="1"/>
    </font>
    <font>
      <sz val="11"/>
      <color rgb="FF000000"/>
      <name val="Arial"/>
      <family val="2"/>
    </font>
    <font>
      <b/>
      <sz val="14"/>
      <color theme="0"/>
      <name val="Arial"/>
      <family val="2"/>
      <charset val="1"/>
    </font>
    <font>
      <sz val="10"/>
      <color rgb="FF000000"/>
      <name val="Lato"/>
      <family val="2"/>
    </font>
    <font>
      <sz val="11"/>
      <color rgb="FF000000"/>
      <name val="Arial"/>
      <family val="2"/>
      <charset val="1"/>
    </font>
    <font>
      <b/>
      <sz val="11"/>
      <color rgb="FF000000"/>
      <name val="Arial"/>
      <family val="2"/>
      <charset val="1"/>
    </font>
    <font>
      <b/>
      <sz val="10"/>
      <color theme="0"/>
      <name val="Arial"/>
      <family val="2"/>
      <charset val="1"/>
    </font>
    <font>
      <b/>
      <sz val="9"/>
      <color theme="1"/>
      <name val="Arial"/>
      <family val="2"/>
    </font>
    <font>
      <sz val="14"/>
      <color theme="1"/>
      <name val="Arial"/>
      <family val="2"/>
    </font>
    <font>
      <b/>
      <sz val="11"/>
      <color theme="1"/>
      <name val="Calibri"/>
      <family val="2"/>
      <scheme val="minor"/>
    </font>
    <font>
      <b/>
      <sz val="20"/>
      <color theme="0"/>
      <name val="Arial"/>
      <family val="2"/>
    </font>
  </fonts>
  <fills count="119">
    <fill>
      <patternFill patternType="none"/>
    </fill>
    <fill>
      <patternFill patternType="gray125"/>
    </fill>
    <fill>
      <patternFill patternType="solid">
        <fgColor theme="2"/>
        <bgColor rgb="FFDEEBF7"/>
      </patternFill>
    </fill>
    <fill>
      <patternFill patternType="solid">
        <fgColor rgb="FF7030A0"/>
        <bgColor rgb="FF800080"/>
      </patternFill>
    </fill>
    <fill>
      <patternFill patternType="solid">
        <fgColor theme="7" tint="0.59987182226020086"/>
        <bgColor rgb="FFFFF2CC"/>
      </patternFill>
    </fill>
    <fill>
      <patternFill patternType="solid">
        <fgColor theme="3" tint="0.59987182226020086"/>
        <bgColor rgb="FF9DC3E6"/>
      </patternFill>
    </fill>
    <fill>
      <patternFill patternType="solid">
        <fgColor theme="5" tint="0.39988402966399123"/>
        <bgColor rgb="FFF8CBAD"/>
      </patternFill>
    </fill>
    <fill>
      <patternFill patternType="solid">
        <fgColor rgb="FFFF99CC"/>
        <bgColor rgb="FFF4B183"/>
      </patternFill>
    </fill>
    <fill>
      <patternFill patternType="solid">
        <fgColor rgb="FFFFCCFF"/>
        <bgColor rgb="FFFBE5D6"/>
      </patternFill>
    </fill>
    <fill>
      <patternFill patternType="solid">
        <fgColor theme="7" tint="0.79989013336588644"/>
        <bgColor rgb="FFFBE5D6"/>
      </patternFill>
    </fill>
    <fill>
      <patternFill patternType="solid">
        <fgColor theme="3" tint="0.79989013336588644"/>
        <bgColor rgb="FFDAE3F3"/>
      </patternFill>
    </fill>
    <fill>
      <patternFill patternType="solid">
        <fgColor theme="9" tint="0.39988402966399123"/>
        <bgColor rgb="FFC5E0B4"/>
      </patternFill>
    </fill>
    <fill>
      <patternFill patternType="solid">
        <fgColor theme="4" tint="0.59987182226020086"/>
        <bgColor rgb="FF9DC3E6"/>
      </patternFill>
    </fill>
    <fill>
      <patternFill patternType="solid">
        <fgColor rgb="FF92D050"/>
        <bgColor rgb="FFA9D18E"/>
      </patternFill>
    </fill>
    <fill>
      <patternFill patternType="solid">
        <fgColor theme="5" tint="0.59987182226020086"/>
        <bgColor rgb="FFFFE699"/>
      </patternFill>
    </fill>
    <fill>
      <patternFill patternType="solid">
        <fgColor rgb="FFFFFF00"/>
        <bgColor rgb="FFFFC000"/>
      </patternFill>
    </fill>
    <fill>
      <patternFill patternType="solid">
        <fgColor rgb="FFC00000"/>
        <bgColor rgb="FFFF0000"/>
      </patternFill>
    </fill>
    <fill>
      <patternFill patternType="solid">
        <fgColor theme="5"/>
        <bgColor rgb="FFBF9000"/>
      </patternFill>
    </fill>
    <fill>
      <patternFill patternType="solid">
        <fgColor theme="5" tint="0.79989013336588644"/>
        <bgColor rgb="FFFFF2CC"/>
      </patternFill>
    </fill>
    <fill>
      <patternFill patternType="solid">
        <fgColor theme="5" tint="-0.499984740745262"/>
        <bgColor rgb="FF833C0C"/>
      </patternFill>
    </fill>
    <fill>
      <patternFill patternType="solid">
        <fgColor rgb="FF00B050"/>
        <bgColor rgb="FF008080"/>
      </patternFill>
    </fill>
    <fill>
      <patternFill patternType="solid">
        <fgColor theme="0"/>
        <bgColor rgb="FFF2F2F2"/>
      </patternFill>
    </fill>
    <fill>
      <patternFill patternType="solid">
        <fgColor rgb="FFFFC000"/>
        <bgColor rgb="FFF4B183"/>
      </patternFill>
    </fill>
    <fill>
      <patternFill patternType="solid">
        <fgColor theme="4" tint="-0.499984740745262"/>
        <bgColor rgb="FF333F50"/>
      </patternFill>
    </fill>
    <fill>
      <patternFill patternType="solid">
        <fgColor theme="8" tint="0.39988402966399123"/>
        <bgColor rgb="FFB4C7E7"/>
      </patternFill>
    </fill>
    <fill>
      <patternFill patternType="solid">
        <fgColor rgb="FF002060"/>
        <bgColor rgb="FF203864"/>
      </patternFill>
    </fill>
    <fill>
      <patternFill patternType="solid">
        <fgColor theme="4" tint="-0.249977111117893"/>
        <bgColor rgb="FF2E75B6"/>
      </patternFill>
    </fill>
    <fill>
      <patternFill patternType="solid">
        <fgColor theme="1" tint="4.9897762993255407E-2"/>
        <bgColor rgb="FF000000"/>
      </patternFill>
    </fill>
    <fill>
      <patternFill patternType="solid">
        <fgColor theme="1"/>
        <bgColor rgb="FF0D0D0D"/>
      </patternFill>
    </fill>
    <fill>
      <patternFill patternType="solid">
        <fgColor rgb="FF833C0C"/>
        <bgColor rgb="FF843C0B"/>
      </patternFill>
    </fill>
    <fill>
      <patternFill patternType="solid">
        <fgColor rgb="FF9966FF"/>
        <bgColor rgb="FF7C7C7C"/>
      </patternFill>
    </fill>
    <fill>
      <patternFill patternType="solid">
        <fgColor theme="0" tint="-0.34998626667073579"/>
        <bgColor rgb="FFAFABAB"/>
      </patternFill>
    </fill>
    <fill>
      <patternFill patternType="solid">
        <fgColor theme="1" tint="0.3498947111423078"/>
        <bgColor rgb="FF333F50"/>
      </patternFill>
    </fill>
    <fill>
      <patternFill patternType="solid">
        <fgColor theme="9" tint="0.59987182226020086"/>
        <bgColor rgb="FFD6DCE5"/>
      </patternFill>
    </fill>
    <fill>
      <patternFill patternType="solid">
        <fgColor theme="6" tint="0.39988402966399123"/>
        <bgColor rgb="FFB4C7E7"/>
      </patternFill>
    </fill>
    <fill>
      <patternFill patternType="solid">
        <fgColor theme="0" tint="-4.9989318521683403E-2"/>
        <bgColor rgb="FFE7E6E6"/>
      </patternFill>
    </fill>
    <fill>
      <patternFill patternType="solid">
        <fgColor rgb="FFFFFF00"/>
        <bgColor indexed="64"/>
      </patternFill>
    </fill>
    <fill>
      <patternFill patternType="solid">
        <fgColor rgb="FFFF0000"/>
        <bgColor indexed="64"/>
      </patternFill>
    </fill>
    <fill>
      <patternFill patternType="solid">
        <fgColor rgb="FFC65911"/>
        <bgColor indexed="64"/>
      </patternFill>
    </fill>
    <fill>
      <patternFill patternType="solid">
        <fgColor rgb="FFF2F2F2"/>
        <bgColor indexed="64"/>
      </patternFill>
    </fill>
    <fill>
      <patternFill patternType="solid">
        <fgColor rgb="FF00B050"/>
        <bgColor rgb="FFBF9000"/>
      </patternFill>
    </fill>
    <fill>
      <patternFill patternType="solid">
        <fgColor theme="5" tint="-0.499984740745262"/>
        <bgColor indexed="64"/>
      </patternFill>
    </fill>
    <fill>
      <patternFill patternType="solid">
        <fgColor theme="5"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rgb="FF002060"/>
        <bgColor indexed="64"/>
      </patternFill>
    </fill>
    <fill>
      <patternFill patternType="solid">
        <fgColor rgb="FF002060"/>
        <bgColor rgb="FF1B3A5C"/>
      </patternFill>
    </fill>
    <fill>
      <patternFill patternType="solid">
        <fgColor rgb="FFFFFF00"/>
        <bgColor rgb="FFFFFF00"/>
      </patternFill>
    </fill>
    <fill>
      <patternFill patternType="solid">
        <fgColor rgb="FFFFC000"/>
        <bgColor indexed="64"/>
      </patternFill>
    </fill>
    <fill>
      <patternFill patternType="solid">
        <fgColor rgb="FFFFFFFF"/>
        <bgColor rgb="FFF5F5F5"/>
      </patternFill>
    </fill>
    <fill>
      <patternFill patternType="solid">
        <fgColor theme="5" tint="0.59987182226020086"/>
        <bgColor rgb="FFBDBDBD"/>
      </patternFill>
    </fill>
    <fill>
      <patternFill patternType="solid">
        <fgColor theme="0" tint="-0.34998626667073579"/>
        <bgColor indexed="64"/>
      </patternFill>
    </fill>
    <fill>
      <patternFill patternType="solid">
        <fgColor theme="2" tint="-0.249977111117893"/>
        <bgColor indexed="64"/>
      </patternFill>
    </fill>
    <fill>
      <patternFill patternType="solid">
        <fgColor theme="0"/>
        <bgColor rgb="FFFFC000"/>
      </patternFill>
    </fill>
    <fill>
      <patternFill patternType="solid">
        <fgColor theme="0" tint="-0.249977111117893"/>
        <bgColor indexed="64"/>
      </patternFill>
    </fill>
    <fill>
      <patternFill patternType="solid">
        <fgColor rgb="FF9DC3E6"/>
      </patternFill>
    </fill>
    <fill>
      <patternFill patternType="solid">
        <fgColor theme="0"/>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14999847407452621"/>
        <bgColor indexed="64"/>
      </patternFill>
    </fill>
    <fill>
      <patternFill patternType="solid">
        <fgColor theme="0"/>
        <bgColor rgb="FF9DC3E6"/>
      </patternFill>
    </fill>
    <fill>
      <patternFill patternType="solid">
        <fgColor rgb="FFFF7C80"/>
        <bgColor indexed="64"/>
      </patternFill>
    </fill>
    <fill>
      <patternFill patternType="solid">
        <fgColor rgb="FFFF7C80"/>
        <bgColor rgb="FFFFE699"/>
      </patternFill>
    </fill>
    <fill>
      <patternFill patternType="solid">
        <fgColor theme="0" tint="-0.14999847407452621"/>
        <bgColor theme="0" tint="-0.14999847407452621"/>
      </patternFill>
    </fill>
    <fill>
      <patternFill patternType="solid">
        <fgColor theme="1"/>
        <bgColor indexed="64"/>
      </patternFill>
    </fill>
    <fill>
      <patternFill patternType="solid">
        <fgColor theme="0"/>
        <bgColor rgb="FFF5F5F5"/>
      </patternFill>
    </fill>
    <fill>
      <patternFill patternType="solid">
        <fgColor rgb="FFFF7C80"/>
        <bgColor rgb="FF7C7C7C"/>
      </patternFill>
    </fill>
    <fill>
      <patternFill patternType="solid">
        <fgColor theme="0"/>
        <bgColor rgb="FF7C7C7C"/>
      </patternFill>
    </fill>
    <fill>
      <patternFill patternType="solid">
        <fgColor theme="0"/>
        <bgColor rgb="FFAFABAB"/>
      </patternFill>
    </fill>
    <fill>
      <patternFill patternType="solid">
        <fgColor rgb="FF833C0C"/>
        <bgColor rgb="FF833C0C"/>
      </patternFill>
    </fill>
    <fill>
      <patternFill patternType="solid">
        <fgColor rgb="FFFFFFFF"/>
        <bgColor indexed="64"/>
      </patternFill>
    </fill>
    <fill>
      <patternFill patternType="solid">
        <fgColor theme="8" tint="0.39997558519241921"/>
        <bgColor indexed="64"/>
      </patternFill>
    </fill>
    <fill>
      <patternFill patternType="solid">
        <fgColor theme="2"/>
        <bgColor indexed="64"/>
      </patternFill>
    </fill>
    <fill>
      <patternFill patternType="solid">
        <fgColor theme="5"/>
        <bgColor rgb="FFDEEBF7"/>
      </patternFill>
    </fill>
    <fill>
      <patternFill patternType="solid">
        <fgColor theme="7"/>
        <bgColor rgb="FFF8CBAD"/>
      </patternFill>
    </fill>
    <fill>
      <patternFill patternType="solid">
        <fgColor theme="7"/>
        <bgColor rgb="FFFFF2CC"/>
      </patternFill>
    </fill>
    <fill>
      <patternFill patternType="solid">
        <fgColor theme="7" tint="0.59999389629810485"/>
        <bgColor rgb="FFDAE3F3"/>
      </patternFill>
    </fill>
    <fill>
      <patternFill patternType="solid">
        <fgColor theme="7" tint="0.59999389629810485"/>
        <bgColor rgb="FFFFF2CC"/>
      </patternFill>
    </fill>
    <fill>
      <patternFill patternType="solid">
        <fgColor theme="4" tint="0.59999389629810485"/>
        <bgColor rgb="FFFFF2CC"/>
      </patternFill>
    </fill>
    <fill>
      <patternFill patternType="solid">
        <fgColor theme="4" tint="0.39997558519241921"/>
        <bgColor rgb="FFF8CBAD"/>
      </patternFill>
    </fill>
    <fill>
      <patternFill patternType="solid">
        <fgColor theme="6" tint="0.79998168889431442"/>
        <bgColor rgb="FFA6A6A6"/>
      </patternFill>
    </fill>
    <fill>
      <patternFill patternType="solid">
        <fgColor theme="0"/>
        <bgColor rgb="FFDEEBF7"/>
      </patternFill>
    </fill>
    <fill>
      <patternFill patternType="solid">
        <fgColor theme="6" tint="0.79998168889431442"/>
        <bgColor rgb="FFF8CBAD"/>
      </patternFill>
    </fill>
    <fill>
      <patternFill patternType="solid">
        <fgColor theme="6" tint="0.79998168889431442"/>
        <bgColor rgb="FF9DC3E6"/>
      </patternFill>
    </fill>
    <fill>
      <patternFill patternType="solid">
        <fgColor theme="5" tint="0.39997558519241921"/>
        <bgColor rgb="FFFBE5D6"/>
      </patternFill>
    </fill>
    <fill>
      <patternFill patternType="solid">
        <fgColor theme="9" tint="0.39997558519241921"/>
        <bgColor rgb="FFFFF2CC"/>
      </patternFill>
    </fill>
    <fill>
      <patternFill patternType="solid">
        <fgColor theme="9" tint="0.79998168889431442"/>
        <bgColor rgb="FFC5E0B4"/>
      </patternFill>
    </fill>
    <fill>
      <patternFill patternType="solid">
        <fgColor theme="2" tint="-0.249977111117893"/>
        <bgColor rgb="FFA9D18E"/>
      </patternFill>
    </fill>
    <fill>
      <patternFill patternType="solid">
        <fgColor rgb="FFFFC000"/>
        <bgColor rgb="FF9DC3E6"/>
      </patternFill>
    </fill>
    <fill>
      <patternFill patternType="solid">
        <fgColor theme="4" tint="-0.499984740745262"/>
        <bgColor indexed="64"/>
      </patternFill>
    </fill>
    <fill>
      <patternFill patternType="solid">
        <fgColor theme="9" tint="0.39997558519241921"/>
        <bgColor rgb="FFE7E6E6"/>
      </patternFill>
    </fill>
    <fill>
      <patternFill patternType="solid">
        <fgColor theme="9" tint="0.39997558519241921"/>
        <bgColor rgb="FFDEEBF7"/>
      </patternFill>
    </fill>
    <fill>
      <patternFill patternType="solid">
        <fgColor theme="0" tint="-0.499984740745262"/>
        <bgColor rgb="FFFFC000"/>
      </patternFill>
    </fill>
    <fill>
      <patternFill patternType="solid">
        <fgColor theme="0" tint="-0.499984740745262"/>
        <bgColor indexed="64"/>
      </patternFill>
    </fill>
    <fill>
      <patternFill patternType="solid">
        <fgColor rgb="FF002060"/>
        <bgColor rgb="FFF2F2F2"/>
      </patternFill>
    </fill>
    <fill>
      <patternFill patternType="solid">
        <fgColor theme="0"/>
        <bgColor rgb="FF843C0B"/>
      </patternFill>
    </fill>
    <fill>
      <patternFill patternType="solid">
        <fgColor theme="0"/>
        <bgColor rgb="FFFFE699"/>
      </patternFill>
    </fill>
    <fill>
      <patternFill patternType="solid">
        <fgColor theme="0"/>
        <bgColor rgb="FF000000"/>
      </patternFill>
    </fill>
    <fill>
      <patternFill patternType="solid">
        <fgColor theme="0"/>
        <bgColor rgb="FF008080"/>
      </patternFill>
    </fill>
    <fill>
      <patternFill patternType="solid">
        <fgColor rgb="FF00B050"/>
        <bgColor rgb="FFF2F2F2"/>
      </patternFill>
    </fill>
    <fill>
      <patternFill patternType="solid">
        <fgColor rgb="FF002060"/>
        <bgColor rgb="FF333F50"/>
      </patternFill>
    </fill>
    <fill>
      <patternFill patternType="solid">
        <fgColor theme="5"/>
        <bgColor indexed="64"/>
      </patternFill>
    </fill>
    <fill>
      <patternFill patternType="solid">
        <fgColor rgb="FFED7D31"/>
        <bgColor rgb="FF000000"/>
      </patternFill>
    </fill>
    <fill>
      <patternFill patternType="solid">
        <fgColor theme="0"/>
        <bgColor rgb="FFFFFF00"/>
      </patternFill>
    </fill>
    <fill>
      <patternFill patternType="solid">
        <fgColor rgb="FFFFFFFF"/>
        <bgColor rgb="FF000000"/>
      </patternFill>
    </fill>
    <fill>
      <patternFill patternType="solid">
        <fgColor theme="7" tint="0.59999389629810485"/>
        <bgColor indexed="64"/>
      </patternFill>
    </fill>
    <fill>
      <patternFill patternType="solid">
        <fgColor theme="9" tint="0.39997558519241921"/>
        <bgColor rgb="FFC5E0B4"/>
      </patternFill>
    </fill>
    <fill>
      <patternFill patternType="solid">
        <fgColor rgb="FFFFEB96"/>
        <bgColor indexed="64"/>
      </patternFill>
    </fill>
    <fill>
      <patternFill patternType="solid">
        <fgColor rgb="FFFFFFFF"/>
        <bgColor rgb="FFF2F2F2"/>
      </patternFill>
    </fill>
    <fill>
      <patternFill patternType="solid">
        <fgColor theme="0"/>
        <bgColor rgb="FF833C0C"/>
      </patternFill>
    </fill>
    <fill>
      <patternFill patternType="solid">
        <fgColor rgb="FFFF0000"/>
        <bgColor rgb="FFC00000"/>
      </patternFill>
    </fill>
    <fill>
      <patternFill patternType="solid">
        <fgColor theme="9" tint="0.59987182226020086"/>
        <bgColor rgb="FFD9D9D9"/>
      </patternFill>
    </fill>
    <fill>
      <patternFill patternType="solid">
        <fgColor theme="5" tint="0.59978026673177287"/>
        <bgColor rgb="FFFFE699"/>
      </patternFill>
    </fill>
    <fill>
      <patternFill patternType="solid">
        <fgColor theme="5" tint="0.79998168889431442"/>
        <bgColor rgb="FFFFF2CC"/>
      </patternFill>
    </fill>
  </fills>
  <borders count="4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style="medium">
        <color auto="1"/>
      </left>
      <right/>
      <top style="medium">
        <color auto="1"/>
      </top>
      <bottom style="medium">
        <color auto="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7030A0"/>
      </left>
      <right style="thin">
        <color rgb="FF7030A0"/>
      </right>
      <top style="thin">
        <color rgb="FF7030A0"/>
      </top>
      <bottom style="thin">
        <color rgb="FF7030A0"/>
      </bottom>
      <diagonal/>
    </border>
    <border>
      <left style="thin">
        <color rgb="FF7030A0"/>
      </left>
      <right style="thin">
        <color rgb="FF7030A0"/>
      </right>
      <top/>
      <bottom style="thin">
        <color rgb="FF7030A0"/>
      </bottom>
      <diagonal/>
    </border>
    <border>
      <left style="thin">
        <color rgb="FF7030A0"/>
      </left>
      <right/>
      <top/>
      <bottom style="thin">
        <color rgb="FF7030A0"/>
      </bottom>
      <diagonal/>
    </border>
    <border>
      <left/>
      <right/>
      <top/>
      <bottom style="thin">
        <color rgb="FF7030A0"/>
      </bottom>
      <diagonal/>
    </border>
    <border>
      <left/>
      <right style="thin">
        <color rgb="FF7030A0"/>
      </right>
      <top/>
      <bottom style="thin">
        <color rgb="FF7030A0"/>
      </bottom>
      <diagonal/>
    </border>
    <border>
      <left/>
      <right style="thin">
        <color rgb="FF000000"/>
      </right>
      <top style="thin">
        <color auto="1"/>
      </top>
      <bottom/>
      <diagonal/>
    </border>
    <border>
      <left/>
      <right style="medium">
        <color auto="1"/>
      </right>
      <top style="medium">
        <color auto="1"/>
      </top>
      <bottom style="medium">
        <color auto="1"/>
      </bottom>
      <diagonal/>
    </border>
  </borders>
  <cellStyleXfs count="32">
    <xf numFmtId="0" fontId="0" fillId="0" borderId="0"/>
    <xf numFmtId="0" fontId="5" fillId="0" borderId="0"/>
    <xf numFmtId="0" fontId="5" fillId="0" borderId="0"/>
    <xf numFmtId="0" fontId="5" fillId="0" borderId="0"/>
    <xf numFmtId="0" fontId="6" fillId="0" borderId="0"/>
    <xf numFmtId="0" fontId="6" fillId="0" borderId="0"/>
    <xf numFmtId="0" fontId="5" fillId="0" borderId="0"/>
    <xf numFmtId="0" fontId="6" fillId="0" borderId="0"/>
    <xf numFmtId="0" fontId="6" fillId="0" borderId="0"/>
    <xf numFmtId="0" fontId="7" fillId="0" borderId="0"/>
    <xf numFmtId="9" fontId="35" fillId="0" borderId="0" applyFont="0" applyFill="0" applyBorder="0" applyAlignment="0" applyProtection="0"/>
    <xf numFmtId="166" fontId="7" fillId="0" borderId="0"/>
    <xf numFmtId="164" fontId="35" fillId="0" borderId="0" applyFont="0" applyFill="0" applyBorder="0" applyAlignment="0" applyProtection="0"/>
    <xf numFmtId="0" fontId="37" fillId="0" borderId="0"/>
    <xf numFmtId="0" fontId="37" fillId="0" borderId="0"/>
    <xf numFmtId="0" fontId="4" fillId="0" borderId="0"/>
    <xf numFmtId="189" fontId="4" fillId="0" borderId="0" applyFont="0" applyFill="0" applyBorder="0" applyAlignment="0" applyProtection="0"/>
    <xf numFmtId="0" fontId="3" fillId="0" borderId="0"/>
    <xf numFmtId="189" fontId="3" fillId="0" borderId="0" applyFont="0" applyFill="0" applyBorder="0" applyAlignment="0" applyProtection="0"/>
    <xf numFmtId="0" fontId="58" fillId="0" borderId="0"/>
    <xf numFmtId="0" fontId="63" fillId="0" borderId="0"/>
    <xf numFmtId="0" fontId="2" fillId="0" borderId="0"/>
    <xf numFmtId="0" fontId="70" fillId="0" borderId="0"/>
    <xf numFmtId="0" fontId="71" fillId="0" borderId="0"/>
    <xf numFmtId="0" fontId="76" fillId="0" borderId="0"/>
    <xf numFmtId="0" fontId="77" fillId="0" borderId="0"/>
    <xf numFmtId="0" fontId="2" fillId="0" borderId="0"/>
    <xf numFmtId="189" fontId="2" fillId="0" borderId="0" applyFont="0" applyFill="0" applyBorder="0" applyAlignment="0" applyProtection="0"/>
    <xf numFmtId="0" fontId="1" fillId="0" borderId="0"/>
    <xf numFmtId="0" fontId="1" fillId="0" borderId="0"/>
    <xf numFmtId="189" fontId="1" fillId="0" borderId="0" applyFont="0" applyFill="0" applyBorder="0" applyAlignment="0" applyProtection="0"/>
    <xf numFmtId="0" fontId="7" fillId="0" borderId="0"/>
  </cellStyleXfs>
  <cellXfs count="1734">
    <xf numFmtId="0" fontId="0" fillId="0" borderId="0" xfId="0"/>
    <xf numFmtId="0" fontId="8" fillId="0" borderId="0" xfId="0" applyFont="1"/>
    <xf numFmtId="0" fontId="8" fillId="0" borderId="0" xfId="0" applyFont="1" applyAlignment="1">
      <alignment horizontal="center"/>
    </xf>
    <xf numFmtId="0" fontId="0" fillId="0" borderId="0" xfId="0" applyAlignment="1">
      <alignment horizontal="center"/>
    </xf>
    <xf numFmtId="2" fontId="0" fillId="0" borderId="0" xfId="0" applyNumberFormat="1"/>
    <xf numFmtId="166" fontId="0" fillId="0" borderId="0" xfId="0" applyNumberFormat="1"/>
    <xf numFmtId="0" fontId="8" fillId="2" borderId="0" xfId="0" applyFont="1" applyFill="1" applyAlignment="1">
      <alignment horizontal="center" vertical="center"/>
    </xf>
    <xf numFmtId="0" fontId="8" fillId="2" borderId="0" xfId="0" applyFont="1" applyFill="1" applyAlignment="1">
      <alignment horizontal="center" vertical="center" wrapText="1"/>
    </xf>
    <xf numFmtId="0" fontId="9" fillId="3" borderId="1" xfId="0" applyFont="1" applyFill="1" applyBorder="1" applyAlignment="1">
      <alignment horizontal="center" vertical="center"/>
    </xf>
    <xf numFmtId="0" fontId="11" fillId="0" borderId="0" xfId="0" applyFont="1"/>
    <xf numFmtId="0" fontId="11" fillId="0" borderId="0" xfId="0" applyFont="1" applyAlignment="1">
      <alignment horizontal="center"/>
    </xf>
    <xf numFmtId="0" fontId="12" fillId="0" borderId="0" xfId="0" applyFont="1" applyAlignment="1">
      <alignment horizontal="center"/>
    </xf>
    <xf numFmtId="165" fontId="11" fillId="0" borderId="0" xfId="0" applyNumberFormat="1" applyFont="1"/>
    <xf numFmtId="165" fontId="12" fillId="0" borderId="0" xfId="0" applyNumberFormat="1" applyFont="1"/>
    <xf numFmtId="0" fontId="5" fillId="0" borderId="0" xfId="0" applyFont="1"/>
    <xf numFmtId="0" fontId="8" fillId="5" borderId="0" xfId="0" applyFont="1" applyFill="1"/>
    <xf numFmtId="0" fontId="8" fillId="5" borderId="0" xfId="0" applyFont="1" applyFill="1" applyAlignment="1">
      <alignment horizontal="center"/>
    </xf>
    <xf numFmtId="1" fontId="8" fillId="5" borderId="0" xfId="0" applyNumberFormat="1" applyFont="1" applyFill="1" applyAlignment="1">
      <alignment horizontal="center"/>
    </xf>
    <xf numFmtId="165" fontId="8" fillId="5" borderId="0" xfId="0" applyNumberFormat="1" applyFont="1" applyFill="1"/>
    <xf numFmtId="166" fontId="8" fillId="5" borderId="0" xfId="0" applyNumberFormat="1" applyFont="1" applyFill="1"/>
    <xf numFmtId="0" fontId="0" fillId="0" borderId="2" xfId="0" applyBorder="1" applyAlignment="1">
      <alignment vertical="center"/>
    </xf>
    <xf numFmtId="0" fontId="8" fillId="6" borderId="0" xfId="0" applyFont="1" applyFill="1"/>
    <xf numFmtId="0" fontId="8" fillId="6" borderId="0" xfId="0" applyFont="1" applyFill="1" applyAlignment="1">
      <alignment horizontal="center"/>
    </xf>
    <xf numFmtId="1" fontId="8" fillId="6" borderId="0" xfId="0" applyNumberFormat="1" applyFont="1" applyFill="1" applyAlignment="1">
      <alignment horizontal="center"/>
    </xf>
    <xf numFmtId="165" fontId="8" fillId="6" borderId="0" xfId="0" applyNumberFormat="1" applyFont="1" applyFill="1"/>
    <xf numFmtId="166" fontId="8" fillId="6" borderId="0" xfId="0" applyNumberFormat="1" applyFont="1" applyFill="1"/>
    <xf numFmtId="1" fontId="13" fillId="0" borderId="0" xfId="0" applyNumberFormat="1" applyFont="1" applyAlignment="1">
      <alignment horizontal="left" vertical="center" wrapText="1"/>
    </xf>
    <xf numFmtId="0" fontId="5" fillId="0" borderId="0" xfId="0" applyFont="1" applyAlignment="1">
      <alignment horizontal="left"/>
    </xf>
    <xf numFmtId="0" fontId="8" fillId="7" borderId="0" xfId="0" applyFont="1" applyFill="1"/>
    <xf numFmtId="0" fontId="8" fillId="7" borderId="0" xfId="0" applyFont="1" applyFill="1" applyAlignment="1">
      <alignment horizontal="center"/>
    </xf>
    <xf numFmtId="1" fontId="8" fillId="7" borderId="0" xfId="0" applyNumberFormat="1" applyFont="1" applyFill="1" applyAlignment="1">
      <alignment horizontal="center" vertical="center"/>
    </xf>
    <xf numFmtId="165" fontId="8" fillId="7" borderId="0" xfId="0" applyNumberFormat="1" applyFont="1" applyFill="1"/>
    <xf numFmtId="2" fontId="8" fillId="7" borderId="0" xfId="0" applyNumberFormat="1" applyFont="1" applyFill="1" applyAlignment="1">
      <alignment horizontal="center" vertical="center"/>
    </xf>
    <xf numFmtId="165" fontId="8" fillId="7" borderId="0" xfId="0" applyNumberFormat="1" applyFont="1" applyFill="1" applyAlignment="1">
      <alignment horizontal="center" vertical="center"/>
    </xf>
    <xf numFmtId="0" fontId="8" fillId="8" borderId="0" xfId="0" applyFont="1" applyFill="1"/>
    <xf numFmtId="0" fontId="8" fillId="8" borderId="0" xfId="0" applyFont="1" applyFill="1" applyAlignment="1">
      <alignment horizontal="center"/>
    </xf>
    <xf numFmtId="1" fontId="8" fillId="8" borderId="0" xfId="0" applyNumberFormat="1" applyFont="1" applyFill="1" applyAlignment="1">
      <alignment horizontal="center" vertical="center"/>
    </xf>
    <xf numFmtId="165" fontId="8" fillId="8" borderId="0" xfId="0" applyNumberFormat="1" applyFont="1" applyFill="1"/>
    <xf numFmtId="2" fontId="8" fillId="8" borderId="0" xfId="0" applyNumberFormat="1" applyFont="1" applyFill="1" applyAlignment="1">
      <alignment horizontal="center" vertical="center"/>
    </xf>
    <xf numFmtId="165" fontId="8" fillId="8" borderId="0" xfId="0" applyNumberFormat="1" applyFont="1" applyFill="1" applyAlignment="1">
      <alignment horizontal="center" vertical="center"/>
    </xf>
    <xf numFmtId="167" fontId="8" fillId="8" borderId="0" xfId="0" applyNumberFormat="1" applyFont="1" applyFill="1" applyAlignment="1">
      <alignment horizontal="center" vertical="center"/>
    </xf>
    <xf numFmtId="0" fontId="8" fillId="9" borderId="0" xfId="0" applyFont="1" applyFill="1"/>
    <xf numFmtId="0" fontId="8" fillId="9" borderId="0" xfId="0" applyFont="1" applyFill="1" applyAlignment="1">
      <alignment horizontal="center"/>
    </xf>
    <xf numFmtId="1" fontId="8" fillId="9" borderId="0" xfId="0" applyNumberFormat="1" applyFont="1" applyFill="1" applyAlignment="1">
      <alignment horizontal="center" vertical="center"/>
    </xf>
    <xf numFmtId="165" fontId="8" fillId="9" borderId="0" xfId="0" applyNumberFormat="1" applyFont="1" applyFill="1"/>
    <xf numFmtId="2" fontId="8" fillId="9" borderId="0" xfId="0" applyNumberFormat="1" applyFont="1" applyFill="1" applyAlignment="1">
      <alignment horizontal="center" vertical="center"/>
    </xf>
    <xf numFmtId="165" fontId="8" fillId="9" borderId="0" xfId="0" applyNumberFormat="1" applyFont="1" applyFill="1" applyAlignment="1">
      <alignment horizontal="center" vertical="center"/>
    </xf>
    <xf numFmtId="0" fontId="8" fillId="11" borderId="0" xfId="0" applyFont="1" applyFill="1"/>
    <xf numFmtId="0" fontId="8" fillId="11" borderId="0" xfId="0" applyFont="1" applyFill="1" applyAlignment="1">
      <alignment horizontal="center"/>
    </xf>
    <xf numFmtId="1" fontId="8" fillId="11" borderId="0" xfId="0" applyNumberFormat="1" applyFont="1" applyFill="1" applyAlignment="1">
      <alignment horizontal="center" vertical="center"/>
    </xf>
    <xf numFmtId="165" fontId="8" fillId="11" borderId="0" xfId="0" applyNumberFormat="1" applyFont="1" applyFill="1"/>
    <xf numFmtId="2" fontId="8" fillId="11" borderId="0" xfId="0" applyNumberFormat="1" applyFont="1" applyFill="1" applyAlignment="1">
      <alignment horizontal="center" vertical="center"/>
    </xf>
    <xf numFmtId="165" fontId="8" fillId="11" borderId="0" xfId="0" applyNumberFormat="1" applyFont="1" applyFill="1" applyAlignment="1">
      <alignment horizontal="center" vertical="center"/>
    </xf>
    <xf numFmtId="165" fontId="8" fillId="0" borderId="0" xfId="0" applyNumberFormat="1" applyFont="1" applyAlignment="1">
      <alignment horizontal="center" vertical="center"/>
    </xf>
    <xf numFmtId="0" fontId="8" fillId="12" borderId="0" xfId="0" applyFont="1" applyFill="1"/>
    <xf numFmtId="0" fontId="8" fillId="12" borderId="0" xfId="0" applyFont="1" applyFill="1" applyAlignment="1">
      <alignment horizontal="center"/>
    </xf>
    <xf numFmtId="1" fontId="8" fillId="12" borderId="0" xfId="0" applyNumberFormat="1" applyFont="1" applyFill="1" applyAlignment="1">
      <alignment horizontal="center" vertical="center"/>
    </xf>
    <xf numFmtId="165" fontId="8" fillId="12" borderId="0" xfId="0" applyNumberFormat="1" applyFont="1" applyFill="1"/>
    <xf numFmtId="165" fontId="8" fillId="12" borderId="0" xfId="0" applyNumberFormat="1" applyFont="1" applyFill="1" applyAlignment="1">
      <alignment horizontal="center" vertical="center"/>
    </xf>
    <xf numFmtId="166" fontId="8" fillId="12" borderId="0" xfId="0" applyNumberFormat="1" applyFont="1" applyFill="1" applyAlignment="1">
      <alignment horizontal="center" vertical="center"/>
    </xf>
    <xf numFmtId="0" fontId="15" fillId="2" borderId="0" xfId="0" applyFont="1" applyFill="1" applyAlignment="1">
      <alignment horizontal="center" vertical="center"/>
    </xf>
    <xf numFmtId="0" fontId="15" fillId="2" borderId="0" xfId="0" applyFont="1" applyFill="1" applyAlignment="1">
      <alignment horizontal="center" vertical="center" wrapText="1"/>
    </xf>
    <xf numFmtId="0" fontId="15" fillId="0" borderId="0" xfId="0" applyFont="1"/>
    <xf numFmtId="0" fontId="18" fillId="0" borderId="0" xfId="0" applyFont="1"/>
    <xf numFmtId="0" fontId="13" fillId="14"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5" fillId="14" borderId="1" xfId="0" applyFont="1" applyFill="1" applyBorder="1" applyAlignment="1">
      <alignment horizontal="center" vertical="center"/>
    </xf>
    <xf numFmtId="165" fontId="13" fillId="15" borderId="1" xfId="0" applyNumberFormat="1" applyFont="1" applyFill="1" applyBorder="1" applyAlignment="1">
      <alignment horizontal="center" vertical="center" wrapText="1"/>
    </xf>
    <xf numFmtId="166" fontId="5" fillId="0" borderId="0" xfId="0" applyNumberFormat="1" applyFont="1" applyAlignment="1">
      <alignment horizontal="center" vertical="center"/>
    </xf>
    <xf numFmtId="166" fontId="13" fillId="0" borderId="1" xfId="0" applyNumberFormat="1" applyFont="1" applyBorder="1" applyAlignment="1">
      <alignment horizontal="center" vertical="center" wrapText="1"/>
    </xf>
    <xf numFmtId="0" fontId="13" fillId="13" borderId="3" xfId="0" applyFont="1" applyFill="1" applyBorder="1" applyAlignment="1">
      <alignment horizontal="center" vertical="center" wrapText="1"/>
    </xf>
    <xf numFmtId="166" fontId="19" fillId="16" borderId="1" xfId="0" applyNumberFormat="1" applyFont="1" applyFill="1" applyBorder="1" applyAlignment="1">
      <alignment horizontal="center" vertical="center" wrapText="1"/>
    </xf>
    <xf numFmtId="166" fontId="13" fillId="0" borderId="0" xfId="0" applyNumberFormat="1" applyFont="1" applyAlignment="1">
      <alignment vertical="center" wrapText="1"/>
    </xf>
    <xf numFmtId="0" fontId="20" fillId="14" borderId="3" xfId="0" applyFont="1" applyFill="1" applyBorder="1" applyAlignment="1">
      <alignment horizontal="center" vertical="center" wrapText="1"/>
    </xf>
    <xf numFmtId="165" fontId="13" fillId="0" borderId="1" xfId="0" applyNumberFormat="1" applyFont="1" applyBorder="1" applyAlignment="1">
      <alignment wrapText="1"/>
    </xf>
    <xf numFmtId="0" fontId="20" fillId="14" borderId="1" xfId="0" applyFont="1" applyFill="1" applyBorder="1" applyAlignment="1">
      <alignment horizontal="center" vertical="center" wrapText="1"/>
    </xf>
    <xf numFmtId="0" fontId="13" fillId="0" borderId="0" xfId="0" applyFont="1" applyAlignment="1">
      <alignment horizontal="center" vertical="center" wrapText="1"/>
    </xf>
    <xf numFmtId="0" fontId="20" fillId="13" borderId="1" xfId="0" applyFont="1" applyFill="1" applyBorder="1" applyAlignment="1">
      <alignment horizontal="center" vertical="center" wrapText="1"/>
    </xf>
    <xf numFmtId="0" fontId="21" fillId="17" borderId="0" xfId="0" applyFont="1" applyFill="1" applyAlignment="1">
      <alignment horizontal="center" vertical="center" wrapText="1"/>
    </xf>
    <xf numFmtId="165" fontId="13" fillId="18" borderId="0" xfId="0" applyNumberFormat="1" applyFont="1" applyFill="1" applyAlignment="1">
      <alignment horizontal="center" vertical="center" wrapText="1"/>
    </xf>
    <xf numFmtId="166" fontId="20" fillId="18" borderId="0" xfId="0" applyNumberFormat="1" applyFont="1" applyFill="1" applyAlignment="1">
      <alignment horizontal="center" vertical="center" wrapText="1"/>
    </xf>
    <xf numFmtId="0" fontId="18" fillId="19" borderId="0" xfId="0" applyFont="1" applyFill="1"/>
    <xf numFmtId="0" fontId="22" fillId="19" borderId="0" xfId="0" applyFont="1" applyFill="1" applyAlignment="1">
      <alignment horizontal="center" vertical="center" wrapText="1"/>
    </xf>
    <xf numFmtId="0" fontId="22" fillId="0" borderId="0" xfId="0" applyFont="1" applyAlignment="1">
      <alignment horizontal="center" vertical="center" wrapText="1"/>
    </xf>
    <xf numFmtId="0" fontId="13" fillId="0" borderId="0" xfId="0" applyFont="1" applyAlignment="1">
      <alignment wrapText="1"/>
    </xf>
    <xf numFmtId="0" fontId="22" fillId="17" borderId="0" xfId="0" applyFont="1" applyFill="1" applyAlignment="1">
      <alignment horizontal="center" vertical="center" wrapText="1"/>
    </xf>
    <xf numFmtId="0" fontId="22" fillId="17" borderId="0" xfId="0" applyFont="1" applyFill="1" applyAlignment="1">
      <alignment vertical="center" wrapText="1"/>
    </xf>
    <xf numFmtId="0" fontId="22" fillId="19" borderId="5" xfId="0" applyFont="1" applyFill="1" applyBorder="1" applyAlignment="1">
      <alignment horizontal="center" vertical="center" wrapText="1"/>
    </xf>
    <xf numFmtId="0" fontId="22" fillId="17" borderId="5" xfId="0" applyFont="1" applyFill="1" applyBorder="1" applyAlignment="1">
      <alignment horizontal="center" vertical="center" wrapText="1"/>
    </xf>
    <xf numFmtId="0" fontId="22" fillId="17" borderId="5" xfId="0" applyFont="1" applyFill="1" applyBorder="1" applyAlignment="1">
      <alignment vertical="center" wrapText="1"/>
    </xf>
    <xf numFmtId="0" fontId="23" fillId="14" borderId="1" xfId="0" applyFont="1" applyFill="1" applyBorder="1" applyAlignment="1">
      <alignment horizontal="center" vertical="center"/>
    </xf>
    <xf numFmtId="0" fontId="20" fillId="20" borderId="1" xfId="0" applyFont="1" applyFill="1" applyBorder="1" applyAlignment="1">
      <alignment horizontal="center" vertical="center" wrapText="1"/>
    </xf>
    <xf numFmtId="0" fontId="23" fillId="20" borderId="1" xfId="0" applyFont="1" applyFill="1" applyBorder="1" applyAlignment="1">
      <alignment horizontal="center" vertical="center" wrapText="1"/>
    </xf>
    <xf numFmtId="0" fontId="21" fillId="17" borderId="1" xfId="0" applyFont="1" applyFill="1" applyBorder="1" applyAlignment="1">
      <alignment horizontal="center" vertical="center" wrapText="1"/>
    </xf>
    <xf numFmtId="0" fontId="21" fillId="17" borderId="1" xfId="0" applyFont="1" applyFill="1" applyBorder="1" applyAlignment="1">
      <alignment horizontal="center" vertical="center"/>
    </xf>
    <xf numFmtId="0" fontId="21" fillId="17" borderId="3" xfId="0" applyFont="1" applyFill="1" applyBorder="1" applyAlignment="1">
      <alignment horizontal="center" vertical="center" wrapText="1"/>
    </xf>
    <xf numFmtId="0" fontId="13" fillId="21" borderId="2" xfId="0" applyFont="1" applyFill="1" applyBorder="1" applyAlignment="1">
      <alignment horizontal="center" vertical="center" wrapText="1"/>
    </xf>
    <xf numFmtId="0" fontId="5" fillId="0" borderId="1" xfId="0" applyFont="1" applyBorder="1" applyAlignment="1">
      <alignment horizontal="center" vertical="center"/>
    </xf>
    <xf numFmtId="1" fontId="13" fillId="0" borderId="1" xfId="0" applyNumberFormat="1" applyFont="1" applyBorder="1" applyAlignment="1">
      <alignment horizontal="center" vertical="center"/>
    </xf>
    <xf numFmtId="165" fontId="13" fillId="0" borderId="1" xfId="0" applyNumberFormat="1" applyFont="1" applyBorder="1" applyAlignment="1">
      <alignment horizontal="center" vertical="center" wrapText="1"/>
    </xf>
    <xf numFmtId="9" fontId="13" fillId="0" borderId="1" xfId="0" applyNumberFormat="1" applyFont="1" applyBorder="1" applyAlignment="1">
      <alignment horizontal="center" vertical="center" wrapText="1"/>
    </xf>
    <xf numFmtId="1" fontId="13" fillId="0" borderId="1" xfId="0" applyNumberFormat="1" applyFont="1" applyBorder="1" applyAlignment="1">
      <alignment horizontal="center" vertical="center" wrapText="1"/>
    </xf>
    <xf numFmtId="1" fontId="0" fillId="0" borderId="1" xfId="0" applyNumberFormat="1" applyBorder="1" applyAlignment="1">
      <alignment horizontal="center" vertical="center"/>
    </xf>
    <xf numFmtId="168" fontId="13" fillId="0" borderId="1" xfId="0" applyNumberFormat="1" applyFont="1" applyBorder="1" applyAlignment="1">
      <alignment horizontal="center" vertical="center" wrapText="1"/>
    </xf>
    <xf numFmtId="169" fontId="13" fillId="0" borderId="1" xfId="0" applyNumberFormat="1" applyFont="1" applyBorder="1" applyAlignment="1">
      <alignment wrapText="1"/>
    </xf>
    <xf numFmtId="0" fontId="13" fillId="21" borderId="1" xfId="0" applyFont="1" applyFill="1" applyBorder="1" applyAlignment="1">
      <alignment horizontal="center" vertical="center" wrapText="1"/>
    </xf>
    <xf numFmtId="0" fontId="0" fillId="0" borderId="1" xfId="0" applyBorder="1" applyAlignment="1">
      <alignment horizontal="center" vertical="center"/>
    </xf>
    <xf numFmtId="0" fontId="13" fillId="0" borderId="1" xfId="0" applyFont="1" applyBorder="1" applyAlignment="1">
      <alignment horizontal="center" vertical="center"/>
    </xf>
    <xf numFmtId="166" fontId="13" fillId="0" borderId="1" xfId="0" applyNumberFormat="1" applyFont="1" applyBorder="1" applyAlignment="1">
      <alignment horizontal="center" vertical="center"/>
    </xf>
    <xf numFmtId="9" fontId="0" fillId="0" borderId="1" xfId="0" applyNumberFormat="1" applyBorder="1" applyAlignment="1">
      <alignment horizontal="center" vertical="center"/>
    </xf>
    <xf numFmtId="0" fontId="20" fillId="22" borderId="0" xfId="0" applyFont="1" applyFill="1"/>
    <xf numFmtId="0" fontId="13" fillId="0" borderId="1" xfId="0" applyFont="1" applyBorder="1" applyAlignment="1">
      <alignment horizontal="center"/>
    </xf>
    <xf numFmtId="169" fontId="13" fillId="0" borderId="0" xfId="0" applyNumberFormat="1" applyFont="1" applyAlignment="1">
      <alignment wrapText="1"/>
    </xf>
    <xf numFmtId="0" fontId="13" fillId="21" borderId="0" xfId="0" applyFont="1" applyFill="1" applyAlignment="1">
      <alignment horizontal="center" vertical="center" wrapText="1"/>
    </xf>
    <xf numFmtId="0" fontId="0" fillId="0" borderId="0" xfId="0" applyAlignment="1">
      <alignment horizontal="center" vertical="center"/>
    </xf>
    <xf numFmtId="0" fontId="13" fillId="0" borderId="0" xfId="0" applyFont="1" applyAlignment="1">
      <alignment horizontal="center"/>
    </xf>
    <xf numFmtId="166" fontId="13" fillId="0" borderId="0" xfId="0" applyNumberFormat="1" applyFont="1" applyAlignment="1">
      <alignment horizontal="center" vertical="center"/>
    </xf>
    <xf numFmtId="9" fontId="0" fillId="0" borderId="0" xfId="0" applyNumberFormat="1" applyAlignment="1">
      <alignment horizontal="center" vertical="center"/>
    </xf>
    <xf numFmtId="1" fontId="13" fillId="0" borderId="0" xfId="0" applyNumberFormat="1" applyFont="1" applyAlignment="1">
      <alignment horizontal="center" vertical="center" wrapText="1"/>
    </xf>
    <xf numFmtId="1" fontId="0" fillId="0" borderId="0" xfId="0" applyNumberFormat="1" applyAlignment="1">
      <alignment horizontal="center" vertical="center"/>
    </xf>
    <xf numFmtId="0" fontId="5" fillId="0" borderId="0" xfId="0" applyFont="1" applyAlignment="1">
      <alignment vertical="center"/>
    </xf>
    <xf numFmtId="168" fontId="13" fillId="0" borderId="0" xfId="0" applyNumberFormat="1" applyFont="1" applyAlignment="1">
      <alignment horizontal="center" vertical="center" wrapText="1"/>
    </xf>
    <xf numFmtId="0" fontId="23" fillId="24" borderId="0" xfId="0" applyFont="1" applyFill="1"/>
    <xf numFmtId="0" fontId="23" fillId="15" borderId="0" xfId="0" applyFont="1" applyFill="1"/>
    <xf numFmtId="170" fontId="23" fillId="15" borderId="0" xfId="0" applyNumberFormat="1" applyFont="1" applyFill="1"/>
    <xf numFmtId="0" fontId="12" fillId="25" borderId="3" xfId="0" applyFont="1" applyFill="1" applyBorder="1" applyAlignment="1">
      <alignment horizontal="center"/>
    </xf>
    <xf numFmtId="0" fontId="12" fillId="25" borderId="1" xfId="0" applyFont="1" applyFill="1" applyBorder="1"/>
    <xf numFmtId="0" fontId="12" fillId="25" borderId="6" xfId="0" applyFont="1" applyFill="1" applyBorder="1"/>
    <xf numFmtId="0" fontId="23" fillId="24" borderId="1" xfId="0" applyFont="1" applyFill="1" applyBorder="1"/>
    <xf numFmtId="0" fontId="12" fillId="25" borderId="3" xfId="0" applyFont="1" applyFill="1" applyBorder="1"/>
    <xf numFmtId="165" fontId="0" fillId="0" borderId="7" xfId="0" applyNumberFormat="1" applyBorder="1"/>
    <xf numFmtId="165" fontId="0" fillId="15" borderId="7" xfId="0" applyNumberFormat="1" applyFill="1" applyBorder="1"/>
    <xf numFmtId="0" fontId="5" fillId="24" borderId="0" xfId="0" applyFont="1" applyFill="1"/>
    <xf numFmtId="170" fontId="23" fillId="15" borderId="1" xfId="0" applyNumberFormat="1" applyFont="1" applyFill="1" applyBorder="1"/>
    <xf numFmtId="0" fontId="23" fillId="15" borderId="1" xfId="0" applyFont="1" applyFill="1" applyBorder="1"/>
    <xf numFmtId="170" fontId="23" fillId="0" borderId="1" xfId="0" applyNumberFormat="1" applyFont="1" applyBorder="1"/>
    <xf numFmtId="0" fontId="0" fillId="0" borderId="7" xfId="0" applyBorder="1"/>
    <xf numFmtId="9" fontId="23" fillId="0" borderId="1" xfId="0" applyNumberFormat="1" applyFont="1" applyBorder="1"/>
    <xf numFmtId="171" fontId="23" fillId="0" borderId="1" xfId="0" applyNumberFormat="1" applyFont="1" applyBorder="1"/>
    <xf numFmtId="0" fontId="23" fillId="0" borderId="1" xfId="0" applyFont="1" applyBorder="1"/>
    <xf numFmtId="0" fontId="23" fillId="8" borderId="1" xfId="0" applyFont="1" applyFill="1" applyBorder="1"/>
    <xf numFmtId="0" fontId="12" fillId="25" borderId="8" xfId="0" applyFont="1" applyFill="1" applyBorder="1"/>
    <xf numFmtId="0" fontId="8" fillId="22" borderId="9" xfId="0" applyFont="1" applyFill="1" applyBorder="1"/>
    <xf numFmtId="0" fontId="12" fillId="25" borderId="10" xfId="0" applyFont="1" applyFill="1" applyBorder="1"/>
    <xf numFmtId="0" fontId="21" fillId="26" borderId="0" xfId="0" applyFont="1" applyFill="1"/>
    <xf numFmtId="169" fontId="23" fillId="0" borderId="7" xfId="0" applyNumberFormat="1" applyFont="1" applyBorder="1"/>
    <xf numFmtId="0" fontId="21" fillId="27" borderId="1" xfId="0" applyFont="1" applyFill="1" applyBorder="1" applyAlignment="1">
      <alignment wrapText="1"/>
    </xf>
    <xf numFmtId="10" fontId="5" fillId="15" borderId="0" xfId="0" applyNumberFormat="1" applyFont="1" applyFill="1"/>
    <xf numFmtId="172" fontId="5" fillId="15" borderId="0" xfId="0" applyNumberFormat="1" applyFont="1" applyFill="1"/>
    <xf numFmtId="10" fontId="5" fillId="0" borderId="1" xfId="0" applyNumberFormat="1" applyFont="1" applyBorder="1"/>
    <xf numFmtId="173" fontId="5" fillId="0" borderId="0" xfId="0" applyNumberFormat="1" applyFont="1"/>
    <xf numFmtId="0" fontId="21" fillId="27" borderId="1" xfId="0" applyFont="1" applyFill="1" applyBorder="1"/>
    <xf numFmtId="0" fontId="13" fillId="0" borderId="0" xfId="0" applyFont="1"/>
    <xf numFmtId="0" fontId="5" fillId="15" borderId="1" xfId="0" applyFont="1" applyFill="1" applyBorder="1"/>
    <xf numFmtId="166" fontId="5" fillId="15" borderId="1" xfId="0" applyNumberFormat="1" applyFont="1" applyFill="1" applyBorder="1"/>
    <xf numFmtId="174" fontId="0" fillId="15" borderId="1" xfId="0" applyNumberFormat="1" applyFill="1" applyBorder="1"/>
    <xf numFmtId="168" fontId="5" fillId="0" borderId="1" xfId="0" applyNumberFormat="1" applyFont="1" applyBorder="1"/>
    <xf numFmtId="169" fontId="5" fillId="0" borderId="1" xfId="0" applyNumberFormat="1" applyFont="1" applyBorder="1"/>
    <xf numFmtId="169" fontId="24" fillId="0" borderId="1" xfId="0" applyNumberFormat="1" applyFont="1" applyBorder="1"/>
    <xf numFmtId="0" fontId="12" fillId="25" borderId="11" xfId="0" applyFont="1" applyFill="1" applyBorder="1"/>
    <xf numFmtId="0" fontId="12" fillId="0" borderId="0" xfId="0" applyFont="1"/>
    <xf numFmtId="0" fontId="12" fillId="28" borderId="3" xfId="0" applyFont="1" applyFill="1" applyBorder="1"/>
    <xf numFmtId="169" fontId="19" fillId="28" borderId="1" xfId="0" applyNumberFormat="1" applyFont="1" applyFill="1" applyBorder="1"/>
    <xf numFmtId="0" fontId="19" fillId="28" borderId="1" xfId="0" applyFont="1" applyFill="1" applyBorder="1"/>
    <xf numFmtId="0" fontId="25" fillId="0" borderId="0" xfId="0" applyFont="1" applyAlignment="1">
      <alignment wrapText="1"/>
    </xf>
    <xf numFmtId="175" fontId="5" fillId="0" borderId="1" xfId="0" applyNumberFormat="1" applyFont="1" applyBorder="1"/>
    <xf numFmtId="165" fontId="5" fillId="0" borderId="1" xfId="0" applyNumberFormat="1" applyFont="1" applyBorder="1"/>
    <xf numFmtId="175" fontId="5" fillId="15" borderId="1" xfId="0" applyNumberFormat="1" applyFont="1" applyFill="1" applyBorder="1"/>
    <xf numFmtId="169" fontId="5" fillId="15" borderId="1" xfId="0" applyNumberFormat="1" applyFont="1" applyFill="1" applyBorder="1" applyAlignment="1">
      <alignment horizontal="center" vertical="center"/>
    </xf>
    <xf numFmtId="0" fontId="20" fillId="14" borderId="11" xfId="0" applyFont="1" applyFill="1" applyBorder="1" applyAlignment="1">
      <alignment horizontal="center" vertical="center" wrapText="1"/>
    </xf>
    <xf numFmtId="0" fontId="23" fillId="14" borderId="11" xfId="0" applyFont="1" applyFill="1" applyBorder="1" applyAlignment="1">
      <alignment horizontal="center" vertical="center"/>
    </xf>
    <xf numFmtId="0" fontId="20" fillId="20" borderId="11" xfId="0" applyFont="1" applyFill="1" applyBorder="1" applyAlignment="1">
      <alignment horizontal="center" vertical="center" wrapText="1"/>
    </xf>
    <xf numFmtId="0" fontId="23" fillId="20" borderId="11" xfId="0" applyFont="1" applyFill="1" applyBorder="1" applyAlignment="1">
      <alignment horizontal="center" vertical="center" wrapText="1"/>
    </xf>
    <xf numFmtId="0" fontId="13" fillId="0" borderId="11" xfId="0" applyFont="1" applyBorder="1" applyAlignment="1">
      <alignment horizontal="center" vertical="center" wrapText="1"/>
    </xf>
    <xf numFmtId="0" fontId="5" fillId="0" borderId="11" xfId="0" applyFont="1" applyBorder="1" applyAlignment="1">
      <alignment horizontal="center" vertical="center"/>
    </xf>
    <xf numFmtId="2" fontId="5" fillId="0" borderId="11" xfId="0" applyNumberFormat="1" applyFont="1" applyBorder="1" applyAlignment="1">
      <alignment horizontal="center" vertical="center"/>
    </xf>
    <xf numFmtId="1" fontId="5" fillId="0" borderId="11" xfId="0" applyNumberFormat="1" applyFont="1" applyBorder="1" applyAlignment="1">
      <alignment horizontal="center" vertical="center"/>
    </xf>
    <xf numFmtId="2" fontId="13" fillId="0" borderId="1" xfId="0" applyNumberFormat="1" applyFont="1" applyBorder="1" applyAlignment="1">
      <alignment horizontal="center" vertical="center"/>
    </xf>
    <xf numFmtId="0" fontId="22" fillId="30" borderId="0" xfId="0" applyFont="1" applyFill="1" applyAlignment="1">
      <alignment horizontal="center" vertical="center"/>
    </xf>
    <xf numFmtId="176" fontId="27" fillId="31" borderId="0" xfId="0" applyNumberFormat="1" applyFont="1" applyFill="1"/>
    <xf numFmtId="0" fontId="28" fillId="30" borderId="0" xfId="0" applyFont="1" applyFill="1" applyAlignment="1">
      <alignment horizontal="center" vertical="center"/>
    </xf>
    <xf numFmtId="177" fontId="27" fillId="31" borderId="0" xfId="0" applyNumberFormat="1" applyFont="1" applyFill="1"/>
    <xf numFmtId="169" fontId="27" fillId="31" borderId="0" xfId="0" applyNumberFormat="1" applyFont="1" applyFill="1"/>
    <xf numFmtId="0" fontId="27" fillId="0" borderId="0" xfId="0" applyFont="1"/>
    <xf numFmtId="0" fontId="22" fillId="0" borderId="0" xfId="0" applyFont="1" applyAlignment="1">
      <alignment horizontal="center" vertical="center"/>
    </xf>
    <xf numFmtId="2" fontId="5" fillId="0" borderId="1" xfId="0" applyNumberFormat="1" applyFont="1" applyBorder="1" applyAlignment="1">
      <alignment horizontal="center" vertical="center"/>
    </xf>
    <xf numFmtId="168" fontId="5" fillId="0" borderId="1" xfId="0" applyNumberFormat="1" applyFont="1" applyBorder="1" applyAlignment="1">
      <alignment horizontal="center" vertical="center"/>
    </xf>
    <xf numFmtId="1" fontId="5" fillId="0" borderId="1" xfId="0" applyNumberFormat="1" applyFont="1" applyBorder="1" applyAlignment="1">
      <alignment horizontal="center" vertical="center"/>
    </xf>
    <xf numFmtId="0" fontId="12" fillId="0" borderId="0" xfId="0" applyFont="1" applyAlignment="1">
      <alignment horizontal="center" vertical="center"/>
    </xf>
    <xf numFmtId="1" fontId="0" fillId="0" borderId="0" xfId="0" applyNumberFormat="1"/>
    <xf numFmtId="169" fontId="5" fillId="0" borderId="1" xfId="0" applyNumberFormat="1" applyFont="1" applyBorder="1" applyAlignment="1">
      <alignment horizontal="center" vertical="center"/>
    </xf>
    <xf numFmtId="0" fontId="18" fillId="0" borderId="0" xfId="0" applyFont="1" applyAlignment="1">
      <alignment horizontal="center"/>
    </xf>
    <xf numFmtId="0" fontId="5" fillId="0" borderId="0" xfId="0" applyFont="1" applyAlignment="1">
      <alignment horizontal="center"/>
    </xf>
    <xf numFmtId="178" fontId="13" fillId="0" borderId="1" xfId="0" applyNumberFormat="1" applyFont="1" applyBorder="1" applyAlignment="1">
      <alignment horizontal="center" vertical="center" wrapText="1"/>
    </xf>
    <xf numFmtId="0" fontId="13" fillId="0" borderId="0" xfId="0" applyFont="1" applyAlignment="1">
      <alignment horizontal="center" wrapText="1"/>
    </xf>
    <xf numFmtId="0" fontId="20" fillId="14" borderId="8" xfId="0" applyFont="1" applyFill="1" applyBorder="1" applyAlignment="1">
      <alignment horizontal="center" vertical="center" wrapText="1"/>
    </xf>
    <xf numFmtId="165" fontId="13" fillId="0" borderId="6" xfId="0" applyNumberFormat="1" applyFont="1" applyBorder="1" applyAlignment="1">
      <alignment wrapText="1"/>
    </xf>
    <xf numFmtId="0" fontId="23" fillId="20" borderId="12" xfId="0" applyFont="1" applyFill="1" applyBorder="1" applyAlignment="1">
      <alignment horizontal="center" vertical="center" wrapText="1"/>
    </xf>
    <xf numFmtId="0" fontId="20" fillId="0" borderId="1" xfId="0" applyFont="1" applyBorder="1" applyAlignment="1">
      <alignment horizontal="center" vertical="center" wrapText="1"/>
    </xf>
    <xf numFmtId="0" fontId="0" fillId="0" borderId="2" xfId="0" applyBorder="1" applyAlignment="1">
      <alignment horizontal="left" vertical="center"/>
    </xf>
    <xf numFmtId="0" fontId="0" fillId="0" borderId="2" xfId="0" applyBorder="1"/>
    <xf numFmtId="168" fontId="13" fillId="0" borderId="1" xfId="0" applyNumberFormat="1" applyFont="1" applyBorder="1" applyAlignment="1">
      <alignment horizontal="center" vertical="center"/>
    </xf>
    <xf numFmtId="0" fontId="0" fillId="0" borderId="1" xfId="0" applyBorder="1" applyAlignment="1">
      <alignment horizontal="center"/>
    </xf>
    <xf numFmtId="168" fontId="13" fillId="0" borderId="0" xfId="0" applyNumberFormat="1" applyFont="1" applyAlignment="1">
      <alignment horizontal="center" vertical="center"/>
    </xf>
    <xf numFmtId="0" fontId="12" fillId="25" borderId="11" xfId="0" applyFont="1" applyFill="1" applyBorder="1" applyAlignment="1">
      <alignment horizontal="center"/>
    </xf>
    <xf numFmtId="0" fontId="12" fillId="25" borderId="13" xfId="0" applyFont="1" applyFill="1" applyBorder="1" applyAlignment="1">
      <alignment horizontal="center"/>
    </xf>
    <xf numFmtId="165" fontId="0" fillId="0" borderId="7" xfId="0" applyNumberFormat="1" applyBorder="1" applyAlignment="1">
      <alignment horizontal="center"/>
    </xf>
    <xf numFmtId="0" fontId="25" fillId="0" borderId="0" xfId="0" applyFont="1" applyAlignment="1">
      <alignment horizontal="center" wrapText="1"/>
    </xf>
    <xf numFmtId="0" fontId="0" fillId="0" borderId="7" xfId="0" applyBorder="1" applyAlignment="1">
      <alignment horizontal="center"/>
    </xf>
    <xf numFmtId="0" fontId="12" fillId="25" borderId="1" xfId="0" applyFont="1" applyFill="1" applyBorder="1" applyAlignment="1">
      <alignment horizontal="center"/>
    </xf>
    <xf numFmtId="175" fontId="5" fillId="0" borderId="1" xfId="0" applyNumberFormat="1" applyFont="1" applyBorder="1" applyAlignment="1">
      <alignment horizontal="center"/>
    </xf>
    <xf numFmtId="165" fontId="5" fillId="0" borderId="1" xfId="0" applyNumberFormat="1" applyFont="1" applyBorder="1" applyAlignment="1">
      <alignment horizontal="center"/>
    </xf>
    <xf numFmtId="175" fontId="5" fillId="15" borderId="1" xfId="0" applyNumberFormat="1" applyFont="1" applyFill="1" applyBorder="1" applyAlignment="1">
      <alignment horizontal="center"/>
    </xf>
    <xf numFmtId="166" fontId="5" fillId="0" borderId="1" xfId="0" applyNumberFormat="1" applyFont="1" applyBorder="1" applyAlignment="1">
      <alignment horizontal="center"/>
    </xf>
    <xf numFmtId="0" fontId="12" fillId="25" borderId="8" xfId="0" applyFont="1" applyFill="1" applyBorder="1" applyAlignment="1">
      <alignment horizontal="center"/>
    </xf>
    <xf numFmtId="0" fontId="8" fillId="22" borderId="9" xfId="0" applyFont="1" applyFill="1" applyBorder="1" applyAlignment="1">
      <alignment horizontal="center"/>
    </xf>
    <xf numFmtId="0" fontId="12" fillId="25" borderId="10" xfId="0" applyFont="1" applyFill="1" applyBorder="1" applyAlignment="1">
      <alignment horizontal="center"/>
    </xf>
    <xf numFmtId="10" fontId="0" fillId="15" borderId="1" xfId="0" applyNumberFormat="1" applyFill="1" applyBorder="1"/>
    <xf numFmtId="3" fontId="5" fillId="15" borderId="1" xfId="0" applyNumberFormat="1" applyFont="1" applyFill="1" applyBorder="1"/>
    <xf numFmtId="9" fontId="0" fillId="15" borderId="1" xfId="0" applyNumberFormat="1" applyFill="1" applyBorder="1"/>
    <xf numFmtId="179" fontId="5" fillId="0" borderId="1" xfId="0" applyNumberFormat="1" applyFont="1" applyBorder="1"/>
    <xf numFmtId="0" fontId="23" fillId="14" borderId="11" xfId="0" applyFont="1" applyFill="1" applyBorder="1" applyAlignment="1">
      <alignment horizontal="center" vertical="center" wrapText="1"/>
    </xf>
    <xf numFmtId="0" fontId="23" fillId="14" borderId="12" xfId="0" applyFont="1" applyFill="1" applyBorder="1" applyAlignment="1">
      <alignment horizontal="center" vertical="center"/>
    </xf>
    <xf numFmtId="0" fontId="23" fillId="14" borderId="12" xfId="0" applyFont="1" applyFill="1" applyBorder="1" applyAlignment="1">
      <alignment horizontal="center" vertical="center" wrapText="1"/>
    </xf>
    <xf numFmtId="0" fontId="20" fillId="14" borderId="13" xfId="0" applyFont="1" applyFill="1" applyBorder="1" applyAlignment="1">
      <alignment horizontal="center" vertical="center" wrapText="1"/>
    </xf>
    <xf numFmtId="0" fontId="28" fillId="0" borderId="0" xfId="0" applyFont="1" applyAlignment="1">
      <alignment horizontal="center" vertical="center" wrapText="1"/>
    </xf>
    <xf numFmtId="0" fontId="18" fillId="0" borderId="0" xfId="0" applyFont="1" applyAlignment="1">
      <alignment horizontal="center" vertical="center"/>
    </xf>
    <xf numFmtId="2" fontId="13" fillId="0" borderId="1" xfId="0" applyNumberFormat="1" applyFont="1" applyBorder="1" applyAlignment="1">
      <alignment horizontal="center" vertical="center" wrapText="1"/>
    </xf>
    <xf numFmtId="0" fontId="5" fillId="0" borderId="0" xfId="0" applyFont="1" applyAlignment="1">
      <alignment horizontal="center" vertical="center"/>
    </xf>
    <xf numFmtId="0" fontId="21" fillId="0" borderId="0" xfId="0" applyFont="1" applyAlignment="1">
      <alignment horizontal="center" vertical="center" wrapText="1"/>
    </xf>
    <xf numFmtId="165" fontId="13" fillId="0" borderId="0" xfId="0" applyNumberFormat="1" applyFont="1" applyAlignment="1">
      <alignment horizontal="center" vertical="center" wrapText="1"/>
    </xf>
    <xf numFmtId="0" fontId="21" fillId="0" borderId="0" xfId="0" applyFont="1" applyAlignment="1">
      <alignment horizontal="center" vertical="center"/>
    </xf>
    <xf numFmtId="0" fontId="13" fillId="0" borderId="0" xfId="0" applyFont="1" applyAlignment="1">
      <alignment horizontal="center" vertical="center"/>
    </xf>
    <xf numFmtId="0" fontId="13" fillId="21" borderId="2" xfId="0" applyFont="1" applyFill="1" applyBorder="1" applyAlignment="1">
      <alignment vertical="center" wrapText="1"/>
    </xf>
    <xf numFmtId="180" fontId="5" fillId="0" borderId="0" xfId="0" applyNumberFormat="1" applyFont="1"/>
    <xf numFmtId="0" fontId="21" fillId="27" borderId="3" xfId="0" applyFont="1" applyFill="1" applyBorder="1"/>
    <xf numFmtId="0" fontId="21" fillId="21" borderId="14" xfId="0" applyFont="1" applyFill="1" applyBorder="1"/>
    <xf numFmtId="169" fontId="5" fillId="0" borderId="3" xfId="0" applyNumberFormat="1" applyFont="1" applyBorder="1"/>
    <xf numFmtId="169" fontId="5" fillId="21" borderId="14" xfId="0" applyNumberFormat="1" applyFont="1" applyFill="1" applyBorder="1"/>
    <xf numFmtId="0" fontId="26" fillId="0" borderId="0" xfId="0" applyFont="1" applyAlignment="1">
      <alignment vertical="center" wrapText="1"/>
    </xf>
    <xf numFmtId="1" fontId="13" fillId="21" borderId="1" xfId="0" applyNumberFormat="1" applyFont="1" applyFill="1" applyBorder="1" applyAlignment="1">
      <alignment horizontal="center" vertical="center" wrapText="1"/>
    </xf>
    <xf numFmtId="0" fontId="8" fillId="0" borderId="0" xfId="0" applyFont="1" applyAlignment="1">
      <alignment horizontal="center" vertical="center"/>
    </xf>
    <xf numFmtId="0" fontId="8" fillId="19" borderId="0" xfId="0" applyFont="1" applyFill="1"/>
    <xf numFmtId="0" fontId="23" fillId="0" borderId="1" xfId="0" applyFont="1" applyBorder="1" applyAlignment="1">
      <alignment horizontal="center" vertical="center" wrapText="1"/>
    </xf>
    <xf numFmtId="0" fontId="13" fillId="21" borderId="2" xfId="0" applyFont="1" applyFill="1" applyBorder="1" applyAlignment="1">
      <alignment horizontal="left" vertical="center" wrapText="1"/>
    </xf>
    <xf numFmtId="169" fontId="13" fillId="0" borderId="1" xfId="0" applyNumberFormat="1" applyFont="1" applyBorder="1" applyAlignment="1">
      <alignment horizontal="center" vertical="center" wrapText="1"/>
    </xf>
    <xf numFmtId="0" fontId="13" fillId="0" borderId="1" xfId="0" applyFont="1" applyBorder="1" applyAlignment="1">
      <alignment horizontal="left" vertical="center" wrapText="1"/>
    </xf>
    <xf numFmtId="0" fontId="8" fillId="0" borderId="1" xfId="0" applyFont="1" applyBorder="1"/>
    <xf numFmtId="0" fontId="13" fillId="21" borderId="2" xfId="0" applyFont="1" applyFill="1" applyBorder="1" applyAlignment="1">
      <alignment horizontal="left" vertical="center"/>
    </xf>
    <xf numFmtId="0" fontId="13" fillId="21" borderId="1" xfId="0" applyFont="1" applyFill="1" applyBorder="1" applyAlignment="1">
      <alignment horizontal="left" vertical="center" wrapText="1"/>
    </xf>
    <xf numFmtId="0" fontId="13" fillId="15" borderId="1" xfId="0" applyFont="1" applyFill="1" applyBorder="1" applyAlignment="1">
      <alignment horizontal="center" vertical="center"/>
    </xf>
    <xf numFmtId="9" fontId="0" fillId="15" borderId="1" xfId="0" applyNumberFormat="1" applyFill="1" applyBorder="1" applyAlignment="1">
      <alignment horizontal="center" vertical="center"/>
    </xf>
    <xf numFmtId="0" fontId="20" fillId="0" borderId="0" xfId="0" applyFont="1"/>
    <xf numFmtId="0" fontId="12" fillId="25" borderId="2" xfId="0" applyFont="1" applyFill="1" applyBorder="1"/>
    <xf numFmtId="169" fontId="19" fillId="28" borderId="1" xfId="0" applyNumberFormat="1" applyFont="1" applyFill="1" applyBorder="1" applyAlignment="1">
      <alignment horizontal="center" vertical="center"/>
    </xf>
    <xf numFmtId="0" fontId="28" fillId="0" borderId="0" xfId="0" applyFont="1" applyAlignment="1">
      <alignment vertical="center"/>
    </xf>
    <xf numFmtId="168" fontId="13" fillId="21" borderId="1" xfId="0" applyNumberFormat="1" applyFont="1" applyFill="1" applyBorder="1" applyAlignment="1">
      <alignment horizontal="center" vertical="center" wrapText="1"/>
    </xf>
    <xf numFmtId="169" fontId="13" fillId="0" borderId="1" xfId="0" applyNumberFormat="1" applyFont="1" applyBorder="1" applyAlignment="1">
      <alignment horizontal="center" vertical="center"/>
    </xf>
    <xf numFmtId="175" fontId="13" fillId="0" borderId="1" xfId="0" applyNumberFormat="1" applyFont="1" applyBorder="1" applyAlignment="1">
      <alignment horizontal="center" vertical="center"/>
    </xf>
    <xf numFmtId="2" fontId="13" fillId="0" borderId="1" xfId="0" applyNumberFormat="1" applyFont="1" applyBorder="1" applyAlignment="1">
      <alignment vertical="center" wrapText="1"/>
    </xf>
    <xf numFmtId="0" fontId="13" fillId="0" borderId="1" xfId="0" applyFont="1" applyBorder="1" applyAlignment="1">
      <alignment vertical="center" wrapText="1"/>
    </xf>
    <xf numFmtId="0" fontId="26" fillId="0" borderId="0" xfId="0" applyFont="1" applyAlignment="1">
      <alignment vertical="center" wrapText="1" readingOrder="2"/>
    </xf>
    <xf numFmtId="0" fontId="12" fillId="25" borderId="5" xfId="0" applyFont="1" applyFill="1" applyBorder="1"/>
    <xf numFmtId="0" fontId="0" fillId="0" borderId="2" xfId="0" applyBorder="1" applyAlignment="1">
      <alignment horizontal="center" vertical="center"/>
    </xf>
    <xf numFmtId="169" fontId="0" fillId="0" borderId="2" xfId="0" applyNumberFormat="1" applyBorder="1" applyAlignment="1">
      <alignment horizontal="center" vertical="center"/>
    </xf>
    <xf numFmtId="168" fontId="0" fillId="0" borderId="2" xfId="0" applyNumberFormat="1" applyBorder="1" applyAlignment="1">
      <alignment horizontal="center" vertical="center"/>
    </xf>
    <xf numFmtId="166" fontId="5" fillId="0" borderId="0" xfId="0" applyNumberFormat="1" applyFont="1" applyAlignment="1">
      <alignment vertical="center"/>
    </xf>
    <xf numFmtId="166" fontId="19" fillId="16" borderId="0" xfId="0" applyNumberFormat="1" applyFont="1" applyFill="1" applyAlignment="1">
      <alignment vertical="center" wrapText="1"/>
    </xf>
    <xf numFmtId="0" fontId="13" fillId="0" borderId="3" xfId="0" applyFont="1" applyBorder="1" applyAlignment="1">
      <alignment horizontal="center" vertical="center" wrapText="1"/>
    </xf>
    <xf numFmtId="0" fontId="22" fillId="19" borderId="1" xfId="0" applyFont="1" applyFill="1" applyBorder="1" applyAlignment="1">
      <alignment horizontal="center" vertical="center" wrapText="1"/>
    </xf>
    <xf numFmtId="0" fontId="13" fillId="19" borderId="0" xfId="0" applyFont="1" applyFill="1" applyAlignment="1">
      <alignment wrapText="1"/>
    </xf>
    <xf numFmtId="0" fontId="0" fillId="0" borderId="1" xfId="0" applyBorder="1"/>
    <xf numFmtId="0" fontId="5" fillId="0" borderId="1" xfId="0" applyFont="1" applyBorder="1"/>
    <xf numFmtId="2" fontId="13" fillId="0" borderId="0" xfId="0" applyNumberFormat="1" applyFont="1" applyAlignment="1">
      <alignment horizontal="center" vertical="center"/>
    </xf>
    <xf numFmtId="1" fontId="5" fillId="0" borderId="0" xfId="0" applyNumberFormat="1" applyFont="1"/>
    <xf numFmtId="169" fontId="5" fillId="0" borderId="0" xfId="0" applyNumberFormat="1" applyFont="1"/>
    <xf numFmtId="9" fontId="5" fillId="0" borderId="1" xfId="0" applyNumberFormat="1" applyFont="1" applyBorder="1" applyAlignment="1">
      <alignment horizontal="center" vertical="center"/>
    </xf>
    <xf numFmtId="0" fontId="13" fillId="14" borderId="1" xfId="0" applyFont="1" applyFill="1" applyBorder="1" applyAlignment="1">
      <alignment horizontal="left" vertical="center" wrapText="1"/>
    </xf>
    <xf numFmtId="0" fontId="13" fillId="0" borderId="0" xfId="0" applyFont="1" applyAlignment="1">
      <alignment horizontal="left" wrapText="1"/>
    </xf>
    <xf numFmtId="0" fontId="12" fillId="25" borderId="1" xfId="0" applyFont="1" applyFill="1" applyBorder="1" applyAlignment="1">
      <alignment horizontal="left"/>
    </xf>
    <xf numFmtId="0" fontId="25" fillId="0" borderId="0" xfId="0" applyFont="1"/>
    <xf numFmtId="165" fontId="0" fillId="21" borderId="7" xfId="0" applyNumberFormat="1" applyFill="1" applyBorder="1"/>
    <xf numFmtId="181" fontId="13" fillId="0" borderId="0" xfId="0" applyNumberFormat="1" applyFont="1" applyAlignment="1">
      <alignment horizontal="center" vertical="center" wrapText="1"/>
    </xf>
    <xf numFmtId="0" fontId="13" fillId="20" borderId="0" xfId="0" applyFont="1" applyFill="1" applyAlignment="1">
      <alignment horizontal="center" vertical="center" wrapText="1"/>
    </xf>
    <xf numFmtId="0" fontId="23" fillId="14" borderId="1" xfId="0" applyFont="1" applyFill="1" applyBorder="1" applyAlignment="1">
      <alignment horizontal="center" vertical="center" wrapText="1"/>
    </xf>
    <xf numFmtId="165" fontId="20" fillId="14" borderId="1" xfId="0" applyNumberFormat="1" applyFont="1" applyFill="1" applyBorder="1" applyAlignment="1">
      <alignment horizontal="center" vertical="center" wrapText="1"/>
    </xf>
    <xf numFmtId="0" fontId="13" fillId="0" borderId="2" xfId="0" applyFont="1" applyBorder="1" applyAlignment="1">
      <alignment horizontal="left" vertical="center"/>
    </xf>
    <xf numFmtId="0" fontId="12" fillId="28" borderId="9" xfId="0" applyFont="1" applyFill="1" applyBorder="1"/>
    <xf numFmtId="169" fontId="19" fillId="28" borderId="15" xfId="0" applyNumberFormat="1" applyFont="1" applyFill="1" applyBorder="1"/>
    <xf numFmtId="169" fontId="19" fillId="28" borderId="16" xfId="0" applyNumberFormat="1" applyFont="1" applyFill="1" applyBorder="1"/>
    <xf numFmtId="181" fontId="5" fillId="0" borderId="11" xfId="0" applyNumberFormat="1" applyFont="1" applyBorder="1"/>
    <xf numFmtId="169" fontId="5" fillId="0" borderId="11" xfId="0" applyNumberFormat="1" applyFont="1" applyBorder="1"/>
    <xf numFmtId="175" fontId="5" fillId="0" borderId="11" xfId="0" applyNumberFormat="1" applyFont="1" applyBorder="1"/>
    <xf numFmtId="181" fontId="5" fillId="15" borderId="1" xfId="0" applyNumberFormat="1" applyFont="1" applyFill="1" applyBorder="1"/>
    <xf numFmtId="175" fontId="5" fillId="21" borderId="1" xfId="0" applyNumberFormat="1" applyFont="1" applyFill="1" applyBorder="1"/>
    <xf numFmtId="181" fontId="5" fillId="0" borderId="0" xfId="0" applyNumberFormat="1" applyFont="1"/>
    <xf numFmtId="175" fontId="5" fillId="0" borderId="0" xfId="0" applyNumberFormat="1" applyFont="1"/>
    <xf numFmtId="182" fontId="23" fillId="0" borderId="1" xfId="0" applyNumberFormat="1" applyFont="1" applyBorder="1"/>
    <xf numFmtId="0" fontId="21" fillId="0" borderId="0" xfId="0" applyFont="1"/>
    <xf numFmtId="0" fontId="0" fillId="0" borderId="1" xfId="0" applyBorder="1" applyAlignment="1">
      <alignment vertical="center"/>
    </xf>
    <xf numFmtId="1" fontId="0" fillId="0" borderId="1" xfId="0" applyNumberFormat="1" applyBorder="1" applyAlignment="1">
      <alignment vertical="center"/>
    </xf>
    <xf numFmtId="9" fontId="20" fillId="0" borderId="1" xfId="0" applyNumberFormat="1" applyFont="1" applyBorder="1" applyAlignment="1">
      <alignment horizontal="center" vertical="center" wrapText="1"/>
    </xf>
    <xf numFmtId="0" fontId="13" fillId="14" borderId="3" xfId="0" applyFont="1" applyFill="1" applyBorder="1" applyAlignment="1">
      <alignment horizontal="center" vertical="center" wrapText="1"/>
    </xf>
    <xf numFmtId="0" fontId="13" fillId="0" borderId="1" xfId="0" applyFont="1" applyBorder="1" applyAlignment="1">
      <alignment wrapText="1"/>
    </xf>
    <xf numFmtId="0" fontId="20" fillId="0" borderId="0" xfId="0" applyFont="1" applyAlignment="1">
      <alignment wrapText="1"/>
    </xf>
    <xf numFmtId="166" fontId="13" fillId="18" borderId="0" xfId="0" applyNumberFormat="1" applyFont="1" applyFill="1" applyAlignment="1">
      <alignment horizontal="center" vertical="center" wrapText="1"/>
    </xf>
    <xf numFmtId="0" fontId="5" fillId="19" borderId="0" xfId="0" applyFont="1" applyFill="1"/>
    <xf numFmtId="0" fontId="23" fillId="20" borderId="1" xfId="0" applyFont="1" applyFill="1" applyBorder="1" applyAlignment="1">
      <alignment horizontal="center" vertical="center"/>
    </xf>
    <xf numFmtId="0" fontId="0" fillId="21" borderId="0" xfId="0" applyFill="1" applyAlignment="1">
      <alignment horizontal="center" vertical="center"/>
    </xf>
    <xf numFmtId="1" fontId="13" fillId="0" borderId="0" xfId="0" applyNumberFormat="1" applyFont="1" applyAlignment="1">
      <alignment horizontal="center" vertical="center"/>
    </xf>
    <xf numFmtId="0" fontId="0" fillId="21" borderId="1" xfId="0" applyFill="1" applyBorder="1" applyAlignment="1">
      <alignment horizontal="center" vertical="center"/>
    </xf>
    <xf numFmtId="0" fontId="5" fillId="0" borderId="1" xfId="0" applyFont="1" applyBorder="1" applyAlignment="1">
      <alignment horizontal="center"/>
    </xf>
    <xf numFmtId="175" fontId="5" fillId="0" borderId="0" xfId="0" applyNumberFormat="1" applyFont="1" applyAlignment="1">
      <alignment horizontal="center"/>
    </xf>
    <xf numFmtId="166" fontId="5" fillId="0" borderId="0" xfId="0" applyNumberFormat="1" applyFont="1" applyAlignment="1">
      <alignment horizontal="center"/>
    </xf>
    <xf numFmtId="0" fontId="23" fillId="0" borderId="0" xfId="0" applyFont="1"/>
    <xf numFmtId="165" fontId="0" fillId="0" borderId="1" xfId="0" applyNumberFormat="1" applyBorder="1"/>
    <xf numFmtId="165" fontId="0" fillId="0" borderId="6" xfId="0" applyNumberFormat="1" applyBorder="1"/>
    <xf numFmtId="0" fontId="8" fillId="22" borderId="17" xfId="0" applyFont="1" applyFill="1" applyBorder="1"/>
    <xf numFmtId="0" fontId="0" fillId="0" borderId="15" xfId="0" applyBorder="1"/>
    <xf numFmtId="0" fontId="0" fillId="0" borderId="16" xfId="0" applyBorder="1"/>
    <xf numFmtId="0" fontId="0" fillId="0" borderId="11" xfId="0" applyBorder="1"/>
    <xf numFmtId="165" fontId="0" fillId="0" borderId="11" xfId="0" applyNumberFormat="1" applyBorder="1"/>
    <xf numFmtId="1" fontId="13" fillId="0" borderId="0" xfId="0" applyNumberFormat="1" applyFont="1" applyAlignment="1">
      <alignment wrapText="1"/>
    </xf>
    <xf numFmtId="0" fontId="23" fillId="0" borderId="0" xfId="0" applyFont="1" applyAlignment="1">
      <alignment horizontal="center" vertical="center" wrapText="1"/>
    </xf>
    <xf numFmtId="0" fontId="23" fillId="0" borderId="0" xfId="0" applyFont="1" applyAlignment="1">
      <alignment horizontal="center" vertical="center"/>
    </xf>
    <xf numFmtId="0" fontId="0" fillId="0" borderId="0" xfId="0" applyAlignment="1">
      <alignment vertical="center"/>
    </xf>
    <xf numFmtId="0" fontId="12" fillId="25" borderId="12" xfId="0" applyFont="1" applyFill="1" applyBorder="1"/>
    <xf numFmtId="170" fontId="13" fillId="0" borderId="1" xfId="0" applyNumberFormat="1" applyFont="1" applyBorder="1" applyAlignment="1">
      <alignment horizontal="center" vertical="center"/>
    </xf>
    <xf numFmtId="0" fontId="22" fillId="0" borderId="0" xfId="0" applyFont="1" applyAlignment="1">
      <alignment vertical="center" wrapText="1"/>
    </xf>
    <xf numFmtId="0" fontId="22" fillId="0" borderId="14" xfId="0" applyFont="1" applyBorder="1" applyAlignment="1">
      <alignment vertical="center" wrapText="1"/>
    </xf>
    <xf numFmtId="0" fontId="23" fillId="14" borderId="3" xfId="0" applyFont="1" applyFill="1" applyBorder="1" applyAlignment="1">
      <alignment horizontal="center" vertical="center"/>
    </xf>
    <xf numFmtId="1" fontId="0" fillId="0" borderId="3" xfId="0" applyNumberFormat="1" applyBorder="1" applyAlignment="1">
      <alignment horizontal="center" vertical="center"/>
    </xf>
    <xf numFmtId="0" fontId="0" fillId="0" borderId="18" xfId="0" applyBorder="1" applyAlignment="1">
      <alignment vertical="center"/>
    </xf>
    <xf numFmtId="0" fontId="0" fillId="0" borderId="18" xfId="0" applyBorder="1" applyAlignment="1">
      <alignment horizontal="center" vertical="center"/>
    </xf>
    <xf numFmtId="0" fontId="13" fillId="0" borderId="18" xfId="0" applyFont="1" applyBorder="1" applyAlignment="1">
      <alignment horizontal="center" vertical="center"/>
    </xf>
    <xf numFmtId="1" fontId="13" fillId="0" borderId="18" xfId="0" applyNumberFormat="1" applyFont="1" applyBorder="1" applyAlignment="1">
      <alignment horizontal="center" vertical="center"/>
    </xf>
    <xf numFmtId="9" fontId="0" fillId="0" borderId="18" xfId="0" applyNumberFormat="1" applyBorder="1" applyAlignment="1">
      <alignment horizontal="center" vertical="center"/>
    </xf>
    <xf numFmtId="168" fontId="13" fillId="0" borderId="18" xfId="0" applyNumberFormat="1" applyFont="1" applyBorder="1" applyAlignment="1">
      <alignment horizontal="center" vertical="center" wrapText="1"/>
    </xf>
    <xf numFmtId="1" fontId="0" fillId="0" borderId="18" xfId="0" applyNumberFormat="1" applyBorder="1" applyAlignment="1">
      <alignment horizontal="center" vertical="center"/>
    </xf>
    <xf numFmtId="16" fontId="5" fillId="0" borderId="0" xfId="0" applyNumberFormat="1" applyFont="1"/>
    <xf numFmtId="0" fontId="29" fillId="0" borderId="0" xfId="0" applyFont="1" applyAlignment="1">
      <alignment horizontal="center"/>
    </xf>
    <xf numFmtId="0" fontId="19" fillId="25" borderId="4" xfId="0" applyFont="1" applyFill="1" applyBorder="1" applyAlignment="1">
      <alignment horizontal="center"/>
    </xf>
    <xf numFmtId="175" fontId="13" fillId="0" borderId="1" xfId="0" applyNumberFormat="1" applyFont="1" applyBorder="1" applyAlignment="1">
      <alignment horizontal="center" vertical="center" wrapText="1"/>
    </xf>
    <xf numFmtId="165" fontId="13" fillId="0" borderId="6" xfId="0" applyNumberFormat="1" applyFont="1" applyBorder="1" applyAlignment="1">
      <alignment horizontal="center" vertical="center" wrapText="1"/>
    </xf>
    <xf numFmtId="0" fontId="13" fillId="14" borderId="8" xfId="0" applyFont="1" applyFill="1" applyBorder="1" applyAlignment="1">
      <alignment horizontal="center" vertical="center" wrapText="1"/>
    </xf>
    <xf numFmtId="0" fontId="13" fillId="0" borderId="6" xfId="0" applyFont="1" applyBorder="1" applyAlignment="1">
      <alignment wrapText="1"/>
    </xf>
    <xf numFmtId="0" fontId="22" fillId="19" borderId="5" xfId="0" applyFont="1" applyFill="1" applyBorder="1" applyAlignment="1">
      <alignment vertical="center" wrapText="1"/>
    </xf>
    <xf numFmtId="0" fontId="20" fillId="0" borderId="0" xfId="0" applyFont="1" applyAlignment="1">
      <alignment horizontal="center" vertical="center" wrapText="1"/>
    </xf>
    <xf numFmtId="0" fontId="19" fillId="25" borderId="1" xfId="0" applyFont="1" applyFill="1" applyBorder="1" applyAlignment="1">
      <alignment horizontal="center"/>
    </xf>
    <xf numFmtId="0" fontId="22" fillId="17" borderId="10" xfId="0" applyFont="1" applyFill="1" applyBorder="1" applyAlignment="1">
      <alignment horizontal="center" vertical="center" wrapText="1"/>
    </xf>
    <xf numFmtId="0" fontId="29" fillId="0" borderId="1" xfId="0" applyFont="1" applyBorder="1" applyAlignment="1">
      <alignment vertical="center"/>
    </xf>
    <xf numFmtId="1" fontId="24" fillId="0" borderId="1" xfId="0" applyNumberFormat="1" applyFont="1" applyBorder="1" applyAlignment="1">
      <alignment horizontal="center" vertical="center"/>
    </xf>
    <xf numFmtId="168" fontId="24" fillId="0" borderId="1" xfId="0" applyNumberFormat="1" applyFont="1" applyBorder="1" applyAlignment="1">
      <alignment horizontal="center" vertical="center"/>
    </xf>
    <xf numFmtId="9" fontId="29" fillId="0" borderId="1" xfId="0" applyNumberFormat="1" applyFont="1" applyBorder="1" applyAlignment="1">
      <alignment horizontal="center" vertical="center"/>
    </xf>
    <xf numFmtId="1" fontId="24" fillId="0" borderId="1" xfId="0" applyNumberFormat="1" applyFont="1" applyBorder="1" applyAlignment="1">
      <alignment horizontal="center" vertical="center" wrapText="1"/>
    </xf>
    <xf numFmtId="1" fontId="29" fillId="0" borderId="1" xfId="0" applyNumberFormat="1" applyFont="1" applyBorder="1" applyAlignment="1">
      <alignment horizontal="center" vertical="center"/>
    </xf>
    <xf numFmtId="0" fontId="22" fillId="0" borderId="0" xfId="0" applyFont="1"/>
    <xf numFmtId="0" fontId="22" fillId="0" borderId="0" xfId="0" applyFont="1" applyAlignment="1">
      <alignment horizontal="center"/>
    </xf>
    <xf numFmtId="0" fontId="0" fillId="0" borderId="2" xfId="0" applyBorder="1" applyAlignment="1">
      <alignment horizontal="left"/>
    </xf>
    <xf numFmtId="0" fontId="13" fillId="0" borderId="2" xfId="0" applyFont="1" applyBorder="1" applyAlignment="1">
      <alignment horizontal="left" vertical="center" wrapText="1"/>
    </xf>
    <xf numFmtId="1" fontId="13" fillId="14" borderId="1" xfId="0" applyNumberFormat="1" applyFont="1" applyFill="1" applyBorder="1" applyAlignment="1">
      <alignment horizontal="center" vertical="center" wrapText="1"/>
    </xf>
    <xf numFmtId="166" fontId="13" fillId="0" borderId="0" xfId="0" applyNumberFormat="1" applyFont="1" applyAlignment="1">
      <alignment horizontal="center" vertical="center" wrapText="1"/>
    </xf>
    <xf numFmtId="166" fontId="5" fillId="0" borderId="0" xfId="0" applyNumberFormat="1" applyFont="1"/>
    <xf numFmtId="0" fontId="21" fillId="0" borderId="0" xfId="0" applyFont="1" applyAlignment="1">
      <alignment wrapText="1"/>
    </xf>
    <xf numFmtId="10" fontId="5" fillId="0" borderId="0" xfId="0" applyNumberFormat="1" applyFont="1"/>
    <xf numFmtId="174" fontId="0" fillId="0" borderId="0" xfId="0" applyNumberFormat="1"/>
    <xf numFmtId="179" fontId="5" fillId="0" borderId="0" xfId="0" applyNumberFormat="1" applyFont="1"/>
    <xf numFmtId="0" fontId="13" fillId="0" borderId="3" xfId="0" applyFont="1" applyBorder="1" applyAlignment="1">
      <alignment horizontal="center" vertical="center"/>
    </xf>
    <xf numFmtId="9" fontId="0" fillId="0" borderId="2" xfId="0" applyNumberFormat="1" applyBorder="1" applyAlignment="1">
      <alignment horizontal="center" vertical="center"/>
    </xf>
    <xf numFmtId="170" fontId="13" fillId="0" borderId="1" xfId="0" applyNumberFormat="1" applyFont="1" applyBorder="1" applyAlignment="1">
      <alignment horizontal="center" vertical="center" wrapText="1"/>
    </xf>
    <xf numFmtId="0" fontId="13" fillId="19" borderId="1" xfId="0" applyFont="1" applyFill="1" applyBorder="1" applyAlignment="1">
      <alignment wrapText="1"/>
    </xf>
    <xf numFmtId="0" fontId="14" fillId="0" borderId="0" xfId="0" applyFont="1"/>
    <xf numFmtId="175" fontId="13" fillId="0" borderId="1" xfId="0" applyNumberFormat="1" applyFont="1" applyBorder="1" applyAlignment="1">
      <alignment vertical="center"/>
    </xf>
    <xf numFmtId="166" fontId="13" fillId="0" borderId="1" xfId="0" applyNumberFormat="1" applyFont="1" applyBorder="1" applyAlignment="1">
      <alignment vertical="center" wrapText="1"/>
    </xf>
    <xf numFmtId="0" fontId="13" fillId="0" borderId="2" xfId="0" applyFont="1" applyBorder="1" applyAlignment="1">
      <alignment horizontal="center" vertical="center" wrapText="1"/>
    </xf>
    <xf numFmtId="0" fontId="5" fillId="15" borderId="0" xfId="0" applyFont="1" applyFill="1"/>
    <xf numFmtId="0" fontId="29" fillId="0" borderId="0" xfId="0" applyFont="1" applyAlignment="1">
      <alignment vertical="center"/>
    </xf>
    <xf numFmtId="165" fontId="5" fillId="0" borderId="1" xfId="0" applyNumberFormat="1" applyFont="1" applyBorder="1" applyAlignment="1">
      <alignment horizontal="center" vertical="center"/>
    </xf>
    <xf numFmtId="0" fontId="23" fillId="14" borderId="11" xfId="0" applyFont="1" applyFill="1" applyBorder="1" applyAlignment="1">
      <alignment vertical="center" wrapText="1"/>
    </xf>
    <xf numFmtId="0" fontId="23" fillId="14" borderId="12" xfId="0" applyFont="1" applyFill="1" applyBorder="1" applyAlignment="1">
      <alignment vertical="center"/>
    </xf>
    <xf numFmtId="0" fontId="23" fillId="14" borderId="12" xfId="0" applyFont="1" applyFill="1" applyBorder="1" applyAlignment="1">
      <alignment vertical="center" wrapText="1"/>
    </xf>
    <xf numFmtId="0" fontId="23" fillId="20" borderId="12" xfId="0" applyFont="1" applyFill="1" applyBorder="1" applyAlignment="1">
      <alignment vertical="center" wrapText="1"/>
    </xf>
    <xf numFmtId="0" fontId="0" fillId="0" borderId="1" xfId="0" applyBorder="1" applyAlignment="1">
      <alignment horizontal="left"/>
    </xf>
    <xf numFmtId="165" fontId="5" fillId="0" borderId="0" xfId="0" applyNumberFormat="1" applyFont="1"/>
    <xf numFmtId="9" fontId="5" fillId="0" borderId="0" xfId="0" applyNumberFormat="1" applyFont="1"/>
    <xf numFmtId="1" fontId="25" fillId="0" borderId="0" xfId="0" applyNumberFormat="1" applyFont="1" applyAlignment="1">
      <alignment wrapText="1"/>
    </xf>
    <xf numFmtId="0" fontId="20" fillId="14" borderId="2" xfId="0" applyFont="1" applyFill="1" applyBorder="1" applyAlignment="1">
      <alignment horizontal="center" vertical="center" wrapText="1"/>
    </xf>
    <xf numFmtId="1" fontId="0" fillId="0" borderId="1" xfId="0" applyNumberFormat="1" applyBorder="1"/>
    <xf numFmtId="0" fontId="13" fillId="0" borderId="19" xfId="0" applyFont="1" applyBorder="1" applyAlignment="1">
      <alignment horizontal="center" vertical="center" wrapText="1"/>
    </xf>
    <xf numFmtId="0" fontId="0" fillId="0" borderId="6" xfId="0" applyBorder="1" applyAlignment="1">
      <alignment horizontal="center" vertical="center"/>
    </xf>
    <xf numFmtId="0" fontId="13" fillId="0" borderId="6" xfId="0" applyFont="1" applyBorder="1" applyAlignment="1">
      <alignment horizontal="center" vertical="center"/>
    </xf>
    <xf numFmtId="2" fontId="13" fillId="0" borderId="6" xfId="0" applyNumberFormat="1" applyFont="1" applyBorder="1" applyAlignment="1">
      <alignment horizontal="center" vertical="center"/>
    </xf>
    <xf numFmtId="0" fontId="13" fillId="0" borderId="18" xfId="0" applyFont="1" applyBorder="1" applyAlignment="1">
      <alignment horizontal="center" vertical="center" wrapText="1"/>
    </xf>
    <xf numFmtId="0" fontId="13" fillId="0" borderId="18" xfId="0" applyFont="1" applyBorder="1" applyAlignment="1">
      <alignment wrapText="1"/>
    </xf>
    <xf numFmtId="1" fontId="13" fillId="0" borderId="3" xfId="0" applyNumberFormat="1" applyFont="1" applyBorder="1" applyAlignment="1">
      <alignment horizontal="center" vertical="center" wrapText="1"/>
    </xf>
    <xf numFmtId="2" fontId="5" fillId="15" borderId="1" xfId="0" applyNumberFormat="1" applyFont="1" applyFill="1" applyBorder="1"/>
    <xf numFmtId="0" fontId="12" fillId="25" borderId="10" xfId="0" applyFont="1" applyFill="1" applyBorder="1" applyAlignment="1">
      <alignment horizontal="center" vertical="center"/>
    </xf>
    <xf numFmtId="0" fontId="12" fillId="25" borderId="1" xfId="0" applyFont="1" applyFill="1" applyBorder="1" applyAlignment="1">
      <alignment horizontal="center" vertical="center"/>
    </xf>
    <xf numFmtId="0" fontId="12" fillId="25" borderId="6" xfId="0" applyFont="1" applyFill="1" applyBorder="1" applyAlignment="1">
      <alignment horizontal="center" vertical="center"/>
    </xf>
    <xf numFmtId="0" fontId="12" fillId="25" borderId="3" xfId="0" applyFont="1" applyFill="1" applyBorder="1" applyAlignment="1">
      <alignment horizontal="center" vertical="center"/>
    </xf>
    <xf numFmtId="0" fontId="12" fillId="25" borderId="8" xfId="0" applyFont="1" applyFill="1" applyBorder="1" applyAlignment="1">
      <alignment horizontal="center" vertical="center"/>
    </xf>
    <xf numFmtId="0" fontId="8" fillId="22" borderId="9" xfId="0" applyFont="1" applyFill="1" applyBorder="1" applyAlignment="1">
      <alignment horizontal="center" vertical="center"/>
    </xf>
    <xf numFmtId="0" fontId="25" fillId="0" borderId="0" xfId="0" applyFont="1" applyAlignment="1">
      <alignment horizontal="center" vertical="center" wrapText="1"/>
    </xf>
    <xf numFmtId="165" fontId="13" fillId="0" borderId="1" xfId="0" applyNumberFormat="1" applyFont="1" applyBorder="1" applyAlignment="1">
      <alignment horizontal="center" vertical="center"/>
    </xf>
    <xf numFmtId="2" fontId="13" fillId="0" borderId="1" xfId="0" applyNumberFormat="1" applyFont="1" applyBorder="1" applyAlignment="1">
      <alignment wrapText="1"/>
    </xf>
    <xf numFmtId="0" fontId="8" fillId="19" borderId="1" xfId="0" applyFont="1" applyFill="1" applyBorder="1"/>
    <xf numFmtId="0" fontId="29" fillId="0" borderId="1" xfId="0" applyFont="1" applyBorder="1"/>
    <xf numFmtId="169" fontId="0" fillId="0" borderId="0" xfId="0" applyNumberFormat="1"/>
    <xf numFmtId="0" fontId="12" fillId="0" borderId="14" xfId="0" applyFont="1" applyBorder="1"/>
    <xf numFmtId="1" fontId="0" fillId="0" borderId="1" xfId="0" applyNumberFormat="1" applyBorder="1" applyAlignment="1">
      <alignment horizontal="center"/>
    </xf>
    <xf numFmtId="183" fontId="13" fillId="0" borderId="1" xfId="0" applyNumberFormat="1" applyFont="1" applyBorder="1" applyAlignment="1">
      <alignment horizontal="center" vertical="center"/>
    </xf>
    <xf numFmtId="0" fontId="30" fillId="27" borderId="1" xfId="0" applyFont="1" applyFill="1" applyBorder="1" applyAlignment="1">
      <alignment wrapText="1"/>
    </xf>
    <xf numFmtId="0" fontId="31" fillId="27" borderId="1" xfId="0" applyFont="1" applyFill="1" applyBorder="1" applyAlignment="1">
      <alignment wrapText="1"/>
    </xf>
    <xf numFmtId="0" fontId="0" fillId="0" borderId="19" xfId="0" applyBorder="1" applyAlignment="1">
      <alignment vertical="center"/>
    </xf>
    <xf numFmtId="1" fontId="13" fillId="0" borderId="6" xfId="0" applyNumberFormat="1" applyFont="1" applyBorder="1" applyAlignment="1">
      <alignment horizontal="center" vertical="center"/>
    </xf>
    <xf numFmtId="9" fontId="0" fillId="0" borderId="6" xfId="0" applyNumberFormat="1" applyBorder="1" applyAlignment="1">
      <alignment horizontal="center" vertical="center"/>
    </xf>
    <xf numFmtId="168" fontId="13" fillId="0" borderId="6" xfId="0" applyNumberFormat="1" applyFont="1" applyBorder="1" applyAlignment="1">
      <alignment horizontal="center" vertical="center" wrapText="1"/>
    </xf>
    <xf numFmtId="1" fontId="0" fillId="0" borderId="6" xfId="0" applyNumberFormat="1" applyBorder="1" applyAlignment="1">
      <alignment horizontal="center" vertical="center"/>
    </xf>
    <xf numFmtId="178" fontId="13" fillId="0" borderId="1" xfId="0" applyNumberFormat="1" applyFont="1" applyBorder="1" applyAlignment="1">
      <alignment vertical="center" wrapText="1"/>
    </xf>
    <xf numFmtId="0" fontId="32" fillId="0" borderId="0" xfId="0" applyFont="1"/>
    <xf numFmtId="184" fontId="5" fillId="0" borderId="0" xfId="0" applyNumberFormat="1" applyFont="1"/>
    <xf numFmtId="172" fontId="0" fillId="15" borderId="1" xfId="0" applyNumberFormat="1" applyFill="1" applyBorder="1"/>
    <xf numFmtId="1" fontId="13" fillId="0" borderId="6" xfId="0" applyNumberFormat="1" applyFont="1" applyBorder="1" applyAlignment="1">
      <alignment horizontal="center" vertical="center" wrapText="1"/>
    </xf>
    <xf numFmtId="0" fontId="12" fillId="25" borderId="6" xfId="0" applyFont="1" applyFill="1" applyBorder="1" applyAlignment="1">
      <alignment horizontal="center"/>
    </xf>
    <xf numFmtId="180" fontId="34" fillId="0" borderId="0" xfId="0" applyNumberFormat="1" applyFont="1"/>
    <xf numFmtId="174" fontId="5" fillId="0" borderId="0" xfId="0" applyNumberFormat="1" applyFont="1"/>
    <xf numFmtId="2" fontId="5" fillId="0" borderId="0" xfId="0" applyNumberFormat="1" applyFont="1"/>
    <xf numFmtId="169" fontId="13" fillId="21" borderId="1" xfId="0" applyNumberFormat="1" applyFont="1" applyFill="1" applyBorder="1" applyAlignment="1">
      <alignment horizontal="center" vertical="center" wrapText="1"/>
    </xf>
    <xf numFmtId="173" fontId="5" fillId="0" borderId="11" xfId="0" applyNumberFormat="1" applyFont="1" applyBorder="1"/>
    <xf numFmtId="169" fontId="5" fillId="21" borderId="11" xfId="0" applyNumberFormat="1" applyFont="1" applyFill="1" applyBorder="1"/>
    <xf numFmtId="179" fontId="5" fillId="15" borderId="1" xfId="0" applyNumberFormat="1" applyFont="1" applyFill="1" applyBorder="1"/>
    <xf numFmtId="173" fontId="5" fillId="15" borderId="1" xfId="0" applyNumberFormat="1" applyFont="1" applyFill="1" applyBorder="1"/>
    <xf numFmtId="0" fontId="13" fillId="0" borderId="5" xfId="0" applyFont="1" applyBorder="1" applyAlignment="1">
      <alignment horizontal="center" vertical="center" wrapText="1"/>
    </xf>
    <xf numFmtId="0" fontId="13" fillId="0" borderId="19" xfId="0" applyFont="1" applyBorder="1" applyAlignment="1">
      <alignment horizontal="left" vertical="center"/>
    </xf>
    <xf numFmtId="0" fontId="13" fillId="0" borderId="6" xfId="0" applyFont="1" applyBorder="1" applyAlignment="1">
      <alignment horizontal="center" vertical="center" wrapText="1"/>
    </xf>
    <xf numFmtId="169" fontId="13" fillId="0" borderId="6" xfId="0" applyNumberFormat="1" applyFont="1" applyBorder="1" applyAlignment="1">
      <alignment wrapText="1"/>
    </xf>
    <xf numFmtId="0" fontId="29" fillId="0" borderId="18" xfId="0" applyFont="1" applyBorder="1" applyAlignment="1">
      <alignment vertical="center"/>
    </xf>
    <xf numFmtId="0" fontId="0" fillId="21" borderId="18" xfId="0" applyFill="1" applyBorder="1" applyAlignment="1">
      <alignment horizontal="center" vertical="center"/>
    </xf>
    <xf numFmtId="1" fontId="13" fillId="0" borderId="18" xfId="0" applyNumberFormat="1" applyFont="1" applyBorder="1" applyAlignment="1">
      <alignment horizontal="center" vertical="center" wrapText="1"/>
    </xf>
    <xf numFmtId="169" fontId="13" fillId="0" borderId="18" xfId="0" applyNumberFormat="1" applyFont="1" applyBorder="1" applyAlignment="1">
      <alignment wrapText="1"/>
    </xf>
    <xf numFmtId="166" fontId="20" fillId="0" borderId="0" xfId="0" applyNumberFormat="1" applyFont="1" applyAlignment="1">
      <alignment horizontal="center" vertical="center" wrapText="1"/>
    </xf>
    <xf numFmtId="1" fontId="24" fillId="0" borderId="0" xfId="0" applyNumberFormat="1" applyFont="1" applyAlignment="1">
      <alignment horizontal="center" vertical="center"/>
    </xf>
    <xf numFmtId="168" fontId="24" fillId="0" borderId="0" xfId="0" applyNumberFormat="1" applyFont="1" applyAlignment="1">
      <alignment horizontal="center" vertical="center"/>
    </xf>
    <xf numFmtId="9" fontId="29" fillId="0" borderId="0" xfId="0" applyNumberFormat="1" applyFont="1" applyAlignment="1">
      <alignment horizontal="center" vertical="center"/>
    </xf>
    <xf numFmtId="1" fontId="24" fillId="0" borderId="0" xfId="0" applyNumberFormat="1" applyFont="1" applyAlignment="1">
      <alignment horizontal="center" vertical="center" wrapText="1"/>
    </xf>
    <xf numFmtId="1" fontId="29" fillId="0" borderId="0" xfId="0" applyNumberFormat="1" applyFont="1" applyAlignment="1">
      <alignment horizontal="center" vertical="center"/>
    </xf>
    <xf numFmtId="0" fontId="19" fillId="0" borderId="0" xfId="0" applyFont="1"/>
    <xf numFmtId="165" fontId="5" fillId="0" borderId="0" xfId="0" applyNumberFormat="1" applyFont="1" applyAlignment="1">
      <alignment horizontal="center"/>
    </xf>
    <xf numFmtId="168" fontId="0" fillId="0" borderId="0" xfId="0" applyNumberFormat="1" applyAlignment="1">
      <alignment vertical="center"/>
    </xf>
    <xf numFmtId="170" fontId="13" fillId="0" borderId="0" xfId="0" applyNumberFormat="1" applyFont="1" applyAlignment="1">
      <alignment horizontal="center" vertical="center"/>
    </xf>
    <xf numFmtId="176" fontId="27" fillId="0" borderId="0" xfId="0" applyNumberFormat="1" applyFont="1"/>
    <xf numFmtId="0" fontId="28" fillId="0" borderId="0" xfId="0" applyFont="1" applyAlignment="1">
      <alignment horizontal="center" vertical="center"/>
    </xf>
    <xf numFmtId="177" fontId="27" fillId="0" borderId="0" xfId="0" applyNumberFormat="1" applyFont="1"/>
    <xf numFmtId="169" fontId="27" fillId="0" borderId="0" xfId="0" applyNumberFormat="1" applyFont="1"/>
    <xf numFmtId="168" fontId="0" fillId="0" borderId="1" xfId="0" applyNumberFormat="1" applyBorder="1" applyAlignment="1">
      <alignment vertical="center"/>
    </xf>
    <xf numFmtId="0" fontId="5" fillId="0" borderId="18" xfId="0" applyFont="1" applyBorder="1" applyAlignment="1">
      <alignment vertical="center"/>
    </xf>
    <xf numFmtId="0" fontId="19" fillId="28" borderId="1" xfId="0" applyFont="1" applyFill="1" applyBorder="1" applyAlignment="1">
      <alignment horizontal="center" vertical="center"/>
    </xf>
    <xf numFmtId="0" fontId="22" fillId="19" borderId="0" xfId="0" applyFont="1" applyFill="1" applyAlignment="1">
      <alignment vertical="center" wrapText="1"/>
    </xf>
    <xf numFmtId="165" fontId="0" fillId="0" borderId="0" xfId="0" applyNumberFormat="1"/>
    <xf numFmtId="0" fontId="13" fillId="0" borderId="1" xfId="0" applyFont="1" applyBorder="1" applyAlignment="1">
      <alignment horizontal="left" vertical="center"/>
    </xf>
    <xf numFmtId="0" fontId="5" fillId="0" borderId="2" xfId="0" applyFont="1" applyBorder="1" applyAlignment="1">
      <alignment horizontal="center" vertical="center"/>
    </xf>
    <xf numFmtId="182" fontId="0" fillId="15" borderId="1" xfId="0" applyNumberFormat="1" applyFill="1" applyBorder="1"/>
    <xf numFmtId="168" fontId="0" fillId="0" borderId="1" xfId="0" applyNumberFormat="1" applyBorder="1"/>
    <xf numFmtId="0" fontId="11" fillId="25" borderId="3" xfId="0" applyFont="1" applyFill="1" applyBorder="1"/>
    <xf numFmtId="0" fontId="11" fillId="25" borderId="4" xfId="0" applyFont="1" applyFill="1" applyBorder="1"/>
    <xf numFmtId="10" fontId="0" fillId="0" borderId="0" xfId="0" applyNumberFormat="1"/>
    <xf numFmtId="9" fontId="0" fillId="0" borderId="0" xfId="0" applyNumberFormat="1"/>
    <xf numFmtId="0" fontId="22" fillId="19" borderId="20" xfId="0" applyFont="1" applyFill="1" applyBorder="1" applyAlignment="1">
      <alignment vertical="center" wrapText="1"/>
    </xf>
    <xf numFmtId="0" fontId="22" fillId="19" borderId="12" xfId="0" applyFont="1" applyFill="1" applyBorder="1" applyAlignment="1">
      <alignment vertical="center" wrapText="1"/>
    </xf>
    <xf numFmtId="185" fontId="5" fillId="15" borderId="0" xfId="0" applyNumberFormat="1" applyFont="1" applyFill="1"/>
    <xf numFmtId="174" fontId="5" fillId="15" borderId="0" xfId="0" applyNumberFormat="1" applyFont="1" applyFill="1"/>
    <xf numFmtId="9" fontId="13" fillId="0" borderId="0" xfId="0" applyNumberFormat="1" applyFont="1" applyAlignment="1">
      <alignment horizontal="center" vertical="center" wrapText="1"/>
    </xf>
    <xf numFmtId="9" fontId="13" fillId="0" borderId="0" xfId="0" applyNumberFormat="1" applyFont="1" applyAlignment="1">
      <alignment vertical="center" wrapText="1"/>
    </xf>
    <xf numFmtId="0" fontId="8" fillId="19" borderId="0" xfId="0" applyFont="1" applyFill="1" applyAlignment="1">
      <alignment horizontal="center"/>
    </xf>
    <xf numFmtId="0" fontId="13" fillId="19" borderId="0" xfId="0" applyFont="1" applyFill="1" applyAlignment="1">
      <alignment horizontal="center" wrapText="1"/>
    </xf>
    <xf numFmtId="0" fontId="23" fillId="0" borderId="1" xfId="0" applyFont="1" applyBorder="1" applyAlignment="1">
      <alignment horizontal="center"/>
    </xf>
    <xf numFmtId="169" fontId="13" fillId="0" borderId="1" xfId="0" applyNumberFormat="1" applyFont="1" applyBorder="1" applyAlignment="1">
      <alignment horizontal="center" wrapText="1"/>
    </xf>
    <xf numFmtId="0" fontId="11" fillId="32" borderId="21" xfId="0" applyFont="1" applyFill="1" applyBorder="1" applyAlignment="1">
      <alignment horizontal="center" vertical="center" wrapText="1"/>
    </xf>
    <xf numFmtId="0" fontId="8" fillId="12" borderId="22" xfId="0" applyFont="1" applyFill="1" applyBorder="1" applyAlignment="1">
      <alignment horizontal="center"/>
    </xf>
    <xf numFmtId="0" fontId="8" fillId="33" borderId="22" xfId="0" applyFont="1" applyFill="1" applyBorder="1" applyAlignment="1">
      <alignment horizontal="center"/>
    </xf>
    <xf numFmtId="0" fontId="8" fillId="6" borderId="22" xfId="0" applyFont="1" applyFill="1" applyBorder="1" applyAlignment="1">
      <alignment horizontal="center"/>
    </xf>
    <xf numFmtId="0" fontId="8" fillId="34" borderId="23" xfId="0" applyFont="1" applyFill="1" applyBorder="1" applyAlignment="1">
      <alignment horizontal="center"/>
    </xf>
    <xf numFmtId="0" fontId="8" fillId="10" borderId="24" xfId="0" applyFont="1" applyFill="1" applyBorder="1" applyAlignment="1">
      <alignment horizontal="center" vertical="center"/>
    </xf>
    <xf numFmtId="0" fontId="8" fillId="12" borderId="1" xfId="0" applyFont="1" applyFill="1" applyBorder="1" applyAlignment="1">
      <alignment horizontal="center"/>
    </xf>
    <xf numFmtId="0" fontId="8" fillId="33" borderId="1" xfId="0" applyFont="1" applyFill="1" applyBorder="1" applyAlignment="1">
      <alignment horizontal="center"/>
    </xf>
    <xf numFmtId="0" fontId="8" fillId="6" borderId="1" xfId="0" applyFont="1" applyFill="1" applyBorder="1" applyAlignment="1">
      <alignment horizontal="center"/>
    </xf>
    <xf numFmtId="0" fontId="8" fillId="34" borderId="25" xfId="0" applyFont="1" applyFill="1" applyBorder="1" applyAlignment="1">
      <alignment horizontal="center"/>
    </xf>
    <xf numFmtId="0" fontId="8" fillId="10" borderId="26" xfId="0" applyFont="1" applyFill="1" applyBorder="1" applyAlignment="1">
      <alignment horizontal="center" vertical="center"/>
    </xf>
    <xf numFmtId="0" fontId="8" fillId="12" borderId="27" xfId="0" applyFont="1" applyFill="1" applyBorder="1" applyAlignment="1">
      <alignment horizontal="center"/>
    </xf>
    <xf numFmtId="0" fontId="8" fillId="33" borderId="27" xfId="0" applyFont="1" applyFill="1" applyBorder="1" applyAlignment="1">
      <alignment horizontal="center"/>
    </xf>
    <xf numFmtId="0" fontId="8" fillId="6" borderId="27" xfId="0" applyFont="1" applyFill="1" applyBorder="1" applyAlignment="1">
      <alignment horizontal="center"/>
    </xf>
    <xf numFmtId="0" fontId="8" fillId="34" borderId="28" xfId="0" applyFont="1" applyFill="1" applyBorder="1" applyAlignment="1">
      <alignment horizontal="center"/>
    </xf>
    <xf numFmtId="169" fontId="23" fillId="0" borderId="0" xfId="0" applyNumberFormat="1" applyFont="1"/>
    <xf numFmtId="0" fontId="21" fillId="17" borderId="0" xfId="0" applyFont="1" applyFill="1" applyAlignment="1">
      <alignment horizontal="center" vertical="center"/>
    </xf>
    <xf numFmtId="169" fontId="5" fillId="0" borderId="12" xfId="0" applyNumberFormat="1" applyFont="1" applyBorder="1" applyAlignment="1">
      <alignment horizontal="center" vertical="center" wrapText="1"/>
    </xf>
    <xf numFmtId="0" fontId="33" fillId="0" borderId="0" xfId="0" applyFont="1"/>
    <xf numFmtId="0" fontId="13" fillId="21" borderId="1" xfId="0" applyFont="1" applyFill="1" applyBorder="1" applyAlignment="1">
      <alignment vertical="center" wrapText="1"/>
    </xf>
    <xf numFmtId="0" fontId="0" fillId="21" borderId="2" xfId="0" applyFill="1" applyBorder="1" applyAlignment="1">
      <alignment vertical="center"/>
    </xf>
    <xf numFmtId="9" fontId="5" fillId="0" borderId="0" xfId="0" applyNumberFormat="1" applyFont="1" applyAlignment="1">
      <alignment horizontal="center" vertical="center"/>
    </xf>
    <xf numFmtId="1" fontId="5" fillId="0" borderId="0" xfId="0" applyNumberFormat="1" applyFont="1" applyAlignment="1">
      <alignment horizontal="center" vertical="center"/>
    </xf>
    <xf numFmtId="9" fontId="5" fillId="15" borderId="0" xfId="0" applyNumberFormat="1" applyFont="1" applyFill="1"/>
    <xf numFmtId="166" fontId="13" fillId="0" borderId="1" xfId="0" applyNumberFormat="1" applyFont="1" applyBorder="1" applyAlignment="1">
      <alignment wrapText="1"/>
    </xf>
    <xf numFmtId="166" fontId="13" fillId="0" borderId="6" xfId="0" applyNumberFormat="1" applyFont="1" applyBorder="1" applyAlignment="1">
      <alignment wrapText="1"/>
    </xf>
    <xf numFmtId="0" fontId="13" fillId="0" borderId="29" xfId="0" applyFont="1" applyBorder="1" applyAlignment="1">
      <alignment wrapText="1"/>
    </xf>
    <xf numFmtId="0" fontId="13" fillId="19" borderId="29" xfId="0" applyFont="1" applyFill="1" applyBorder="1" applyAlignment="1">
      <alignment wrapText="1"/>
    </xf>
    <xf numFmtId="0" fontId="0" fillId="21" borderId="1" xfId="0" applyFill="1" applyBorder="1" applyAlignment="1">
      <alignment vertical="center"/>
    </xf>
    <xf numFmtId="0" fontId="0" fillId="21" borderId="19" xfId="0" applyFill="1" applyBorder="1" applyAlignment="1">
      <alignment vertical="center"/>
    </xf>
    <xf numFmtId="168" fontId="13" fillId="0" borderId="6" xfId="0" applyNumberFormat="1" applyFont="1" applyBorder="1" applyAlignment="1">
      <alignment horizontal="center" vertical="center"/>
    </xf>
    <xf numFmtId="0" fontId="21" fillId="0" borderId="14" xfId="0" applyFont="1" applyBorder="1"/>
    <xf numFmtId="169" fontId="5" fillId="0" borderId="14" xfId="0" applyNumberFormat="1" applyFont="1" applyBorder="1"/>
    <xf numFmtId="165" fontId="13" fillId="0" borderId="1" xfId="0" applyNumberFormat="1" applyFont="1" applyBorder="1" applyAlignment="1">
      <alignment vertical="center" wrapText="1"/>
    </xf>
    <xf numFmtId="0" fontId="5" fillId="15" borderId="1" xfId="0" applyFont="1" applyFill="1" applyBorder="1" applyAlignment="1">
      <alignment horizontal="center" vertical="center"/>
    </xf>
    <xf numFmtId="0" fontId="22" fillId="19" borderId="18" xfId="0" applyFont="1" applyFill="1" applyBorder="1" applyAlignment="1">
      <alignment vertical="center" wrapText="1"/>
    </xf>
    <xf numFmtId="0" fontId="22" fillId="19" borderId="19" xfId="0" applyFont="1" applyFill="1" applyBorder="1" applyAlignment="1">
      <alignment vertical="center" wrapText="1"/>
    </xf>
    <xf numFmtId="168" fontId="5" fillId="0" borderId="0" xfId="0" applyNumberFormat="1" applyFont="1"/>
    <xf numFmtId="0" fontId="24" fillId="0" borderId="0" xfId="0" applyFont="1"/>
    <xf numFmtId="168" fontId="5" fillId="15" borderId="1" xfId="0" applyNumberFormat="1" applyFont="1" applyFill="1" applyBorder="1"/>
    <xf numFmtId="0" fontId="29" fillId="0" borderId="0" xfId="0" applyFont="1"/>
    <xf numFmtId="0" fontId="24" fillId="0" borderId="0" xfId="0" applyFont="1" applyAlignment="1">
      <alignment wrapText="1"/>
    </xf>
    <xf numFmtId="0" fontId="29" fillId="0" borderId="0" xfId="0" applyFont="1" applyAlignment="1">
      <alignment wrapText="1"/>
    </xf>
    <xf numFmtId="2" fontId="13" fillId="0" borderId="0" xfId="0" applyNumberFormat="1" applyFont="1" applyAlignment="1">
      <alignment horizontal="center" vertical="center" wrapText="1"/>
    </xf>
    <xf numFmtId="0" fontId="5" fillId="22" borderId="0" xfId="0" applyFont="1" applyFill="1"/>
    <xf numFmtId="173" fontId="5" fillId="15" borderId="1" xfId="0" applyNumberFormat="1" applyFont="1" applyFill="1" applyBorder="1" applyAlignment="1">
      <alignment horizontal="center" vertical="center"/>
    </xf>
    <xf numFmtId="0" fontId="13" fillId="0" borderId="13" xfId="0" applyFont="1" applyBorder="1" applyAlignment="1">
      <alignment horizontal="center" vertical="center"/>
    </xf>
    <xf numFmtId="168" fontId="20" fillId="0" borderId="1" xfId="0" applyNumberFormat="1" applyFont="1" applyBorder="1" applyAlignment="1">
      <alignment horizontal="center" vertical="center" wrapText="1"/>
    </xf>
    <xf numFmtId="1" fontId="20" fillId="0" borderId="1" xfId="0" applyNumberFormat="1" applyFont="1" applyBorder="1" applyAlignment="1">
      <alignment horizontal="center" vertical="center" wrapText="1"/>
    </xf>
    <xf numFmtId="181" fontId="20" fillId="0" borderId="1" xfId="0" applyNumberFormat="1" applyFont="1" applyBorder="1" applyAlignment="1">
      <alignment horizontal="center" vertical="center" wrapText="1"/>
    </xf>
    <xf numFmtId="170" fontId="5" fillId="0" borderId="1" xfId="0" applyNumberFormat="1" applyFont="1" applyBorder="1" applyAlignment="1">
      <alignment horizontal="center" vertical="center"/>
    </xf>
    <xf numFmtId="9" fontId="5" fillId="0" borderId="2" xfId="0" applyNumberFormat="1" applyFont="1" applyBorder="1" applyAlignment="1">
      <alignment horizontal="center" vertical="center"/>
    </xf>
    <xf numFmtId="0" fontId="5" fillId="0" borderId="6" xfId="0" applyFont="1" applyBorder="1" applyAlignment="1">
      <alignment horizontal="center" vertical="center"/>
    </xf>
    <xf numFmtId="166" fontId="13" fillId="0" borderId="6" xfId="0" applyNumberFormat="1" applyFont="1" applyBorder="1" applyAlignment="1">
      <alignment horizontal="center" vertical="center"/>
    </xf>
    <xf numFmtId="9" fontId="5" fillId="0" borderId="20" xfId="0" applyNumberFormat="1" applyFont="1" applyBorder="1" applyAlignment="1">
      <alignment horizontal="center" vertical="center"/>
    </xf>
    <xf numFmtId="1" fontId="5" fillId="0" borderId="6" xfId="0" applyNumberFormat="1" applyFont="1" applyBorder="1" applyAlignment="1">
      <alignment horizontal="center" vertical="center"/>
    </xf>
    <xf numFmtId="0" fontId="5" fillId="0" borderId="18" xfId="0" applyFont="1" applyBorder="1" applyAlignment="1">
      <alignment horizontal="center" vertical="center"/>
    </xf>
    <xf numFmtId="166" fontId="13" fillId="0" borderId="18" xfId="0" applyNumberFormat="1" applyFont="1" applyBorder="1" applyAlignment="1">
      <alignment horizontal="center" vertical="center"/>
    </xf>
    <xf numFmtId="9" fontId="5" fillId="0" borderId="18" xfId="0" applyNumberFormat="1" applyFont="1" applyBorder="1" applyAlignment="1">
      <alignment horizontal="center" vertical="center"/>
    </xf>
    <xf numFmtId="1" fontId="5" fillId="0" borderId="18" xfId="0" applyNumberFormat="1" applyFont="1" applyBorder="1" applyAlignment="1">
      <alignment horizontal="center" vertical="center"/>
    </xf>
    <xf numFmtId="0" fontId="22" fillId="19" borderId="0" xfId="0" applyFont="1" applyFill="1" applyAlignment="1">
      <alignment horizontal="left" vertical="center" wrapText="1"/>
    </xf>
    <xf numFmtId="0" fontId="22" fillId="19" borderId="5" xfId="0" applyFont="1" applyFill="1" applyBorder="1" applyAlignment="1">
      <alignment horizontal="left" vertical="center" wrapText="1"/>
    </xf>
    <xf numFmtId="0" fontId="0" fillId="0" borderId="11" xfId="0" applyBorder="1" applyAlignment="1">
      <alignment horizontal="center" vertical="center"/>
    </xf>
    <xf numFmtId="0" fontId="13" fillId="0" borderId="11" xfId="0" applyFont="1" applyBorder="1" applyAlignment="1">
      <alignment horizontal="center" vertical="center"/>
    </xf>
    <xf numFmtId="166" fontId="13" fillId="0" borderId="11" xfId="0" applyNumberFormat="1" applyFont="1" applyBorder="1" applyAlignment="1">
      <alignment horizontal="center" vertical="center"/>
    </xf>
    <xf numFmtId="9" fontId="0" fillId="0" borderId="11" xfId="0" applyNumberFormat="1" applyBorder="1" applyAlignment="1">
      <alignment horizontal="center" vertical="center"/>
    </xf>
    <xf numFmtId="1" fontId="13" fillId="0" borderId="11" xfId="0" applyNumberFormat="1" applyFont="1" applyBorder="1" applyAlignment="1">
      <alignment horizontal="center" vertical="center" wrapText="1"/>
    </xf>
    <xf numFmtId="1" fontId="0" fillId="0" borderId="10" xfId="0" applyNumberFormat="1" applyBorder="1" applyAlignment="1">
      <alignment horizontal="center" vertical="center"/>
    </xf>
    <xf numFmtId="0" fontId="5" fillId="0" borderId="6" xfId="0" applyFont="1" applyBorder="1" applyAlignment="1">
      <alignment horizontal="center"/>
    </xf>
    <xf numFmtId="9" fontId="5" fillId="0" borderId="6" xfId="0" applyNumberFormat="1" applyFont="1" applyBorder="1" applyAlignment="1">
      <alignment horizontal="center" vertical="center"/>
    </xf>
    <xf numFmtId="0" fontId="12" fillId="25" borderId="11" xfId="0" applyFont="1" applyFill="1" applyBorder="1" applyAlignment="1">
      <alignment horizontal="left"/>
    </xf>
    <xf numFmtId="0" fontId="12" fillId="0" borderId="0" xfId="0" applyFont="1" applyAlignment="1">
      <alignment horizontal="left"/>
    </xf>
    <xf numFmtId="0" fontId="20" fillId="14" borderId="1" xfId="0" applyFont="1" applyFill="1" applyBorder="1" applyAlignment="1">
      <alignment horizontal="left" vertical="center" wrapText="1"/>
    </xf>
    <xf numFmtId="0" fontId="23" fillId="14" borderId="11" xfId="0" applyFont="1" applyFill="1" applyBorder="1" applyAlignment="1">
      <alignment horizontal="left" vertical="center" wrapText="1"/>
    </xf>
    <xf numFmtId="1" fontId="13" fillId="21" borderId="1" xfId="0" applyNumberFormat="1" applyFont="1" applyFill="1" applyBorder="1" applyAlignment="1">
      <alignment horizontal="left" vertical="center" wrapText="1"/>
    </xf>
    <xf numFmtId="170" fontId="13" fillId="0" borderId="0" xfId="0" applyNumberFormat="1" applyFont="1" applyAlignment="1">
      <alignment horizontal="center" vertical="center" wrapText="1"/>
    </xf>
    <xf numFmtId="0" fontId="29" fillId="0" borderId="2" xfId="0" applyFont="1" applyBorder="1"/>
    <xf numFmtId="165" fontId="20" fillId="0" borderId="1" xfId="0" applyNumberFormat="1" applyFont="1" applyBorder="1" applyAlignment="1">
      <alignment horizontal="center" vertical="center" wrapText="1"/>
    </xf>
    <xf numFmtId="9" fontId="5" fillId="0" borderId="0" xfId="10" applyFont="1" applyAlignment="1">
      <alignment horizontal="center"/>
    </xf>
    <xf numFmtId="9" fontId="5" fillId="0" borderId="0" xfId="10" applyFont="1"/>
    <xf numFmtId="164" fontId="13" fillId="0" borderId="1" xfId="0" applyNumberFormat="1" applyFont="1" applyBorder="1" applyAlignment="1">
      <alignment horizontal="center" vertical="center" wrapText="1"/>
    </xf>
    <xf numFmtId="181" fontId="13" fillId="0" borderId="1" xfId="0" applyNumberFormat="1" applyFont="1" applyBorder="1" applyAlignment="1">
      <alignment horizontal="center" vertical="center" wrapText="1"/>
    </xf>
    <xf numFmtId="9" fontId="13" fillId="0" borderId="0" xfId="10" applyFont="1" applyAlignment="1">
      <alignment horizontal="center" vertical="center" wrapText="1"/>
    </xf>
    <xf numFmtId="0" fontId="13" fillId="37" borderId="0" xfId="0" applyFont="1" applyFill="1" applyAlignment="1">
      <alignment horizontal="center" vertical="center" wrapText="1"/>
    </xf>
    <xf numFmtId="0" fontId="23" fillId="18" borderId="0" xfId="0" applyFont="1" applyFill="1" applyAlignment="1">
      <alignment horizontal="center" vertical="center" wrapText="1"/>
    </xf>
    <xf numFmtId="165" fontId="20" fillId="18" borderId="0" xfId="0" applyNumberFormat="1" applyFont="1" applyFill="1" applyAlignment="1">
      <alignment horizontal="center" vertical="center" wrapText="1"/>
    </xf>
    <xf numFmtId="0" fontId="13" fillId="36" borderId="1" xfId="0" applyFont="1" applyFill="1" applyBorder="1" applyAlignment="1">
      <alignment horizontal="center" vertical="center" wrapText="1"/>
    </xf>
    <xf numFmtId="0" fontId="0" fillId="36" borderId="1" xfId="0" applyFill="1" applyBorder="1" applyAlignment="1">
      <alignment horizontal="center" vertical="center"/>
    </xf>
    <xf numFmtId="0" fontId="13" fillId="36" borderId="1" xfId="0" applyFont="1" applyFill="1" applyBorder="1" applyAlignment="1">
      <alignment horizontal="center" vertical="center"/>
    </xf>
    <xf numFmtId="2" fontId="13" fillId="36" borderId="1" xfId="0" applyNumberFormat="1" applyFont="1" applyFill="1" applyBorder="1" applyAlignment="1">
      <alignment horizontal="center" vertical="center"/>
    </xf>
    <xf numFmtId="9" fontId="0" fillId="36" borderId="1" xfId="0" applyNumberFormat="1" applyFill="1" applyBorder="1" applyAlignment="1">
      <alignment horizontal="center" vertical="center"/>
    </xf>
    <xf numFmtId="1" fontId="13" fillId="36" borderId="1" xfId="0" applyNumberFormat="1" applyFont="1" applyFill="1" applyBorder="1" applyAlignment="1">
      <alignment horizontal="center" vertical="center" wrapText="1"/>
    </xf>
    <xf numFmtId="1" fontId="0" fillId="36" borderId="1" xfId="0" applyNumberFormat="1" applyFill="1" applyBorder="1" applyAlignment="1">
      <alignment horizontal="center" vertical="center"/>
    </xf>
    <xf numFmtId="0" fontId="8" fillId="39" borderId="0" xfId="0" applyFont="1" applyFill="1"/>
    <xf numFmtId="3" fontId="8" fillId="39" borderId="0" xfId="0" applyNumberFormat="1" applyFont="1" applyFill="1"/>
    <xf numFmtId="3" fontId="0" fillId="0" borderId="0" xfId="0" applyNumberFormat="1"/>
    <xf numFmtId="186" fontId="8" fillId="39" borderId="0" xfId="0" applyNumberFormat="1" applyFont="1" applyFill="1"/>
    <xf numFmtId="186" fontId="0" fillId="0" borderId="0" xfId="0" applyNumberFormat="1"/>
    <xf numFmtId="0" fontId="8" fillId="38" borderId="0" xfId="0" applyFont="1" applyFill="1"/>
    <xf numFmtId="164" fontId="0" fillId="0" borderId="0" xfId="0" applyNumberFormat="1"/>
    <xf numFmtId="175" fontId="8" fillId="5" borderId="0" xfId="0" applyNumberFormat="1" applyFont="1" applyFill="1"/>
    <xf numFmtId="164" fontId="0" fillId="0" borderId="1" xfId="12" applyFont="1" applyBorder="1" applyAlignment="1">
      <alignment horizontal="center" vertical="center"/>
    </xf>
    <xf numFmtId="0" fontId="22" fillId="40" borderId="0" xfId="0" applyFont="1" applyFill="1" applyAlignment="1">
      <alignment horizontal="center" vertical="center" wrapText="1"/>
    </xf>
    <xf numFmtId="0" fontId="5" fillId="41" borderId="0" xfId="0" applyFont="1" applyFill="1"/>
    <xf numFmtId="0" fontId="0" fillId="41" borderId="5" xfId="0" applyFill="1" applyBorder="1"/>
    <xf numFmtId="164" fontId="13" fillId="18" borderId="0" xfId="0" applyNumberFormat="1" applyFont="1" applyFill="1" applyAlignment="1">
      <alignment horizontal="center" vertical="center" wrapText="1"/>
    </xf>
    <xf numFmtId="0" fontId="5" fillId="0" borderId="3" xfId="0" applyFont="1" applyBorder="1"/>
    <xf numFmtId="9" fontId="0" fillId="0" borderId="2" xfId="10" applyFont="1" applyBorder="1" applyAlignment="1">
      <alignment horizontal="center" vertical="center"/>
    </xf>
    <xf numFmtId="175" fontId="0" fillId="0" borderId="2" xfId="0" applyNumberFormat="1" applyBorder="1" applyAlignment="1">
      <alignment horizontal="center" vertical="center"/>
    </xf>
    <xf numFmtId="0" fontId="20" fillId="0" borderId="2" xfId="0" applyFont="1" applyBorder="1" applyAlignment="1">
      <alignment horizontal="center" vertical="center" wrapText="1"/>
    </xf>
    <xf numFmtId="0" fontId="23" fillId="0" borderId="1" xfId="0" applyFont="1" applyBorder="1" applyAlignment="1">
      <alignment horizontal="center" vertical="center"/>
    </xf>
    <xf numFmtId="0" fontId="23" fillId="0" borderId="12" xfId="0" applyFont="1" applyBorder="1" applyAlignment="1">
      <alignment horizontal="center" vertical="center" wrapText="1"/>
    </xf>
    <xf numFmtId="0" fontId="23" fillId="0" borderId="3" xfId="0" applyFont="1" applyBorder="1" applyAlignment="1">
      <alignment horizontal="center" vertical="center"/>
    </xf>
    <xf numFmtId="0" fontId="38" fillId="42" borderId="1" xfId="14" applyFont="1" applyFill="1" applyBorder="1" applyAlignment="1">
      <alignment horizontal="center" vertical="center" wrapText="1"/>
    </xf>
    <xf numFmtId="187" fontId="37" fillId="0" borderId="1" xfId="14" applyNumberFormat="1" applyBorder="1" applyAlignment="1">
      <alignment horizontal="center"/>
    </xf>
    <xf numFmtId="188" fontId="37" fillId="36" borderId="1" xfId="14" applyNumberFormat="1" applyFill="1" applyBorder="1" applyAlignment="1">
      <alignment horizontal="center"/>
    </xf>
    <xf numFmtId="189" fontId="37" fillId="0" borderId="1" xfId="14" applyNumberFormat="1" applyBorder="1" applyAlignment="1">
      <alignment horizontal="center"/>
    </xf>
    <xf numFmtId="0" fontId="20" fillId="0" borderId="3" xfId="0" applyFont="1" applyBorder="1" applyAlignment="1">
      <alignment horizontal="center" vertical="center" wrapText="1"/>
    </xf>
    <xf numFmtId="0" fontId="38" fillId="0" borderId="1" xfId="14" applyFont="1" applyBorder="1" applyAlignment="1">
      <alignment horizontal="center" vertical="center" wrapText="1"/>
    </xf>
    <xf numFmtId="0" fontId="37" fillId="42" borderId="1" xfId="14" applyFill="1" applyBorder="1" applyAlignment="1">
      <alignment horizontal="center" vertical="center"/>
    </xf>
    <xf numFmtId="187" fontId="38" fillId="0" borderId="1" xfId="14" applyNumberFormat="1" applyFont="1" applyBorder="1" applyAlignment="1">
      <alignment horizontal="center" vertical="center" wrapText="1"/>
    </xf>
    <xf numFmtId="0" fontId="38" fillId="0" borderId="0" xfId="14" applyFont="1" applyAlignment="1">
      <alignment wrapText="1"/>
    </xf>
    <xf numFmtId="0" fontId="37" fillId="0" borderId="0" xfId="14"/>
    <xf numFmtId="0" fontId="40" fillId="42" borderId="1" xfId="14" applyFont="1" applyFill="1" applyBorder="1" applyAlignment="1">
      <alignment horizontal="center" vertical="center" wrapText="1"/>
    </xf>
    <xf numFmtId="0" fontId="41" fillId="42" borderId="1" xfId="14" applyFont="1" applyFill="1" applyBorder="1" applyAlignment="1">
      <alignment horizontal="center" vertical="center"/>
    </xf>
    <xf numFmtId="0" fontId="41" fillId="43" borderId="12" xfId="17" applyFont="1" applyFill="1" applyBorder="1" applyAlignment="1">
      <alignment horizontal="center" vertical="center" wrapText="1"/>
    </xf>
    <xf numFmtId="0" fontId="40" fillId="44" borderId="1" xfId="14" applyFont="1" applyFill="1" applyBorder="1" applyAlignment="1">
      <alignment horizontal="center" vertical="center" wrapText="1"/>
    </xf>
    <xf numFmtId="0" fontId="3" fillId="0" borderId="1" xfId="17" applyBorder="1" applyAlignment="1">
      <alignment vertical="center"/>
    </xf>
    <xf numFmtId="0" fontId="3" fillId="0" borderId="1" xfId="17" applyBorder="1" applyAlignment="1">
      <alignment horizontal="center" vertical="center"/>
    </xf>
    <xf numFmtId="1" fontId="38" fillId="0" borderId="1" xfId="17" applyNumberFormat="1" applyFont="1" applyBorder="1" applyAlignment="1">
      <alignment horizontal="center" vertical="center"/>
    </xf>
    <xf numFmtId="171" fontId="38" fillId="0" borderId="1" xfId="17" applyNumberFormat="1" applyFont="1" applyBorder="1" applyAlignment="1">
      <alignment horizontal="center" vertical="center"/>
    </xf>
    <xf numFmtId="9" fontId="3" fillId="0" borderId="1" xfId="17" applyNumberFormat="1" applyBorder="1" applyAlignment="1">
      <alignment horizontal="center" vertical="center"/>
    </xf>
    <xf numFmtId="1" fontId="38" fillId="0" borderId="1" xfId="17" applyNumberFormat="1" applyFont="1" applyBorder="1" applyAlignment="1">
      <alignment horizontal="center" vertical="center" wrapText="1"/>
    </xf>
    <xf numFmtId="1" fontId="3" fillId="0" borderId="1" xfId="17" applyNumberFormat="1" applyBorder="1" applyAlignment="1">
      <alignment horizontal="center" vertical="center"/>
    </xf>
    <xf numFmtId="0" fontId="3" fillId="0" borderId="0" xfId="17" applyAlignment="1">
      <alignment vertical="center"/>
    </xf>
    <xf numFmtId="0" fontId="3" fillId="0" borderId="0" xfId="17" applyAlignment="1">
      <alignment horizontal="center" vertical="center"/>
    </xf>
    <xf numFmtId="0" fontId="38" fillId="0" borderId="0" xfId="17" applyFont="1" applyAlignment="1">
      <alignment horizontal="center" vertical="center"/>
    </xf>
    <xf numFmtId="168" fontId="38" fillId="0" borderId="0" xfId="17" applyNumberFormat="1" applyFont="1" applyAlignment="1">
      <alignment horizontal="center" vertical="center"/>
    </xf>
    <xf numFmtId="9" fontId="3" fillId="0" borderId="0" xfId="17" applyNumberFormat="1" applyAlignment="1">
      <alignment horizontal="center" vertical="center"/>
    </xf>
    <xf numFmtId="168" fontId="38" fillId="0" borderId="0" xfId="17" applyNumberFormat="1" applyFont="1" applyAlignment="1">
      <alignment horizontal="center" vertical="center" wrapText="1"/>
    </xf>
    <xf numFmtId="1" fontId="3" fillId="0" borderId="0" xfId="17" applyNumberFormat="1" applyAlignment="1">
      <alignment horizontal="center" vertical="center"/>
    </xf>
    <xf numFmtId="0" fontId="42" fillId="45" borderId="11" xfId="17" applyFont="1" applyFill="1" applyBorder="1" applyAlignment="1">
      <alignment horizontal="center"/>
    </xf>
    <xf numFmtId="0" fontId="17" fillId="46" borderId="1" xfId="17" applyFont="1" applyFill="1" applyBorder="1" applyAlignment="1">
      <alignment horizontal="center" vertical="center"/>
    </xf>
    <xf numFmtId="0" fontId="42" fillId="45" borderId="1" xfId="17" applyFont="1" applyFill="1" applyBorder="1" applyAlignment="1">
      <alignment horizontal="center"/>
    </xf>
    <xf numFmtId="0" fontId="38" fillId="0" borderId="1" xfId="17" applyFont="1" applyBorder="1" applyAlignment="1">
      <alignment horizontal="center" vertical="center"/>
    </xf>
    <xf numFmtId="0" fontId="44" fillId="0" borderId="0" xfId="17" applyFont="1" applyAlignment="1">
      <alignment wrapText="1"/>
    </xf>
    <xf numFmtId="164" fontId="13" fillId="0" borderId="1" xfId="0" applyNumberFormat="1" applyFont="1" applyBorder="1" applyAlignment="1">
      <alignment horizontal="center" vertical="center"/>
    </xf>
    <xf numFmtId="0" fontId="8" fillId="48" borderId="0" xfId="0" applyFont="1" applyFill="1"/>
    <xf numFmtId="165" fontId="8" fillId="48" borderId="0" xfId="0" applyNumberFormat="1" applyFont="1" applyFill="1"/>
    <xf numFmtId="164" fontId="0" fillId="0" borderId="0" xfId="12" applyFont="1"/>
    <xf numFmtId="185" fontId="5" fillId="0" borderId="0" xfId="10" applyNumberFormat="1" applyFont="1"/>
    <xf numFmtId="185" fontId="5" fillId="0" borderId="0" xfId="0" applyNumberFormat="1" applyFont="1"/>
    <xf numFmtId="0" fontId="6" fillId="0" borderId="0" xfId="4" applyAlignment="1">
      <alignment horizontal="center" vertical="center"/>
    </xf>
    <xf numFmtId="1" fontId="6" fillId="0" borderId="1" xfId="4" applyNumberFormat="1" applyBorder="1" applyAlignment="1">
      <alignment horizontal="center" vertical="center"/>
    </xf>
    <xf numFmtId="9" fontId="6" fillId="0" borderId="1" xfId="4" applyNumberFormat="1" applyBorder="1" applyAlignment="1">
      <alignment horizontal="center" vertical="center"/>
    </xf>
    <xf numFmtId="2" fontId="49" fillId="0" borderId="1" xfId="4" applyNumberFormat="1" applyFont="1" applyBorder="1" applyAlignment="1">
      <alignment horizontal="center" vertical="center"/>
    </xf>
    <xf numFmtId="0" fontId="49" fillId="49" borderId="1" xfId="4" applyFont="1" applyFill="1" applyBorder="1" applyAlignment="1">
      <alignment horizontal="center" vertical="center" wrapText="1"/>
    </xf>
    <xf numFmtId="0" fontId="53" fillId="50" borderId="1" xfId="4" applyFont="1" applyFill="1" applyBorder="1" applyAlignment="1">
      <alignment horizontal="center" vertical="center" wrapText="1"/>
    </xf>
    <xf numFmtId="0" fontId="50" fillId="50" borderId="1" xfId="4" applyFont="1" applyFill="1" applyBorder="1" applyAlignment="1">
      <alignment horizontal="center" vertical="center"/>
    </xf>
    <xf numFmtId="0" fontId="49" fillId="0" borderId="0" xfId="4" applyFont="1" applyAlignment="1">
      <alignment horizontal="center" vertical="center" wrapText="1"/>
    </xf>
    <xf numFmtId="0" fontId="56" fillId="0" borderId="0" xfId="4" applyFont="1" applyAlignment="1">
      <alignment horizontal="center" vertical="center"/>
    </xf>
    <xf numFmtId="1" fontId="7" fillId="0" borderId="1" xfId="9" applyNumberFormat="1" applyBorder="1" applyAlignment="1">
      <alignment horizontal="center" vertical="center"/>
    </xf>
    <xf numFmtId="1" fontId="57" fillId="0" borderId="1" xfId="9" applyNumberFormat="1" applyFont="1" applyBorder="1" applyAlignment="1">
      <alignment horizontal="center" vertical="center" wrapText="1"/>
    </xf>
    <xf numFmtId="170" fontId="57" fillId="0" borderId="1" xfId="9" applyNumberFormat="1" applyFont="1" applyBorder="1" applyAlignment="1">
      <alignment horizontal="center" vertical="center"/>
    </xf>
    <xf numFmtId="0" fontId="6" fillId="0" borderId="1" xfId="4" applyBorder="1" applyAlignment="1">
      <alignment horizontal="center" vertical="center"/>
    </xf>
    <xf numFmtId="9" fontId="7" fillId="0" borderId="1" xfId="9" applyNumberFormat="1" applyBorder="1" applyAlignment="1">
      <alignment horizontal="center" vertical="center"/>
    </xf>
    <xf numFmtId="0" fontId="6" fillId="0" borderId="18" xfId="4" applyBorder="1" applyAlignment="1">
      <alignment horizontal="center" vertical="center"/>
    </xf>
    <xf numFmtId="0" fontId="17" fillId="46" borderId="6" xfId="9" applyFont="1" applyFill="1" applyBorder="1" applyAlignment="1">
      <alignment horizontal="center" vertical="center"/>
    </xf>
    <xf numFmtId="0" fontId="17" fillId="46" borderId="1" xfId="9" applyFont="1" applyFill="1" applyBorder="1" applyAlignment="1">
      <alignment horizontal="center" vertical="center"/>
    </xf>
    <xf numFmtId="9" fontId="6" fillId="0" borderId="6" xfId="4" applyNumberFormat="1" applyBorder="1" applyAlignment="1">
      <alignment horizontal="center" vertical="center"/>
    </xf>
    <xf numFmtId="0" fontId="50" fillId="20" borderId="1" xfId="4" applyFont="1" applyFill="1" applyBorder="1" applyAlignment="1">
      <alignment horizontal="center" vertical="center" wrapText="1"/>
    </xf>
    <xf numFmtId="0" fontId="59" fillId="42" borderId="1" xfId="19" applyFont="1" applyFill="1" applyBorder="1" applyAlignment="1">
      <alignment horizontal="center" vertical="center" wrapText="1"/>
    </xf>
    <xf numFmtId="0" fontId="59" fillId="44" borderId="1" xfId="19" applyFont="1" applyFill="1" applyBorder="1" applyAlignment="1">
      <alignment horizontal="center" vertical="center" wrapText="1"/>
    </xf>
    <xf numFmtId="0" fontId="60" fillId="43" borderId="12" xfId="9" applyFont="1" applyFill="1" applyBorder="1" applyAlignment="1">
      <alignment horizontal="center" vertical="center" wrapText="1"/>
    </xf>
    <xf numFmtId="0" fontId="61" fillId="0" borderId="0" xfId="4" applyFont="1" applyAlignment="1">
      <alignment vertical="center" wrapText="1"/>
    </xf>
    <xf numFmtId="0" fontId="61" fillId="0" borderId="18" xfId="4" applyFont="1" applyBorder="1" applyAlignment="1">
      <alignment vertical="center" wrapText="1"/>
    </xf>
    <xf numFmtId="0" fontId="57" fillId="0" borderId="1" xfId="19" applyFont="1" applyBorder="1" applyAlignment="1">
      <alignment wrapText="1"/>
    </xf>
    <xf numFmtId="0" fontId="57" fillId="42" borderId="3" xfId="19" applyFont="1" applyFill="1" applyBorder="1" applyAlignment="1">
      <alignment horizontal="center" vertical="center" wrapText="1"/>
    </xf>
    <xf numFmtId="187" fontId="57" fillId="0" borderId="1" xfId="9" applyNumberFormat="1" applyFont="1" applyBorder="1" applyAlignment="1">
      <alignment horizontal="center" vertical="center" wrapText="1"/>
    </xf>
    <xf numFmtId="0" fontId="57" fillId="42" borderId="1" xfId="19" applyFont="1" applyFill="1" applyBorder="1" applyAlignment="1">
      <alignment horizontal="center" vertical="center" wrapText="1"/>
    </xf>
    <xf numFmtId="188" fontId="57" fillId="0" borderId="1" xfId="19" applyNumberFormat="1" applyFont="1" applyBorder="1" applyAlignment="1">
      <alignment horizontal="center" vertical="center" wrapText="1"/>
    </xf>
    <xf numFmtId="187" fontId="57" fillId="0" borderId="1" xfId="19" applyNumberFormat="1" applyFont="1" applyBorder="1" applyAlignment="1">
      <alignment horizontal="center" vertical="center" wrapText="1"/>
    </xf>
    <xf numFmtId="0" fontId="58" fillId="42" borderId="1" xfId="19" applyFill="1" applyBorder="1" applyAlignment="1">
      <alignment horizontal="center" vertical="center"/>
    </xf>
    <xf numFmtId="0" fontId="57" fillId="0" borderId="1" xfId="19" applyFont="1" applyBorder="1" applyAlignment="1">
      <alignment horizontal="center" vertical="center" wrapText="1"/>
    </xf>
    <xf numFmtId="0" fontId="58" fillId="0" borderId="0" xfId="19"/>
    <xf numFmtId="1" fontId="6" fillId="0" borderId="0" xfId="4" applyNumberFormat="1" applyAlignment="1">
      <alignment horizontal="center" vertical="center"/>
    </xf>
    <xf numFmtId="2" fontId="48" fillId="0" borderId="0" xfId="4" applyNumberFormat="1" applyFont="1" applyAlignment="1">
      <alignment horizontal="center" vertical="center" wrapText="1"/>
    </xf>
    <xf numFmtId="9" fontId="6" fillId="0" borderId="0" xfId="4" applyNumberFormat="1" applyAlignment="1">
      <alignment horizontal="center" vertical="center"/>
    </xf>
    <xf numFmtId="165" fontId="49" fillId="0" borderId="0" xfId="11" applyNumberFormat="1" applyFont="1" applyAlignment="1">
      <alignment horizontal="center" vertical="center"/>
    </xf>
    <xf numFmtId="2" fontId="49" fillId="0" borderId="0" xfId="4" applyNumberFormat="1" applyFont="1" applyAlignment="1">
      <alignment horizontal="center" vertical="center"/>
    </xf>
    <xf numFmtId="0" fontId="50" fillId="0" borderId="0" xfId="9" applyFont="1" applyAlignment="1">
      <alignment horizontal="center" vertical="center" wrapText="1"/>
    </xf>
    <xf numFmtId="0" fontId="51" fillId="0" borderId="0" xfId="9" applyFont="1" applyAlignment="1">
      <alignment horizontal="center" vertical="center" wrapText="1" readingOrder="2"/>
    </xf>
    <xf numFmtId="165" fontId="52" fillId="0" borderId="0" xfId="11" applyNumberFormat="1" applyFont="1" applyAlignment="1">
      <alignment horizontal="center" vertical="center" wrapText="1"/>
    </xf>
    <xf numFmtId="0" fontId="53" fillId="0" borderId="0" xfId="4" applyFont="1" applyAlignment="1">
      <alignment horizontal="center" vertical="center" wrapText="1"/>
    </xf>
    <xf numFmtId="0" fontId="50" fillId="0" borderId="0" xfId="4" applyFont="1" applyAlignment="1">
      <alignment horizontal="center" vertical="center"/>
    </xf>
    <xf numFmtId="0" fontId="7" fillId="0" borderId="0" xfId="9"/>
    <xf numFmtId="1" fontId="48" fillId="0" borderId="0" xfId="4" applyNumberFormat="1" applyFont="1" applyAlignment="1">
      <alignment horizontal="center" vertical="center" wrapText="1"/>
    </xf>
    <xf numFmtId="165" fontId="49" fillId="0" borderId="0" xfId="4" applyNumberFormat="1" applyFont="1" applyAlignment="1">
      <alignment horizontal="center" vertical="center"/>
    </xf>
    <xf numFmtId="165" fontId="49" fillId="0" borderId="1" xfId="11" applyNumberFormat="1" applyFont="1" applyBorder="1" applyAlignment="1">
      <alignment horizontal="center" vertical="center" wrapText="1"/>
    </xf>
    <xf numFmtId="0" fontId="49" fillId="0" borderId="2" xfId="4" applyFont="1" applyBorder="1" applyAlignment="1">
      <alignment horizontal="center" vertical="center"/>
    </xf>
    <xf numFmtId="1" fontId="6" fillId="0" borderId="6" xfId="4" applyNumberFormat="1" applyBorder="1" applyAlignment="1">
      <alignment horizontal="center" vertical="center"/>
    </xf>
    <xf numFmtId="165" fontId="49" fillId="0" borderId="6" xfId="11" applyNumberFormat="1" applyFont="1" applyBorder="1" applyAlignment="1">
      <alignment horizontal="center" vertical="center" wrapText="1"/>
    </xf>
    <xf numFmtId="2" fontId="49" fillId="0" borderId="6" xfId="4" applyNumberFormat="1" applyFont="1" applyBorder="1" applyAlignment="1">
      <alignment horizontal="center" vertical="center"/>
    </xf>
    <xf numFmtId="168" fontId="6" fillId="0" borderId="1" xfId="4" applyNumberFormat="1" applyBorder="1" applyAlignment="1">
      <alignment horizontal="center" vertical="center"/>
    </xf>
    <xf numFmtId="0" fontId="49" fillId="0" borderId="6" xfId="4" applyFont="1" applyBorder="1" applyAlignment="1">
      <alignment horizontal="center" vertical="center" wrapText="1"/>
    </xf>
    <xf numFmtId="0" fontId="49" fillId="50" borderId="8" xfId="4" applyFont="1" applyFill="1" applyBorder="1" applyAlignment="1">
      <alignment horizontal="center" vertical="center" wrapText="1"/>
    </xf>
    <xf numFmtId="166" fontId="49" fillId="0" borderId="6" xfId="4" applyNumberFormat="1" applyFont="1" applyBorder="1" applyAlignment="1">
      <alignment horizontal="center" vertical="center" wrapText="1"/>
    </xf>
    <xf numFmtId="0" fontId="49" fillId="50" borderId="1" xfId="4" applyFont="1" applyFill="1" applyBorder="1" applyAlignment="1">
      <alignment horizontal="center" vertical="center" wrapText="1"/>
    </xf>
    <xf numFmtId="166" fontId="6" fillId="0" borderId="0" xfId="4" applyNumberFormat="1" applyAlignment="1">
      <alignment horizontal="center" vertical="center"/>
    </xf>
    <xf numFmtId="165" fontId="49" fillId="0" borderId="1" xfId="4" applyNumberFormat="1" applyFont="1" applyBorder="1" applyAlignment="1">
      <alignment horizontal="center" vertical="center" wrapText="1"/>
    </xf>
    <xf numFmtId="0" fontId="6" fillId="50" borderId="1" xfId="4" applyFill="1" applyBorder="1" applyAlignment="1">
      <alignment horizontal="center" vertical="center"/>
    </xf>
    <xf numFmtId="0" fontId="49" fillId="0" borderId="1" xfId="4" applyFont="1" applyBorder="1" applyAlignment="1">
      <alignment horizontal="center" vertical="center" wrapText="1"/>
    </xf>
    <xf numFmtId="0" fontId="63" fillId="0" borderId="0" xfId="20"/>
    <xf numFmtId="165" fontId="12" fillId="0" borderId="7" xfId="0" applyNumberFormat="1" applyFont="1" applyBorder="1"/>
    <xf numFmtId="3" fontId="8" fillId="0" borderId="1" xfId="0" applyNumberFormat="1" applyFont="1" applyBorder="1"/>
    <xf numFmtId="0" fontId="12" fillId="0" borderId="7" xfId="0" applyFont="1" applyBorder="1"/>
    <xf numFmtId="0" fontId="12" fillId="45" borderId="3" xfId="0" applyFont="1" applyFill="1" applyBorder="1"/>
    <xf numFmtId="1" fontId="8" fillId="48" borderId="0" xfId="0" applyNumberFormat="1" applyFont="1" applyFill="1" applyAlignment="1">
      <alignment horizontal="center"/>
    </xf>
    <xf numFmtId="9" fontId="5" fillId="0" borderId="1" xfId="10" applyFont="1" applyBorder="1" applyAlignment="1">
      <alignment horizontal="center" vertical="center"/>
    </xf>
    <xf numFmtId="165" fontId="66" fillId="15" borderId="7" xfId="0" applyNumberFormat="1" applyFont="1" applyFill="1" applyBorder="1"/>
    <xf numFmtId="0" fontId="0" fillId="51" borderId="0" xfId="0" applyFill="1"/>
    <xf numFmtId="0" fontId="41" fillId="43" borderId="5" xfId="17" applyFont="1" applyFill="1" applyBorder="1" applyAlignment="1">
      <alignment horizontal="center" vertical="center" wrapText="1"/>
    </xf>
    <xf numFmtId="1" fontId="3" fillId="0" borderId="3" xfId="17" applyNumberFormat="1" applyBorder="1" applyAlignment="1">
      <alignment horizontal="center" vertical="center"/>
    </xf>
    <xf numFmtId="187" fontId="38" fillId="0" borderId="6" xfId="17" applyNumberFormat="1" applyFont="1" applyBorder="1" applyAlignment="1">
      <alignment horizontal="center" vertical="center" wrapText="1"/>
    </xf>
    <xf numFmtId="0" fontId="38" fillId="42" borderId="8" xfId="14" applyFont="1" applyFill="1" applyBorder="1" applyAlignment="1">
      <alignment horizontal="center" vertical="center" wrapText="1"/>
    </xf>
    <xf numFmtId="0" fontId="38" fillId="0" borderId="6" xfId="14" applyFont="1" applyBorder="1" applyAlignment="1">
      <alignment wrapText="1"/>
    </xf>
    <xf numFmtId="0" fontId="39" fillId="0" borderId="0" xfId="14" applyFont="1" applyAlignment="1">
      <alignment vertical="center" wrapText="1"/>
    </xf>
    <xf numFmtId="0" fontId="40" fillId="0" borderId="1" xfId="14" applyFont="1" applyBorder="1" applyAlignment="1">
      <alignment horizontal="center" vertical="center" wrapText="1"/>
    </xf>
    <xf numFmtId="0" fontId="41" fillId="0" borderId="1" xfId="14" applyFont="1" applyBorder="1" applyAlignment="1">
      <alignment horizontal="center" vertical="center"/>
    </xf>
    <xf numFmtId="0" fontId="41" fillId="0" borderId="12" xfId="17" applyFont="1" applyBorder="1" applyAlignment="1">
      <alignment horizontal="center" vertical="center" wrapText="1"/>
    </xf>
    <xf numFmtId="0" fontId="41" fillId="0" borderId="5" xfId="17" applyFont="1" applyBorder="1" applyAlignment="1">
      <alignment horizontal="center" vertical="center" wrapText="1"/>
    </xf>
    <xf numFmtId="0" fontId="21" fillId="52" borderId="0" xfId="0" applyFont="1" applyFill="1" applyAlignment="1">
      <alignment horizontal="center" vertical="center" wrapText="1"/>
    </xf>
    <xf numFmtId="0" fontId="22" fillId="52" borderId="0" xfId="0" applyFont="1" applyFill="1" applyAlignment="1">
      <alignment horizontal="center" vertical="center" wrapText="1"/>
    </xf>
    <xf numFmtId="0" fontId="13" fillId="52" borderId="0" xfId="0" applyFont="1" applyFill="1" applyAlignment="1">
      <alignment horizontal="center" vertical="center"/>
    </xf>
    <xf numFmtId="166" fontId="13" fillId="52" borderId="0" xfId="0" applyNumberFormat="1" applyFont="1" applyFill="1" applyAlignment="1">
      <alignment horizontal="center" vertical="center"/>
    </xf>
    <xf numFmtId="0" fontId="5" fillId="52" borderId="0" xfId="0" applyFont="1" applyFill="1"/>
    <xf numFmtId="0" fontId="0" fillId="52" borderId="0" xfId="0" applyFill="1"/>
    <xf numFmtId="0" fontId="5" fillId="36" borderId="1" xfId="0" applyFont="1" applyFill="1" applyBorder="1" applyAlignment="1">
      <alignment horizontal="center" vertical="center"/>
    </xf>
    <xf numFmtId="2" fontId="5" fillId="36" borderId="1" xfId="0" applyNumberFormat="1" applyFont="1" applyFill="1" applyBorder="1" applyAlignment="1">
      <alignment horizontal="center" vertical="center"/>
    </xf>
    <xf numFmtId="9" fontId="5" fillId="36" borderId="1" xfId="10" applyFont="1" applyFill="1" applyBorder="1" applyAlignment="1">
      <alignment horizontal="center" vertical="center"/>
    </xf>
    <xf numFmtId="168" fontId="0" fillId="0" borderId="2" xfId="0" applyNumberFormat="1" applyBorder="1" applyAlignment="1">
      <alignment vertical="center"/>
    </xf>
    <xf numFmtId="0" fontId="66" fillId="36" borderId="7" xfId="0" applyFont="1" applyFill="1" applyBorder="1"/>
    <xf numFmtId="169" fontId="66" fillId="15" borderId="1" xfId="0" applyNumberFormat="1" applyFont="1" applyFill="1" applyBorder="1"/>
    <xf numFmtId="165" fontId="66" fillId="15" borderId="1" xfId="0" applyNumberFormat="1" applyFont="1" applyFill="1" applyBorder="1"/>
    <xf numFmtId="165" fontId="12" fillId="21" borderId="1" xfId="0" applyNumberFormat="1" applyFont="1" applyFill="1" applyBorder="1"/>
    <xf numFmtId="165" fontId="12" fillId="0" borderId="1" xfId="0" applyNumberFormat="1" applyFont="1" applyBorder="1"/>
    <xf numFmtId="0" fontId="12" fillId="0" borderId="1" xfId="0" applyFont="1" applyBorder="1"/>
    <xf numFmtId="165" fontId="66" fillId="47" borderId="1" xfId="18" applyNumberFormat="1" applyFont="1" applyFill="1" applyBorder="1" applyAlignment="1">
      <alignment horizontal="center" vertical="center"/>
    </xf>
    <xf numFmtId="3" fontId="47" fillId="0" borderId="0" xfId="20" applyNumberFormat="1" applyFont="1" applyAlignment="1">
      <alignment horizontal="center" vertical="center"/>
    </xf>
    <xf numFmtId="0" fontId="65" fillId="0" borderId="0" xfId="20" applyFont="1" applyAlignment="1">
      <alignment horizontal="center" vertical="center"/>
    </xf>
    <xf numFmtId="0" fontId="47" fillId="0" borderId="0" xfId="20" applyFont="1" applyAlignment="1">
      <alignment horizontal="left" vertical="center"/>
    </xf>
    <xf numFmtId="186" fontId="46" fillId="0" borderId="0" xfId="20" applyNumberFormat="1" applyFont="1" applyAlignment="1">
      <alignment horizontal="center" vertical="center"/>
    </xf>
    <xf numFmtId="0" fontId="46" fillId="0" borderId="0" xfId="20" applyFont="1" applyAlignment="1">
      <alignment horizontal="center" vertical="center" wrapText="1"/>
    </xf>
    <xf numFmtId="0" fontId="46" fillId="0" borderId="0" xfId="20" applyFont="1" applyAlignment="1">
      <alignment horizontal="center" vertical="center"/>
    </xf>
    <xf numFmtId="0" fontId="47" fillId="0" borderId="0" xfId="20" applyFont="1" applyAlignment="1">
      <alignment horizontal="right" vertical="center"/>
    </xf>
    <xf numFmtId="0" fontId="47" fillId="0" borderId="0" xfId="20" applyFont="1" applyAlignment="1">
      <alignment horizontal="center" vertical="center"/>
    </xf>
    <xf numFmtId="171" fontId="47" fillId="0" borderId="0" xfId="20" applyNumberFormat="1" applyFont="1" applyAlignment="1">
      <alignment horizontal="center" vertical="center"/>
    </xf>
    <xf numFmtId="4" fontId="46" fillId="0" borderId="0" xfId="20" applyNumberFormat="1" applyFont="1" applyAlignment="1">
      <alignment horizontal="center" vertical="center"/>
    </xf>
    <xf numFmtId="0" fontId="68" fillId="0" borderId="0" xfId="20" applyFont="1" applyAlignment="1">
      <alignment horizontal="center" vertical="center"/>
    </xf>
    <xf numFmtId="186" fontId="47" fillId="0" borderId="0" xfId="20" applyNumberFormat="1" applyFont="1" applyAlignment="1">
      <alignment horizontal="center" vertical="center"/>
    </xf>
    <xf numFmtId="0" fontId="5" fillId="0" borderId="0" xfId="20" applyFont="1" applyAlignment="1">
      <alignment horizontal="left" vertical="center"/>
    </xf>
    <xf numFmtId="191" fontId="23" fillId="0" borderId="0" xfId="20" applyNumberFormat="1" applyFont="1" applyAlignment="1">
      <alignment horizontal="center" vertical="center"/>
    </xf>
    <xf numFmtId="0" fontId="64" fillId="0" borderId="0" xfId="20" applyFont="1" applyAlignment="1">
      <alignment vertical="center"/>
    </xf>
    <xf numFmtId="0" fontId="47" fillId="0" borderId="0" xfId="20" applyFont="1" applyAlignment="1">
      <alignment vertical="center"/>
    </xf>
    <xf numFmtId="0" fontId="65" fillId="0" borderId="0" xfId="20" applyFont="1" applyAlignment="1">
      <alignment vertical="center"/>
    </xf>
    <xf numFmtId="0" fontId="55" fillId="0" borderId="0" xfId="20" applyFont="1" applyAlignment="1">
      <alignment vertical="center"/>
    </xf>
    <xf numFmtId="0" fontId="46" fillId="0" borderId="0" xfId="20" applyFont="1" applyAlignment="1">
      <alignment vertical="center"/>
    </xf>
    <xf numFmtId="4" fontId="0" fillId="0" borderId="0" xfId="0" applyNumberFormat="1"/>
    <xf numFmtId="0" fontId="62" fillId="0" borderId="0" xfId="9" applyFont="1"/>
    <xf numFmtId="0" fontId="62" fillId="0" borderId="0" xfId="9" applyFont="1" applyAlignment="1">
      <alignment horizontal="center"/>
    </xf>
    <xf numFmtId="0" fontId="66" fillId="15" borderId="1" xfId="0" applyFont="1" applyFill="1" applyBorder="1"/>
    <xf numFmtId="0" fontId="21" fillId="54" borderId="0" xfId="0" applyFont="1" applyFill="1" applyAlignment="1">
      <alignment horizontal="center" vertical="center" wrapText="1"/>
    </xf>
    <xf numFmtId="0" fontId="5" fillId="54" borderId="0" xfId="0" applyFont="1" applyFill="1" applyAlignment="1">
      <alignment horizontal="center" vertical="center"/>
    </xf>
    <xf numFmtId="0" fontId="22" fillId="54" borderId="0" xfId="0" applyFont="1" applyFill="1" applyAlignment="1">
      <alignment horizontal="center" vertical="center" wrapText="1"/>
    </xf>
    <xf numFmtId="166" fontId="13" fillId="54" borderId="0" xfId="0" applyNumberFormat="1" applyFont="1" applyFill="1" applyAlignment="1">
      <alignment horizontal="center" vertical="center"/>
    </xf>
    <xf numFmtId="9" fontId="0" fillId="54" borderId="0" xfId="0" applyNumberFormat="1" applyFill="1" applyAlignment="1">
      <alignment horizontal="center" vertical="center"/>
    </xf>
    <xf numFmtId="0" fontId="5" fillId="54" borderId="0" xfId="0" applyFont="1" applyFill="1"/>
    <xf numFmtId="0" fontId="2" fillId="0" borderId="0" xfId="21"/>
    <xf numFmtId="0" fontId="69" fillId="55" borderId="30" xfId="21" applyFont="1" applyFill="1" applyBorder="1" applyAlignment="1">
      <alignment horizontal="center" vertical="center"/>
    </xf>
    <xf numFmtId="0" fontId="69" fillId="0" borderId="30" xfId="21" applyFont="1" applyBorder="1" applyAlignment="1">
      <alignment horizontal="left" vertical="center"/>
    </xf>
    <xf numFmtId="3" fontId="69" fillId="0" borderId="30" xfId="21" applyNumberFormat="1" applyFont="1" applyBorder="1" applyAlignment="1">
      <alignment horizontal="right" vertical="center"/>
    </xf>
    <xf numFmtId="0" fontId="8" fillId="57" borderId="0" xfId="0" applyFont="1" applyFill="1" applyAlignment="1">
      <alignment horizontal="center" vertical="center"/>
    </xf>
    <xf numFmtId="0" fontId="0" fillId="58" borderId="0" xfId="0" applyFill="1"/>
    <xf numFmtId="0" fontId="0" fillId="59" borderId="0" xfId="0" applyFill="1"/>
    <xf numFmtId="0" fontId="0" fillId="60" borderId="0" xfId="0" applyFill="1"/>
    <xf numFmtId="0" fontId="5" fillId="60" borderId="0" xfId="0" applyFont="1" applyFill="1"/>
    <xf numFmtId="0" fontId="0" fillId="61" borderId="0" xfId="0" applyFill="1"/>
    <xf numFmtId="0" fontId="0" fillId="62" borderId="0" xfId="0" applyFill="1"/>
    <xf numFmtId="0" fontId="0" fillId="63" borderId="0" xfId="0" applyFill="1"/>
    <xf numFmtId="0" fontId="23" fillId="36" borderId="0" xfId="0" applyFont="1" applyFill="1" applyAlignment="1">
      <alignment horizontal="center" vertical="center"/>
    </xf>
    <xf numFmtId="0" fontId="0" fillId="64" borderId="0" xfId="0" applyFill="1"/>
    <xf numFmtId="0" fontId="8" fillId="65" borderId="0" xfId="0" applyFont="1" applyFill="1"/>
    <xf numFmtId="0" fontId="8" fillId="65" borderId="0" xfId="0" applyFont="1" applyFill="1" applyAlignment="1">
      <alignment horizontal="center"/>
    </xf>
    <xf numFmtId="1" fontId="8" fillId="65" borderId="0" xfId="0" applyNumberFormat="1" applyFont="1" applyFill="1" applyAlignment="1">
      <alignment horizontal="center" vertical="center"/>
    </xf>
    <xf numFmtId="0" fontId="62" fillId="0" borderId="0" xfId="21" applyFont="1"/>
    <xf numFmtId="0" fontId="72" fillId="0" borderId="33" xfId="0" applyFont="1" applyBorder="1" applyAlignment="1">
      <alignment horizontal="center" vertical="center" wrapText="1"/>
    </xf>
    <xf numFmtId="0" fontId="72" fillId="0" borderId="33" xfId="0" applyFont="1" applyBorder="1" applyAlignment="1">
      <alignment horizontal="center" vertical="center"/>
    </xf>
    <xf numFmtId="0" fontId="73" fillId="0" borderId="33" xfId="0" applyFont="1" applyBorder="1" applyAlignment="1">
      <alignment horizontal="center" vertical="center"/>
    </xf>
    <xf numFmtId="0" fontId="74" fillId="66" borderId="33" xfId="0" applyFont="1" applyFill="1" applyBorder="1" applyAlignment="1">
      <alignment horizontal="center" vertical="center"/>
    </xf>
    <xf numFmtId="0" fontId="20" fillId="67" borderId="33" xfId="0" applyFont="1" applyFill="1" applyBorder="1" applyAlignment="1">
      <alignment horizontal="center" vertical="center" wrapText="1"/>
    </xf>
    <xf numFmtId="0" fontId="22" fillId="0" borderId="0" xfId="0" applyFont="1" applyAlignment="1">
      <alignment vertical="center"/>
    </xf>
    <xf numFmtId="0" fontId="74" fillId="66" borderId="33" xfId="0" applyFont="1" applyFill="1" applyBorder="1" applyAlignment="1">
      <alignment horizontal="center" vertical="center" wrapText="1"/>
    </xf>
    <xf numFmtId="0" fontId="75" fillId="68" borderId="0" xfId="0" applyFont="1" applyFill="1" applyAlignment="1">
      <alignment horizontal="center" vertical="center" wrapText="1"/>
    </xf>
    <xf numFmtId="0" fontId="2" fillId="0" borderId="1" xfId="26" applyBorder="1" applyAlignment="1">
      <alignment vertical="center"/>
    </xf>
    <xf numFmtId="0" fontId="2" fillId="0" borderId="1" xfId="26" applyBorder="1" applyAlignment="1">
      <alignment horizontal="center" vertical="center"/>
    </xf>
    <xf numFmtId="1" fontId="38" fillId="0" borderId="1" xfId="26" applyNumberFormat="1" applyFont="1" applyBorder="1" applyAlignment="1">
      <alignment horizontal="center" vertical="center"/>
    </xf>
    <xf numFmtId="9" fontId="2" fillId="0" borderId="1" xfId="26" applyNumberFormat="1" applyBorder="1" applyAlignment="1">
      <alignment horizontal="center" vertical="center"/>
    </xf>
    <xf numFmtId="1" fontId="38" fillId="0" borderId="1" xfId="26" applyNumberFormat="1" applyFont="1" applyBorder="1" applyAlignment="1">
      <alignment horizontal="center" vertical="center" wrapText="1"/>
    </xf>
    <xf numFmtId="1" fontId="2" fillId="0" borderId="1" xfId="26" applyNumberFormat="1" applyBorder="1" applyAlignment="1">
      <alignment horizontal="center" vertical="center"/>
    </xf>
    <xf numFmtId="0" fontId="0" fillId="69" borderId="0" xfId="0" applyFill="1"/>
    <xf numFmtId="0" fontId="62" fillId="0" borderId="30" xfId="21" applyFont="1" applyBorder="1"/>
    <xf numFmtId="0" fontId="49" fillId="70" borderId="1" xfId="4" applyFont="1" applyFill="1" applyBorder="1" applyAlignment="1">
      <alignment horizontal="center" vertical="center" wrapText="1"/>
    </xf>
    <xf numFmtId="0" fontId="6" fillId="56" borderId="1" xfId="4" applyFill="1" applyBorder="1" applyAlignment="1">
      <alignment horizontal="center" vertical="center"/>
    </xf>
    <xf numFmtId="0" fontId="13" fillId="56" borderId="0" xfId="0" applyFont="1" applyFill="1" applyAlignment="1">
      <alignment wrapText="1"/>
    </xf>
    <xf numFmtId="0" fontId="0" fillId="56" borderId="0" xfId="0" applyFill="1"/>
    <xf numFmtId="0" fontId="20" fillId="56" borderId="0" xfId="0" applyFont="1" applyFill="1" applyAlignment="1">
      <alignment horizontal="center" vertical="center" wrapText="1"/>
    </xf>
    <xf numFmtId="0" fontId="23" fillId="56" borderId="0" xfId="0" applyFont="1" applyFill="1" applyAlignment="1">
      <alignment horizontal="center" vertical="center"/>
    </xf>
    <xf numFmtId="0" fontId="8" fillId="56" borderId="0" xfId="0" applyFont="1" applyFill="1" applyAlignment="1">
      <alignment horizontal="center" vertical="center"/>
    </xf>
    <xf numFmtId="165" fontId="8" fillId="56" borderId="0" xfId="0" applyNumberFormat="1" applyFont="1" applyFill="1" applyAlignment="1">
      <alignment horizontal="center" vertical="center"/>
    </xf>
    <xf numFmtId="0" fontId="5" fillId="56" borderId="0" xfId="0" applyFont="1" applyFill="1"/>
    <xf numFmtId="0" fontId="74" fillId="66" borderId="33" xfId="0" applyFont="1" applyFill="1" applyBorder="1" applyAlignment="1">
      <alignment vertical="center"/>
    </xf>
    <xf numFmtId="0" fontId="22" fillId="66" borderId="0" xfId="0" applyFont="1" applyFill="1" applyAlignment="1">
      <alignment vertical="center"/>
    </xf>
    <xf numFmtId="0" fontId="0" fillId="66" borderId="0" xfId="0" applyFill="1"/>
    <xf numFmtId="0" fontId="8" fillId="66" borderId="0" xfId="0" applyFont="1" applyFill="1" applyAlignment="1">
      <alignment horizontal="center" vertical="center"/>
    </xf>
    <xf numFmtId="0" fontId="10" fillId="12" borderId="0" xfId="0" applyFont="1" applyFill="1"/>
    <xf numFmtId="165" fontId="10" fillId="12" borderId="0" xfId="0" applyNumberFormat="1" applyFont="1" applyFill="1" applyAlignment="1">
      <alignment horizontal="center" vertical="center"/>
    </xf>
    <xf numFmtId="0" fontId="74" fillId="66" borderId="34" xfId="0" applyFont="1" applyFill="1" applyBorder="1" applyAlignment="1">
      <alignment vertical="center"/>
    </xf>
    <xf numFmtId="0" fontId="28" fillId="71" borderId="0" xfId="0" applyFont="1" applyFill="1" applyAlignment="1">
      <alignment horizontal="center" vertical="center"/>
    </xf>
    <xf numFmtId="164" fontId="5" fillId="0" borderId="0" xfId="0" applyNumberFormat="1" applyFont="1"/>
    <xf numFmtId="0" fontId="69" fillId="55" borderId="1" xfId="21" applyFont="1" applyFill="1" applyBorder="1" applyAlignment="1">
      <alignment horizontal="center" vertical="center"/>
    </xf>
    <xf numFmtId="0" fontId="69" fillId="0" borderId="1" xfId="21" applyFont="1" applyBorder="1" applyAlignment="1">
      <alignment horizontal="left" vertical="center"/>
    </xf>
    <xf numFmtId="0" fontId="62" fillId="0" borderId="1" xfId="21" applyFont="1" applyBorder="1"/>
    <xf numFmtId="3" fontId="69" fillId="0" borderId="1" xfId="21" applyNumberFormat="1" applyFont="1" applyBorder="1" applyAlignment="1">
      <alignment horizontal="right" vertical="center"/>
    </xf>
    <xf numFmtId="0" fontId="17" fillId="0" borderId="0" xfId="9" applyFont="1" applyAlignment="1">
      <alignment horizontal="center" vertical="center"/>
    </xf>
    <xf numFmtId="0" fontId="13" fillId="0" borderId="0" xfId="0" applyFont="1" applyAlignment="1">
      <alignment horizontal="left" vertical="center" wrapText="1"/>
    </xf>
    <xf numFmtId="169" fontId="0" fillId="0" borderId="0" xfId="0" applyNumberFormat="1" applyAlignment="1">
      <alignment vertical="center"/>
    </xf>
    <xf numFmtId="169" fontId="19" fillId="0" borderId="0" xfId="0" applyNumberFormat="1" applyFont="1"/>
    <xf numFmtId="0" fontId="22" fillId="72" borderId="0" xfId="0" applyFont="1" applyFill="1" applyAlignment="1">
      <alignment horizontal="center" vertical="center"/>
    </xf>
    <xf numFmtId="176" fontId="27" fillId="73" borderId="0" xfId="0" applyNumberFormat="1" applyFont="1" applyFill="1"/>
    <xf numFmtId="0" fontId="28" fillId="72" borderId="0" xfId="0" applyFont="1" applyFill="1" applyAlignment="1">
      <alignment horizontal="center" vertical="center"/>
    </xf>
    <xf numFmtId="177" fontId="27" fillId="73" borderId="0" xfId="0" applyNumberFormat="1" applyFont="1" applyFill="1"/>
    <xf numFmtId="169" fontId="27" fillId="73" borderId="0" xfId="0" applyNumberFormat="1" applyFont="1" applyFill="1"/>
    <xf numFmtId="0" fontId="12" fillId="56" borderId="0" xfId="0" applyFont="1" applyFill="1" applyAlignment="1">
      <alignment horizontal="center" vertical="center"/>
    </xf>
    <xf numFmtId="1" fontId="0" fillId="56" borderId="0" xfId="0" applyNumberFormat="1" applyFill="1"/>
    <xf numFmtId="175" fontId="0" fillId="0" borderId="0" xfId="0" applyNumberFormat="1" applyAlignment="1">
      <alignment vertical="center"/>
    </xf>
    <xf numFmtId="9" fontId="0" fillId="0" borderId="0" xfId="0" applyNumberFormat="1" applyAlignment="1">
      <alignment vertical="center"/>
    </xf>
    <xf numFmtId="1" fontId="0" fillId="0" borderId="0" xfId="0" applyNumberFormat="1" applyAlignment="1">
      <alignment vertical="center"/>
    </xf>
    <xf numFmtId="165" fontId="0" fillId="0" borderId="0" xfId="0" applyNumberFormat="1" applyAlignment="1">
      <alignment horizontal="center" vertical="center"/>
    </xf>
    <xf numFmtId="0" fontId="46" fillId="0" borderId="0" xfId="9" applyFont="1" applyAlignment="1">
      <alignment horizontal="left" vertical="center"/>
    </xf>
    <xf numFmtId="0" fontId="54" fillId="0" borderId="0" xfId="9" applyFont="1" applyAlignment="1">
      <alignment horizontal="left" vertical="center"/>
    </xf>
    <xf numFmtId="0" fontId="45" fillId="0" borderId="0" xfId="9" applyFont="1"/>
    <xf numFmtId="170" fontId="54" fillId="0" borderId="0" xfId="9" applyNumberFormat="1" applyFont="1" applyAlignment="1">
      <alignment horizontal="left" vertical="center"/>
    </xf>
    <xf numFmtId="0" fontId="47" fillId="0" borderId="0" xfId="9" applyFont="1" applyAlignment="1">
      <alignment horizontal="left" vertical="center"/>
    </xf>
    <xf numFmtId="0" fontId="46" fillId="0" borderId="0" xfId="9" applyFont="1" applyAlignment="1">
      <alignment horizontal="center" vertical="center" wrapText="1"/>
    </xf>
    <xf numFmtId="4" fontId="47" fillId="0" borderId="0" xfId="9" applyNumberFormat="1" applyFont="1" applyAlignment="1">
      <alignment horizontal="left" vertical="center"/>
    </xf>
    <xf numFmtId="171" fontId="47" fillId="0" borderId="0" xfId="9" applyNumberFormat="1" applyFont="1" applyAlignment="1">
      <alignment horizontal="left" vertical="center"/>
    </xf>
    <xf numFmtId="0" fontId="48" fillId="0" borderId="0" xfId="4" applyFont="1" applyAlignment="1">
      <alignment horizontal="center" vertical="center"/>
    </xf>
    <xf numFmtId="1" fontId="7" fillId="0" borderId="0" xfId="9" applyNumberFormat="1" applyAlignment="1">
      <alignment horizontal="center" vertical="center"/>
    </xf>
    <xf numFmtId="0" fontId="49" fillId="0" borderId="0" xfId="9" applyFont="1" applyAlignment="1">
      <alignment horizontal="center" vertical="center" wrapText="1"/>
    </xf>
    <xf numFmtId="4" fontId="46" fillId="0" borderId="0" xfId="9" applyNumberFormat="1" applyFont="1" applyAlignment="1">
      <alignment horizontal="left" vertical="center"/>
    </xf>
    <xf numFmtId="165" fontId="37" fillId="0" borderId="1" xfId="14" applyNumberFormat="1" applyBorder="1" applyAlignment="1">
      <alignment horizontal="center"/>
    </xf>
    <xf numFmtId="165" fontId="19" fillId="0" borderId="0" xfId="0" applyNumberFormat="1" applyFont="1"/>
    <xf numFmtId="176" fontId="0" fillId="0" borderId="0" xfId="0" applyNumberFormat="1"/>
    <xf numFmtId="181" fontId="27" fillId="31" borderId="0" xfId="0" applyNumberFormat="1" applyFont="1" applyFill="1"/>
    <xf numFmtId="181" fontId="0" fillId="0" borderId="0" xfId="0" applyNumberFormat="1"/>
    <xf numFmtId="181" fontId="13" fillId="0" borderId="0" xfId="0" applyNumberFormat="1" applyFont="1" applyAlignment="1">
      <alignment wrapText="1"/>
    </xf>
    <xf numFmtId="176" fontId="13" fillId="0" borderId="0" xfId="0" applyNumberFormat="1" applyFont="1" applyAlignment="1">
      <alignment wrapText="1"/>
    </xf>
    <xf numFmtId="0" fontId="37" fillId="0" borderId="1" xfId="14" applyBorder="1"/>
    <xf numFmtId="0" fontId="18" fillId="74" borderId="0" xfId="0" applyFont="1" applyFill="1"/>
    <xf numFmtId="193" fontId="27" fillId="31" borderId="0" xfId="0" applyNumberFormat="1" applyFont="1" applyFill="1"/>
    <xf numFmtId="193" fontId="0" fillId="0" borderId="0" xfId="0" applyNumberFormat="1"/>
    <xf numFmtId="193" fontId="13" fillId="0" borderId="0" xfId="0" applyNumberFormat="1" applyFont="1" applyAlignment="1">
      <alignment wrapText="1"/>
    </xf>
    <xf numFmtId="0" fontId="8" fillId="0" borderId="1" xfId="21" applyFont="1" applyBorder="1"/>
    <xf numFmtId="176" fontId="5" fillId="0" borderId="0" xfId="0" applyNumberFormat="1" applyFont="1"/>
    <xf numFmtId="176" fontId="28" fillId="30" borderId="0" xfId="0" applyNumberFormat="1" applyFont="1" applyFill="1" applyAlignment="1">
      <alignment horizontal="center" vertical="center"/>
    </xf>
    <xf numFmtId="176" fontId="28" fillId="71" borderId="0" xfId="0" applyNumberFormat="1" applyFont="1" applyFill="1" applyAlignment="1">
      <alignment horizontal="center" vertical="center"/>
    </xf>
    <xf numFmtId="176" fontId="27" fillId="31" borderId="0" xfId="0" applyNumberFormat="1" applyFont="1" applyFill="1" applyAlignment="1">
      <alignment vertical="center"/>
    </xf>
    <xf numFmtId="176" fontId="0" fillId="0" borderId="0" xfId="0" applyNumberFormat="1" applyAlignment="1">
      <alignment vertical="center"/>
    </xf>
    <xf numFmtId="176" fontId="13" fillId="0" borderId="0" xfId="0" applyNumberFormat="1" applyFont="1" applyAlignment="1">
      <alignment vertical="center" wrapText="1"/>
    </xf>
    <xf numFmtId="176" fontId="5" fillId="0" borderId="0" xfId="0" applyNumberFormat="1" applyFont="1" applyAlignment="1">
      <alignment vertical="center"/>
    </xf>
    <xf numFmtId="176" fontId="20" fillId="14" borderId="1" xfId="0" applyNumberFormat="1" applyFont="1" applyFill="1" applyBorder="1" applyAlignment="1">
      <alignment vertical="center" wrapText="1"/>
    </xf>
    <xf numFmtId="176" fontId="23" fillId="14" borderId="1" xfId="0" applyNumberFormat="1" applyFont="1" applyFill="1" applyBorder="1" applyAlignment="1">
      <alignment vertical="center"/>
    </xf>
    <xf numFmtId="176" fontId="23" fillId="20" borderId="12" xfId="0" applyNumberFormat="1" applyFont="1" applyFill="1" applyBorder="1" applyAlignment="1">
      <alignment vertical="center" wrapText="1"/>
    </xf>
    <xf numFmtId="176" fontId="20" fillId="20" borderId="1" xfId="0" applyNumberFormat="1" applyFont="1" applyFill="1" applyBorder="1" applyAlignment="1">
      <alignment vertical="center" wrapText="1"/>
    </xf>
    <xf numFmtId="176" fontId="13" fillId="0" borderId="1" xfId="0" applyNumberFormat="1" applyFont="1" applyBorder="1" applyAlignment="1">
      <alignment vertical="center" wrapText="1"/>
    </xf>
    <xf numFmtId="176" fontId="13" fillId="0" borderId="1" xfId="0" applyNumberFormat="1" applyFont="1" applyBorder="1" applyAlignment="1">
      <alignment vertical="center"/>
    </xf>
    <xf numFmtId="176" fontId="0" fillId="0" borderId="1" xfId="0" applyNumberFormat="1" applyBorder="1" applyAlignment="1">
      <alignment vertical="center"/>
    </xf>
    <xf numFmtId="176" fontId="22" fillId="30" borderId="0" xfId="0" applyNumberFormat="1" applyFont="1" applyFill="1" applyAlignment="1">
      <alignment vertical="center"/>
    </xf>
    <xf numFmtId="176" fontId="28" fillId="30" borderId="0" xfId="0" applyNumberFormat="1" applyFont="1" applyFill="1" applyAlignment="1">
      <alignment vertical="center"/>
    </xf>
    <xf numFmtId="176" fontId="28" fillId="71" borderId="0" xfId="0" applyNumberFormat="1" applyFont="1" applyFill="1" applyAlignment="1">
      <alignment vertical="center"/>
    </xf>
    <xf numFmtId="0" fontId="8" fillId="76" borderId="1" xfId="0" applyFont="1" applyFill="1" applyBorder="1" applyAlignment="1">
      <alignment horizontal="center"/>
    </xf>
    <xf numFmtId="0" fontId="8" fillId="76" borderId="1" xfId="0" applyFont="1" applyFill="1" applyBorder="1"/>
    <xf numFmtId="0" fontId="8" fillId="76" borderId="1" xfId="0" applyFont="1" applyFill="1" applyBorder="1" applyAlignment="1">
      <alignment horizontal="left"/>
    </xf>
    <xf numFmtId="0" fontId="0" fillId="37" borderId="0" xfId="0" applyFill="1"/>
    <xf numFmtId="0" fontId="69" fillId="0" borderId="0" xfId="21" applyFont="1" applyAlignment="1">
      <alignment horizontal="center" vertical="center"/>
    </xf>
    <xf numFmtId="0" fontId="69" fillId="0" borderId="0" xfId="21" applyFont="1" applyAlignment="1">
      <alignment horizontal="left" vertical="center"/>
    </xf>
    <xf numFmtId="3" fontId="69" fillId="0" borderId="0" xfId="21" applyNumberFormat="1" applyFont="1" applyAlignment="1">
      <alignment horizontal="right" vertical="center"/>
    </xf>
    <xf numFmtId="3" fontId="8" fillId="0" borderId="0" xfId="0" applyNumberFormat="1" applyFont="1"/>
    <xf numFmtId="0" fontId="8" fillId="0" borderId="0" xfId="0" applyFont="1" applyAlignment="1">
      <alignment horizontal="left"/>
    </xf>
    <xf numFmtId="0" fontId="8" fillId="0" borderId="0" xfId="21" applyFont="1"/>
    <xf numFmtId="194" fontId="5" fillId="0" borderId="1" xfId="12" applyNumberFormat="1" applyFont="1" applyBorder="1" applyAlignment="1">
      <alignment horizontal="center"/>
    </xf>
    <xf numFmtId="166" fontId="49" fillId="0" borderId="1" xfId="4" applyNumberFormat="1" applyFont="1" applyBorder="1" applyAlignment="1">
      <alignment horizontal="center" vertical="center" wrapText="1"/>
    </xf>
    <xf numFmtId="0" fontId="49" fillId="50" borderId="3" xfId="4" applyFont="1" applyFill="1" applyBorder="1" applyAlignment="1">
      <alignment horizontal="center" vertical="center" wrapText="1"/>
    </xf>
    <xf numFmtId="0" fontId="20" fillId="13" borderId="1" xfId="9" applyFont="1" applyFill="1" applyBorder="1" applyAlignment="1">
      <alignment horizontal="center" vertical="center" wrapText="1"/>
    </xf>
    <xf numFmtId="0" fontId="13" fillId="20" borderId="0" xfId="9" applyFont="1" applyFill="1" applyAlignment="1">
      <alignment horizontal="center" vertical="center" wrapText="1"/>
    </xf>
    <xf numFmtId="0" fontId="23" fillId="42" borderId="0" xfId="4" applyFont="1" applyFill="1" applyAlignment="1">
      <alignment horizontal="center" vertical="center"/>
    </xf>
    <xf numFmtId="0" fontId="23" fillId="36" borderId="0" xfId="4" applyFont="1" applyFill="1" applyAlignment="1">
      <alignment horizontal="center" vertical="center"/>
    </xf>
    <xf numFmtId="0" fontId="61" fillId="19" borderId="5" xfId="4" applyFont="1" applyFill="1" applyBorder="1" applyAlignment="1">
      <alignment vertical="center" wrapText="1"/>
    </xf>
    <xf numFmtId="0" fontId="53" fillId="20" borderId="1" xfId="4" applyFont="1" applyFill="1" applyBorder="1" applyAlignment="1">
      <alignment horizontal="center" vertical="center" wrapText="1"/>
    </xf>
    <xf numFmtId="165" fontId="53" fillId="50" borderId="1" xfId="11" applyNumberFormat="1" applyFont="1" applyFill="1" applyBorder="1" applyAlignment="1">
      <alignment horizontal="center" vertical="center" wrapText="1"/>
    </xf>
    <xf numFmtId="0" fontId="38" fillId="56" borderId="1" xfId="4" applyFont="1" applyFill="1" applyBorder="1" applyAlignment="1">
      <alignment horizontal="center" vertical="center" wrapText="1"/>
    </xf>
    <xf numFmtId="0" fontId="38" fillId="0" borderId="1" xfId="4" applyFont="1" applyBorder="1" applyAlignment="1">
      <alignment horizontal="center" vertical="center"/>
    </xf>
    <xf numFmtId="166" fontId="6" fillId="0" borderId="1" xfId="4" applyNumberFormat="1" applyBorder="1" applyAlignment="1">
      <alignment horizontal="center" vertical="center"/>
    </xf>
    <xf numFmtId="165" fontId="6" fillId="0" borderId="1" xfId="4" applyNumberFormat="1" applyBorder="1" applyAlignment="1">
      <alignment horizontal="center" vertical="center"/>
    </xf>
    <xf numFmtId="0" fontId="49" fillId="0" borderId="1" xfId="4" applyFont="1" applyBorder="1" applyAlignment="1">
      <alignment horizontal="center" vertical="center"/>
    </xf>
    <xf numFmtId="166" fontId="49" fillId="0" borderId="1" xfId="11" applyFont="1" applyBorder="1" applyAlignment="1">
      <alignment horizontal="center" vertical="center" wrapText="1"/>
    </xf>
    <xf numFmtId="0" fontId="17" fillId="46" borderId="11" xfId="9" applyFont="1" applyFill="1" applyBorder="1" applyAlignment="1">
      <alignment horizontal="center" vertical="center"/>
    </xf>
    <xf numFmtId="175" fontId="6" fillId="0" borderId="1" xfId="4" applyNumberFormat="1" applyBorder="1" applyAlignment="1">
      <alignment horizontal="center" vertical="center"/>
    </xf>
    <xf numFmtId="0" fontId="21" fillId="27" borderId="1" xfId="9" applyFont="1" applyFill="1" applyBorder="1" applyAlignment="1">
      <alignment wrapText="1"/>
    </xf>
    <xf numFmtId="9" fontId="6" fillId="36" borderId="0" xfId="4" applyNumberFormat="1" applyFill="1" applyAlignment="1">
      <alignment horizontal="center" vertical="center"/>
    </xf>
    <xf numFmtId="165" fontId="7" fillId="0" borderId="0" xfId="11" applyNumberFormat="1" applyAlignment="1">
      <alignment horizontal="center" vertical="center"/>
    </xf>
    <xf numFmtId="165" fontId="7" fillId="0" borderId="0" xfId="9" applyNumberFormat="1" applyAlignment="1">
      <alignment horizontal="center" vertical="center"/>
    </xf>
    <xf numFmtId="0" fontId="15" fillId="0" borderId="0" xfId="9" applyFont="1" applyAlignment="1">
      <alignment horizontal="center" vertical="center"/>
    </xf>
    <xf numFmtId="0" fontId="7" fillId="0" borderId="0" xfId="9" applyAlignment="1">
      <alignment horizontal="center" vertical="center"/>
    </xf>
    <xf numFmtId="0" fontId="49" fillId="49" borderId="1" xfId="4" applyFont="1" applyFill="1" applyBorder="1" applyAlignment="1">
      <alignment vertical="center" wrapText="1"/>
    </xf>
    <xf numFmtId="175" fontId="49" fillId="0" borderId="1" xfId="4" applyNumberFormat="1" applyFont="1" applyBorder="1" applyAlignment="1">
      <alignment vertical="center"/>
    </xf>
    <xf numFmtId="175" fontId="49" fillId="0" borderId="1" xfId="4" applyNumberFormat="1" applyFont="1" applyBorder="1" applyAlignment="1">
      <alignment horizontal="center" vertical="center"/>
    </xf>
    <xf numFmtId="0" fontId="38" fillId="0" borderId="1" xfId="4" applyFont="1" applyBorder="1" applyAlignment="1">
      <alignment horizontal="center" vertical="center" wrapText="1"/>
    </xf>
    <xf numFmtId="164" fontId="6" fillId="0" borderId="0" xfId="4" applyNumberFormat="1" applyAlignment="1">
      <alignment horizontal="center" vertical="center"/>
    </xf>
    <xf numFmtId="0" fontId="78" fillId="0" borderId="1" xfId="0" applyFont="1" applyBorder="1" applyAlignment="1">
      <alignment horizontal="center" wrapText="1"/>
    </xf>
    <xf numFmtId="194" fontId="6" fillId="0" borderId="0" xfId="12" applyNumberFormat="1" applyFont="1" applyAlignment="1">
      <alignment horizontal="center" vertical="center"/>
    </xf>
    <xf numFmtId="9" fontId="49" fillId="0" borderId="1" xfId="10" applyFont="1" applyBorder="1" applyAlignment="1">
      <alignment vertical="center"/>
    </xf>
    <xf numFmtId="9" fontId="49" fillId="0" borderId="1" xfId="10" applyFont="1" applyBorder="1" applyAlignment="1">
      <alignment horizontal="center" vertical="center"/>
    </xf>
    <xf numFmtId="0" fontId="8" fillId="78" borderId="0" xfId="0" applyFont="1" applyFill="1" applyAlignment="1">
      <alignment horizontal="center" vertical="center" wrapText="1"/>
    </xf>
    <xf numFmtId="0" fontId="8" fillId="78" borderId="0" xfId="0" applyFont="1" applyFill="1" applyAlignment="1">
      <alignment horizontal="center" vertical="center"/>
    </xf>
    <xf numFmtId="165" fontId="79" fillId="0" borderId="0" xfId="0" applyNumberFormat="1" applyFont="1"/>
    <xf numFmtId="166" fontId="79" fillId="0" borderId="0" xfId="0" applyNumberFormat="1" applyFont="1"/>
    <xf numFmtId="168" fontId="8" fillId="5" borderId="0" xfId="0" applyNumberFormat="1" applyFont="1" applyFill="1"/>
    <xf numFmtId="0" fontId="8" fillId="36" borderId="0" xfId="0" applyFont="1" applyFill="1"/>
    <xf numFmtId="168" fontId="13" fillId="36" borderId="1" xfId="0" applyNumberFormat="1" applyFont="1" applyFill="1" applyBorder="1" applyAlignment="1">
      <alignment horizontal="center" vertical="center" wrapText="1"/>
    </xf>
    <xf numFmtId="166" fontId="8" fillId="11" borderId="0" xfId="0" applyNumberFormat="1" applyFont="1" applyFill="1" applyAlignment="1">
      <alignment horizontal="center" vertical="center"/>
    </xf>
    <xf numFmtId="165" fontId="8" fillId="79" borderId="0" xfId="0" applyNumberFormat="1" applyFont="1" applyFill="1" applyAlignment="1">
      <alignment horizontal="center" vertical="center"/>
    </xf>
    <xf numFmtId="166" fontId="8" fillId="79" borderId="0" xfId="0" applyNumberFormat="1" applyFont="1" applyFill="1" applyAlignment="1">
      <alignment horizontal="center" vertical="center"/>
    </xf>
    <xf numFmtId="2" fontId="8" fillId="80" borderId="0" xfId="0" applyNumberFormat="1" applyFont="1" applyFill="1" applyAlignment="1">
      <alignment horizontal="center" vertical="center"/>
    </xf>
    <xf numFmtId="166" fontId="8" fillId="8" borderId="0" xfId="0" applyNumberFormat="1" applyFont="1" applyFill="1" applyAlignment="1">
      <alignment horizontal="center" vertical="center"/>
    </xf>
    <xf numFmtId="166" fontId="8" fillId="9" borderId="0" xfId="0" applyNumberFormat="1" applyFont="1" applyFill="1" applyAlignment="1">
      <alignment horizontal="center" vertical="center"/>
    </xf>
    <xf numFmtId="166" fontId="8" fillId="7" borderId="0" xfId="0" applyNumberFormat="1" applyFont="1" applyFill="1" applyAlignment="1">
      <alignment horizontal="center" vertical="center"/>
    </xf>
    <xf numFmtId="0" fontId="8" fillId="81" borderId="0" xfId="0" applyFont="1" applyFill="1"/>
    <xf numFmtId="0" fontId="8" fillId="81" borderId="0" xfId="0" applyFont="1" applyFill="1" applyAlignment="1">
      <alignment horizontal="center"/>
    </xf>
    <xf numFmtId="1" fontId="8" fillId="81" borderId="0" xfId="0" applyNumberFormat="1" applyFont="1" applyFill="1" applyAlignment="1">
      <alignment horizontal="center" vertical="center"/>
    </xf>
    <xf numFmtId="165" fontId="8" fillId="81" borderId="0" xfId="0" applyNumberFormat="1" applyFont="1" applyFill="1"/>
    <xf numFmtId="2" fontId="8" fillId="81" borderId="0" xfId="0" applyNumberFormat="1" applyFont="1" applyFill="1" applyAlignment="1">
      <alignment horizontal="center" vertical="center"/>
    </xf>
    <xf numFmtId="165" fontId="8" fillId="81" borderId="0" xfId="0" applyNumberFormat="1" applyFont="1" applyFill="1" applyAlignment="1">
      <alignment horizontal="center" vertical="center"/>
    </xf>
    <xf numFmtId="166" fontId="8" fillId="81" borderId="0" xfId="0" applyNumberFormat="1" applyFont="1" applyFill="1" applyAlignment="1">
      <alignment horizontal="center" vertical="center"/>
    </xf>
    <xf numFmtId="0" fontId="8" fillId="82" borderId="0" xfId="0" applyFont="1" applyFill="1"/>
    <xf numFmtId="0" fontId="8" fillId="82" borderId="0" xfId="0" applyFont="1" applyFill="1" applyAlignment="1">
      <alignment horizontal="center"/>
    </xf>
    <xf numFmtId="1" fontId="8" fillId="82" borderId="0" xfId="0" applyNumberFormat="1" applyFont="1" applyFill="1" applyAlignment="1">
      <alignment horizontal="center" vertical="center"/>
    </xf>
    <xf numFmtId="165" fontId="8" fillId="82" borderId="0" xfId="0" applyNumberFormat="1" applyFont="1" applyFill="1"/>
    <xf numFmtId="2" fontId="8" fillId="82" borderId="0" xfId="0" applyNumberFormat="1" applyFont="1" applyFill="1" applyAlignment="1">
      <alignment horizontal="center" vertical="center"/>
    </xf>
    <xf numFmtId="168" fontId="8" fillId="82" borderId="0" xfId="0" applyNumberFormat="1" applyFont="1" applyFill="1" applyAlignment="1">
      <alignment horizontal="center"/>
    </xf>
    <xf numFmtId="165" fontId="8" fillId="82" borderId="0" xfId="0" applyNumberFormat="1" applyFont="1" applyFill="1" applyAlignment="1">
      <alignment horizontal="center" vertical="center"/>
    </xf>
    <xf numFmtId="0" fontId="8" fillId="83" borderId="0" xfId="0" applyFont="1" applyFill="1"/>
    <xf numFmtId="0" fontId="8" fillId="83" borderId="0" xfId="0" applyFont="1" applyFill="1" applyAlignment="1">
      <alignment horizontal="center"/>
    </xf>
    <xf numFmtId="1" fontId="8" fillId="83" borderId="0" xfId="0" applyNumberFormat="1" applyFont="1" applyFill="1" applyAlignment="1">
      <alignment horizontal="center" vertical="center"/>
    </xf>
    <xf numFmtId="165" fontId="8" fillId="83" borderId="0" xfId="0" applyNumberFormat="1" applyFont="1" applyFill="1"/>
    <xf numFmtId="2" fontId="8" fillId="83" borderId="0" xfId="0" applyNumberFormat="1" applyFont="1" applyFill="1" applyAlignment="1">
      <alignment horizontal="center" vertical="center"/>
    </xf>
    <xf numFmtId="165" fontId="8" fillId="83" borderId="0" xfId="0" applyNumberFormat="1" applyFont="1" applyFill="1" applyAlignment="1">
      <alignment horizontal="center" vertical="center"/>
    </xf>
    <xf numFmtId="166" fontId="8" fillId="83" borderId="0" xfId="0" applyNumberFormat="1" applyFont="1" applyFill="1" applyAlignment="1">
      <alignment horizontal="center" vertical="center"/>
    </xf>
    <xf numFmtId="0" fontId="8" fillId="84" borderId="0" xfId="0" applyFont="1" applyFill="1"/>
    <xf numFmtId="0" fontId="8" fillId="84" borderId="0" xfId="0" applyFont="1" applyFill="1" applyAlignment="1">
      <alignment horizontal="center"/>
    </xf>
    <xf numFmtId="1" fontId="8" fillId="84" borderId="0" xfId="0" applyNumberFormat="1" applyFont="1" applyFill="1" applyAlignment="1">
      <alignment horizontal="center" vertical="center"/>
    </xf>
    <xf numFmtId="165" fontId="8" fillId="84" borderId="0" xfId="0" applyNumberFormat="1" applyFont="1" applyFill="1"/>
    <xf numFmtId="2" fontId="8" fillId="84" borderId="0" xfId="0" applyNumberFormat="1" applyFont="1" applyFill="1" applyAlignment="1">
      <alignment horizontal="center" vertical="center"/>
    </xf>
    <xf numFmtId="165" fontId="8" fillId="84" borderId="0" xfId="0" applyNumberFormat="1" applyFont="1" applyFill="1" applyAlignment="1">
      <alignment horizontal="center" vertical="center"/>
    </xf>
    <xf numFmtId="166" fontId="8" fillId="84" borderId="0" xfId="0" applyNumberFormat="1" applyFont="1" applyFill="1" applyAlignment="1">
      <alignment horizontal="center" vertical="center"/>
    </xf>
    <xf numFmtId="0" fontId="8" fillId="85" borderId="0" xfId="0" applyFont="1" applyFill="1"/>
    <xf numFmtId="0" fontId="8" fillId="85" borderId="0" xfId="0" applyFont="1" applyFill="1" applyAlignment="1">
      <alignment horizontal="center"/>
    </xf>
    <xf numFmtId="1" fontId="8" fillId="85" borderId="0" xfId="0" applyNumberFormat="1" applyFont="1" applyFill="1" applyAlignment="1">
      <alignment horizontal="center"/>
    </xf>
    <xf numFmtId="165" fontId="8" fillId="85" borderId="0" xfId="0" applyNumberFormat="1" applyFont="1" applyFill="1"/>
    <xf numFmtId="166" fontId="8" fillId="85" borderId="0" xfId="0" applyNumberFormat="1" applyFont="1" applyFill="1"/>
    <xf numFmtId="0" fontId="15" fillId="86" borderId="0" xfId="0" applyFont="1" applyFill="1" applyAlignment="1">
      <alignment horizontal="center" vertical="center"/>
    </xf>
    <xf numFmtId="0" fontId="15" fillId="86" borderId="0" xfId="0" applyFont="1" applyFill="1" applyAlignment="1">
      <alignment horizontal="center" vertical="center" wrapText="1"/>
    </xf>
    <xf numFmtId="0" fontId="8" fillId="86" borderId="0" xfId="0" applyFont="1" applyFill="1" applyAlignment="1">
      <alignment horizontal="center" vertical="center" wrapText="1"/>
    </xf>
    <xf numFmtId="0" fontId="8" fillId="86" borderId="0" xfId="0" applyFont="1" applyFill="1" applyAlignment="1">
      <alignment horizontal="center" vertical="center"/>
    </xf>
    <xf numFmtId="0" fontId="8" fillId="90" borderId="0" xfId="0" applyFont="1" applyFill="1"/>
    <xf numFmtId="0" fontId="8" fillId="90" borderId="0" xfId="0" applyFont="1" applyFill="1" applyAlignment="1">
      <alignment horizontal="center"/>
    </xf>
    <xf numFmtId="2" fontId="0" fillId="0" borderId="0" xfId="0" applyNumberFormat="1" applyAlignment="1">
      <alignment horizontal="center" vertical="center"/>
    </xf>
    <xf numFmtId="165" fontId="8" fillId="85" borderId="0" xfId="0" applyNumberFormat="1" applyFont="1" applyFill="1" applyAlignment="1">
      <alignment horizontal="center" vertical="center"/>
    </xf>
    <xf numFmtId="165" fontId="8" fillId="6" borderId="0" xfId="0" applyNumberFormat="1" applyFont="1" applyFill="1" applyAlignment="1">
      <alignment horizontal="center" vertical="center"/>
    </xf>
    <xf numFmtId="165" fontId="79" fillId="0" borderId="0" xfId="0" applyNumberFormat="1" applyFont="1" applyAlignment="1">
      <alignment horizontal="center" vertical="center"/>
    </xf>
    <xf numFmtId="165" fontId="8" fillId="5" borderId="0" xfId="0" applyNumberFormat="1" applyFont="1" applyFill="1" applyAlignment="1">
      <alignment horizontal="center" vertical="center"/>
    </xf>
    <xf numFmtId="1" fontId="8" fillId="83" borderId="0" xfId="0" applyNumberFormat="1" applyFont="1" applyFill="1" applyAlignment="1">
      <alignment horizontal="center"/>
    </xf>
    <xf numFmtId="166" fontId="8" fillId="12" borderId="0" xfId="0" applyNumberFormat="1" applyFont="1" applyFill="1"/>
    <xf numFmtId="0" fontId="8" fillId="83" borderId="0" xfId="0" applyFont="1" applyFill="1" applyAlignment="1">
      <alignment horizontal="right" vertical="center"/>
    </xf>
    <xf numFmtId="0" fontId="8" fillId="82" borderId="0" xfId="0" applyFont="1" applyFill="1" applyAlignment="1">
      <alignment horizontal="right" vertical="center"/>
    </xf>
    <xf numFmtId="165" fontId="8" fillId="81" borderId="0" xfId="0" applyNumberFormat="1" applyFont="1" applyFill="1" applyAlignment="1">
      <alignment horizontal="right" vertical="center"/>
    </xf>
    <xf numFmtId="0" fontId="23" fillId="55" borderId="1" xfId="21" applyFont="1" applyFill="1" applyBorder="1" applyAlignment="1">
      <alignment vertical="center"/>
    </xf>
    <xf numFmtId="175" fontId="8" fillId="0" borderId="0" xfId="0" applyNumberFormat="1" applyFont="1"/>
    <xf numFmtId="1" fontId="37" fillId="0" borderId="0" xfId="14" applyNumberFormat="1"/>
    <xf numFmtId="1" fontId="38" fillId="36" borderId="1" xfId="17" applyNumberFormat="1" applyFont="1" applyFill="1" applyBorder="1" applyAlignment="1">
      <alignment horizontal="center" vertical="center"/>
    </xf>
    <xf numFmtId="194" fontId="37" fillId="0" borderId="0" xfId="12" applyNumberFormat="1" applyFont="1"/>
    <xf numFmtId="164" fontId="37" fillId="0" borderId="0" xfId="14" applyNumberFormat="1"/>
    <xf numFmtId="0" fontId="0" fillId="0" borderId="0" xfId="0" applyAlignment="1">
      <alignment horizontal="left"/>
    </xf>
    <xf numFmtId="0" fontId="12" fillId="28" borderId="3" xfId="0" applyFont="1" applyFill="1" applyBorder="1" applyAlignment="1">
      <alignment horizontal="left"/>
    </xf>
    <xf numFmtId="0" fontId="0" fillId="0" borderId="1" xfId="0" applyBorder="1" applyAlignment="1">
      <alignment horizontal="left" vertical="center"/>
    </xf>
    <xf numFmtId="0" fontId="22" fillId="30" borderId="0" xfId="0" applyFont="1" applyFill="1" applyAlignment="1">
      <alignment horizontal="left" vertical="center"/>
    </xf>
    <xf numFmtId="176" fontId="27" fillId="31" borderId="0" xfId="0" applyNumberFormat="1" applyFont="1" applyFill="1" applyAlignment="1">
      <alignment horizontal="left"/>
    </xf>
    <xf numFmtId="2" fontId="8" fillId="48" borderId="0" xfId="0" applyNumberFormat="1" applyFont="1" applyFill="1"/>
    <xf numFmtId="165" fontId="8" fillId="93" borderId="0" xfId="0" applyNumberFormat="1" applyFont="1" applyFill="1"/>
    <xf numFmtId="175" fontId="8" fillId="93" borderId="0" xfId="0" applyNumberFormat="1" applyFont="1" applyFill="1"/>
    <xf numFmtId="171" fontId="23" fillId="0" borderId="0" xfId="0" applyNumberFormat="1" applyFont="1"/>
    <xf numFmtId="1" fontId="13" fillId="36" borderId="1" xfId="0" applyNumberFormat="1" applyFont="1" applyFill="1" applyBorder="1" applyAlignment="1">
      <alignment horizontal="center" vertical="center"/>
    </xf>
    <xf numFmtId="1" fontId="0" fillId="0" borderId="7" xfId="0" applyNumberFormat="1" applyBorder="1"/>
    <xf numFmtId="169" fontId="20" fillId="0" borderId="7" xfId="0" applyNumberFormat="1" applyFont="1" applyBorder="1"/>
    <xf numFmtId="43" fontId="5" fillId="0" borderId="0" xfId="0" applyNumberFormat="1" applyFont="1"/>
    <xf numFmtId="195" fontId="5" fillId="0" borderId="0" xfId="0" applyNumberFormat="1" applyFont="1"/>
    <xf numFmtId="196" fontId="5" fillId="0" borderId="0" xfId="0" applyNumberFormat="1" applyFont="1"/>
    <xf numFmtId="171" fontId="23" fillId="8" borderId="1" xfId="0" applyNumberFormat="1" applyFont="1" applyFill="1" applyBorder="1"/>
    <xf numFmtId="0" fontId="13" fillId="0" borderId="1" xfId="0" applyFont="1" applyBorder="1" applyAlignment="1">
      <alignment horizontal="center" wrapText="1"/>
    </xf>
    <xf numFmtId="197" fontId="5" fillId="0" borderId="3" xfId="0" applyNumberFormat="1" applyFont="1" applyBorder="1"/>
    <xf numFmtId="0" fontId="5" fillId="94" borderId="0" xfId="0" applyFont="1" applyFill="1"/>
    <xf numFmtId="1" fontId="8" fillId="90" borderId="0" xfId="0" applyNumberFormat="1" applyFont="1" applyFill="1" applyAlignment="1">
      <alignment horizontal="center"/>
    </xf>
    <xf numFmtId="165" fontId="8" fillId="90" borderId="0" xfId="0" applyNumberFormat="1" applyFont="1" applyFill="1"/>
    <xf numFmtId="165" fontId="8" fillId="90" borderId="0" xfId="0" applyNumberFormat="1" applyFont="1" applyFill="1" applyAlignment="1">
      <alignment horizontal="center" vertical="center"/>
    </xf>
    <xf numFmtId="166" fontId="8" fillId="90" borderId="0" xfId="0" applyNumberFormat="1" applyFont="1" applyFill="1"/>
    <xf numFmtId="175" fontId="8" fillId="90" borderId="0" xfId="0" applyNumberFormat="1" applyFont="1" applyFill="1"/>
    <xf numFmtId="0" fontId="8" fillId="95" borderId="0" xfId="0" applyFont="1" applyFill="1"/>
    <xf numFmtId="0" fontId="8" fillId="95" borderId="0" xfId="0" applyFont="1" applyFill="1" applyAlignment="1">
      <alignment horizontal="center"/>
    </xf>
    <xf numFmtId="1" fontId="8" fillId="95" borderId="0" xfId="0" applyNumberFormat="1" applyFont="1" applyFill="1" applyAlignment="1">
      <alignment horizontal="center"/>
    </xf>
    <xf numFmtId="165" fontId="8" fillId="95" borderId="0" xfId="0" applyNumberFormat="1" applyFont="1" applyFill="1"/>
    <xf numFmtId="165" fontId="8" fillId="95" borderId="0" xfId="0" applyNumberFormat="1" applyFont="1" applyFill="1" applyAlignment="1">
      <alignment horizontal="center" vertical="center"/>
    </xf>
    <xf numFmtId="166" fontId="8" fillId="95" borderId="0" xfId="0" applyNumberFormat="1" applyFont="1" applyFill="1"/>
    <xf numFmtId="0" fontId="8" fillId="96" borderId="0" xfId="0" applyFont="1" applyFill="1"/>
    <xf numFmtId="0" fontId="8" fillId="96" borderId="0" xfId="0" applyFont="1" applyFill="1" applyAlignment="1">
      <alignment horizontal="center"/>
    </xf>
    <xf numFmtId="1" fontId="8" fillId="96" borderId="0" xfId="0" applyNumberFormat="1" applyFont="1" applyFill="1" applyAlignment="1">
      <alignment horizontal="center"/>
    </xf>
    <xf numFmtId="165" fontId="8" fillId="96" borderId="0" xfId="0" applyNumberFormat="1" applyFont="1" applyFill="1"/>
    <xf numFmtId="165" fontId="8" fillId="96" borderId="0" xfId="0" applyNumberFormat="1" applyFont="1" applyFill="1" applyAlignment="1">
      <alignment horizontal="center" vertical="center"/>
    </xf>
    <xf numFmtId="166" fontId="8" fillId="96" borderId="0" xfId="0" applyNumberFormat="1" applyFont="1" applyFill="1"/>
    <xf numFmtId="167" fontId="8" fillId="95" borderId="0" xfId="0" applyNumberFormat="1" applyFont="1" applyFill="1"/>
    <xf numFmtId="1" fontId="72" fillId="0" borderId="33" xfId="0" applyNumberFormat="1" applyFont="1" applyBorder="1" applyAlignment="1">
      <alignment horizontal="center" vertical="center" wrapText="1"/>
    </xf>
    <xf numFmtId="196" fontId="5" fillId="0" borderId="1" xfId="0" applyNumberFormat="1" applyFont="1" applyBorder="1"/>
    <xf numFmtId="43" fontId="5" fillId="0" borderId="1" xfId="0" applyNumberFormat="1" applyFont="1" applyBorder="1"/>
    <xf numFmtId="170" fontId="0" fillId="0" borderId="0" xfId="0" applyNumberFormat="1" applyAlignment="1">
      <alignment horizontal="center" vertical="center"/>
    </xf>
    <xf numFmtId="0" fontId="41" fillId="0" borderId="0" xfId="17" applyFont="1" applyAlignment="1">
      <alignment horizontal="center" vertical="center" wrapText="1"/>
    </xf>
    <xf numFmtId="0" fontId="41" fillId="0" borderId="0" xfId="17" applyFont="1" applyAlignment="1">
      <alignment horizontal="center" vertical="center"/>
    </xf>
    <xf numFmtId="170" fontId="38" fillId="0" borderId="0" xfId="17" applyNumberFormat="1" applyFont="1" applyAlignment="1">
      <alignment horizontal="center" vertical="center"/>
    </xf>
    <xf numFmtId="1" fontId="38" fillId="0" borderId="0" xfId="17" applyNumberFormat="1" applyFont="1" applyAlignment="1">
      <alignment horizontal="center" vertical="center" wrapText="1"/>
    </xf>
    <xf numFmtId="188" fontId="3" fillId="0" borderId="0" xfId="17" applyNumberFormat="1" applyAlignment="1">
      <alignment vertical="center"/>
    </xf>
    <xf numFmtId="9" fontId="3" fillId="0" borderId="0" xfId="17" applyNumberFormat="1" applyAlignment="1">
      <alignment vertical="center"/>
    </xf>
    <xf numFmtId="9" fontId="0" fillId="0" borderId="0" xfId="10" applyFont="1"/>
    <xf numFmtId="171" fontId="5" fillId="0" borderId="0" xfId="0" applyNumberFormat="1" applyFont="1"/>
    <xf numFmtId="0" fontId="5" fillId="94" borderId="5" xfId="0" applyFont="1" applyFill="1" applyBorder="1"/>
    <xf numFmtId="0" fontId="23" fillId="24" borderId="0" xfId="0" applyFont="1" applyFill="1" applyAlignment="1">
      <alignment horizontal="center"/>
    </xf>
    <xf numFmtId="0" fontId="23" fillId="15" borderId="0" xfId="0" applyFont="1" applyFill="1" applyAlignment="1">
      <alignment horizontal="center"/>
    </xf>
    <xf numFmtId="0" fontId="23" fillId="24" borderId="6" xfId="0" applyFont="1" applyFill="1" applyBorder="1" applyAlignment="1">
      <alignment horizontal="center"/>
    </xf>
    <xf numFmtId="0" fontId="23" fillId="24" borderId="1" xfId="0" applyFont="1" applyFill="1" applyBorder="1" applyAlignment="1">
      <alignment horizontal="center"/>
    </xf>
    <xf numFmtId="0" fontId="5" fillId="24" borderId="0" xfId="0" applyFont="1" applyFill="1" applyAlignment="1">
      <alignment horizontal="center"/>
    </xf>
    <xf numFmtId="2" fontId="23" fillId="97" borderId="0" xfId="0" applyNumberFormat="1" applyFont="1" applyFill="1" applyAlignment="1">
      <alignment horizontal="center"/>
    </xf>
    <xf numFmtId="2" fontId="23" fillId="15" borderId="2" xfId="0" applyNumberFormat="1" applyFont="1" applyFill="1" applyBorder="1" applyAlignment="1">
      <alignment horizontal="center"/>
    </xf>
    <xf numFmtId="2" fontId="23" fillId="15" borderId="1" xfId="0" applyNumberFormat="1" applyFont="1" applyFill="1" applyBorder="1" applyAlignment="1">
      <alignment horizontal="center"/>
    </xf>
    <xf numFmtId="170" fontId="23" fillId="0" borderId="1" xfId="0" applyNumberFormat="1" applyFont="1" applyBorder="1" applyAlignment="1">
      <alignment horizontal="center"/>
    </xf>
    <xf numFmtId="2" fontId="23" fillId="98" borderId="0" xfId="0" applyNumberFormat="1" applyFont="1" applyFill="1" applyAlignment="1">
      <alignment horizontal="center"/>
    </xf>
    <xf numFmtId="2" fontId="23" fillId="0" borderId="2" xfId="0" applyNumberFormat="1" applyFont="1" applyBorder="1" applyAlignment="1">
      <alignment horizontal="center"/>
    </xf>
    <xf numFmtId="2" fontId="23" fillId="0" borderId="1" xfId="0" applyNumberFormat="1" applyFont="1" applyBorder="1" applyAlignment="1">
      <alignment horizontal="center"/>
    </xf>
    <xf numFmtId="9" fontId="23" fillId="0" borderId="1" xfId="0" applyNumberFormat="1" applyFont="1" applyBorder="1" applyAlignment="1">
      <alignment horizontal="center"/>
    </xf>
    <xf numFmtId="171" fontId="23" fillId="0" borderId="11" xfId="0" applyNumberFormat="1" applyFont="1" applyBorder="1" applyAlignment="1">
      <alignment horizontal="center"/>
    </xf>
    <xf numFmtId="171" fontId="23" fillId="8" borderId="1" xfId="0" applyNumberFormat="1" applyFont="1" applyFill="1" applyBorder="1" applyAlignment="1">
      <alignment horizontal="center"/>
    </xf>
    <xf numFmtId="171" fontId="23" fillId="0" borderId="1" xfId="0" applyNumberFormat="1" applyFont="1" applyBorder="1" applyAlignment="1">
      <alignment horizontal="center"/>
    </xf>
    <xf numFmtId="199" fontId="23" fillId="0" borderId="1" xfId="0" applyNumberFormat="1" applyFont="1" applyBorder="1" applyAlignment="1">
      <alignment horizontal="center"/>
    </xf>
    <xf numFmtId="1" fontId="23" fillId="15" borderId="1" xfId="0" applyNumberFormat="1" applyFont="1" applyFill="1" applyBorder="1"/>
    <xf numFmtId="199" fontId="23" fillId="8" borderId="1" xfId="0" applyNumberFormat="1" applyFont="1" applyFill="1" applyBorder="1"/>
    <xf numFmtId="43" fontId="23" fillId="8" borderId="1" xfId="0" applyNumberFormat="1" applyFont="1" applyFill="1" applyBorder="1"/>
    <xf numFmtId="173" fontId="20" fillId="0" borderId="7" xfId="0" applyNumberFormat="1" applyFont="1" applyBorder="1"/>
    <xf numFmtId="43" fontId="23" fillId="0" borderId="1" xfId="0" applyNumberFormat="1" applyFont="1" applyBorder="1"/>
    <xf numFmtId="0" fontId="5" fillId="98" borderId="0" xfId="0" applyFont="1" applyFill="1"/>
    <xf numFmtId="0" fontId="5" fillId="45" borderId="0" xfId="0" applyFont="1" applyFill="1"/>
    <xf numFmtId="170" fontId="23" fillId="8" borderId="1" xfId="0" applyNumberFormat="1" applyFont="1" applyFill="1" applyBorder="1"/>
    <xf numFmtId="164" fontId="49" fillId="0" borderId="1" xfId="4" applyNumberFormat="1" applyFont="1" applyBorder="1" applyAlignment="1">
      <alignment horizontal="center" vertical="center"/>
    </xf>
    <xf numFmtId="188" fontId="57" fillId="0" borderId="1" xfId="9" applyNumberFormat="1" applyFont="1" applyBorder="1" applyAlignment="1">
      <alignment horizontal="center" vertical="center" wrapText="1"/>
    </xf>
    <xf numFmtId="189" fontId="57" fillId="0" borderId="1" xfId="19" applyNumberFormat="1" applyFont="1" applyBorder="1" applyAlignment="1">
      <alignment horizontal="center" vertical="center" wrapText="1"/>
    </xf>
    <xf numFmtId="198" fontId="0" fillId="0" borderId="0" xfId="0" applyNumberFormat="1"/>
    <xf numFmtId="166" fontId="0" fillId="0" borderId="7" xfId="0" applyNumberFormat="1" applyBorder="1"/>
    <xf numFmtId="0" fontId="0" fillId="45" borderId="0" xfId="0" applyFill="1"/>
    <xf numFmtId="194" fontId="0" fillId="0" borderId="3" xfId="12" applyNumberFormat="1" applyFont="1" applyBorder="1" applyAlignment="1">
      <alignment horizontal="center" vertical="center"/>
    </xf>
    <xf numFmtId="183" fontId="0" fillId="0" borderId="1" xfId="0" applyNumberFormat="1" applyBorder="1"/>
    <xf numFmtId="0" fontId="13" fillId="99" borderId="0" xfId="0" applyFont="1" applyFill="1" applyAlignment="1">
      <alignment horizontal="center" vertical="center" wrapText="1"/>
    </xf>
    <xf numFmtId="175" fontId="0" fillId="0" borderId="7" xfId="0" applyNumberFormat="1" applyBorder="1"/>
    <xf numFmtId="167" fontId="0" fillId="0" borderId="7" xfId="0" applyNumberFormat="1" applyBorder="1"/>
    <xf numFmtId="198" fontId="23" fillId="0" borderId="1" xfId="0" applyNumberFormat="1" applyFont="1" applyBorder="1" applyAlignment="1">
      <alignment horizontal="center"/>
    </xf>
    <xf numFmtId="9" fontId="23" fillId="0" borderId="1" xfId="10" applyFont="1" applyBorder="1"/>
    <xf numFmtId="10" fontId="23" fillId="0" borderId="1" xfId="0" applyNumberFormat="1" applyFont="1" applyBorder="1"/>
    <xf numFmtId="172" fontId="23" fillId="0" borderId="1" xfId="0" applyNumberFormat="1" applyFont="1" applyBorder="1"/>
    <xf numFmtId="165" fontId="23" fillId="15" borderId="0" xfId="0" applyNumberFormat="1" applyFont="1" applyFill="1"/>
    <xf numFmtId="9" fontId="23" fillId="0" borderId="1" xfId="10" applyFont="1" applyBorder="1" applyAlignment="1">
      <alignment horizontal="center"/>
    </xf>
    <xf numFmtId="201" fontId="23" fillId="15" borderId="1" xfId="0" applyNumberFormat="1" applyFont="1" applyFill="1" applyBorder="1"/>
    <xf numFmtId="2" fontId="23" fillId="15" borderId="0" xfId="0" applyNumberFormat="1" applyFont="1" applyFill="1"/>
    <xf numFmtId="0" fontId="5" fillId="44" borderId="0" xfId="0" applyFont="1" applyFill="1"/>
    <xf numFmtId="1" fontId="5" fillId="0" borderId="0" xfId="0" applyNumberFormat="1" applyFont="1" applyAlignment="1">
      <alignment horizontal="center"/>
    </xf>
    <xf numFmtId="171" fontId="23" fillId="15" borderId="0" xfId="0" applyNumberFormat="1" applyFont="1" applyFill="1"/>
    <xf numFmtId="173" fontId="23" fillId="0" borderId="7" xfId="0" applyNumberFormat="1" applyFont="1" applyBorder="1"/>
    <xf numFmtId="192" fontId="23" fillId="0" borderId="7" xfId="0" applyNumberFormat="1" applyFont="1" applyBorder="1"/>
    <xf numFmtId="192" fontId="20" fillId="0" borderId="7" xfId="0" applyNumberFormat="1" applyFont="1" applyBorder="1"/>
    <xf numFmtId="199" fontId="5" fillId="44" borderId="0" xfId="0" applyNumberFormat="1" applyFont="1" applyFill="1"/>
    <xf numFmtId="2" fontId="5" fillId="44" borderId="0" xfId="0" applyNumberFormat="1" applyFont="1" applyFill="1"/>
    <xf numFmtId="0" fontId="23" fillId="0" borderId="11" xfId="0" applyFont="1" applyBorder="1" applyAlignment="1">
      <alignment horizontal="center"/>
    </xf>
    <xf numFmtId="165" fontId="0" fillId="0" borderId="7" xfId="0" applyNumberFormat="1" applyBorder="1" applyAlignment="1">
      <alignment horizontal="center" vertical="center"/>
    </xf>
    <xf numFmtId="0" fontId="0" fillId="0" borderId="7" xfId="0" applyBorder="1" applyAlignment="1">
      <alignment horizontal="center" vertical="center"/>
    </xf>
    <xf numFmtId="183" fontId="0" fillId="0" borderId="7" xfId="0" applyNumberFormat="1" applyBorder="1" applyAlignment="1">
      <alignment horizontal="center" vertical="center"/>
    </xf>
    <xf numFmtId="166" fontId="0" fillId="0" borderId="7" xfId="0" applyNumberFormat="1" applyBorder="1" applyAlignment="1">
      <alignment horizontal="center" vertical="center"/>
    </xf>
    <xf numFmtId="175" fontId="0" fillId="0" borderId="7" xfId="0" applyNumberFormat="1" applyBorder="1" applyAlignment="1">
      <alignment horizontal="center" vertical="center"/>
    </xf>
    <xf numFmtId="1" fontId="23" fillId="36" borderId="0" xfId="0" applyNumberFormat="1" applyFont="1" applyFill="1" applyAlignment="1">
      <alignment horizontal="center" vertical="center"/>
    </xf>
    <xf numFmtId="200" fontId="23" fillId="15" borderId="0" xfId="0" applyNumberFormat="1" applyFont="1" applyFill="1"/>
    <xf numFmtId="12" fontId="0" fillId="0" borderId="0" xfId="12" applyNumberFormat="1" applyFont="1"/>
    <xf numFmtId="0" fontId="37" fillId="56" borderId="0" xfId="14" applyFill="1"/>
    <xf numFmtId="0" fontId="38" fillId="56" borderId="0" xfId="14" applyFont="1" applyFill="1" applyAlignment="1">
      <alignment wrapText="1"/>
    </xf>
    <xf numFmtId="0" fontId="44" fillId="56" borderId="0" xfId="17" applyFont="1" applyFill="1" applyAlignment="1">
      <alignment wrapText="1"/>
    </xf>
    <xf numFmtId="176" fontId="27" fillId="56" borderId="0" xfId="0" applyNumberFormat="1" applyFont="1" applyFill="1"/>
    <xf numFmtId="0" fontId="41" fillId="102" borderId="0" xfId="17" applyFont="1" applyFill="1" applyAlignment="1">
      <alignment horizontal="center" vertical="center" wrapText="1"/>
    </xf>
    <xf numFmtId="0" fontId="41" fillId="102" borderId="0" xfId="17" applyFont="1" applyFill="1" applyAlignment="1">
      <alignment horizontal="center" vertical="center"/>
    </xf>
    <xf numFmtId="0" fontId="3" fillId="56" borderId="0" xfId="17" applyFill="1" applyAlignment="1">
      <alignment vertical="center"/>
    </xf>
    <xf numFmtId="170" fontId="38" fillId="56" borderId="0" xfId="17" applyNumberFormat="1" applyFont="1" applyFill="1" applyAlignment="1">
      <alignment horizontal="center" vertical="center"/>
    </xf>
    <xf numFmtId="9" fontId="3" fillId="56" borderId="0" xfId="17" applyNumberFormat="1" applyFill="1" applyAlignment="1">
      <alignment horizontal="center" vertical="center"/>
    </xf>
    <xf numFmtId="1" fontId="38" fillId="56" borderId="0" xfId="17" applyNumberFormat="1" applyFont="1" applyFill="1" applyAlignment="1">
      <alignment horizontal="center" vertical="center" wrapText="1"/>
    </xf>
    <xf numFmtId="1" fontId="3" fillId="56" borderId="0" xfId="17" applyNumberFormat="1" applyFill="1" applyAlignment="1">
      <alignment horizontal="center" vertical="center"/>
    </xf>
    <xf numFmtId="188" fontId="3" fillId="56" borderId="0" xfId="17" applyNumberFormat="1" applyFill="1" applyAlignment="1">
      <alignment vertical="center"/>
    </xf>
    <xf numFmtId="9" fontId="3" fillId="56" borderId="0" xfId="17" applyNumberFormat="1" applyFill="1" applyAlignment="1">
      <alignment vertical="center"/>
    </xf>
    <xf numFmtId="0" fontId="23" fillId="101" borderId="0" xfId="0" applyFont="1" applyFill="1" applyAlignment="1">
      <alignment horizontal="center" vertical="center" wrapText="1"/>
    </xf>
    <xf numFmtId="0" fontId="23" fillId="101" borderId="0" xfId="0" applyFont="1" applyFill="1" applyAlignment="1">
      <alignment horizontal="center" vertical="center"/>
    </xf>
    <xf numFmtId="0" fontId="23" fillId="103" borderId="0" xfId="0" applyFont="1" applyFill="1" applyAlignment="1">
      <alignment horizontal="center" vertical="center" wrapText="1"/>
    </xf>
    <xf numFmtId="0" fontId="0" fillId="56" borderId="0" xfId="0" applyFill="1" applyAlignment="1">
      <alignment vertical="center"/>
    </xf>
    <xf numFmtId="170" fontId="13" fillId="56" borderId="0" xfId="0" applyNumberFormat="1" applyFont="1" applyFill="1" applyAlignment="1">
      <alignment horizontal="center" vertical="center"/>
    </xf>
    <xf numFmtId="9" fontId="0" fillId="56" borderId="0" xfId="0" applyNumberFormat="1" applyFill="1" applyAlignment="1">
      <alignment horizontal="center" vertical="center"/>
    </xf>
    <xf numFmtId="1" fontId="13" fillId="56" borderId="0" xfId="0" applyNumberFormat="1" applyFont="1" applyFill="1" applyAlignment="1">
      <alignment horizontal="center" vertical="center" wrapText="1"/>
    </xf>
    <xf numFmtId="1" fontId="0" fillId="56" borderId="0" xfId="0" applyNumberFormat="1" applyFill="1" applyAlignment="1">
      <alignment horizontal="center" vertical="center"/>
    </xf>
    <xf numFmtId="1" fontId="13" fillId="56" borderId="0" xfId="0" applyNumberFormat="1" applyFont="1" applyFill="1" applyAlignment="1">
      <alignment horizontal="center" vertical="center"/>
    </xf>
    <xf numFmtId="2" fontId="13" fillId="56" borderId="0" xfId="0" applyNumberFormat="1" applyFont="1" applyFill="1" applyAlignment="1">
      <alignment horizontal="center" vertical="center"/>
    </xf>
    <xf numFmtId="168" fontId="13" fillId="56" borderId="0" xfId="0" applyNumberFormat="1" applyFont="1" applyFill="1" applyAlignment="1">
      <alignment horizontal="center" vertical="center"/>
    </xf>
    <xf numFmtId="2" fontId="0" fillId="56" borderId="0" xfId="0" applyNumberFormat="1" applyFill="1"/>
    <xf numFmtId="0" fontId="25" fillId="56" borderId="0" xfId="0" applyFont="1" applyFill="1" applyAlignment="1">
      <alignment wrapText="1"/>
    </xf>
    <xf numFmtId="165" fontId="8" fillId="0" borderId="6" xfId="0" applyNumberFormat="1" applyFont="1" applyBorder="1"/>
    <xf numFmtId="0" fontId="12" fillId="56" borderId="0" xfId="0" applyFont="1" applyFill="1" applyAlignment="1">
      <alignment vertical="center"/>
    </xf>
    <xf numFmtId="175" fontId="0" fillId="56" borderId="0" xfId="0" applyNumberFormat="1" applyFill="1" applyAlignment="1">
      <alignment vertical="center"/>
    </xf>
    <xf numFmtId="9" fontId="0" fillId="56" borderId="0" xfId="0" applyNumberFormat="1" applyFill="1" applyAlignment="1">
      <alignment vertical="center"/>
    </xf>
    <xf numFmtId="170" fontId="13" fillId="56" borderId="0" xfId="0" applyNumberFormat="1" applyFont="1" applyFill="1" applyAlignment="1">
      <alignment horizontal="center" vertical="center" wrapText="1"/>
    </xf>
    <xf numFmtId="170" fontId="0" fillId="56" borderId="0" xfId="0" applyNumberFormat="1" applyFill="1" applyAlignment="1">
      <alignment horizontal="center" vertical="center"/>
    </xf>
    <xf numFmtId="169" fontId="20" fillId="0" borderId="7" xfId="0" applyNumberFormat="1" applyFont="1" applyBorder="1" applyAlignment="1">
      <alignment horizontal="center"/>
    </xf>
    <xf numFmtId="0" fontId="5" fillId="44" borderId="0" xfId="0" applyFont="1" applyFill="1" applyAlignment="1">
      <alignment horizontal="center"/>
    </xf>
    <xf numFmtId="0" fontId="0" fillId="44" borderId="0" xfId="0" applyFill="1"/>
    <xf numFmtId="0" fontId="6" fillId="44" borderId="0" xfId="4" applyFill="1" applyAlignment="1">
      <alignment horizontal="center" vertical="center"/>
    </xf>
    <xf numFmtId="0" fontId="13" fillId="104" borderId="0" xfId="0" applyFont="1" applyFill="1" applyAlignment="1">
      <alignment horizontal="center" vertical="center" wrapText="1"/>
    </xf>
    <xf numFmtId="202" fontId="23" fillId="0" borderId="1" xfId="0" applyNumberFormat="1" applyFont="1" applyBorder="1" applyAlignment="1">
      <alignment horizontal="center"/>
    </xf>
    <xf numFmtId="203" fontId="20" fillId="0" borderId="7" xfId="0" applyNumberFormat="1" applyFont="1" applyBorder="1"/>
    <xf numFmtId="2" fontId="23" fillId="8" borderId="1" xfId="0" applyNumberFormat="1" applyFont="1" applyFill="1" applyBorder="1"/>
    <xf numFmtId="0" fontId="37" fillId="44" borderId="0" xfId="14" applyFill="1"/>
    <xf numFmtId="198" fontId="23" fillId="8" borderId="1" xfId="0" applyNumberFormat="1" applyFont="1" applyFill="1" applyBorder="1" applyAlignment="1">
      <alignment horizontal="center"/>
    </xf>
    <xf numFmtId="174" fontId="5" fillId="0" borderId="1" xfId="0" applyNumberFormat="1" applyFont="1" applyBorder="1"/>
    <xf numFmtId="2" fontId="72" fillId="0" borderId="33" xfId="0" applyNumberFormat="1" applyFont="1" applyBorder="1" applyAlignment="1">
      <alignment horizontal="center" vertical="center" wrapText="1"/>
    </xf>
    <xf numFmtId="0" fontId="23" fillId="15" borderId="1" xfId="0" applyFont="1" applyFill="1" applyBorder="1" applyAlignment="1">
      <alignment horizontal="center"/>
    </xf>
    <xf numFmtId="199" fontId="23" fillId="8" borderId="1" xfId="0" applyNumberFormat="1" applyFont="1" applyFill="1" applyBorder="1" applyAlignment="1">
      <alignment horizontal="center"/>
    </xf>
    <xf numFmtId="1" fontId="23" fillId="15" borderId="1" xfId="0" applyNumberFormat="1" applyFont="1" applyFill="1" applyBorder="1" applyAlignment="1">
      <alignment horizontal="center"/>
    </xf>
    <xf numFmtId="1" fontId="23" fillId="0" borderId="1" xfId="0" applyNumberFormat="1" applyFont="1" applyBorder="1" applyAlignment="1">
      <alignment horizontal="center"/>
    </xf>
    <xf numFmtId="204" fontId="5" fillId="0" borderId="0" xfId="0" applyNumberFormat="1" applyFont="1"/>
    <xf numFmtId="43" fontId="23" fillId="15" borderId="0" xfId="0" applyNumberFormat="1" applyFont="1" applyFill="1"/>
    <xf numFmtId="205" fontId="5" fillId="0" borderId="0" xfId="0" applyNumberFormat="1" applyFont="1"/>
    <xf numFmtId="175" fontId="20" fillId="0" borderId="7" xfId="0" applyNumberFormat="1" applyFont="1" applyBorder="1"/>
    <xf numFmtId="199" fontId="5" fillId="0" borderId="0" xfId="0" applyNumberFormat="1" applyFont="1"/>
    <xf numFmtId="0" fontId="0" fillId="45" borderId="0" xfId="0" applyFill="1" applyAlignment="1">
      <alignment horizontal="center"/>
    </xf>
    <xf numFmtId="0" fontId="21" fillId="26" borderId="0" xfId="0" applyFont="1" applyFill="1" applyAlignment="1">
      <alignment horizontal="center"/>
    </xf>
    <xf numFmtId="164" fontId="23" fillId="15" borderId="0" xfId="0" applyNumberFormat="1" applyFont="1" applyFill="1"/>
    <xf numFmtId="1" fontId="23" fillId="0" borderId="1" xfId="0" applyNumberFormat="1" applyFont="1" applyBorder="1"/>
    <xf numFmtId="180" fontId="0" fillId="0" borderId="7" xfId="0" applyNumberFormat="1" applyBorder="1"/>
    <xf numFmtId="0" fontId="0" fillId="0" borderId="5" xfId="0" applyBorder="1"/>
    <xf numFmtId="0" fontId="25" fillId="36" borderId="0" xfId="0" applyFont="1" applyFill="1"/>
    <xf numFmtId="165" fontId="8" fillId="0" borderId="0" xfId="0" applyNumberFormat="1" applyFont="1" applyAlignment="1">
      <alignment horizontal="center"/>
    </xf>
    <xf numFmtId="2" fontId="8" fillId="85" borderId="0" xfId="0" applyNumberFormat="1" applyFont="1" applyFill="1" applyAlignment="1">
      <alignment horizontal="center"/>
    </xf>
    <xf numFmtId="2" fontId="8" fillId="6" borderId="0" xfId="0" applyNumberFormat="1" applyFont="1" applyFill="1" applyAlignment="1">
      <alignment horizontal="center"/>
    </xf>
    <xf numFmtId="2" fontId="12" fillId="0" borderId="0" xfId="0" applyNumberFormat="1" applyFont="1" applyAlignment="1">
      <alignment horizontal="center"/>
    </xf>
    <xf numFmtId="2" fontId="8" fillId="5" borderId="0" xfId="0" applyNumberFormat="1" applyFont="1" applyFill="1" applyAlignment="1">
      <alignment horizontal="center"/>
    </xf>
    <xf numFmtId="2" fontId="8" fillId="90" borderId="0" xfId="0" applyNumberFormat="1" applyFont="1" applyFill="1" applyAlignment="1">
      <alignment horizontal="center"/>
    </xf>
    <xf numFmtId="2" fontId="8" fillId="95" borderId="0" xfId="0" applyNumberFormat="1" applyFont="1" applyFill="1" applyAlignment="1">
      <alignment horizontal="center"/>
    </xf>
    <xf numFmtId="2" fontId="10" fillId="90" borderId="0" xfId="0" applyNumberFormat="1" applyFont="1" applyFill="1" applyAlignment="1">
      <alignment horizontal="center"/>
    </xf>
    <xf numFmtId="2" fontId="8" fillId="96" borderId="0" xfId="0" applyNumberFormat="1" applyFont="1" applyFill="1" applyAlignment="1">
      <alignment horizontal="center"/>
    </xf>
    <xf numFmtId="2" fontId="10" fillId="95" borderId="0" xfId="0" applyNumberFormat="1" applyFont="1" applyFill="1" applyAlignment="1">
      <alignment horizontal="center"/>
    </xf>
    <xf numFmtId="2" fontId="80" fillId="9" borderId="0" xfId="0" applyNumberFormat="1" applyFont="1" applyFill="1" applyAlignment="1">
      <alignment horizontal="center" vertical="center"/>
    </xf>
    <xf numFmtId="0" fontId="0" fillId="56" borderId="2" xfId="0" applyFill="1" applyBorder="1" applyAlignment="1">
      <alignment horizontal="left"/>
    </xf>
    <xf numFmtId="169" fontId="12" fillId="0" borderId="7" xfId="0" applyNumberFormat="1" applyFont="1" applyBorder="1"/>
    <xf numFmtId="165" fontId="66" fillId="0" borderId="7" xfId="0" applyNumberFormat="1" applyFont="1" applyBorder="1"/>
    <xf numFmtId="164" fontId="12" fillId="0" borderId="7" xfId="0" applyNumberFormat="1" applyFont="1" applyBorder="1"/>
    <xf numFmtId="190" fontId="19" fillId="0" borderId="0" xfId="0" applyNumberFormat="1" applyFont="1"/>
    <xf numFmtId="165" fontId="12" fillId="0" borderId="7" xfId="0" applyNumberFormat="1" applyFont="1" applyBorder="1" applyAlignment="1">
      <alignment horizontal="center" vertical="center"/>
    </xf>
    <xf numFmtId="166" fontId="12" fillId="0" borderId="7" xfId="0" applyNumberFormat="1" applyFont="1" applyBorder="1" applyAlignment="1">
      <alignment horizontal="center" vertical="center"/>
    </xf>
    <xf numFmtId="1" fontId="12" fillId="0" borderId="7" xfId="0" applyNumberFormat="1" applyFont="1" applyBorder="1" applyAlignment="1">
      <alignment horizontal="center" vertical="center"/>
    </xf>
    <xf numFmtId="175" fontId="12" fillId="0" borderId="7" xfId="0" applyNumberFormat="1" applyFont="1" applyBorder="1"/>
    <xf numFmtId="166" fontId="66" fillId="15" borderId="7" xfId="0" applyNumberFormat="1" applyFont="1" applyFill="1" applyBorder="1" applyAlignment="1">
      <alignment horizontal="center" vertical="center"/>
    </xf>
    <xf numFmtId="175" fontId="66" fillId="15" borderId="7" xfId="0" applyNumberFormat="1" applyFont="1" applyFill="1" applyBorder="1" applyAlignment="1">
      <alignment horizontal="center" vertical="center"/>
    </xf>
    <xf numFmtId="183" fontId="66" fillId="15" borderId="7" xfId="0" applyNumberFormat="1" applyFont="1" applyFill="1" applyBorder="1"/>
    <xf numFmtId="0" fontId="66" fillId="15" borderId="7" xfId="0" applyFont="1" applyFill="1" applyBorder="1"/>
    <xf numFmtId="165" fontId="12" fillId="21" borderId="7" xfId="0" applyNumberFormat="1" applyFont="1" applyFill="1" applyBorder="1"/>
    <xf numFmtId="165" fontId="12" fillId="0" borderId="7" xfId="0" applyNumberFormat="1" applyFont="1" applyBorder="1" applyAlignment="1">
      <alignment horizontal="center"/>
    </xf>
    <xf numFmtId="0" fontId="12" fillId="0" borderId="7" xfId="0" applyFont="1" applyBorder="1" applyAlignment="1">
      <alignment horizontal="center"/>
    </xf>
    <xf numFmtId="169" fontId="12" fillId="0" borderId="7" xfId="0" applyNumberFormat="1" applyFont="1" applyBorder="1" applyAlignment="1">
      <alignment horizontal="center"/>
    </xf>
    <xf numFmtId="165" fontId="66" fillId="15" borderId="7" xfId="0" applyNumberFormat="1" applyFont="1" applyFill="1" applyBorder="1" applyAlignment="1">
      <alignment horizontal="center"/>
    </xf>
    <xf numFmtId="169" fontId="12" fillId="0" borderId="1" xfId="0" applyNumberFormat="1" applyFont="1" applyBorder="1"/>
    <xf numFmtId="165" fontId="0" fillId="15" borderId="7" xfId="0" applyNumberFormat="1" applyFill="1" applyBorder="1" applyAlignment="1">
      <alignment horizontal="center" vertical="center"/>
    </xf>
    <xf numFmtId="169" fontId="0" fillId="0" borderId="7" xfId="0" applyNumberFormat="1" applyBorder="1" applyAlignment="1">
      <alignment horizontal="center" vertical="center"/>
    </xf>
    <xf numFmtId="1" fontId="37" fillId="106" borderId="17" xfId="14" applyNumberFormat="1" applyFill="1" applyBorder="1"/>
    <xf numFmtId="165" fontId="66" fillId="15" borderId="7" xfId="0" applyNumberFormat="1" applyFont="1" applyFill="1" applyBorder="1" applyAlignment="1">
      <alignment horizontal="center" vertical="center"/>
    </xf>
    <xf numFmtId="182" fontId="81" fillId="107" borderId="1" xfId="10" applyNumberFormat="1" applyFont="1" applyFill="1" applyBorder="1"/>
    <xf numFmtId="0" fontId="5" fillId="36" borderId="0" xfId="0" applyFont="1" applyFill="1"/>
    <xf numFmtId="165" fontId="12" fillId="53" borderId="7" xfId="0" applyNumberFormat="1" applyFont="1" applyFill="1" applyBorder="1"/>
    <xf numFmtId="1" fontId="12" fillId="0" borderId="7" xfId="0" applyNumberFormat="1" applyFont="1" applyBorder="1"/>
    <xf numFmtId="1" fontId="66" fillId="15" borderId="7" xfId="0" applyNumberFormat="1" applyFont="1" applyFill="1" applyBorder="1"/>
    <xf numFmtId="0" fontId="66" fillId="36" borderId="7" xfId="0" applyFont="1" applyFill="1" applyBorder="1" applyAlignment="1">
      <alignment horizontal="center"/>
    </xf>
    <xf numFmtId="165" fontId="66" fillId="36" borderId="7" xfId="0" applyNumberFormat="1" applyFont="1" applyFill="1" applyBorder="1"/>
    <xf numFmtId="0" fontId="13" fillId="0" borderId="1" xfId="4" applyFont="1" applyBorder="1" applyAlignment="1">
      <alignment vertical="center"/>
    </xf>
    <xf numFmtId="166" fontId="13" fillId="0" borderId="1" xfId="4" applyNumberFormat="1" applyFont="1" applyBorder="1" applyAlignment="1">
      <alignment vertical="center"/>
    </xf>
    <xf numFmtId="165" fontId="35" fillId="0" borderId="1" xfId="9" applyNumberFormat="1" applyFont="1" applyBorder="1" applyAlignment="1">
      <alignment vertical="center"/>
    </xf>
    <xf numFmtId="165" fontId="13" fillId="0" borderId="1" xfId="4" applyNumberFormat="1" applyFont="1" applyBorder="1" applyAlignment="1">
      <alignment vertical="center"/>
    </xf>
    <xf numFmtId="199" fontId="23" fillId="15" borderId="0" xfId="0" applyNumberFormat="1" applyFont="1" applyFill="1"/>
    <xf numFmtId="165" fontId="12" fillId="35" borderId="7" xfId="0" applyNumberFormat="1" applyFont="1" applyFill="1" applyBorder="1"/>
    <xf numFmtId="165" fontId="66" fillId="47" borderId="1" xfId="11" applyNumberFormat="1" applyFont="1" applyFill="1" applyBorder="1" applyAlignment="1">
      <alignment horizontal="center" vertical="center"/>
    </xf>
    <xf numFmtId="165" fontId="66" fillId="36" borderId="1" xfId="9" applyNumberFormat="1" applyFont="1" applyFill="1" applyBorder="1" applyAlignment="1">
      <alignment horizontal="center" vertical="center"/>
    </xf>
    <xf numFmtId="164" fontId="19" fillId="0" borderId="1" xfId="4" applyNumberFormat="1" applyFont="1" applyBorder="1" applyAlignment="1">
      <alignment horizontal="center" vertical="center"/>
    </xf>
    <xf numFmtId="206" fontId="23" fillId="15" borderId="0" xfId="0" applyNumberFormat="1" applyFont="1" applyFill="1"/>
    <xf numFmtId="9" fontId="6" fillId="0" borderId="0" xfId="10" applyFont="1" applyAlignment="1">
      <alignment horizontal="center" vertical="center"/>
    </xf>
    <xf numFmtId="10" fontId="6" fillId="0" borderId="0" xfId="10" applyNumberFormat="1" applyFont="1" applyAlignment="1">
      <alignment horizontal="center" vertical="center"/>
    </xf>
    <xf numFmtId="9" fontId="0" fillId="0" borderId="7" xfId="0" applyNumberFormat="1" applyBorder="1"/>
    <xf numFmtId="175" fontId="12" fillId="0" borderId="1" xfId="11" applyNumberFormat="1" applyFont="1" applyBorder="1" applyAlignment="1">
      <alignment vertical="center"/>
    </xf>
    <xf numFmtId="0" fontId="19" fillId="0" borderId="1" xfId="4" applyFont="1" applyBorder="1" applyAlignment="1">
      <alignment vertical="center"/>
    </xf>
    <xf numFmtId="165" fontId="12" fillId="53" borderId="1" xfId="0" applyNumberFormat="1" applyFont="1" applyFill="1" applyBorder="1"/>
    <xf numFmtId="169" fontId="12" fillId="53" borderId="1" xfId="0" applyNumberFormat="1" applyFont="1" applyFill="1" applyBorder="1"/>
    <xf numFmtId="164" fontId="24" fillId="0" borderId="1" xfId="4" applyNumberFormat="1" applyFont="1" applyBorder="1" applyAlignment="1">
      <alignment horizontal="center" vertical="center"/>
    </xf>
    <xf numFmtId="0" fontId="24" fillId="0" borderId="1" xfId="4" applyFont="1" applyBorder="1" applyAlignment="1">
      <alignment horizontal="center" vertical="center"/>
    </xf>
    <xf numFmtId="165" fontId="29" fillId="0" borderId="6" xfId="9" applyNumberFormat="1" applyFont="1" applyBorder="1" applyAlignment="1">
      <alignment horizontal="center" vertical="center"/>
    </xf>
    <xf numFmtId="0" fontId="24" fillId="0" borderId="0" xfId="4" applyFont="1" applyAlignment="1">
      <alignment horizontal="center" vertical="center"/>
    </xf>
    <xf numFmtId="0" fontId="13" fillId="37" borderId="1" xfId="0" applyFont="1" applyFill="1" applyBorder="1" applyAlignment="1">
      <alignment horizontal="center" vertical="center"/>
    </xf>
    <xf numFmtId="0" fontId="2" fillId="0" borderId="1" xfId="17" applyFont="1" applyBorder="1" applyAlignment="1">
      <alignment horizontal="center" vertical="center"/>
    </xf>
    <xf numFmtId="1" fontId="12" fillId="56" borderId="7" xfId="0" applyNumberFormat="1" applyFont="1" applyFill="1" applyBorder="1"/>
    <xf numFmtId="165" fontId="12" fillId="56" borderId="7" xfId="0" applyNumberFormat="1" applyFont="1" applyFill="1" applyBorder="1"/>
    <xf numFmtId="165" fontId="12" fillId="56" borderId="1" xfId="0" applyNumberFormat="1" applyFont="1" applyFill="1" applyBorder="1"/>
    <xf numFmtId="165" fontId="12" fillId="56" borderId="1" xfId="17" applyNumberFormat="1" applyFont="1" applyFill="1" applyBorder="1" applyAlignment="1">
      <alignment horizontal="center" vertical="center"/>
    </xf>
    <xf numFmtId="0" fontId="12" fillId="56" borderId="7" xfId="0" applyFont="1" applyFill="1" applyBorder="1"/>
    <xf numFmtId="165" fontId="12" fillId="56" borderId="7" xfId="0" applyNumberFormat="1" applyFont="1" applyFill="1" applyBorder="1" applyAlignment="1">
      <alignment horizontal="center"/>
    </xf>
    <xf numFmtId="0" fontId="19" fillId="56" borderId="0" xfId="0" applyFont="1" applyFill="1"/>
    <xf numFmtId="166" fontId="12" fillId="56" borderId="7" xfId="0" applyNumberFormat="1" applyFont="1" applyFill="1" applyBorder="1"/>
    <xf numFmtId="0" fontId="12" fillId="56" borderId="0" xfId="0" applyFont="1" applyFill="1"/>
    <xf numFmtId="170" fontId="12" fillId="56" borderId="0" xfId="0" applyNumberFormat="1" applyFont="1" applyFill="1"/>
    <xf numFmtId="0" fontId="12" fillId="56" borderId="1" xfId="0" applyFont="1" applyFill="1" applyBorder="1"/>
    <xf numFmtId="169" fontId="12" fillId="56" borderId="7" xfId="0" applyNumberFormat="1" applyFont="1" applyFill="1" applyBorder="1"/>
    <xf numFmtId="168" fontId="12" fillId="56" borderId="7" xfId="0" applyNumberFormat="1" applyFont="1" applyFill="1" applyBorder="1"/>
    <xf numFmtId="0" fontId="12" fillId="53" borderId="7" xfId="0" applyFont="1" applyFill="1" applyBorder="1"/>
    <xf numFmtId="0" fontId="82" fillId="56" borderId="0" xfId="14" applyFont="1" applyFill="1"/>
    <xf numFmtId="165" fontId="42" fillId="56" borderId="1" xfId="17" applyNumberFormat="1" applyFont="1" applyFill="1" applyBorder="1" applyAlignment="1">
      <alignment horizontal="center" vertical="center"/>
    </xf>
    <xf numFmtId="0" fontId="83" fillId="56" borderId="0" xfId="4" applyFont="1" applyFill="1" applyAlignment="1">
      <alignment horizontal="center" vertical="center"/>
    </xf>
    <xf numFmtId="169" fontId="83" fillId="56" borderId="0" xfId="4" applyNumberFormat="1" applyFont="1" applyFill="1" applyAlignment="1">
      <alignment horizontal="center" vertical="center"/>
    </xf>
    <xf numFmtId="165" fontId="17" fillId="56" borderId="1" xfId="9" applyNumberFormat="1" applyFont="1" applyFill="1" applyBorder="1" applyAlignment="1">
      <alignment horizontal="center" vertical="center"/>
    </xf>
    <xf numFmtId="0" fontId="83" fillId="56" borderId="1" xfId="4" applyFont="1" applyFill="1" applyBorder="1" applyAlignment="1">
      <alignment horizontal="center" vertical="center"/>
    </xf>
    <xf numFmtId="0" fontId="12" fillId="56" borderId="7" xfId="0" applyFont="1" applyFill="1" applyBorder="1" applyAlignment="1">
      <alignment horizontal="center"/>
    </xf>
    <xf numFmtId="165" fontId="12" fillId="53" borderId="7" xfId="0" applyNumberFormat="1" applyFont="1" applyFill="1" applyBorder="1" applyAlignment="1">
      <alignment horizontal="center"/>
    </xf>
    <xf numFmtId="165" fontId="0" fillId="56" borderId="7" xfId="0" applyNumberFormat="1" applyFill="1" applyBorder="1"/>
    <xf numFmtId="165" fontId="17" fillId="108" borderId="1" xfId="11" applyNumberFormat="1" applyFont="1" applyFill="1" applyBorder="1" applyAlignment="1">
      <alignment horizontal="center" vertical="center"/>
    </xf>
    <xf numFmtId="164" fontId="83" fillId="56" borderId="1" xfId="4" applyNumberFormat="1" applyFont="1" applyFill="1" applyBorder="1" applyAlignment="1">
      <alignment horizontal="center" vertical="center"/>
    </xf>
    <xf numFmtId="165" fontId="84" fillId="56" borderId="1" xfId="9" applyNumberFormat="1" applyFont="1" applyFill="1" applyBorder="1" applyAlignment="1">
      <alignment horizontal="center" vertical="center"/>
    </xf>
    <xf numFmtId="165" fontId="29" fillId="56" borderId="1" xfId="0" applyNumberFormat="1" applyFont="1" applyFill="1" applyBorder="1"/>
    <xf numFmtId="169" fontId="69" fillId="56" borderId="7" xfId="0" applyNumberFormat="1" applyFont="1" applyFill="1" applyBorder="1"/>
    <xf numFmtId="0" fontId="85" fillId="56" borderId="0" xfId="14" applyFont="1" applyFill="1"/>
    <xf numFmtId="165" fontId="0" fillId="56" borderId="1" xfId="0" applyNumberFormat="1" applyFill="1" applyBorder="1"/>
    <xf numFmtId="9" fontId="13" fillId="0" borderId="1" xfId="10" applyFont="1" applyBorder="1" applyAlignment="1">
      <alignment vertical="center" wrapText="1"/>
    </xf>
    <xf numFmtId="43" fontId="0" fillId="0" borderId="0" xfId="0" applyNumberFormat="1"/>
    <xf numFmtId="43" fontId="13" fillId="0" borderId="0" xfId="0" applyNumberFormat="1" applyFont="1" applyAlignment="1">
      <alignment horizontal="center" wrapText="1"/>
    </xf>
    <xf numFmtId="165" fontId="12" fillId="15" borderId="1" xfId="0" applyNumberFormat="1" applyFont="1" applyFill="1" applyBorder="1"/>
    <xf numFmtId="166" fontId="12" fillId="21" borderId="7" xfId="0" applyNumberFormat="1" applyFont="1" applyFill="1" applyBorder="1"/>
    <xf numFmtId="0" fontId="8" fillId="85" borderId="0" xfId="0" applyFont="1" applyFill="1" applyAlignment="1">
      <alignment horizontal="left"/>
    </xf>
    <xf numFmtId="3" fontId="5" fillId="37" borderId="0" xfId="0" applyNumberFormat="1" applyFont="1" applyFill="1"/>
    <xf numFmtId="169" fontId="5" fillId="56" borderId="1" xfId="0" applyNumberFormat="1" applyFont="1" applyFill="1" applyBorder="1"/>
    <xf numFmtId="2" fontId="8" fillId="12" borderId="0" xfId="0" applyNumberFormat="1" applyFont="1" applyFill="1" applyAlignment="1">
      <alignment horizontal="center"/>
    </xf>
    <xf numFmtId="166" fontId="0" fillId="56" borderId="7" xfId="0" applyNumberFormat="1" applyFill="1" applyBorder="1"/>
    <xf numFmtId="207" fontId="8" fillId="90" borderId="0" xfId="0" applyNumberFormat="1" applyFont="1" applyFill="1"/>
    <xf numFmtId="0" fontId="0" fillId="28" borderId="7" xfId="0" applyFill="1" applyBorder="1"/>
    <xf numFmtId="165" fontId="0" fillId="28" borderId="1" xfId="0" applyNumberFormat="1" applyFill="1" applyBorder="1"/>
    <xf numFmtId="165" fontId="35" fillId="0" borderId="1" xfId="17" applyNumberFormat="1" applyFont="1" applyBorder="1" applyAlignment="1">
      <alignment horizontal="center" vertical="center"/>
    </xf>
    <xf numFmtId="165" fontId="1" fillId="0" borderId="1" xfId="17" applyNumberFormat="1" applyFont="1" applyBorder="1" applyAlignment="1">
      <alignment horizontal="center" vertical="center"/>
    </xf>
    <xf numFmtId="0" fontId="15" fillId="0" borderId="0" xfId="0" applyFont="1" applyAlignment="1">
      <alignment horizontal="center" vertical="center"/>
    </xf>
    <xf numFmtId="0" fontId="6" fillId="0" borderId="6" xfId="0" applyFont="1" applyBorder="1"/>
    <xf numFmtId="0" fontId="6" fillId="0" borderId="1" xfId="0" applyFont="1" applyBorder="1" applyAlignment="1">
      <alignment horizontal="center" vertical="center"/>
    </xf>
    <xf numFmtId="1" fontId="49" fillId="0" borderId="1" xfId="0" applyNumberFormat="1" applyFont="1" applyBorder="1" applyAlignment="1">
      <alignment horizontal="center" vertical="center"/>
    </xf>
    <xf numFmtId="2" fontId="49" fillId="0" borderId="1" xfId="0" applyNumberFormat="1" applyFont="1" applyBorder="1" applyAlignment="1">
      <alignment horizontal="center" vertical="center"/>
    </xf>
    <xf numFmtId="0" fontId="6" fillId="0" borderId="18" xfId="0" applyFont="1" applyBorder="1" applyAlignment="1">
      <alignment horizontal="center" vertical="center"/>
    </xf>
    <xf numFmtId="1" fontId="49" fillId="0" borderId="18" xfId="0" applyNumberFormat="1" applyFont="1" applyBorder="1" applyAlignment="1">
      <alignment horizontal="center" vertical="center"/>
    </xf>
    <xf numFmtId="0" fontId="13" fillId="0" borderId="0" xfId="9" applyFont="1" applyAlignment="1">
      <alignment horizontal="center" vertical="center" wrapText="1"/>
    </xf>
    <xf numFmtId="0" fontId="13" fillId="37" borderId="0" xfId="9" applyFont="1" applyFill="1" applyAlignment="1">
      <alignment horizontal="center" vertical="center" wrapText="1"/>
    </xf>
    <xf numFmtId="168" fontId="87" fillId="56" borderId="1" xfId="0" applyNumberFormat="1" applyFont="1" applyFill="1" applyBorder="1" applyAlignment="1">
      <alignment horizontal="center"/>
    </xf>
    <xf numFmtId="0" fontId="5" fillId="0" borderId="11" xfId="0" applyFont="1" applyBorder="1" applyAlignment="1">
      <alignment vertical="center"/>
    </xf>
    <xf numFmtId="0" fontId="87" fillId="109" borderId="12" xfId="0" applyFont="1" applyFill="1" applyBorder="1" applyAlignment="1">
      <alignment horizontal="center" vertical="center"/>
    </xf>
    <xf numFmtId="1" fontId="13" fillId="0" borderId="1" xfId="9" applyNumberFormat="1" applyFont="1" applyBorder="1" applyAlignment="1">
      <alignment horizontal="center" vertical="center"/>
    </xf>
    <xf numFmtId="2" fontId="13" fillId="0" borderId="18" xfId="0" applyNumberFormat="1" applyFont="1" applyBorder="1" applyAlignment="1">
      <alignment horizontal="center" vertical="center"/>
    </xf>
    <xf numFmtId="43" fontId="5" fillId="0" borderId="18" xfId="0" applyNumberFormat="1" applyFont="1" applyBorder="1"/>
    <xf numFmtId="168" fontId="5" fillId="0" borderId="18" xfId="0" applyNumberFormat="1" applyFont="1" applyBorder="1"/>
    <xf numFmtId="0" fontId="8" fillId="42" borderId="0" xfId="0" applyFont="1" applyFill="1" applyAlignment="1">
      <alignment vertical="center"/>
    </xf>
    <xf numFmtId="0" fontId="15" fillId="87" borderId="0" xfId="0" applyFont="1" applyFill="1" applyAlignment="1">
      <alignment vertical="center"/>
    </xf>
    <xf numFmtId="0" fontId="15" fillId="87" borderId="0" xfId="0" applyFont="1" applyFill="1" applyAlignment="1">
      <alignment horizontal="center" vertical="center"/>
    </xf>
    <xf numFmtId="1" fontId="15" fillId="87" borderId="0" xfId="0" applyNumberFormat="1" applyFont="1" applyFill="1" applyAlignment="1">
      <alignment horizontal="center" vertical="center"/>
    </xf>
    <xf numFmtId="1" fontId="15" fillId="87" borderId="0" xfId="0" applyNumberFormat="1" applyFont="1" applyFill="1" applyAlignment="1">
      <alignment vertical="center"/>
    </xf>
    <xf numFmtId="0" fontId="8" fillId="87" borderId="0" xfId="0" applyFont="1" applyFill="1" applyAlignment="1">
      <alignment horizontal="center" vertical="center"/>
    </xf>
    <xf numFmtId="168" fontId="8" fillId="87" borderId="0" xfId="0" applyNumberFormat="1" applyFont="1" applyFill="1" applyAlignment="1">
      <alignment horizontal="center" vertical="center"/>
    </xf>
    <xf numFmtId="0" fontId="8" fillId="77" borderId="0" xfId="0" applyFont="1" applyFill="1" applyAlignment="1">
      <alignment vertical="center"/>
    </xf>
    <xf numFmtId="0" fontId="8" fillId="88" borderId="0" xfId="0" applyFont="1" applyFill="1" applyAlignment="1">
      <alignment vertical="center"/>
    </xf>
    <xf numFmtId="0" fontId="8" fillId="88" borderId="0" xfId="0" applyFont="1" applyFill="1" applyAlignment="1">
      <alignment horizontal="center" vertical="center"/>
    </xf>
    <xf numFmtId="1" fontId="15" fillId="88" borderId="0" xfId="0" applyNumberFormat="1" applyFont="1" applyFill="1" applyAlignment="1">
      <alignment horizontal="center" vertical="center"/>
    </xf>
    <xf numFmtId="1" fontId="15" fillId="88" borderId="0" xfId="0" applyNumberFormat="1" applyFont="1" applyFill="1" applyAlignment="1">
      <alignment vertical="center"/>
    </xf>
    <xf numFmtId="0" fontId="15" fillId="88" borderId="0" xfId="0" applyFont="1" applyFill="1" applyAlignment="1">
      <alignment vertical="center"/>
    </xf>
    <xf numFmtId="0" fontId="15" fillId="4" borderId="0" xfId="0" applyFont="1" applyFill="1" applyAlignment="1">
      <alignment vertical="center"/>
    </xf>
    <xf numFmtId="0" fontId="15" fillId="4" borderId="0" xfId="0" applyFont="1" applyFill="1" applyAlignment="1">
      <alignment horizontal="center" vertical="center"/>
    </xf>
    <xf numFmtId="1" fontId="15" fillId="4" borderId="0" xfId="0" applyNumberFormat="1" applyFont="1" applyFill="1" applyAlignment="1">
      <alignment horizontal="center" vertical="center"/>
    </xf>
    <xf numFmtId="1" fontId="15" fillId="4" borderId="0" xfId="0" applyNumberFormat="1" applyFont="1" applyFill="1" applyAlignment="1">
      <alignment vertical="center"/>
    </xf>
    <xf numFmtId="0" fontId="8" fillId="4" borderId="0" xfId="0" applyFont="1" applyFill="1" applyAlignment="1">
      <alignment horizontal="center" vertical="center"/>
    </xf>
    <xf numFmtId="168" fontId="8" fillId="4" borderId="0" xfId="0" applyNumberFormat="1" applyFont="1" applyFill="1" applyAlignment="1">
      <alignment horizontal="center" vertical="center"/>
    </xf>
    <xf numFmtId="0" fontId="8" fillId="4" borderId="0" xfId="0" applyFont="1" applyFill="1" applyAlignment="1">
      <alignment vertical="center"/>
    </xf>
    <xf numFmtId="0" fontId="8" fillId="81" borderId="0" xfId="0" applyFont="1" applyFill="1" applyAlignment="1">
      <alignment vertical="center"/>
    </xf>
    <xf numFmtId="0" fontId="8" fillId="81" borderId="0" xfId="0" applyFont="1" applyFill="1" applyAlignment="1">
      <alignment horizontal="center" vertical="center"/>
    </xf>
    <xf numFmtId="165" fontId="8" fillId="81" borderId="0" xfId="0" applyNumberFormat="1" applyFont="1" applyFill="1" applyAlignment="1">
      <alignment vertical="center"/>
    </xf>
    <xf numFmtId="0" fontId="8" fillId="0" borderId="0" xfId="0" applyFont="1" applyAlignment="1">
      <alignment vertical="center"/>
    </xf>
    <xf numFmtId="1" fontId="15" fillId="0" borderId="0" xfId="0" applyNumberFormat="1" applyFont="1" applyAlignment="1">
      <alignment horizontal="center" vertical="center"/>
    </xf>
    <xf numFmtId="1" fontId="15" fillId="0" borderId="0" xfId="0" applyNumberFormat="1" applyFont="1" applyAlignment="1">
      <alignment vertical="center"/>
    </xf>
    <xf numFmtId="0" fontId="15" fillId="0" borderId="0" xfId="0" applyFont="1" applyAlignment="1">
      <alignment vertical="center"/>
    </xf>
    <xf numFmtId="0" fontId="15" fillId="89" borderId="0" xfId="0" applyFont="1" applyFill="1" applyAlignment="1">
      <alignment vertical="center"/>
    </xf>
    <xf numFmtId="0" fontId="15" fillId="89" borderId="0" xfId="0" applyFont="1" applyFill="1" applyAlignment="1">
      <alignment horizontal="center" vertical="center"/>
    </xf>
    <xf numFmtId="1" fontId="15" fillId="89" borderId="0" xfId="0" applyNumberFormat="1" applyFont="1" applyFill="1" applyAlignment="1">
      <alignment horizontal="center" vertical="center"/>
    </xf>
    <xf numFmtId="1" fontId="15" fillId="89" borderId="0" xfId="0" applyNumberFormat="1" applyFont="1" applyFill="1" applyAlignment="1">
      <alignment vertical="center"/>
    </xf>
    <xf numFmtId="0" fontId="8" fillId="89" borderId="0" xfId="0" applyFont="1" applyFill="1" applyAlignment="1">
      <alignment horizontal="center" vertical="center"/>
    </xf>
    <xf numFmtId="0" fontId="16" fillId="89" borderId="0" xfId="0" applyFont="1" applyFill="1" applyAlignment="1">
      <alignment vertical="center"/>
    </xf>
    <xf numFmtId="0" fontId="8" fillId="6" borderId="0" xfId="0" applyFont="1" applyFill="1" applyAlignment="1">
      <alignment vertical="center"/>
    </xf>
    <xf numFmtId="0" fontId="8" fillId="6" borderId="0" xfId="0" applyFont="1" applyFill="1" applyAlignment="1">
      <alignment horizontal="center" vertical="center"/>
    </xf>
    <xf numFmtId="1" fontId="8" fillId="6" borderId="0" xfId="0" applyNumberFormat="1" applyFont="1" applyFill="1" applyAlignment="1">
      <alignment horizontal="center" vertical="center"/>
    </xf>
    <xf numFmtId="165" fontId="8" fillId="6" borderId="0" xfId="0" applyNumberFormat="1" applyFont="1" applyFill="1" applyAlignment="1">
      <alignment vertical="center"/>
    </xf>
    <xf numFmtId="0" fontId="15" fillId="90" borderId="0" xfId="0" applyFont="1" applyFill="1" applyAlignment="1">
      <alignment vertical="center"/>
    </xf>
    <xf numFmtId="0" fontId="8" fillId="90" borderId="0" xfId="0" applyFont="1" applyFill="1" applyAlignment="1">
      <alignment vertical="center"/>
    </xf>
    <xf numFmtId="0" fontId="15" fillId="90" borderId="0" xfId="0" applyFont="1" applyFill="1" applyAlignment="1">
      <alignment horizontal="center" vertical="center"/>
    </xf>
    <xf numFmtId="1" fontId="15" fillId="90" borderId="0" xfId="0" applyNumberFormat="1" applyFont="1" applyFill="1" applyAlignment="1">
      <alignment horizontal="center" vertical="center"/>
    </xf>
    <xf numFmtId="1" fontId="15" fillId="90" borderId="0" xfId="0" applyNumberFormat="1" applyFont="1" applyFill="1" applyAlignment="1">
      <alignment vertical="center"/>
    </xf>
    <xf numFmtId="0" fontId="8" fillId="90" borderId="0" xfId="0" applyFont="1" applyFill="1" applyAlignment="1">
      <alignment horizontal="center" vertical="center"/>
    </xf>
    <xf numFmtId="0" fontId="15" fillId="90" borderId="0" xfId="0" applyFont="1" applyFill="1" applyAlignment="1">
      <alignment horizontal="left" vertical="center"/>
    </xf>
    <xf numFmtId="0" fontId="8" fillId="8" borderId="0" xfId="0" applyFont="1" applyFill="1" applyAlignment="1">
      <alignment vertical="center"/>
    </xf>
    <xf numFmtId="0" fontId="15" fillId="8" borderId="0" xfId="0" applyFont="1" applyFill="1" applyAlignment="1">
      <alignment horizontal="center" vertical="center"/>
    </xf>
    <xf numFmtId="1" fontId="15" fillId="8" borderId="0" xfId="0" applyNumberFormat="1" applyFont="1" applyFill="1" applyAlignment="1">
      <alignment horizontal="center" vertical="center"/>
    </xf>
    <xf numFmtId="1" fontId="15" fillId="8" borderId="0" xfId="0" applyNumberFormat="1" applyFont="1" applyFill="1" applyAlignment="1">
      <alignment vertical="center"/>
    </xf>
    <xf numFmtId="0" fontId="15" fillId="8" borderId="0" xfId="0" applyFont="1" applyFill="1" applyAlignment="1">
      <alignment vertical="center"/>
    </xf>
    <xf numFmtId="0" fontId="15" fillId="92" borderId="0" xfId="0" applyFont="1" applyFill="1" applyAlignment="1">
      <alignment vertical="center"/>
    </xf>
    <xf numFmtId="0" fontId="15" fillId="92" borderId="0" xfId="0" applyFont="1" applyFill="1" applyAlignment="1">
      <alignment horizontal="center" vertical="center"/>
    </xf>
    <xf numFmtId="1" fontId="15" fillId="92" borderId="0" xfId="0" applyNumberFormat="1" applyFont="1" applyFill="1" applyAlignment="1">
      <alignment horizontal="center" vertical="center"/>
    </xf>
    <xf numFmtId="1" fontId="15" fillId="92" borderId="0" xfId="0" applyNumberFormat="1" applyFont="1" applyFill="1" applyAlignment="1">
      <alignment vertical="center"/>
    </xf>
    <xf numFmtId="0" fontId="8" fillId="12" borderId="0" xfId="0" applyFont="1" applyFill="1" applyAlignment="1">
      <alignment vertical="center"/>
    </xf>
    <xf numFmtId="0" fontId="8" fillId="12" borderId="0" xfId="0" applyFont="1" applyFill="1" applyAlignment="1">
      <alignment horizontal="center" vertical="center"/>
    </xf>
    <xf numFmtId="165" fontId="8" fillId="12" borderId="0" xfId="0" applyNumberFormat="1" applyFont="1" applyFill="1" applyAlignment="1">
      <alignment vertical="center"/>
    </xf>
    <xf numFmtId="2" fontId="8" fillId="12" borderId="0" xfId="0" applyNumberFormat="1" applyFont="1" applyFill="1" applyAlignment="1">
      <alignment horizontal="center" vertical="center"/>
    </xf>
    <xf numFmtId="0" fontId="15" fillId="91" borderId="0" xfId="0" applyFont="1" applyFill="1" applyAlignment="1">
      <alignment vertical="center"/>
    </xf>
    <xf numFmtId="0" fontId="15" fillId="91" borderId="0" xfId="0" applyFont="1" applyFill="1" applyAlignment="1">
      <alignment horizontal="center" vertical="center"/>
    </xf>
    <xf numFmtId="1" fontId="15" fillId="91" borderId="0" xfId="0" applyNumberFormat="1" applyFont="1" applyFill="1" applyAlignment="1">
      <alignment horizontal="center" vertical="center"/>
    </xf>
    <xf numFmtId="1" fontId="15" fillId="91" borderId="0" xfId="0" applyNumberFormat="1" applyFont="1" applyFill="1" applyAlignment="1">
      <alignment vertical="center"/>
    </xf>
    <xf numFmtId="0" fontId="8" fillId="91" borderId="0" xfId="0" applyFont="1" applyFill="1" applyAlignment="1">
      <alignment horizontal="center" vertical="center"/>
    </xf>
    <xf numFmtId="0" fontId="86" fillId="86" borderId="0" xfId="0" applyFont="1" applyFill="1" applyAlignment="1">
      <alignment horizontal="center" vertical="center"/>
    </xf>
    <xf numFmtId="2" fontId="15" fillId="87" borderId="0" xfId="0" applyNumberFormat="1" applyFont="1" applyFill="1" applyAlignment="1">
      <alignment horizontal="center" vertical="center"/>
    </xf>
    <xf numFmtId="0" fontId="15" fillId="88" borderId="0" xfId="0" applyFont="1" applyFill="1" applyAlignment="1">
      <alignment horizontal="center" vertical="center"/>
    </xf>
    <xf numFmtId="2" fontId="15" fillId="4" borderId="0" xfId="0" applyNumberFormat="1" applyFont="1" applyFill="1" applyAlignment="1">
      <alignment horizontal="center" vertical="center"/>
    </xf>
    <xf numFmtId="2" fontId="15" fillId="0" borderId="0" xfId="0" applyNumberFormat="1" applyFont="1" applyAlignment="1">
      <alignment horizontal="center" vertical="center"/>
    </xf>
    <xf numFmtId="2" fontId="15" fillId="89" borderId="0" xfId="0" applyNumberFormat="1" applyFont="1" applyFill="1" applyAlignment="1">
      <alignment horizontal="center" vertical="center"/>
    </xf>
    <xf numFmtId="0" fontId="79" fillId="0" borderId="0" xfId="0" applyFont="1" applyAlignment="1">
      <alignment horizontal="center" vertical="center"/>
    </xf>
    <xf numFmtId="2" fontId="15" fillId="90" borderId="0" xfId="0" applyNumberFormat="1" applyFont="1" applyFill="1" applyAlignment="1">
      <alignment horizontal="center" vertical="center"/>
    </xf>
    <xf numFmtId="2" fontId="15" fillId="8" borderId="0" xfId="0" applyNumberFormat="1" applyFont="1" applyFill="1" applyAlignment="1">
      <alignment horizontal="center" vertical="center"/>
    </xf>
    <xf numFmtId="2" fontId="15" fillId="92" borderId="0" xfId="0" applyNumberFormat="1" applyFont="1" applyFill="1" applyAlignment="1">
      <alignment horizontal="center" vertical="center"/>
    </xf>
    <xf numFmtId="2" fontId="15" fillId="91" borderId="0" xfId="0" applyNumberFormat="1" applyFont="1" applyFill="1" applyAlignment="1">
      <alignment horizontal="center" vertical="center"/>
    </xf>
    <xf numFmtId="171" fontId="15" fillId="91" borderId="0" xfId="0" applyNumberFormat="1" applyFont="1" applyFill="1" applyAlignment="1">
      <alignment horizontal="center" vertical="center"/>
    </xf>
    <xf numFmtId="171" fontId="15" fillId="0" borderId="0" xfId="0" applyNumberFormat="1" applyFont="1" applyAlignment="1">
      <alignment horizontal="center" vertical="center"/>
    </xf>
    <xf numFmtId="0" fontId="80" fillId="89" borderId="0" xfId="0" applyFont="1" applyFill="1" applyAlignment="1">
      <alignment horizontal="center" vertical="center"/>
    </xf>
    <xf numFmtId="0" fontId="88" fillId="86" borderId="0" xfId="0" applyFont="1" applyFill="1" applyAlignment="1">
      <alignment vertical="center"/>
    </xf>
    <xf numFmtId="0" fontId="69" fillId="110" borderId="1" xfId="21" applyFont="1" applyFill="1" applyBorder="1" applyAlignment="1">
      <alignment horizontal="left" vertical="center"/>
    </xf>
    <xf numFmtId="3" fontId="69" fillId="110" borderId="30" xfId="21" applyNumberFormat="1" applyFont="1" applyFill="1" applyBorder="1" applyAlignment="1">
      <alignment horizontal="right" vertical="center"/>
    </xf>
    <xf numFmtId="0" fontId="15" fillId="111" borderId="0" xfId="0" applyFont="1" applyFill="1" applyAlignment="1">
      <alignment vertical="center"/>
    </xf>
    <xf numFmtId="0" fontId="15" fillId="111" borderId="0" xfId="0" applyFont="1" applyFill="1" applyAlignment="1">
      <alignment horizontal="center" vertical="center"/>
    </xf>
    <xf numFmtId="1" fontId="15" fillId="111" borderId="0" xfId="0" applyNumberFormat="1" applyFont="1" applyFill="1" applyAlignment="1">
      <alignment horizontal="center" vertical="center"/>
    </xf>
    <xf numFmtId="0" fontId="0" fillId="0" borderId="18" xfId="0" applyBorder="1"/>
    <xf numFmtId="1" fontId="8" fillId="0" borderId="0" xfId="0" applyNumberFormat="1" applyFont="1" applyAlignment="1">
      <alignment horizontal="center"/>
    </xf>
    <xf numFmtId="165" fontId="8" fillId="0" borderId="0" xfId="0" applyNumberFormat="1" applyFont="1"/>
    <xf numFmtId="2" fontId="8" fillId="0" borderId="0" xfId="0" applyNumberFormat="1" applyFont="1" applyAlignment="1">
      <alignment horizontal="center"/>
    </xf>
    <xf numFmtId="166" fontId="8" fillId="0" borderId="0" xfId="0" applyNumberFormat="1" applyFont="1"/>
    <xf numFmtId="168" fontId="8" fillId="0" borderId="0" xfId="0" applyNumberFormat="1" applyFont="1"/>
    <xf numFmtId="168" fontId="8" fillId="0" borderId="0" xfId="0" applyNumberFormat="1" applyFont="1" applyAlignment="1">
      <alignment horizontal="center" vertical="center"/>
    </xf>
    <xf numFmtId="0" fontId="38" fillId="56" borderId="1" xfId="28" applyFont="1" applyFill="1" applyBorder="1" applyAlignment="1">
      <alignment horizontal="center" vertical="center" wrapText="1"/>
    </xf>
    <xf numFmtId="0" fontId="1" fillId="0" borderId="1" xfId="28" applyBorder="1" applyAlignment="1">
      <alignment horizontal="center" vertical="center"/>
    </xf>
    <xf numFmtId="0" fontId="38" fillId="56" borderId="6" xfId="28" applyFont="1" applyFill="1" applyBorder="1" applyAlignment="1">
      <alignment horizontal="center" vertical="center" wrapText="1"/>
    </xf>
    <xf numFmtId="168" fontId="13" fillId="0" borderId="18" xfId="0" applyNumberFormat="1" applyFont="1" applyBorder="1" applyAlignment="1">
      <alignment horizontal="center" vertical="center"/>
    </xf>
    <xf numFmtId="0" fontId="0" fillId="94" borderId="0" xfId="0" applyFill="1"/>
    <xf numFmtId="2" fontId="49" fillId="0" borderId="6" xfId="0" applyNumberFormat="1" applyFont="1" applyBorder="1" applyAlignment="1">
      <alignment horizontal="center" vertical="center"/>
    </xf>
    <xf numFmtId="0" fontId="8" fillId="112" borderId="0" xfId="0" applyFont="1" applyFill="1"/>
    <xf numFmtId="168" fontId="49" fillId="0" borderId="1" xfId="0" applyNumberFormat="1" applyFont="1" applyBorder="1" applyAlignment="1">
      <alignment horizontal="center" vertical="center" wrapText="1"/>
    </xf>
    <xf numFmtId="0" fontId="13" fillId="36" borderId="0" xfId="9" applyFont="1" applyFill="1" applyAlignment="1">
      <alignment horizontal="center" vertical="center" wrapText="1"/>
    </xf>
    <xf numFmtId="0" fontId="5" fillId="56" borderId="11" xfId="0" applyFont="1" applyFill="1" applyBorder="1" applyAlignment="1">
      <alignment vertical="center"/>
    </xf>
    <xf numFmtId="0" fontId="87" fillId="102" borderId="12" xfId="0" applyFont="1" applyFill="1" applyBorder="1" applyAlignment="1">
      <alignment horizontal="center" vertical="center"/>
    </xf>
    <xf numFmtId="0" fontId="87" fillId="56" borderId="1" xfId="0" applyFont="1" applyFill="1" applyBorder="1" applyAlignment="1">
      <alignment horizontal="center"/>
    </xf>
    <xf numFmtId="0" fontId="5" fillId="56" borderId="13" xfId="0" applyFont="1" applyFill="1" applyBorder="1" applyAlignment="1">
      <alignment vertical="center"/>
    </xf>
    <xf numFmtId="0" fontId="87" fillId="102" borderId="20" xfId="0" applyFont="1" applyFill="1" applyBorder="1" applyAlignment="1">
      <alignment horizontal="center" vertical="center"/>
    </xf>
    <xf numFmtId="0" fontId="87" fillId="56" borderId="6" xfId="0" applyFont="1" applyFill="1" applyBorder="1" applyAlignment="1">
      <alignment horizontal="center"/>
    </xf>
    <xf numFmtId="0" fontId="13" fillId="21" borderId="18" xfId="0" applyFont="1" applyFill="1" applyBorder="1" applyAlignment="1">
      <alignment horizontal="center" vertical="center" wrapText="1"/>
    </xf>
    <xf numFmtId="187" fontId="38" fillId="0" borderId="6" xfId="29" applyNumberFormat="1" applyFont="1" applyBorder="1" applyAlignment="1">
      <alignment horizontal="center" vertical="center" wrapText="1"/>
    </xf>
    <xf numFmtId="0" fontId="20" fillId="14" borderId="1" xfId="9" applyFont="1" applyFill="1" applyBorder="1" applyAlignment="1">
      <alignment horizontal="center" vertical="center" wrapText="1"/>
    </xf>
    <xf numFmtId="0" fontId="41" fillId="43" borderId="12" xfId="29" applyFont="1" applyFill="1" applyBorder="1" applyAlignment="1">
      <alignment horizontal="center" vertical="center" wrapText="1"/>
    </xf>
    <xf numFmtId="0" fontId="41" fillId="43" borderId="5" xfId="29" applyFont="1" applyFill="1" applyBorder="1" applyAlignment="1">
      <alignment horizontal="center" vertical="center" wrapText="1"/>
    </xf>
    <xf numFmtId="0" fontId="89" fillId="56" borderId="1" xfId="0" applyFont="1" applyFill="1" applyBorder="1" applyAlignment="1">
      <alignment horizontal="center"/>
    </xf>
    <xf numFmtId="0" fontId="87" fillId="0" borderId="2" xfId="0" applyFont="1" applyBorder="1" applyAlignment="1">
      <alignment horizontal="center" vertical="center"/>
    </xf>
    <xf numFmtId="3" fontId="89" fillId="0" borderId="2" xfId="0" applyNumberFormat="1" applyFont="1" applyBorder="1" applyAlignment="1">
      <alignment horizontal="center"/>
    </xf>
    <xf numFmtId="0" fontId="41" fillId="0" borderId="12" xfId="29" applyFont="1" applyBorder="1" applyAlignment="1">
      <alignment horizontal="center" vertical="center" wrapText="1"/>
    </xf>
    <xf numFmtId="0" fontId="41" fillId="0" borderId="5" xfId="29" applyFont="1" applyBorder="1" applyAlignment="1">
      <alignment horizontal="center" vertical="center" wrapText="1"/>
    </xf>
    <xf numFmtId="171" fontId="38" fillId="0" borderId="1" xfId="29" applyNumberFormat="1" applyFont="1" applyBorder="1" applyAlignment="1">
      <alignment horizontal="center" vertical="center"/>
    </xf>
    <xf numFmtId="9" fontId="1" fillId="0" borderId="1" xfId="29" applyNumberFormat="1" applyBorder="1" applyAlignment="1">
      <alignment horizontal="center" vertical="center"/>
    </xf>
    <xf numFmtId="1" fontId="38" fillId="0" borderId="1" xfId="29" applyNumberFormat="1" applyFont="1" applyBorder="1" applyAlignment="1">
      <alignment horizontal="center" vertical="center" wrapText="1"/>
    </xf>
    <xf numFmtId="1" fontId="1" fillId="0" borderId="3" xfId="29" applyNumberFormat="1" applyBorder="1" applyAlignment="1">
      <alignment horizontal="center" vertical="center"/>
    </xf>
    <xf numFmtId="0" fontId="90" fillId="0" borderId="19" xfId="0" applyFont="1" applyBorder="1" applyAlignment="1">
      <alignment horizontal="center" vertical="center"/>
    </xf>
    <xf numFmtId="0" fontId="87" fillId="0" borderId="19" xfId="0" applyFont="1" applyBorder="1" applyAlignment="1">
      <alignment horizontal="center" vertical="center"/>
    </xf>
    <xf numFmtId="0" fontId="7" fillId="0" borderId="19" xfId="9" applyBorder="1" applyAlignment="1">
      <alignment horizontal="center" vertical="center"/>
    </xf>
    <xf numFmtId="1" fontId="38" fillId="0" borderId="6" xfId="29" applyNumberFormat="1" applyFont="1" applyBorder="1" applyAlignment="1">
      <alignment horizontal="center" vertical="center"/>
    </xf>
    <xf numFmtId="9" fontId="1" fillId="0" borderId="6" xfId="29" applyNumberFormat="1" applyBorder="1" applyAlignment="1">
      <alignment horizontal="center" vertical="center"/>
    </xf>
    <xf numFmtId="1" fontId="38" fillId="0" borderId="6" xfId="29" applyNumberFormat="1" applyFont="1" applyBorder="1" applyAlignment="1">
      <alignment horizontal="center" vertical="center" wrapText="1"/>
    </xf>
    <xf numFmtId="1" fontId="1" fillId="0" borderId="8" xfId="29" applyNumberFormat="1" applyBorder="1" applyAlignment="1">
      <alignment horizontal="center" vertical="center"/>
    </xf>
    <xf numFmtId="0" fontId="37" fillId="0" borderId="3" xfId="14" applyBorder="1"/>
    <xf numFmtId="0" fontId="1" fillId="0" borderId="18" xfId="29" applyBorder="1" applyAlignment="1">
      <alignment vertical="center"/>
    </xf>
    <xf numFmtId="0" fontId="1" fillId="0" borderId="18" xfId="29" applyBorder="1" applyAlignment="1">
      <alignment horizontal="center" vertical="center"/>
    </xf>
    <xf numFmtId="1" fontId="38" fillId="0" borderId="18" xfId="29" applyNumberFormat="1" applyFont="1" applyBorder="1" applyAlignment="1">
      <alignment horizontal="center" vertical="center"/>
    </xf>
    <xf numFmtId="9" fontId="1" fillId="0" borderId="18" xfId="29" applyNumberFormat="1" applyBorder="1" applyAlignment="1">
      <alignment horizontal="center" vertical="center"/>
    </xf>
    <xf numFmtId="1" fontId="38" fillId="0" borderId="18" xfId="29" applyNumberFormat="1" applyFont="1" applyBorder="1" applyAlignment="1">
      <alignment horizontal="center" vertical="center" wrapText="1"/>
    </xf>
    <xf numFmtId="1" fontId="1" fillId="0" borderId="18" xfId="29" applyNumberFormat="1" applyBorder="1" applyAlignment="1">
      <alignment horizontal="center" vertical="center"/>
    </xf>
    <xf numFmtId="0" fontId="1" fillId="0" borderId="0" xfId="29" applyAlignment="1">
      <alignment vertical="center"/>
    </xf>
    <xf numFmtId="0" fontId="1" fillId="0" borderId="0" xfId="29" applyAlignment="1">
      <alignment horizontal="center" vertical="center"/>
    </xf>
    <xf numFmtId="1" fontId="38" fillId="0" borderId="0" xfId="29" applyNumberFormat="1" applyFont="1" applyAlignment="1">
      <alignment horizontal="center" vertical="center"/>
    </xf>
    <xf numFmtId="9" fontId="1" fillId="0" borderId="0" xfId="29" applyNumberFormat="1" applyAlignment="1">
      <alignment horizontal="center" vertical="center"/>
    </xf>
    <xf numFmtId="1" fontId="38" fillId="0" borderId="0" xfId="29" applyNumberFormat="1" applyFont="1" applyAlignment="1">
      <alignment horizontal="center" vertical="center" wrapText="1"/>
    </xf>
    <xf numFmtId="1" fontId="1" fillId="0" borderId="0" xfId="29" applyNumberFormat="1" applyAlignment="1">
      <alignment horizontal="center" vertical="center"/>
    </xf>
    <xf numFmtId="0" fontId="38" fillId="0" borderId="0" xfId="29" applyFont="1" applyAlignment="1">
      <alignment horizontal="center" vertical="center"/>
    </xf>
    <xf numFmtId="168" fontId="38" fillId="0" borderId="0" xfId="29" applyNumberFormat="1" applyFont="1" applyAlignment="1">
      <alignment horizontal="center" vertical="center"/>
    </xf>
    <xf numFmtId="168" fontId="38" fillId="0" borderId="0" xfId="29" applyNumberFormat="1" applyFont="1" applyAlignment="1">
      <alignment horizontal="center" vertical="center" wrapText="1"/>
    </xf>
    <xf numFmtId="0" fontId="17" fillId="46" borderId="1" xfId="29" applyFont="1" applyFill="1" applyBorder="1" applyAlignment="1">
      <alignment horizontal="center" vertical="center"/>
    </xf>
    <xf numFmtId="165" fontId="66" fillId="47" borderId="1" xfId="30" applyNumberFormat="1" applyFont="1" applyFill="1" applyBorder="1" applyAlignment="1">
      <alignment horizontal="center" vertical="center"/>
    </xf>
    <xf numFmtId="165" fontId="66" fillId="36" borderId="1" xfId="29" applyNumberFormat="1" applyFont="1" applyFill="1" applyBorder="1" applyAlignment="1">
      <alignment horizontal="center" vertical="center"/>
    </xf>
    <xf numFmtId="165" fontId="1" fillId="0" borderId="1" xfId="29" applyNumberFormat="1" applyBorder="1" applyAlignment="1">
      <alignment horizontal="center" vertical="center"/>
    </xf>
    <xf numFmtId="0" fontId="42" fillId="45" borderId="11" xfId="29" applyFont="1" applyFill="1" applyBorder="1" applyAlignment="1">
      <alignment horizontal="center"/>
    </xf>
    <xf numFmtId="0" fontId="42" fillId="45" borderId="1" xfId="29" applyFont="1" applyFill="1" applyBorder="1" applyAlignment="1">
      <alignment horizontal="center"/>
    </xf>
    <xf numFmtId="0" fontId="1" fillId="0" borderId="1" xfId="29" applyBorder="1" applyAlignment="1">
      <alignment vertical="center"/>
    </xf>
    <xf numFmtId="0" fontId="1" fillId="0" borderId="1" xfId="29" applyBorder="1" applyAlignment="1">
      <alignment horizontal="center" vertical="center"/>
    </xf>
    <xf numFmtId="0" fontId="38" fillId="0" borderId="1" xfId="29" applyFont="1" applyBorder="1" applyAlignment="1">
      <alignment horizontal="center" vertical="center"/>
    </xf>
    <xf numFmtId="1" fontId="38" fillId="0" borderId="1" xfId="29" applyNumberFormat="1" applyFont="1" applyBorder="1" applyAlignment="1">
      <alignment horizontal="center" vertical="center"/>
    </xf>
    <xf numFmtId="1" fontId="1" fillId="0" borderId="1" xfId="29" applyNumberFormat="1" applyBorder="1" applyAlignment="1">
      <alignment horizontal="center" vertical="center"/>
    </xf>
    <xf numFmtId="0" fontId="44" fillId="0" borderId="0" xfId="29" applyFont="1" applyAlignment="1">
      <alignment wrapText="1"/>
    </xf>
    <xf numFmtId="0" fontId="41" fillId="102" borderId="0" xfId="29" applyFont="1" applyFill="1" applyAlignment="1">
      <alignment horizontal="center" vertical="center" wrapText="1"/>
    </xf>
    <xf numFmtId="0" fontId="41" fillId="102" borderId="0" xfId="29" applyFont="1" applyFill="1" applyAlignment="1">
      <alignment horizontal="center" vertical="center"/>
    </xf>
    <xf numFmtId="0" fontId="1" fillId="56" borderId="0" xfId="29" applyFill="1" applyAlignment="1">
      <alignment vertical="center"/>
    </xf>
    <xf numFmtId="170" fontId="38" fillId="56" borderId="0" xfId="29" applyNumberFormat="1" applyFont="1" applyFill="1" applyAlignment="1">
      <alignment horizontal="center" vertical="center"/>
    </xf>
    <xf numFmtId="9" fontId="1" fillId="56" borderId="0" xfId="29" applyNumberFormat="1" applyFill="1" applyAlignment="1">
      <alignment horizontal="center" vertical="center"/>
    </xf>
    <xf numFmtId="1" fontId="38" fillId="56" borderId="0" xfId="29" applyNumberFormat="1" applyFont="1" applyFill="1" applyAlignment="1">
      <alignment horizontal="center" vertical="center" wrapText="1"/>
    </xf>
    <xf numFmtId="1" fontId="1" fillId="56" borderId="0" xfId="29" applyNumberFormat="1" applyFill="1" applyAlignment="1">
      <alignment horizontal="center" vertical="center"/>
    </xf>
    <xf numFmtId="0" fontId="44" fillId="56" borderId="0" xfId="29" applyFont="1" applyFill="1" applyAlignment="1">
      <alignment wrapText="1"/>
    </xf>
    <xf numFmtId="188" fontId="1" fillId="56" borderId="0" xfId="29" applyNumberFormat="1" applyFill="1" applyAlignment="1">
      <alignment vertical="center"/>
    </xf>
    <xf numFmtId="9" fontId="1" fillId="56" borderId="0" xfId="29" applyNumberFormat="1" applyFill="1" applyAlignment="1">
      <alignment vertical="center"/>
    </xf>
    <xf numFmtId="0" fontId="90" fillId="0" borderId="2" xfId="0" applyFont="1" applyBorder="1" applyAlignment="1">
      <alignment horizontal="center" vertical="center"/>
    </xf>
    <xf numFmtId="0" fontId="87" fillId="0" borderId="12" xfId="0" applyFont="1" applyBorder="1" applyAlignment="1">
      <alignment horizontal="center" vertical="center"/>
    </xf>
    <xf numFmtId="1" fontId="5" fillId="0" borderId="1" xfId="9" applyNumberFormat="1" applyFont="1" applyBorder="1" applyAlignment="1">
      <alignment horizontal="center"/>
    </xf>
    <xf numFmtId="2" fontId="13" fillId="0" borderId="1" xfId="9" applyNumberFormat="1" applyFont="1" applyBorder="1" applyAlignment="1">
      <alignment horizontal="center" vertical="center"/>
    </xf>
    <xf numFmtId="0" fontId="89" fillId="0" borderId="11" xfId="0" applyFont="1" applyBorder="1" applyAlignment="1">
      <alignment horizontal="center"/>
    </xf>
    <xf numFmtId="0" fontId="89" fillId="56" borderId="11" xfId="0" applyFont="1" applyFill="1" applyBorder="1" applyAlignment="1">
      <alignment horizontal="center"/>
    </xf>
    <xf numFmtId="0" fontId="6" fillId="56" borderId="11" xfId="0" applyFont="1" applyFill="1" applyBorder="1" applyAlignment="1">
      <alignment horizontal="center" vertical="center"/>
    </xf>
    <xf numFmtId="0" fontId="7" fillId="0" borderId="1" xfId="9" applyBorder="1" applyAlignment="1">
      <alignment horizontal="center" vertical="center"/>
    </xf>
    <xf numFmtId="1" fontId="7" fillId="0" borderId="1" xfId="9" applyNumberFormat="1" applyBorder="1" applyAlignment="1">
      <alignment horizontal="center"/>
    </xf>
    <xf numFmtId="165" fontId="80" fillId="81" borderId="0" xfId="0" applyNumberFormat="1" applyFont="1" applyFill="1" applyAlignment="1">
      <alignment horizontal="right" vertical="center"/>
    </xf>
    <xf numFmtId="165" fontId="80" fillId="81" borderId="0" xfId="0" applyNumberFormat="1" applyFont="1" applyFill="1" applyAlignment="1">
      <alignment horizontal="center" vertical="center"/>
    </xf>
    <xf numFmtId="166" fontId="80" fillId="81" borderId="0" xfId="0" applyNumberFormat="1" applyFont="1" applyFill="1" applyAlignment="1">
      <alignment horizontal="center" vertical="center"/>
    </xf>
    <xf numFmtId="2" fontId="80" fillId="95" borderId="0" xfId="0" applyNumberFormat="1" applyFont="1" applyFill="1" applyAlignment="1">
      <alignment horizontal="center"/>
    </xf>
    <xf numFmtId="0" fontId="8" fillId="110" borderId="1" xfId="0" applyFont="1" applyFill="1" applyBorder="1"/>
    <xf numFmtId="183" fontId="8" fillId="85" borderId="0" xfId="0" applyNumberFormat="1" applyFont="1" applyFill="1"/>
    <xf numFmtId="0" fontId="12" fillId="0" borderId="0" xfId="0" applyFont="1" applyAlignment="1">
      <alignment vertical="center"/>
    </xf>
    <xf numFmtId="0" fontId="50" fillId="0" borderId="1" xfId="0" applyFont="1" applyBorder="1" applyAlignment="1">
      <alignment horizontal="center" vertical="center" wrapText="1"/>
    </xf>
    <xf numFmtId="0" fontId="15" fillId="0" borderId="1" xfId="0" applyFont="1" applyBorder="1"/>
    <xf numFmtId="0" fontId="15" fillId="29" borderId="0" xfId="0" applyFont="1" applyFill="1"/>
    <xf numFmtId="0" fontId="53" fillId="14" borderId="1" xfId="0" applyFont="1" applyFill="1" applyBorder="1" applyAlignment="1">
      <alignment horizontal="center" vertical="center" wrapText="1"/>
    </xf>
    <xf numFmtId="0" fontId="91" fillId="0" borderId="0" xfId="0" applyFont="1" applyAlignment="1">
      <alignment horizontal="center"/>
    </xf>
    <xf numFmtId="0" fontId="53" fillId="0" borderId="1" xfId="0" applyFont="1" applyBorder="1" applyAlignment="1">
      <alignment horizontal="center" vertical="center" wrapText="1"/>
    </xf>
    <xf numFmtId="0" fontId="6" fillId="0" borderId="1" xfId="0" applyFont="1" applyBorder="1"/>
    <xf numFmtId="0" fontId="6" fillId="0" borderId="0" xfId="0" applyFont="1"/>
    <xf numFmtId="0" fontId="6" fillId="21" borderId="0" xfId="0" applyFont="1" applyFill="1"/>
    <xf numFmtId="0" fontId="53" fillId="21" borderId="0" xfId="0" applyFont="1" applyFill="1" applyAlignment="1">
      <alignment horizontal="center" vertical="center" wrapText="1"/>
    </xf>
    <xf numFmtId="0" fontId="6" fillId="29" borderId="0" xfId="0" applyFont="1" applyFill="1"/>
    <xf numFmtId="0" fontId="37" fillId="21" borderId="0" xfId="14" applyFill="1"/>
    <xf numFmtId="0" fontId="49" fillId="0" borderId="0" xfId="0" applyFont="1" applyAlignment="1">
      <alignment wrapText="1"/>
    </xf>
    <xf numFmtId="0" fontId="51" fillId="29" borderId="0" xfId="0" applyFont="1" applyFill="1" applyAlignment="1">
      <alignment vertical="center" wrapText="1"/>
    </xf>
    <xf numFmtId="0" fontId="51" fillId="29" borderId="5" xfId="0" applyFont="1" applyFill="1" applyBorder="1" applyAlignment="1">
      <alignment vertical="center" wrapText="1"/>
    </xf>
    <xf numFmtId="0" fontId="6" fillId="0" borderId="18" xfId="0" applyFont="1" applyBorder="1"/>
    <xf numFmtId="0" fontId="53" fillId="0" borderId="0" xfId="0" applyFont="1" applyAlignment="1">
      <alignment horizontal="center" vertical="center" wrapText="1"/>
    </xf>
    <xf numFmtId="0" fontId="91" fillId="0" borderId="1" xfId="0" applyFont="1" applyBorder="1"/>
    <xf numFmtId="0" fontId="91" fillId="0" borderId="0" xfId="0" applyFont="1"/>
    <xf numFmtId="0" fontId="91" fillId="29" borderId="0" xfId="0" applyFont="1" applyFill="1"/>
    <xf numFmtId="0" fontId="50" fillId="0" borderId="1" xfId="0" applyFont="1" applyBorder="1" applyAlignment="1">
      <alignment horizontal="left" vertical="center" wrapText="1"/>
    </xf>
    <xf numFmtId="0" fontId="91" fillId="0" borderId="6" xfId="0" applyFont="1" applyBorder="1"/>
    <xf numFmtId="0" fontId="91" fillId="0" borderId="18" xfId="0" applyFont="1" applyBorder="1"/>
    <xf numFmtId="0" fontId="53" fillId="14" borderId="1" xfId="0" applyFont="1" applyFill="1" applyBorder="1" applyAlignment="1">
      <alignment horizontal="left" vertical="center" wrapText="1"/>
    </xf>
    <xf numFmtId="0" fontId="6" fillId="21" borderId="0" xfId="4" applyFill="1" applyAlignment="1">
      <alignment horizontal="center" vertical="center"/>
    </xf>
    <xf numFmtId="0" fontId="15" fillId="19" borderId="0" xfId="0" applyFont="1" applyFill="1"/>
    <xf numFmtId="0" fontId="61" fillId="0" borderId="0" xfId="0" applyFont="1" applyAlignment="1">
      <alignment horizontal="center" vertical="center"/>
    </xf>
    <xf numFmtId="0" fontId="92" fillId="0" borderId="1" xfId="0" applyFont="1" applyBorder="1" applyAlignment="1">
      <alignment horizontal="center" vertical="center" wrapText="1"/>
    </xf>
    <xf numFmtId="0" fontId="91" fillId="0" borderId="4" xfId="0" applyFont="1" applyBorder="1"/>
    <xf numFmtId="0" fontId="91" fillId="0" borderId="1" xfId="0" applyFont="1" applyBorder="1" applyAlignment="1">
      <alignment horizontal="center" vertical="center"/>
    </xf>
    <xf numFmtId="0" fontId="15" fillId="0" borderId="6" xfId="0" applyFont="1" applyBorder="1"/>
    <xf numFmtId="0" fontId="15" fillId="0" borderId="18" xfId="0" applyFont="1" applyBorder="1"/>
    <xf numFmtId="0" fontId="91" fillId="19" borderId="0" xfId="0" applyFont="1" applyFill="1"/>
    <xf numFmtId="0" fontId="50" fillId="0" borderId="1" xfId="0" applyFont="1" applyBorder="1" applyAlignment="1">
      <alignment horizontal="center"/>
    </xf>
    <xf numFmtId="0" fontId="15" fillId="0" borderId="1" xfId="0" applyFont="1" applyBorder="1" applyAlignment="1">
      <alignment horizontal="center"/>
    </xf>
    <xf numFmtId="0" fontId="50" fillId="0" borderId="1" xfId="0" applyFont="1" applyBorder="1"/>
    <xf numFmtId="0" fontId="15" fillId="29" borderId="1" xfId="0" applyFont="1" applyFill="1" applyBorder="1"/>
    <xf numFmtId="0" fontId="50" fillId="0" borderId="6" xfId="0" applyFont="1" applyBorder="1" applyAlignment="1">
      <alignment horizontal="center" vertical="center" wrapText="1"/>
    </xf>
    <xf numFmtId="0" fontId="15" fillId="21" borderId="0" xfId="0" applyFont="1" applyFill="1"/>
    <xf numFmtId="0" fontId="50" fillId="0" borderId="3" xfId="0" applyFont="1" applyBorder="1" applyAlignment="1">
      <alignment horizontal="center" vertical="center" wrapText="1"/>
    </xf>
    <xf numFmtId="0" fontId="15" fillId="0" borderId="3" xfId="0" applyFont="1" applyBorder="1"/>
    <xf numFmtId="0" fontId="50" fillId="0" borderId="11" xfId="0" applyFont="1" applyBorder="1" applyAlignment="1">
      <alignment horizontal="center" vertical="center" wrapText="1"/>
    </xf>
    <xf numFmtId="0" fontId="50" fillId="14" borderId="11" xfId="0" applyFont="1" applyFill="1" applyBorder="1" applyAlignment="1">
      <alignment horizontal="center" vertical="center" wrapText="1"/>
    </xf>
    <xf numFmtId="0" fontId="91" fillId="21" borderId="0" xfId="0" applyFont="1" applyFill="1" applyAlignment="1">
      <alignment horizontal="center"/>
    </xf>
    <xf numFmtId="0" fontId="61" fillId="21" borderId="0" xfId="0" applyFont="1" applyFill="1" applyAlignment="1">
      <alignment horizontal="center" vertical="center"/>
    </xf>
    <xf numFmtId="0" fontId="50" fillId="0" borderId="2" xfId="0" applyFont="1" applyBorder="1" applyAlignment="1">
      <alignment horizontal="left" vertical="center"/>
    </xf>
    <xf numFmtId="0" fontId="91" fillId="0" borderId="1" xfId="0" applyFont="1" applyBorder="1" applyAlignment="1">
      <alignment horizontal="right"/>
    </xf>
    <xf numFmtId="0" fontId="15" fillId="21" borderId="1" xfId="0" applyFont="1" applyFill="1" applyBorder="1" applyAlignment="1">
      <alignment horizontal="right" vertical="center" wrapText="1"/>
    </xf>
    <xf numFmtId="0" fontId="6" fillId="19" borderId="0" xfId="0" applyFont="1" applyFill="1"/>
    <xf numFmtId="169" fontId="20" fillId="0" borderId="39" xfId="0" applyNumberFormat="1" applyFont="1" applyBorder="1"/>
    <xf numFmtId="169" fontId="20" fillId="0" borderId="1" xfId="0" applyNumberFormat="1" applyFont="1" applyBorder="1"/>
    <xf numFmtId="173" fontId="13" fillId="0" borderId="1" xfId="0" applyNumberFormat="1" applyFont="1" applyBorder="1"/>
    <xf numFmtId="192" fontId="20" fillId="0" borderId="1" xfId="0" applyNumberFormat="1" applyFont="1" applyBorder="1"/>
    <xf numFmtId="0" fontId="29" fillId="0" borderId="0" xfId="0" applyFont="1" applyAlignment="1">
      <alignment horizontal="center" vertical="center"/>
    </xf>
    <xf numFmtId="0" fontId="12" fillId="25" borderId="12" xfId="0" applyFont="1" applyFill="1" applyBorder="1" applyAlignment="1">
      <alignment horizontal="center" vertical="center"/>
    </xf>
    <xf numFmtId="0" fontId="12" fillId="28" borderId="3" xfId="0" applyFont="1" applyFill="1" applyBorder="1" applyAlignment="1">
      <alignment horizontal="center" vertical="center"/>
    </xf>
    <xf numFmtId="176" fontId="27" fillId="31" borderId="0" xfId="0" applyNumberFormat="1" applyFont="1" applyFill="1" applyAlignment="1">
      <alignment horizontal="center" vertical="center"/>
    </xf>
    <xf numFmtId="194" fontId="5" fillId="0" borderId="0" xfId="0" applyNumberFormat="1" applyFont="1"/>
    <xf numFmtId="194" fontId="0" fillId="0" borderId="0" xfId="12" applyNumberFormat="1" applyFont="1" applyAlignment="1">
      <alignment horizontal="center" vertical="center"/>
    </xf>
    <xf numFmtId="0" fontId="6" fillId="113" borderId="0" xfId="4" applyFill="1" applyAlignment="1">
      <alignment horizontal="center" vertical="center"/>
    </xf>
    <xf numFmtId="3" fontId="69" fillId="110" borderId="0" xfId="21" applyNumberFormat="1" applyFont="1" applyFill="1" applyAlignment="1">
      <alignment horizontal="right" vertical="center"/>
    </xf>
    <xf numFmtId="0" fontId="26" fillId="100" borderId="0" xfId="0" applyFont="1" applyFill="1" applyAlignment="1">
      <alignment vertical="center" wrapText="1"/>
    </xf>
    <xf numFmtId="1" fontId="38" fillId="0" borderId="1" xfId="4" applyNumberFormat="1" applyFont="1" applyBorder="1" applyAlignment="1">
      <alignment horizontal="center" vertical="center"/>
    </xf>
    <xf numFmtId="1" fontId="49" fillId="49" borderId="1" xfId="4" applyNumberFormat="1" applyFont="1" applyFill="1" applyBorder="1" applyAlignment="1">
      <alignment vertical="center" wrapText="1"/>
    </xf>
    <xf numFmtId="0" fontId="5" fillId="19" borderId="1" xfId="0" applyFont="1" applyFill="1" applyBorder="1"/>
    <xf numFmtId="165" fontId="5" fillId="0" borderId="1" xfId="12" applyNumberFormat="1" applyFont="1" applyBorder="1" applyAlignment="1">
      <alignment horizontal="center"/>
    </xf>
    <xf numFmtId="0" fontId="5" fillId="74" borderId="1" xfId="0" applyFont="1" applyFill="1" applyBorder="1"/>
    <xf numFmtId="0" fontId="5" fillId="114" borderId="0" xfId="0" applyFont="1" applyFill="1"/>
    <xf numFmtId="0" fontId="20" fillId="101" borderId="0" xfId="0" applyFont="1" applyFill="1" applyAlignment="1">
      <alignment horizontal="center" vertical="center" wrapText="1"/>
    </xf>
    <xf numFmtId="0" fontId="20" fillId="14" borderId="1" xfId="0" applyFont="1" applyFill="1" applyBorder="1" applyAlignment="1">
      <alignment horizontal="left" vertical="center"/>
    </xf>
    <xf numFmtId="0" fontId="93" fillId="20" borderId="1" xfId="0" applyFont="1" applyFill="1" applyBorder="1" applyAlignment="1">
      <alignment horizontal="center" vertical="center" wrapText="1"/>
    </xf>
    <xf numFmtId="0" fontId="23" fillId="0" borderId="1" xfId="0" applyFont="1" applyBorder="1" applyAlignment="1">
      <alignment horizontal="left" vertical="center"/>
    </xf>
    <xf numFmtId="0" fontId="8" fillId="74" borderId="0" xfId="0" applyFont="1" applyFill="1"/>
    <xf numFmtId="175" fontId="0" fillId="0" borderId="1" xfId="0" applyNumberFormat="1" applyBorder="1" applyAlignment="1">
      <alignment horizontal="center" vertical="center"/>
    </xf>
    <xf numFmtId="9" fontId="0" fillId="0" borderId="1" xfId="10" applyFont="1" applyBorder="1" applyAlignment="1">
      <alignment horizontal="center" vertical="center"/>
    </xf>
    <xf numFmtId="0" fontId="22" fillId="19" borderId="0" xfId="0" applyFont="1" applyFill="1" applyAlignment="1">
      <alignment horizontal="left" vertical="center"/>
    </xf>
    <xf numFmtId="0" fontId="22" fillId="19" borderId="5" xfId="0" applyFont="1" applyFill="1" applyBorder="1" applyAlignment="1">
      <alignment horizontal="left" vertical="center"/>
    </xf>
    <xf numFmtId="0" fontId="18" fillId="0" borderId="1" xfId="0" applyFont="1" applyBorder="1"/>
    <xf numFmtId="0" fontId="20" fillId="21" borderId="2" xfId="0" applyFont="1" applyFill="1" applyBorder="1" applyAlignment="1">
      <alignment horizontal="left" vertical="center"/>
    </xf>
    <xf numFmtId="0" fontId="20" fillId="0" borderId="0" xfId="0" applyFont="1" applyAlignment="1">
      <alignment horizontal="left"/>
    </xf>
    <xf numFmtId="0" fontId="23" fillId="0" borderId="0" xfId="0" applyFont="1" applyAlignment="1">
      <alignment horizontal="left"/>
    </xf>
    <xf numFmtId="0" fontId="8" fillId="22" borderId="9" xfId="0" applyFont="1" applyFill="1" applyBorder="1" applyAlignment="1">
      <alignment wrapText="1"/>
    </xf>
    <xf numFmtId="0" fontId="11" fillId="25" borderId="1" xfId="0" applyFont="1" applyFill="1" applyBorder="1" applyAlignment="1">
      <alignment horizontal="left"/>
    </xf>
    <xf numFmtId="0" fontId="20" fillId="21" borderId="1" xfId="0" applyFont="1" applyFill="1" applyBorder="1" applyAlignment="1">
      <alignment horizontal="left" vertical="center"/>
    </xf>
    <xf numFmtId="1" fontId="20" fillId="21" borderId="1" xfId="0" applyNumberFormat="1" applyFont="1" applyFill="1" applyBorder="1" applyAlignment="1">
      <alignment horizontal="left" vertical="center"/>
    </xf>
    <xf numFmtId="168" fontId="13" fillId="0" borderId="1" xfId="0" applyNumberFormat="1" applyFont="1" applyBorder="1" applyAlignment="1">
      <alignment vertical="center" wrapText="1"/>
    </xf>
    <xf numFmtId="0" fontId="0" fillId="54" borderId="0" xfId="0" applyFill="1"/>
    <xf numFmtId="0" fontId="13" fillId="115" borderId="0" xfId="0" applyFont="1" applyFill="1" applyAlignment="1">
      <alignment horizontal="center" vertical="center" wrapText="1"/>
    </xf>
    <xf numFmtId="0" fontId="20" fillId="36" borderId="0" xfId="0" applyFont="1" applyFill="1" applyAlignment="1">
      <alignment wrapText="1"/>
    </xf>
    <xf numFmtId="0" fontId="0" fillId="19" borderId="5" xfId="0" applyFill="1" applyBorder="1"/>
    <xf numFmtId="0" fontId="5" fillId="0" borderId="6" xfId="0" applyFont="1" applyBorder="1"/>
    <xf numFmtId="0" fontId="0" fillId="0" borderId="6" xfId="0" applyBorder="1" applyAlignment="1">
      <alignment vertical="center"/>
    </xf>
    <xf numFmtId="0" fontId="5" fillId="0" borderId="18" xfId="0" applyFont="1" applyBorder="1"/>
    <xf numFmtId="169" fontId="24" fillId="0" borderId="0" xfId="0" applyNumberFormat="1" applyFont="1" applyAlignment="1">
      <alignment wrapText="1"/>
    </xf>
    <xf numFmtId="0" fontId="24" fillId="54" borderId="0" xfId="0" applyFont="1" applyFill="1"/>
    <xf numFmtId="0" fontId="19" fillId="25" borderId="4" xfId="0" applyFont="1" applyFill="1" applyBorder="1"/>
    <xf numFmtId="165" fontId="0" fillId="53" borderId="1" xfId="0" applyNumberFormat="1" applyFill="1" applyBorder="1"/>
    <xf numFmtId="0" fontId="5" fillId="24" borderId="1" xfId="0" applyFont="1" applyFill="1" applyBorder="1"/>
    <xf numFmtId="0" fontId="5" fillId="98" borderId="1" xfId="0" applyFont="1" applyFill="1" applyBorder="1"/>
    <xf numFmtId="169" fontId="0" fillId="53" borderId="1" xfId="0" applyNumberFormat="1" applyFill="1" applyBorder="1"/>
    <xf numFmtId="165" fontId="0" fillId="56" borderId="6" xfId="0" applyNumberFormat="1" applyFill="1" applyBorder="1"/>
    <xf numFmtId="0" fontId="0" fillId="56" borderId="15" xfId="0" applyFill="1" applyBorder="1"/>
    <xf numFmtId="0" fontId="0" fillId="56" borderId="11" xfId="0" applyFill="1" applyBorder="1"/>
    <xf numFmtId="173" fontId="20" fillId="56" borderId="7" xfId="0" applyNumberFormat="1" applyFont="1" applyFill="1" applyBorder="1"/>
    <xf numFmtId="169" fontId="20" fillId="56" borderId="7" xfId="0" applyNumberFormat="1" applyFont="1" applyFill="1" applyBorder="1"/>
    <xf numFmtId="164" fontId="5" fillId="0" borderId="1" xfId="0" applyNumberFormat="1" applyFont="1" applyBorder="1" applyAlignment="1">
      <alignment horizontal="center" vertical="center"/>
    </xf>
    <xf numFmtId="0" fontId="5" fillId="74" borderId="0" xfId="0" applyFont="1" applyFill="1"/>
    <xf numFmtId="0" fontId="94" fillId="0" borderId="1" xfId="0" applyFont="1" applyBorder="1" applyAlignment="1">
      <alignment vertical="center"/>
    </xf>
    <xf numFmtId="0" fontId="94" fillId="0" borderId="2" xfId="0" applyFont="1" applyBorder="1" applyAlignment="1">
      <alignment vertical="center"/>
    </xf>
    <xf numFmtId="168" fontId="94" fillId="0" borderId="2" xfId="0" applyNumberFormat="1" applyFont="1" applyBorder="1" applyAlignment="1">
      <alignment vertical="center"/>
    </xf>
    <xf numFmtId="1" fontId="94" fillId="0" borderId="1" xfId="0" applyNumberFormat="1" applyFont="1" applyBorder="1" applyAlignment="1">
      <alignment horizontal="center" vertical="center"/>
    </xf>
    <xf numFmtId="9" fontId="94" fillId="0" borderId="1" xfId="0" applyNumberFormat="1" applyFont="1" applyBorder="1" applyAlignment="1">
      <alignment horizontal="center" vertical="center"/>
    </xf>
    <xf numFmtId="168" fontId="94" fillId="0" borderId="1" xfId="0" applyNumberFormat="1" applyFont="1" applyBorder="1" applyAlignment="1">
      <alignment horizontal="center" vertical="center" wrapText="1"/>
    </xf>
    <xf numFmtId="0" fontId="12" fillId="25" borderId="13" xfId="0" applyFont="1" applyFill="1" applyBorder="1"/>
    <xf numFmtId="181" fontId="5" fillId="0" borderId="1" xfId="0" applyNumberFormat="1" applyFont="1" applyBorder="1"/>
    <xf numFmtId="192" fontId="5" fillId="15" borderId="1" xfId="0" applyNumberFormat="1" applyFont="1" applyFill="1" applyBorder="1"/>
    <xf numFmtId="0" fontId="26" fillId="29" borderId="0" xfId="0" applyFont="1" applyFill="1" applyAlignment="1">
      <alignment vertical="center" wrapText="1"/>
    </xf>
    <xf numFmtId="0" fontId="26" fillId="29" borderId="5" xfId="0" applyFont="1" applyFill="1" applyBorder="1" applyAlignment="1">
      <alignment vertical="center" wrapText="1"/>
    </xf>
    <xf numFmtId="2" fontId="80" fillId="9" borderId="0" xfId="0" applyNumberFormat="1" applyFont="1" applyFill="1" applyAlignment="1">
      <alignment horizontal="right"/>
    </xf>
    <xf numFmtId="165" fontId="8" fillId="9" borderId="0" xfId="0" applyNumberFormat="1" applyFont="1" applyFill="1" applyAlignment="1">
      <alignment horizontal="right"/>
    </xf>
    <xf numFmtId="166" fontId="8" fillId="9" borderId="0" xfId="0" applyNumberFormat="1" applyFont="1" applyFill="1" applyAlignment="1">
      <alignment horizontal="right"/>
    </xf>
    <xf numFmtId="0" fontId="40" fillId="44" borderId="1" xfId="19" applyFont="1" applyFill="1" applyBorder="1" applyAlignment="1">
      <alignment horizontal="center" vertical="center" wrapText="1"/>
    </xf>
    <xf numFmtId="194" fontId="24" fillId="0" borderId="1" xfId="4" applyNumberFormat="1" applyFont="1" applyBorder="1" applyAlignment="1">
      <alignment horizontal="center" vertical="center"/>
    </xf>
    <xf numFmtId="3" fontId="69" fillId="110" borderId="1" xfId="21" applyNumberFormat="1" applyFont="1" applyFill="1" applyBorder="1" applyAlignment="1">
      <alignment horizontal="right" vertical="center"/>
    </xf>
    <xf numFmtId="0" fontId="0" fillId="0" borderId="0" xfId="0" applyAlignment="1">
      <alignment wrapText="1"/>
    </xf>
    <xf numFmtId="0" fontId="8" fillId="15" borderId="0" xfId="0" applyFont="1" applyFill="1"/>
    <xf numFmtId="0" fontId="8" fillId="116" borderId="1" xfId="0" applyFont="1" applyFill="1" applyBorder="1" applyAlignment="1">
      <alignment horizontal="left"/>
    </xf>
    <xf numFmtId="0" fontId="8" fillId="0" borderId="1" xfId="0" applyFont="1" applyBorder="1" applyAlignment="1">
      <alignment horizontal="right"/>
    </xf>
    <xf numFmtId="0" fontId="8" fillId="0" borderId="1" xfId="0" applyFont="1" applyBorder="1" applyAlignment="1">
      <alignment horizontal="left"/>
    </xf>
    <xf numFmtId="0" fontId="8" fillId="0" borderId="1" xfId="21" applyFont="1" applyBorder="1" applyAlignment="1">
      <alignment horizontal="right"/>
    </xf>
    <xf numFmtId="3" fontId="8" fillId="0" borderId="1" xfId="0" applyNumberFormat="1" applyFont="1" applyBorder="1" applyAlignment="1">
      <alignment horizontal="right"/>
    </xf>
    <xf numFmtId="3" fontId="8" fillId="0" borderId="0" xfId="0" applyNumberFormat="1" applyFont="1" applyAlignment="1">
      <alignment horizontal="right"/>
    </xf>
    <xf numFmtId="0" fontId="8" fillId="0" borderId="0" xfId="0" applyFont="1" applyAlignment="1">
      <alignment horizontal="right"/>
    </xf>
    <xf numFmtId="0" fontId="53" fillId="117" borderId="6" xfId="0" applyFont="1" applyFill="1" applyBorder="1" applyAlignment="1">
      <alignment horizontal="center" vertical="center" wrapText="1"/>
    </xf>
    <xf numFmtId="0" fontId="15" fillId="0" borderId="1" xfId="31" applyFont="1" applyBorder="1" applyAlignment="1">
      <alignment horizontal="center" vertical="center"/>
    </xf>
    <xf numFmtId="0" fontId="53" fillId="117" borderId="1" xfId="0" applyFont="1" applyFill="1" applyBorder="1" applyAlignment="1">
      <alignment horizontal="center" vertical="center" wrapText="1"/>
    </xf>
    <xf numFmtId="0" fontId="49" fillId="117" borderId="1" xfId="0" applyFont="1" applyFill="1" applyBorder="1" applyAlignment="1">
      <alignment horizontal="center" vertical="center" wrapText="1"/>
    </xf>
    <xf numFmtId="0" fontId="53" fillId="117" borderId="1" xfId="4" applyFont="1" applyFill="1" applyBorder="1" applyAlignment="1">
      <alignment horizontal="center" vertical="center" wrapText="1"/>
    </xf>
    <xf numFmtId="0" fontId="91" fillId="0" borderId="0" xfId="0" applyFont="1" applyAlignment="1">
      <alignment horizontal="center" vertical="center"/>
    </xf>
    <xf numFmtId="0" fontId="91" fillId="19" borderId="0" xfId="0" applyFont="1" applyFill="1" applyAlignment="1">
      <alignment horizontal="center"/>
    </xf>
    <xf numFmtId="0" fontId="91" fillId="0" borderId="1" xfId="0" applyFont="1" applyBorder="1" applyAlignment="1">
      <alignment horizontal="center"/>
    </xf>
    <xf numFmtId="0" fontId="91" fillId="29" borderId="0" xfId="0" applyFont="1" applyFill="1" applyAlignment="1">
      <alignment horizontal="center"/>
    </xf>
    <xf numFmtId="0" fontId="95" fillId="0" borderId="1" xfId="0" applyFont="1" applyBorder="1" applyAlignment="1">
      <alignment horizontal="center"/>
    </xf>
    <xf numFmtId="165" fontId="0" fillId="53" borderId="7" xfId="0" applyNumberFormat="1" applyFill="1" applyBorder="1"/>
    <xf numFmtId="0" fontId="0" fillId="56" borderId="7" xfId="0" applyFill="1" applyBorder="1"/>
    <xf numFmtId="1" fontId="0" fillId="56" borderId="7" xfId="0" applyNumberFormat="1" applyFill="1" applyBorder="1"/>
    <xf numFmtId="168" fontId="0" fillId="56" borderId="7" xfId="0" applyNumberFormat="1" applyFill="1" applyBorder="1"/>
    <xf numFmtId="0" fontId="0" fillId="53" borderId="7" xfId="0" applyFill="1" applyBorder="1"/>
    <xf numFmtId="0" fontId="62" fillId="0" borderId="1" xfId="0" applyFont="1" applyBorder="1" applyAlignment="1">
      <alignment horizontal="center"/>
    </xf>
    <xf numFmtId="0" fontId="62" fillId="0" borderId="1" xfId="0" applyFont="1" applyBorder="1" applyAlignment="1">
      <alignment horizontal="center" vertical="center"/>
    </xf>
    <xf numFmtId="0" fontId="50" fillId="0" borderId="6" xfId="0" applyFont="1" applyBorder="1" applyAlignment="1">
      <alignment horizontal="center" vertical="center"/>
    </xf>
    <xf numFmtId="0" fontId="95" fillId="0" borderId="0" xfId="0" applyFont="1" applyAlignment="1">
      <alignment horizontal="center" vertical="center"/>
    </xf>
    <xf numFmtId="165" fontId="0" fillId="0" borderId="39" xfId="0" applyNumberFormat="1" applyBorder="1"/>
    <xf numFmtId="1" fontId="0" fillId="0" borderId="39" xfId="0" applyNumberFormat="1" applyBorder="1"/>
    <xf numFmtId="0" fontId="0" fillId="0" borderId="39" xfId="0" applyBorder="1"/>
    <xf numFmtId="1" fontId="12" fillId="56" borderId="1" xfId="0" applyNumberFormat="1" applyFont="1" applyFill="1" applyBorder="1"/>
    <xf numFmtId="1" fontId="12" fillId="53" borderId="1" xfId="0" applyNumberFormat="1" applyFont="1" applyFill="1" applyBorder="1"/>
    <xf numFmtId="1" fontId="8" fillId="0" borderId="0" xfId="0" applyNumberFormat="1" applyFont="1" applyAlignment="1">
      <alignment horizontal="center" vertical="center"/>
    </xf>
    <xf numFmtId="0" fontId="15" fillId="0" borderId="0" xfId="0" applyFont="1" applyAlignment="1">
      <alignment horizontal="left" vertical="center"/>
    </xf>
    <xf numFmtId="0" fontId="96" fillId="0" borderId="0" xfId="0" applyFont="1"/>
    <xf numFmtId="166" fontId="13" fillId="118" borderId="0" xfId="0" applyNumberFormat="1" applyFont="1" applyFill="1" applyAlignment="1">
      <alignment horizontal="center" vertical="center" wrapText="1"/>
    </xf>
    <xf numFmtId="0" fontId="36" fillId="38" borderId="0" xfId="0" applyFont="1" applyFill="1" applyAlignment="1">
      <alignment horizontal="center"/>
    </xf>
    <xf numFmtId="0" fontId="0" fillId="0" borderId="0" xfId="0" applyAlignment="1">
      <alignment horizontal="center"/>
    </xf>
    <xf numFmtId="0" fontId="23" fillId="55" borderId="1" xfId="21" applyFont="1" applyFill="1" applyBorder="1" applyAlignment="1">
      <alignment horizontal="center" vertical="center"/>
    </xf>
    <xf numFmtId="0" fontId="62" fillId="0" borderId="1" xfId="21" applyFont="1" applyBorder="1"/>
    <xf numFmtId="0" fontId="23" fillId="55" borderId="31" xfId="21" applyFont="1" applyFill="1" applyBorder="1" applyAlignment="1">
      <alignment horizontal="center" vertical="center"/>
    </xf>
    <xf numFmtId="0" fontId="23" fillId="55" borderId="32" xfId="21" applyFont="1" applyFill="1" applyBorder="1" applyAlignment="1">
      <alignment horizontal="center" vertical="center"/>
    </xf>
    <xf numFmtId="0" fontId="23" fillId="55" borderId="30" xfId="21" applyFont="1" applyFill="1" applyBorder="1" applyAlignment="1">
      <alignment horizontal="center" vertical="center"/>
    </xf>
    <xf numFmtId="0" fontId="62" fillId="0" borderId="0" xfId="21" applyFont="1"/>
    <xf numFmtId="0" fontId="8" fillId="76" borderId="1" xfId="0" applyFont="1" applyFill="1" applyBorder="1" applyAlignment="1">
      <alignment horizontal="center"/>
    </xf>
    <xf numFmtId="0" fontId="23" fillId="55" borderId="8" xfId="21" applyFont="1" applyFill="1" applyBorder="1" applyAlignment="1">
      <alignment horizontal="center" vertical="center"/>
    </xf>
    <xf numFmtId="0" fontId="23" fillId="55" borderId="38" xfId="21" applyFont="1" applyFill="1" applyBorder="1" applyAlignment="1">
      <alignment horizontal="center" vertical="center"/>
    </xf>
    <xf numFmtId="0" fontId="8" fillId="0" borderId="1" xfId="21" applyFont="1" applyBorder="1"/>
    <xf numFmtId="0" fontId="23" fillId="0" borderId="0" xfId="21" applyFont="1" applyAlignment="1">
      <alignment horizontal="center" vertical="center"/>
    </xf>
    <xf numFmtId="0" fontId="8" fillId="0" borderId="0" xfId="21" applyFont="1"/>
    <xf numFmtId="0" fontId="8" fillId="0" borderId="0" xfId="0" applyFont="1" applyAlignment="1">
      <alignment horizontal="center"/>
    </xf>
    <xf numFmtId="0" fontId="95" fillId="0" borderId="0" xfId="0" applyFont="1" applyAlignment="1">
      <alignment horizontal="center" vertical="center"/>
    </xf>
    <xf numFmtId="0" fontId="22" fillId="17" borderId="0" xfId="0" applyFont="1" applyFill="1" applyAlignment="1">
      <alignment horizontal="center" vertical="center" wrapText="1"/>
    </xf>
    <xf numFmtId="0" fontId="22" fillId="19" borderId="4" xfId="0" applyFont="1" applyFill="1" applyBorder="1" applyAlignment="1">
      <alignment horizontal="center" vertical="center" wrapText="1"/>
    </xf>
    <xf numFmtId="0" fontId="0" fillId="0" borderId="5" xfId="0" applyBorder="1"/>
    <xf numFmtId="0" fontId="26" fillId="29" borderId="4" xfId="0" applyFont="1" applyFill="1" applyBorder="1" applyAlignment="1">
      <alignment horizontal="center" vertical="center" wrapText="1"/>
    </xf>
    <xf numFmtId="0" fontId="0" fillId="75" borderId="4" xfId="0" applyFill="1" applyBorder="1"/>
    <xf numFmtId="0" fontId="26" fillId="29" borderId="5" xfId="0" applyFont="1" applyFill="1" applyBorder="1" applyAlignment="1">
      <alignment horizontal="center" vertical="center" wrapText="1"/>
    </xf>
    <xf numFmtId="0" fontId="0" fillId="75" borderId="5" xfId="0" applyFill="1" applyBorder="1"/>
    <xf numFmtId="0" fontId="12" fillId="25" borderId="3" xfId="0" applyFont="1" applyFill="1" applyBorder="1" applyAlignment="1">
      <alignment horizontal="center"/>
    </xf>
    <xf numFmtId="0" fontId="0" fillId="0" borderId="4" xfId="0" applyBorder="1"/>
    <xf numFmtId="0" fontId="22" fillId="23" borderId="5" xfId="0" applyFont="1" applyFill="1" applyBorder="1" applyAlignment="1">
      <alignment horizontal="center"/>
    </xf>
    <xf numFmtId="0" fontId="74" fillId="66" borderId="34" xfId="0" applyFont="1" applyFill="1" applyBorder="1" applyAlignment="1">
      <alignment horizontal="center" vertical="center"/>
    </xf>
    <xf numFmtId="0" fontId="26" fillId="29" borderId="0" xfId="0" applyFont="1" applyFill="1" applyAlignment="1">
      <alignment horizontal="center" vertical="center" wrapText="1"/>
    </xf>
    <xf numFmtId="0" fontId="5" fillId="75" borderId="0" xfId="0" applyFont="1" applyFill="1" applyAlignment="1">
      <alignment horizontal="center"/>
    </xf>
    <xf numFmtId="0" fontId="22" fillId="19" borderId="18" xfId="0" applyFont="1" applyFill="1" applyBorder="1" applyAlignment="1">
      <alignment horizontal="center" vertical="center" wrapText="1"/>
    </xf>
    <xf numFmtId="0" fontId="22" fillId="19" borderId="5" xfId="0" applyFont="1" applyFill="1" applyBorder="1" applyAlignment="1">
      <alignment horizontal="center" vertical="center" wrapText="1"/>
    </xf>
    <xf numFmtId="0" fontId="19" fillId="25" borderId="0" xfId="0" applyFont="1" applyFill="1" applyAlignment="1">
      <alignment horizontal="center"/>
    </xf>
    <xf numFmtId="0" fontId="5" fillId="0" borderId="0" xfId="0" applyFont="1" applyAlignment="1">
      <alignment horizontal="center"/>
    </xf>
    <xf numFmtId="0" fontId="74" fillId="66" borderId="35" xfId="0" applyFont="1" applyFill="1" applyBorder="1" applyAlignment="1">
      <alignment horizontal="center" vertical="center"/>
    </xf>
    <xf numFmtId="0" fontId="74" fillId="66" borderId="36" xfId="0" applyFont="1" applyFill="1" applyBorder="1" applyAlignment="1">
      <alignment horizontal="center" vertical="center"/>
    </xf>
    <xf numFmtId="0" fontId="74" fillId="66" borderId="37" xfId="0" applyFont="1" applyFill="1" applyBorder="1" applyAlignment="1">
      <alignment horizontal="center" vertical="center"/>
    </xf>
    <xf numFmtId="0" fontId="0" fillId="75" borderId="0" xfId="0" applyFill="1"/>
    <xf numFmtId="0" fontId="22" fillId="0" borderId="0" xfId="0" applyFont="1" applyAlignment="1">
      <alignment horizontal="center" vertical="center" wrapText="1"/>
    </xf>
    <xf numFmtId="0" fontId="0" fillId="0" borderId="0" xfId="0"/>
    <xf numFmtId="0" fontId="12" fillId="25" borderId="10" xfId="0" applyFont="1" applyFill="1" applyBorder="1" applyAlignment="1">
      <alignment horizontal="center"/>
    </xf>
    <xf numFmtId="0" fontId="5" fillId="0" borderId="0" xfId="0" applyFont="1"/>
    <xf numFmtId="0" fontId="5" fillId="75" borderId="0" xfId="0" applyFont="1" applyFill="1"/>
    <xf numFmtId="0" fontId="22" fillId="19" borderId="1" xfId="0" applyFont="1" applyFill="1" applyBorder="1" applyAlignment="1">
      <alignment horizontal="center" vertical="center" wrapText="1"/>
    </xf>
    <xf numFmtId="0" fontId="0" fillId="0" borderId="11" xfId="0" applyBorder="1"/>
    <xf numFmtId="0" fontId="22" fillId="23" borderId="4" xfId="0" applyFont="1" applyFill="1" applyBorder="1" applyAlignment="1">
      <alignment horizontal="center"/>
    </xf>
    <xf numFmtId="0" fontId="26" fillId="0" borderId="0" xfId="0" applyFont="1" applyAlignment="1">
      <alignment horizontal="center" vertical="center" wrapText="1"/>
    </xf>
    <xf numFmtId="0" fontId="0" fillId="0" borderId="18" xfId="0" applyBorder="1"/>
    <xf numFmtId="0" fontId="19" fillId="25" borderId="5" xfId="0" applyFont="1" applyFill="1" applyBorder="1" applyAlignment="1">
      <alignment horizontal="center"/>
    </xf>
    <xf numFmtId="0" fontId="61" fillId="19" borderId="5" xfId="4" applyFont="1" applyFill="1" applyBorder="1" applyAlignment="1">
      <alignment horizontal="center" vertical="center" wrapText="1"/>
    </xf>
    <xf numFmtId="0" fontId="61" fillId="19" borderId="18" xfId="4" applyFont="1" applyFill="1" applyBorder="1" applyAlignment="1">
      <alignment horizontal="center" vertical="center" wrapText="1"/>
    </xf>
    <xf numFmtId="0" fontId="61" fillId="0" borderId="18" xfId="4" applyFont="1" applyBorder="1" applyAlignment="1">
      <alignment horizontal="center" vertical="center" wrapText="1"/>
    </xf>
    <xf numFmtId="0" fontId="61" fillId="0" borderId="0" xfId="4" applyFont="1" applyAlignment="1">
      <alignment horizontal="center" vertical="center" wrapText="1"/>
    </xf>
    <xf numFmtId="0" fontId="17" fillId="46" borderId="10" xfId="9" applyFont="1" applyFill="1" applyBorder="1" applyAlignment="1">
      <alignment horizontal="center" vertical="center"/>
    </xf>
    <xf numFmtId="0" fontId="17" fillId="46" borderId="5" xfId="9" applyFont="1" applyFill="1" applyBorder="1" applyAlignment="1">
      <alignment horizontal="center" vertical="center"/>
    </xf>
    <xf numFmtId="0" fontId="17" fillId="0" borderId="0" xfId="9" applyFont="1" applyAlignment="1">
      <alignment horizontal="center" vertical="center"/>
    </xf>
    <xf numFmtId="0" fontId="22" fillId="17" borderId="5" xfId="0" applyFont="1" applyFill="1" applyBorder="1" applyAlignment="1">
      <alignment horizontal="center" vertical="center" wrapText="1"/>
    </xf>
    <xf numFmtId="0" fontId="26" fillId="0" borderId="0" xfId="0" applyFont="1" applyAlignment="1">
      <alignment horizontal="center" vertical="center" wrapText="1" readingOrder="2"/>
    </xf>
    <xf numFmtId="0" fontId="19" fillId="25" borderId="4" xfId="0" applyFont="1" applyFill="1" applyBorder="1" applyAlignment="1">
      <alignment horizontal="center"/>
    </xf>
    <xf numFmtId="0" fontId="26" fillId="100" borderId="0" xfId="0" applyFont="1" applyFill="1" applyAlignment="1">
      <alignment horizontal="center" vertical="center" wrapText="1"/>
    </xf>
    <xf numFmtId="0" fontId="0" fillId="56" borderId="0" xfId="0" applyFill="1"/>
    <xf numFmtId="0" fontId="39" fillId="41" borderId="18" xfId="14" applyFont="1" applyFill="1" applyBorder="1" applyAlignment="1">
      <alignment horizontal="center" vertical="center" wrapText="1"/>
    </xf>
    <xf numFmtId="0" fontId="39" fillId="41" borderId="5" xfId="14" applyFont="1" applyFill="1" applyBorder="1" applyAlignment="1">
      <alignment horizontal="center" vertical="center" wrapText="1"/>
    </xf>
    <xf numFmtId="0" fontId="17" fillId="46" borderId="1" xfId="17" applyFont="1" applyFill="1" applyBorder="1" applyAlignment="1">
      <alignment horizontal="center" vertical="center"/>
    </xf>
    <xf numFmtId="0" fontId="26" fillId="29" borderId="0" xfId="0" applyFont="1" applyFill="1" applyAlignment="1">
      <alignment horizontal="center" vertical="center" wrapText="1" readingOrder="2"/>
    </xf>
    <xf numFmtId="0" fontId="19" fillId="25" borderId="1" xfId="0" applyFont="1" applyFill="1" applyBorder="1" applyAlignment="1">
      <alignment horizontal="center"/>
    </xf>
    <xf numFmtId="0" fontId="0" fillId="0" borderId="2" xfId="0" applyBorder="1"/>
    <xf numFmtId="0" fontId="74" fillId="66" borderId="33" xfId="0" applyFont="1" applyFill="1" applyBorder="1" applyAlignment="1">
      <alignment horizontal="center" vertical="center"/>
    </xf>
    <xf numFmtId="1" fontId="5" fillId="0" borderId="0" xfId="0" applyNumberFormat="1" applyFont="1"/>
    <xf numFmtId="1" fontId="5" fillId="75" borderId="0" xfId="0" applyNumberFormat="1" applyFont="1" applyFill="1"/>
    <xf numFmtId="0" fontId="22" fillId="19" borderId="12" xfId="0" applyFont="1" applyFill="1" applyBorder="1" applyAlignment="1">
      <alignment horizontal="center" vertical="center" wrapText="1"/>
    </xf>
    <xf numFmtId="0" fontId="0" fillId="0" borderId="20" xfId="0" applyBorder="1"/>
    <xf numFmtId="0" fontId="0" fillId="0" borderId="12" xfId="0" applyBorder="1"/>
    <xf numFmtId="0" fontId="28" fillId="74" borderId="4" xfId="0" applyFont="1" applyFill="1" applyBorder="1" applyAlignment="1">
      <alignment horizontal="center" vertical="center" wrapText="1"/>
    </xf>
    <xf numFmtId="0" fontId="28" fillId="19" borderId="4" xfId="0" applyFont="1" applyFill="1" applyBorder="1" applyAlignment="1">
      <alignment horizontal="center" vertical="center" wrapText="1"/>
    </xf>
    <xf numFmtId="0" fontId="74" fillId="66" borderId="35" xfId="9" applyFont="1" applyFill="1" applyBorder="1" applyAlignment="1">
      <alignment horizontal="center" vertical="center"/>
    </xf>
    <xf numFmtId="0" fontId="74" fillId="66" borderId="36" xfId="9" applyFont="1" applyFill="1" applyBorder="1" applyAlignment="1">
      <alignment horizontal="center" vertical="center"/>
    </xf>
    <xf numFmtId="0" fontId="74" fillId="66" borderId="37" xfId="9" applyFont="1" applyFill="1" applyBorder="1" applyAlignment="1">
      <alignment horizontal="center" vertical="center"/>
    </xf>
    <xf numFmtId="176" fontId="26" fillId="29" borderId="5" xfId="0" applyNumberFormat="1" applyFont="1" applyFill="1" applyBorder="1" applyAlignment="1">
      <alignment horizontal="center" vertical="center" wrapText="1"/>
    </xf>
    <xf numFmtId="176" fontId="0" fillId="75" borderId="5" xfId="0" applyNumberFormat="1" applyFill="1" applyBorder="1" applyAlignment="1">
      <alignment horizontal="center" vertical="center"/>
    </xf>
    <xf numFmtId="176" fontId="26" fillId="29" borderId="4" xfId="0" applyNumberFormat="1" applyFont="1" applyFill="1" applyBorder="1" applyAlignment="1">
      <alignment horizontal="center" vertical="center" wrapText="1"/>
    </xf>
    <xf numFmtId="176" fontId="0" fillId="75" borderId="4" xfId="0" applyNumberFormat="1" applyFill="1" applyBorder="1" applyAlignment="1">
      <alignment horizontal="center" vertical="center"/>
    </xf>
    <xf numFmtId="0" fontId="22" fillId="19" borderId="0" xfId="0" applyFont="1" applyFill="1" applyAlignment="1">
      <alignment horizontal="center" vertical="center" wrapText="1"/>
    </xf>
    <xf numFmtId="0" fontId="26" fillId="29" borderId="2" xfId="0" applyFont="1" applyFill="1" applyBorder="1" applyAlignment="1">
      <alignment horizontal="center" vertical="center" wrapText="1"/>
    </xf>
    <xf numFmtId="0" fontId="0" fillId="75" borderId="2" xfId="0" applyFill="1" applyBorder="1"/>
    <xf numFmtId="0" fontId="22" fillId="19" borderId="3" xfId="0" applyFont="1" applyFill="1" applyBorder="1" applyAlignment="1">
      <alignment horizontal="center" vertical="center" wrapText="1"/>
    </xf>
    <xf numFmtId="0" fontId="0" fillId="0" borderId="10" xfId="0" applyBorder="1"/>
    <xf numFmtId="0" fontId="26" fillId="29" borderId="12" xfId="0" applyFont="1" applyFill="1" applyBorder="1" applyAlignment="1">
      <alignment horizontal="center" vertical="center" wrapText="1"/>
    </xf>
    <xf numFmtId="0" fontId="0" fillId="75" borderId="12" xfId="0" applyFill="1" applyBorder="1"/>
    <xf numFmtId="0" fontId="5" fillId="0" borderId="0" xfId="0" applyFont="1" applyAlignment="1">
      <alignment horizontal="center" vertical="center"/>
    </xf>
    <xf numFmtId="0" fontId="12" fillId="25" borderId="10" xfId="0" applyFont="1" applyFill="1" applyBorder="1" applyAlignment="1">
      <alignment horizontal="center" vertical="center"/>
    </xf>
    <xf numFmtId="0" fontId="22" fillId="23" borderId="5" xfId="0" applyFont="1" applyFill="1" applyBorder="1" applyAlignment="1">
      <alignment horizontal="center" vertical="center"/>
    </xf>
    <xf numFmtId="0" fontId="26" fillId="29" borderId="3" xfId="0" applyFont="1" applyFill="1" applyBorder="1" applyAlignment="1">
      <alignment horizontal="center" vertical="center" wrapText="1"/>
    </xf>
    <xf numFmtId="0" fontId="51" fillId="29" borderId="0" xfId="9" applyFont="1" applyFill="1" applyAlignment="1">
      <alignment horizontal="center" vertical="center" wrapText="1" readingOrder="2"/>
    </xf>
    <xf numFmtId="0" fontId="7" fillId="0" borderId="5" xfId="9" applyBorder="1"/>
    <xf numFmtId="0" fontId="17" fillId="46" borderId="3" xfId="9" applyFont="1" applyFill="1" applyBorder="1" applyAlignment="1">
      <alignment horizontal="center" vertical="center"/>
    </xf>
    <xf numFmtId="0" fontId="17" fillId="46" borderId="4" xfId="9" applyFont="1" applyFill="1" applyBorder="1" applyAlignment="1">
      <alignment horizontal="center" vertical="center"/>
    </xf>
    <xf numFmtId="0" fontId="17" fillId="46" borderId="2" xfId="9" applyFont="1" applyFill="1" applyBorder="1" applyAlignment="1">
      <alignment horizontal="center" vertical="center"/>
    </xf>
    <xf numFmtId="0" fontId="6" fillId="0" borderId="0" xfId="4" applyAlignment="1">
      <alignment horizontal="center" vertical="center"/>
    </xf>
    <xf numFmtId="0" fontId="5" fillId="45" borderId="0" xfId="0" applyFont="1" applyFill="1"/>
    <xf numFmtId="0" fontId="0" fillId="45" borderId="5" xfId="0" applyFill="1" applyBorder="1"/>
    <xf numFmtId="0" fontId="28" fillId="19" borderId="5" xfId="0" applyFont="1" applyFill="1" applyBorder="1" applyAlignment="1">
      <alignment horizontal="center" vertical="center" wrapText="1"/>
    </xf>
    <xf numFmtId="0" fontId="11" fillId="25" borderId="3" xfId="0" applyFont="1" applyFill="1" applyBorder="1" applyAlignment="1">
      <alignment horizontal="center"/>
    </xf>
    <xf numFmtId="0" fontId="22" fillId="23" borderId="0" xfId="0" applyFont="1" applyFill="1" applyAlignment="1">
      <alignment horizontal="center"/>
    </xf>
    <xf numFmtId="0" fontId="12" fillId="25" borderId="5" xfId="0" applyFont="1" applyFill="1" applyBorder="1" applyAlignment="1">
      <alignment horizontal="center"/>
    </xf>
    <xf numFmtId="0" fontId="0" fillId="45" borderId="4" xfId="0" applyFill="1" applyBorder="1"/>
    <xf numFmtId="0" fontId="22" fillId="56" borderId="0" xfId="0" applyFont="1" applyFill="1" applyAlignment="1">
      <alignment horizontal="center" vertical="center"/>
    </xf>
    <xf numFmtId="0" fontId="22" fillId="19" borderId="2" xfId="0" applyFont="1" applyFill="1" applyBorder="1" applyAlignment="1">
      <alignment horizontal="center" vertical="center" wrapText="1"/>
    </xf>
    <xf numFmtId="0" fontId="0" fillId="0" borderId="19" xfId="0" applyBorder="1"/>
    <xf numFmtId="0" fontId="11" fillId="25" borderId="4" xfId="0" applyFont="1" applyFill="1" applyBorder="1" applyAlignment="1">
      <alignment horizontal="center"/>
    </xf>
    <xf numFmtId="0" fontId="11" fillId="25" borderId="5" xfId="0" applyFont="1" applyFill="1" applyBorder="1" applyAlignment="1">
      <alignment horizontal="center"/>
    </xf>
    <xf numFmtId="0" fontId="11" fillId="25" borderId="10" xfId="0" applyFont="1" applyFill="1" applyBorder="1" applyAlignment="1">
      <alignment horizontal="center"/>
    </xf>
    <xf numFmtId="0" fontId="22" fillId="105" borderId="5" xfId="0" applyFont="1" applyFill="1" applyBorder="1" applyAlignment="1">
      <alignment horizontal="center"/>
    </xf>
    <xf numFmtId="0" fontId="17" fillId="46" borderId="1" xfId="29" applyFont="1" applyFill="1" applyBorder="1" applyAlignment="1">
      <alignment horizontal="center" vertical="center"/>
    </xf>
    <xf numFmtId="0" fontId="17" fillId="46" borderId="1" xfId="9" applyFont="1" applyFill="1" applyBorder="1" applyAlignment="1">
      <alignment horizontal="center" vertical="center"/>
    </xf>
    <xf numFmtId="0" fontId="61" fillId="19" borderId="0" xfId="4" applyFont="1" applyFill="1" applyAlignment="1">
      <alignment horizontal="center" vertical="center" wrapText="1"/>
    </xf>
    <xf numFmtId="0" fontId="0" fillId="45" borderId="4" xfId="0" applyFill="1" applyBorder="1" applyAlignment="1">
      <alignment horizontal="center"/>
    </xf>
    <xf numFmtId="0" fontId="0" fillId="45" borderId="5" xfId="0" applyFill="1" applyBorder="1" applyAlignment="1">
      <alignment horizontal="center"/>
    </xf>
    <xf numFmtId="0" fontId="55" fillId="0" borderId="0" xfId="9" applyFont="1" applyAlignment="1">
      <alignment horizontal="center" vertical="center"/>
    </xf>
    <xf numFmtId="0" fontId="19" fillId="25" borderId="3" xfId="0" applyFont="1" applyFill="1" applyBorder="1" applyAlignment="1">
      <alignment horizontal="center"/>
    </xf>
  </cellXfs>
  <cellStyles count="32">
    <cellStyle name="Comma" xfId="12" builtinId="3"/>
    <cellStyle name="Comma 2" xfId="11" xr:uid="{18EA1BA5-0704-41E7-A012-391B0077F9D3}"/>
    <cellStyle name="Comma 3" xfId="16" xr:uid="{3D365F4C-4208-4309-B57A-8044CE14F6C7}"/>
    <cellStyle name="Comma 3 2" xfId="27" xr:uid="{214CECBC-8A4C-4039-A34E-24E358261D53}"/>
    <cellStyle name="Comma 4" xfId="18" xr:uid="{0A675ED8-89BB-4079-AB9D-B7D3C6E0BDDA}"/>
    <cellStyle name="Comma 4 2" xfId="30" xr:uid="{4532420C-C413-459B-8A5F-1F8627CA0B0B}"/>
    <cellStyle name="Normal" xfId="0" builtinId="0"/>
    <cellStyle name="Normal 10" xfId="31" xr:uid="{07CEF60A-AF2E-4494-82D0-318521082839}"/>
    <cellStyle name="Normal 2" xfId="1" xr:uid="{00000000-0005-0000-0000-000006000000}"/>
    <cellStyle name="Normal 2 2" xfId="2" xr:uid="{00000000-0005-0000-0000-000007000000}"/>
    <cellStyle name="Normal 2 2 2" xfId="3" xr:uid="{00000000-0005-0000-0000-000008000000}"/>
    <cellStyle name="Normal 2 2 2 2" xfId="4" xr:uid="{00000000-0005-0000-0000-000009000000}"/>
    <cellStyle name="Normal 2 2 2 3" xfId="19" xr:uid="{A0C47EFC-8466-4B3C-BBF0-A07CFD00619B}"/>
    <cellStyle name="Normal 2 2 3" xfId="5" xr:uid="{00000000-0005-0000-0000-00000A000000}"/>
    <cellStyle name="Normal 2 2 4" xfId="14" xr:uid="{15999F1B-21DE-4099-99DA-8C6F2A7F4172}"/>
    <cellStyle name="Normal 2 3" xfId="6" xr:uid="{00000000-0005-0000-0000-00000B000000}"/>
    <cellStyle name="Normal 2 3 2" xfId="7" xr:uid="{00000000-0005-0000-0000-00000C000000}"/>
    <cellStyle name="Normal 2 4" xfId="8" xr:uid="{00000000-0005-0000-0000-00000D000000}"/>
    <cellStyle name="Normal 2 5" xfId="13" xr:uid="{BEDDAC02-889E-4940-884F-A3E6BC16C164}"/>
    <cellStyle name="Normal 2 6" xfId="23" xr:uid="{C4FC1722-6972-4885-843A-4C1F9DFDAACC}"/>
    <cellStyle name="Normal 2 7" xfId="25" xr:uid="{D2C94E10-B01C-4ECA-A68A-C8134B54DF30}"/>
    <cellStyle name="Normal 3" xfId="9" xr:uid="{00000000-0005-0000-0000-00000E000000}"/>
    <cellStyle name="Normal 4" xfId="15" xr:uid="{47F5779C-A916-404B-AF62-18779521A302}"/>
    <cellStyle name="Normal 4 2" xfId="26" xr:uid="{1E752618-0C21-4AB7-888E-88B7BDFBA922}"/>
    <cellStyle name="Normal 4 3" xfId="28" xr:uid="{D224FDCE-50C7-4EDC-8F2E-6076C72A7AD5}"/>
    <cellStyle name="Normal 5" xfId="17" xr:uid="{8A243A6A-FF21-4FC6-85D5-99D85DC12BEF}"/>
    <cellStyle name="Normal 5 2" xfId="29" xr:uid="{7D7461FA-A73B-491C-B0BD-6D37B34A9160}"/>
    <cellStyle name="Normal 6" xfId="20" xr:uid="{02B9C210-B94F-482B-80C3-4A7C1E9CAFE5}"/>
    <cellStyle name="Normal 7" xfId="21" xr:uid="{01C06B8A-553A-4B42-9E90-C9726582D414}"/>
    <cellStyle name="Normal 8" xfId="22" xr:uid="{2F3A9262-5A8A-4FBD-B51F-A19E9BD9BA98}"/>
    <cellStyle name="Normal 9" xfId="24" xr:uid="{A9FECBB2-4940-49A4-AD68-E3CDD267D5A0}"/>
    <cellStyle name="Percent" xfId="10" builtinId="5"/>
  </cellStyles>
  <dxfs count="0"/>
  <tableStyles count="0" defaultTableStyle="TableStyleMedium2" defaultPivotStyle="PivotStyleLight16"/>
  <colors>
    <indexedColors>
      <rgbColor rgb="FF000000"/>
      <rgbColor rgb="FFFFFFFF"/>
      <rgbColor rgb="FFFF0000"/>
      <rgbColor rgb="FFFBE5D6"/>
      <rgbColor rgb="FF0000FF"/>
      <rgbColor rgb="FFFFFF00"/>
      <rgbColor rgb="FFFFCCFF"/>
      <rgbColor rgb="FFE7E6E6"/>
      <rgbColor rgb="FFC00000"/>
      <rgbColor rgb="FF008000"/>
      <rgbColor rgb="FF000080"/>
      <rgbColor rgb="FFC55A11"/>
      <rgbColor rgb="FF9966FF"/>
      <rgbColor rgb="FF2F5597"/>
      <rgbColor rgb="FFC9C9C9"/>
      <rgbColor rgb="FF7C7C7C"/>
      <rgbColor rgb="FFADB9CA"/>
      <rgbColor rgb="FF7030A0"/>
      <rgbColor rgb="FFFFF2CC"/>
      <rgbColor rgb="FFDEEBF7"/>
      <rgbColor rgb="FF660066"/>
      <rgbColor rgb="FFF4B183"/>
      <rgbColor rgb="FF0070C0"/>
      <rgbColor rgb="FFB4C7E7"/>
      <rgbColor rgb="FF000080"/>
      <rgbColor rgb="FFFF00FF"/>
      <rgbColor rgb="FFC5E0B4"/>
      <rgbColor rgb="FFF2F2F2"/>
      <rgbColor rgb="FF800080"/>
      <rgbColor rgb="FF800000"/>
      <rgbColor rgb="FF008080"/>
      <rgbColor rgb="FF0000FF"/>
      <rgbColor rgb="FFD6DCE5"/>
      <rgbColor rgb="FFDAE3F3"/>
      <rgbColor rgb="FFE2F0D9"/>
      <rgbColor rgb="FFFFE699"/>
      <rgbColor rgb="FF9DC3E6"/>
      <rgbColor rgb="FFFF99CC"/>
      <rgbColor rgb="FFAFABAB"/>
      <rgbColor rgb="FFF8CBAD"/>
      <rgbColor rgb="FF2E75B6"/>
      <rgbColor rgb="FFA9D18E"/>
      <rgbColor rgb="FF92D050"/>
      <rgbColor rgb="FFFFC000"/>
      <rgbColor rgb="FFBF9000"/>
      <rgbColor rgb="FFED7D31"/>
      <rgbColor rgb="FF595959"/>
      <rgbColor rgb="FFA6A6A6"/>
      <rgbColor rgb="FF002060"/>
      <rgbColor rgb="FF00B050"/>
      <rgbColor rgb="FF0D0D0D"/>
      <rgbColor rgb="FF333300"/>
      <rgbColor rgb="FF843C0B"/>
      <rgbColor rgb="FF833C0C"/>
      <rgbColor rgb="FF203864"/>
      <rgbColor rgb="FF333F50"/>
      <rgbColor rgb="00003366"/>
      <rgbColor rgb="00339966"/>
      <rgbColor rgb="00003300"/>
      <rgbColor rgb="00333300"/>
      <rgbColor rgb="00993300"/>
      <rgbColor rgb="00993366"/>
      <rgbColor rgb="00333399"/>
      <rgbColor rgb="00333333"/>
    </indexedColors>
    <mruColors>
      <color rgb="FFFF7C80"/>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microsoft.com/office/2017/06/relationships/rdRichValueTypes" Target="richData/rdRichValueTypes.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haredStrings" Target="sharedStrings.xml"/><Relationship Id="rId108" Type="http://schemas.microsoft.com/office/2017/10/relationships/person" Target="persons/person.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06/relationships/rdRichValueStructure" Target="richData/rdrichvaluestructure.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alcChain" Target="calcChain.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6</xdr:col>
      <xdr:colOff>203200</xdr:colOff>
      <xdr:row>0</xdr:row>
      <xdr:rowOff>95250</xdr:rowOff>
    </xdr:from>
    <xdr:to>
      <xdr:col>6</xdr:col>
      <xdr:colOff>1117600</xdr:colOff>
      <xdr:row>5</xdr:row>
      <xdr:rowOff>8460</xdr:rowOff>
    </xdr:to>
    <xdr:pic macro="[0]!RefreshButchery_Click">
      <xdr:nvPicPr>
        <xdr:cNvPr id="4" name="Graphic 3" descr="Cow with solid fill">
          <a:extLst>
            <a:ext uri="{FF2B5EF4-FFF2-40B4-BE49-F238E27FC236}">
              <a16:creationId xmlns:a16="http://schemas.microsoft.com/office/drawing/2014/main" id="{579707F3-D0DA-2D8C-9591-F66E923D7B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82300" y="95250"/>
          <a:ext cx="914400" cy="914400"/>
        </a:xfrm>
        <a:prstGeom prst="rect">
          <a:avLst/>
        </a:prstGeom>
      </xdr:spPr>
    </xdr:pic>
    <xdr:clientData/>
  </xdr:twoCellAnchor>
  <xdr:twoCellAnchor editAs="oneCell">
    <xdr:from>
      <xdr:col>6</xdr:col>
      <xdr:colOff>230909</xdr:colOff>
      <xdr:row>88</xdr:row>
      <xdr:rowOff>103909</xdr:rowOff>
    </xdr:from>
    <xdr:to>
      <xdr:col>6</xdr:col>
      <xdr:colOff>1145309</xdr:colOff>
      <xdr:row>93</xdr:row>
      <xdr:rowOff>109488</xdr:rowOff>
    </xdr:to>
    <xdr:pic macro="[0]!RefreshButchery_Click">
      <xdr:nvPicPr>
        <xdr:cNvPr id="2" name="Graphic 1" descr="Cow with solid fill">
          <a:extLst>
            <a:ext uri="{FF2B5EF4-FFF2-40B4-BE49-F238E27FC236}">
              <a16:creationId xmlns:a16="http://schemas.microsoft.com/office/drawing/2014/main" id="{F6044609-4FB5-4E3D-96E4-99917E3AAE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06545" y="15470909"/>
          <a:ext cx="914400" cy="9138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465404</xdr:colOff>
      <xdr:row>140</xdr:row>
      <xdr:rowOff>134494</xdr:rowOff>
    </xdr:from>
    <xdr:to>
      <xdr:col>16</xdr:col>
      <xdr:colOff>1056443</xdr:colOff>
      <xdr:row>144</xdr:row>
      <xdr:rowOff>24839</xdr:rowOff>
    </xdr:to>
    <xdr:pic macro="[0]!RecalcMasterSheet">
      <xdr:nvPicPr>
        <xdr:cNvPr id="2" name="Graphic 1" descr="Salt And Pepper with solid fill">
          <a:extLst>
            <a:ext uri="{FF2B5EF4-FFF2-40B4-BE49-F238E27FC236}">
              <a16:creationId xmlns:a16="http://schemas.microsoft.com/office/drawing/2014/main" id="{ABA56C9B-A484-41FA-83AE-502A6803B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410833" y="25851994"/>
          <a:ext cx="591039" cy="616060"/>
        </a:xfrm>
        <a:prstGeom prst="rect">
          <a:avLst/>
        </a:prstGeom>
      </xdr:spPr>
    </xdr:pic>
    <xdr:clientData/>
  </xdr:twoCellAnchor>
  <xdr:twoCellAnchor>
    <xdr:from>
      <xdr:col>34</xdr:col>
      <xdr:colOff>15393</xdr:colOff>
      <xdr:row>2</xdr:row>
      <xdr:rowOff>153940</xdr:rowOff>
    </xdr:from>
    <xdr:to>
      <xdr:col>34</xdr:col>
      <xdr:colOff>623454</xdr:colOff>
      <xdr:row>7</xdr:row>
      <xdr:rowOff>153941</xdr:rowOff>
    </xdr:to>
    <xdr:sp macro="[0]!UpdateRecipeData" textlink="">
      <xdr:nvSpPr>
        <xdr:cNvPr id="4" name="Lightning Bolt 3">
          <a:extLst>
            <a:ext uri="{FF2B5EF4-FFF2-40B4-BE49-F238E27FC236}">
              <a16:creationId xmlns:a16="http://schemas.microsoft.com/office/drawing/2014/main" id="{585151FD-718F-C171-B5DB-B132B1F544A4}"/>
            </a:ext>
          </a:extLst>
        </xdr:cNvPr>
        <xdr:cNvSpPr/>
      </xdr:nvSpPr>
      <xdr:spPr>
        <a:xfrm>
          <a:off x="31388242" y="846667"/>
          <a:ext cx="608061" cy="885152"/>
        </a:xfrm>
        <a:prstGeom prst="lightningBol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2144059</xdr:colOff>
      <xdr:row>2</xdr:row>
      <xdr:rowOff>141941</xdr:rowOff>
    </xdr:from>
    <xdr:to>
      <xdr:col>21</xdr:col>
      <xdr:colOff>1053353</xdr:colOff>
      <xdr:row>4</xdr:row>
      <xdr:rowOff>97118</xdr:rowOff>
    </xdr:to>
    <xdr:sp macro="[0]!ExportBatchTablesToPDF" textlink="">
      <xdr:nvSpPr>
        <xdr:cNvPr id="5" name="Rectangle: Rounded Corners 4">
          <a:extLst>
            <a:ext uri="{FF2B5EF4-FFF2-40B4-BE49-F238E27FC236}">
              <a16:creationId xmlns:a16="http://schemas.microsoft.com/office/drawing/2014/main" id="{99EFFE51-3113-E070-6305-A24352284241}"/>
            </a:ext>
          </a:extLst>
        </xdr:cNvPr>
        <xdr:cNvSpPr/>
      </xdr:nvSpPr>
      <xdr:spPr>
        <a:xfrm>
          <a:off x="21649765" y="8367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Batch Tables</a:t>
          </a:r>
          <a:endParaRPr lang="ar-EG" sz="1100" b="1">
            <a:solidFill>
              <a:schemeClr val="bg1"/>
            </a:solidFill>
          </a:endParaRPr>
        </a:p>
      </xdr:txBody>
    </xdr:sp>
    <xdr:clientData/>
  </xdr:twoCellAnchor>
  <xdr:twoCellAnchor>
    <xdr:from>
      <xdr:col>20</xdr:col>
      <xdr:colOff>2157755</xdr:colOff>
      <xdr:row>5</xdr:row>
      <xdr:rowOff>17930</xdr:rowOff>
    </xdr:from>
    <xdr:to>
      <xdr:col>22</xdr:col>
      <xdr:colOff>6226</xdr:colOff>
      <xdr:row>6</xdr:row>
      <xdr:rowOff>152401</xdr:rowOff>
    </xdr:to>
    <xdr:sp macro="[0]!Module9.ExportSpecialTablesToPDF" textlink="">
      <xdr:nvSpPr>
        <xdr:cNvPr id="6" name="Rectangle: Rounded Corners 5">
          <a:extLst>
            <a:ext uri="{FF2B5EF4-FFF2-40B4-BE49-F238E27FC236}">
              <a16:creationId xmlns:a16="http://schemas.microsoft.com/office/drawing/2014/main" id="{CD6C6886-EA98-4210-AC84-79A389E84128}"/>
            </a:ext>
          </a:extLst>
        </xdr:cNvPr>
        <xdr:cNvSpPr/>
      </xdr:nvSpPr>
      <xdr:spPr>
        <a:xfrm>
          <a:off x="21652255" y="1241363"/>
          <a:ext cx="1065804" cy="312271"/>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Special Tables</a:t>
          </a:r>
          <a:endParaRPr lang="ar-EG" sz="1100" b="1">
            <a:solidFill>
              <a:schemeClr val="bg1"/>
            </a:solidFill>
          </a:endParaRPr>
        </a:p>
      </xdr:txBody>
    </xdr:sp>
    <xdr:clientData/>
  </xdr:twoCellAnchor>
  <xdr:twoCellAnchor>
    <xdr:from>
      <xdr:col>20</xdr:col>
      <xdr:colOff>2150036</xdr:colOff>
      <xdr:row>7</xdr:row>
      <xdr:rowOff>58271</xdr:rowOff>
    </xdr:from>
    <xdr:to>
      <xdr:col>21</xdr:col>
      <xdr:colOff>1059330</xdr:colOff>
      <xdr:row>9</xdr:row>
      <xdr:rowOff>13447</xdr:rowOff>
    </xdr:to>
    <xdr:sp macro="[0]!Module8.ExportGarnishToPDF" textlink="">
      <xdr:nvSpPr>
        <xdr:cNvPr id="7" name="Rectangle: Rounded Corners 6">
          <a:extLst>
            <a:ext uri="{FF2B5EF4-FFF2-40B4-BE49-F238E27FC236}">
              <a16:creationId xmlns:a16="http://schemas.microsoft.com/office/drawing/2014/main" id="{5780ACDF-4056-451E-9C7F-8A8C1728BAC5}"/>
            </a:ext>
          </a:extLst>
        </xdr:cNvPr>
        <xdr:cNvSpPr/>
      </xdr:nvSpPr>
      <xdr:spPr>
        <a:xfrm>
          <a:off x="21655742" y="16495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Garnish Tables</a:t>
          </a:r>
          <a:endParaRPr lang="ar-EG" sz="1100" b="1">
            <a:solidFill>
              <a:schemeClr val="bg1"/>
            </a:solidFill>
          </a:endParaRPr>
        </a:p>
      </xdr:txBody>
    </xdr:sp>
    <xdr:clientData/>
  </xdr:twoCellAnchor>
  <xdr:twoCellAnchor>
    <xdr:from>
      <xdr:col>20</xdr:col>
      <xdr:colOff>2157506</xdr:colOff>
      <xdr:row>9</xdr:row>
      <xdr:rowOff>95623</xdr:rowOff>
    </xdr:from>
    <xdr:to>
      <xdr:col>22</xdr:col>
      <xdr:colOff>5977</xdr:colOff>
      <xdr:row>11</xdr:row>
      <xdr:rowOff>50800</xdr:rowOff>
    </xdr:to>
    <xdr:sp macro="[0]!Module10.ExportActualsToPDF" textlink="">
      <xdr:nvSpPr>
        <xdr:cNvPr id="8" name="Rectangle: Rounded Corners 7">
          <a:extLst>
            <a:ext uri="{FF2B5EF4-FFF2-40B4-BE49-F238E27FC236}">
              <a16:creationId xmlns:a16="http://schemas.microsoft.com/office/drawing/2014/main" id="{8F014FB4-C4F6-44FF-8D79-F5AC66738A25}"/>
            </a:ext>
          </a:extLst>
        </xdr:cNvPr>
        <xdr:cNvSpPr/>
      </xdr:nvSpPr>
      <xdr:spPr>
        <a:xfrm>
          <a:off x="21663212" y="2045447"/>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Actuals Tables</a:t>
          </a:r>
          <a:endParaRPr lang="ar-EG" sz="1100" b="1">
            <a:solidFill>
              <a:schemeClr val="bg1"/>
            </a:solidFill>
          </a:endParaRPr>
        </a:p>
      </xdr:txBody>
    </xdr:sp>
    <xdr:clientData/>
  </xdr:twoCellAnchor>
  <xdr:twoCellAnchor editAs="oneCell">
    <xdr:from>
      <xdr:col>16</xdr:col>
      <xdr:colOff>460375</xdr:colOff>
      <xdr:row>7</xdr:row>
      <xdr:rowOff>63500</xdr:rowOff>
    </xdr:from>
    <xdr:to>
      <xdr:col>16</xdr:col>
      <xdr:colOff>1051414</xdr:colOff>
      <xdr:row>10</xdr:row>
      <xdr:rowOff>128470</xdr:rowOff>
    </xdr:to>
    <xdr:pic macro="[0]!RecalcMasterSheet">
      <xdr:nvPicPr>
        <xdr:cNvPr id="9" name="Graphic 8" descr="Salt And Pepper with solid fill">
          <a:extLst>
            <a:ext uri="{FF2B5EF4-FFF2-40B4-BE49-F238E27FC236}">
              <a16:creationId xmlns:a16="http://schemas.microsoft.com/office/drawing/2014/main" id="{923609EB-09ED-4D20-9519-2D1BDCC84E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431125" y="1619250"/>
          <a:ext cx="591039" cy="588845"/>
        </a:xfrm>
        <a:prstGeom prst="rect">
          <a:avLst/>
        </a:prstGeom>
      </xdr:spPr>
    </xdr:pic>
    <xdr:clientData/>
  </xdr:twoCellAnchor>
  <xdr:twoCellAnchor editAs="oneCell">
    <xdr:from>
      <xdr:col>21</xdr:col>
      <xdr:colOff>84667</xdr:colOff>
      <xdr:row>13</xdr:row>
      <xdr:rowOff>12096</xdr:rowOff>
    </xdr:from>
    <xdr:to>
      <xdr:col>21</xdr:col>
      <xdr:colOff>999067</xdr:colOff>
      <xdr:row>18</xdr:row>
      <xdr:rowOff>49591</xdr:rowOff>
    </xdr:to>
    <xdr:pic macro="[0]!ExportAllToCombinedPDF">
      <xdr:nvPicPr>
        <xdr:cNvPr id="10" name="Graphic 9" descr="Chef male with solid fill">
          <a:extLst>
            <a:ext uri="{FF2B5EF4-FFF2-40B4-BE49-F238E27FC236}">
              <a16:creationId xmlns:a16="http://schemas.microsoft.com/office/drawing/2014/main" id="{62256ABC-412E-AFFF-0497-20529D73D1C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2364096" y="2630715"/>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546000</xdr:colOff>
      <xdr:row>2</xdr:row>
      <xdr:rowOff>75900</xdr:rowOff>
    </xdr:from>
    <xdr:to>
      <xdr:col>18</xdr:col>
      <xdr:colOff>215566</xdr:colOff>
      <xdr:row>6</xdr:row>
      <xdr:rowOff>75900</xdr:rowOff>
    </xdr:to>
    <xdr:pic macro="[0]!RecalcMarinationSheet">
      <xdr:nvPicPr>
        <xdr:cNvPr id="2" name="Graphic 2" descr="Chicken leg with solid fill">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a:fillRect/>
        </a:stretch>
      </xdr:blipFill>
      <xdr:spPr>
        <a:xfrm>
          <a:off x="15468500" y="755350"/>
          <a:ext cx="717050" cy="721280"/>
        </a:xfrm>
        <a:prstGeom prst="rect">
          <a:avLst/>
        </a:prstGeom>
        <a:ln w="0">
          <a:noFill/>
          <a:prstDash val="solid"/>
        </a:ln>
      </xdr:spPr>
    </xdr:pic>
    <xdr:clientData/>
  </xdr:twoCellAnchor>
  <xdr:twoCellAnchor>
    <xdr:from>
      <xdr:col>21</xdr:col>
      <xdr:colOff>127000</xdr:colOff>
      <xdr:row>2</xdr:row>
      <xdr:rowOff>36286</xdr:rowOff>
    </xdr:from>
    <xdr:to>
      <xdr:col>22</xdr:col>
      <xdr:colOff>589643</xdr:colOff>
      <xdr:row>4</xdr:row>
      <xdr:rowOff>154215</xdr:rowOff>
    </xdr:to>
    <xdr:sp macro="[0]!Module5.ExportMarinationToPDF" textlink="">
      <xdr:nvSpPr>
        <xdr:cNvPr id="3" name="Rectangle: Rounded Corners 2">
          <a:extLst>
            <a:ext uri="{FF2B5EF4-FFF2-40B4-BE49-F238E27FC236}">
              <a16:creationId xmlns:a16="http://schemas.microsoft.com/office/drawing/2014/main" id="{1157AAB6-A2A8-46A6-8748-8A65382F2F13}"/>
            </a:ext>
          </a:extLst>
        </xdr:cNvPr>
        <xdr:cNvSpPr/>
      </xdr:nvSpPr>
      <xdr:spPr>
        <a:xfrm>
          <a:off x="18297071" y="716643"/>
          <a:ext cx="1115786" cy="480786"/>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Marination Tables</a:t>
          </a:r>
          <a:endParaRPr lang="ar-EG" sz="1100" b="1">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4</xdr:row>
      <xdr:rowOff>0</xdr:rowOff>
    </xdr:from>
    <xdr:to>
      <xdr:col>10</xdr:col>
      <xdr:colOff>33414</xdr:colOff>
      <xdr:row>7</xdr:row>
      <xdr:rowOff>164572</xdr:rowOff>
    </xdr:to>
    <xdr:pic macro="[0]!Update_Cutting_Shapes_Ordering">
      <xdr:nvPicPr>
        <xdr:cNvPr id="2" name="Graphic 1" descr="Onion with solid fill">
          <a:extLst>
            <a:ext uri="{FF2B5EF4-FFF2-40B4-BE49-F238E27FC236}">
              <a16:creationId xmlns:a16="http://schemas.microsoft.com/office/drawing/2014/main" id="{E6423C7F-5F3F-4F24-A4F4-09E0FC1A72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703176" y="717176"/>
          <a:ext cx="690825" cy="70245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mira Fathy" id="{D0A273E1-AE59-40C9-9EFD-381E588CF6FC}" userId="f5fe407a88cb1524" providerId="Windows Live"/>
  <person displayName="Kamal Alshareef" id="{E4E539F7-EF01-4E1C-A881-E9D2CB5C903B}" userId="S::Alshareef.ka@octafoodksa.com::cb6032f9-5897-4e48-8775-ec7e07c838a6"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#NAME?</fb>
    <v>4</v>
    <v>1</v>
  </rv>
  <rv s="1">
    <fb t="e">#NAME?</fb>
    <v>4</v>
    <v>1</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C25" dT="2026-06-23T02:19:27.89" personId="{E4E539F7-EF01-4E1C-A881-E9D2CB5C903B}" id="{1DC842B1-13E5-4C73-8113-AF5C0DA1D93B}">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634B071-63C1-479E-A95A-6D74175549F9}" parentId="{1DC842B1-13E5-4C73-8113-AF5C0DA1D93B}">
    <text xml:space="preserve">If true the Cost of Protein + Mix + Topping will be equal to the Blue Table </text>
  </threadedComment>
  <threadedComment ref="AC25" dT="2026-06-23T02:29:24.85" personId="{E4E539F7-EF01-4E1C-A881-E9D2CB5C903B}" id="{57649925-FF84-4FBB-83C5-CACD6E437374}" parentId="{1DC842B1-13E5-4C73-8113-AF5C0DA1D93B}">
    <text>Marination Cost per gram is only linked to the uncoocked chicken quantity not total with Sauce</text>
  </threadedComment>
  <threadedComment ref="AC25" dT="2026-06-23T02:34:15.40" personId="{E4E539F7-EF01-4E1C-A881-E9D2CB5C903B}" id="{0E857DDC-4BA7-45B4-A583-FAEE249271DA}" parentId="{1DC842B1-13E5-4C73-8113-AF5C0DA1D93B}">
    <text>Garnish rate is divided on the total quantity of Chicken and Sauce to get its contribution for each gm of total</text>
  </threadedComment>
  <threadedComment ref="AF28" dT="2026-06-23T02:20:15.12" personId="{E4E539F7-EF01-4E1C-A881-E9D2CB5C903B}" id="{44D9B5F2-A946-4132-B746-CFB757F18171}">
    <text>If the Equation is correct, you will have the total of Protein + Mix + Topping = to the total in the Blue Table</text>
  </threadedComment>
  <threadedComment ref="AA30" dT="2026-06-23T02:48:35.04" personId="{E4E539F7-EF01-4E1C-A881-E9D2CB5C903B}" id="{3011D849-562F-4B14-BFB9-F1AD0C7CEDA5}">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2.xml><?xml version="1.0" encoding="utf-8"?>
<ThreadedComments xmlns="http://schemas.microsoft.com/office/spreadsheetml/2018/threadedcomments" xmlns:x="http://schemas.openxmlformats.org/spreadsheetml/2006/main">
  <threadedComment ref="AA30" dT="2026-06-23T02:48:35.04" personId="{E4E539F7-EF01-4E1C-A881-E9D2CB5C903B}" id="{081DAECB-E080-489B-8A34-165D790BF053}">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3.xml><?xml version="1.0" encoding="utf-8"?>
<ThreadedComments xmlns="http://schemas.microsoft.com/office/spreadsheetml/2018/threadedcomments" xmlns:x="http://schemas.openxmlformats.org/spreadsheetml/2006/main">
  <threadedComment ref="AC25" dT="2026-06-23T02:19:27.89" personId="{E4E539F7-EF01-4E1C-A881-E9D2CB5C903B}" id="{04D417F9-FD80-4CA6-9AC1-BA13ED0B4C6D}">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0588D0F2-F9FC-4256-B041-520B018B99C9}" parentId="{04D417F9-FD80-4CA6-9AC1-BA13ED0B4C6D}">
    <text xml:space="preserve">If true the Cost of Protein + Mix + Topping will be equal to the Blue Table </text>
  </threadedComment>
  <threadedComment ref="AC25" dT="2026-06-23T02:29:24.85" personId="{E4E539F7-EF01-4E1C-A881-E9D2CB5C903B}" id="{2FD51785-1AFF-45E2-BD6A-58D02F6A182C}" parentId="{04D417F9-FD80-4CA6-9AC1-BA13ED0B4C6D}">
    <text>Marination Cost per gram is only linked to the uncoocked chicken quantity not total with Sauce</text>
  </threadedComment>
  <threadedComment ref="AC25" dT="2026-06-23T02:34:15.40" personId="{E4E539F7-EF01-4E1C-A881-E9D2CB5C903B}" id="{67DB2525-12BA-4665-8EE3-D9671BC79917}" parentId="{04D417F9-FD80-4CA6-9AC1-BA13ED0B4C6D}">
    <text>Garnish rate is divided on the total quantity of Chicken and Sauce to get its contribution for each gm of total</text>
  </threadedComment>
</ThreadedComments>
</file>

<file path=xl/threadedComments/threadedComment4.xml><?xml version="1.0" encoding="utf-8"?>
<ThreadedComments xmlns="http://schemas.microsoft.com/office/spreadsheetml/2018/threadedcomments" xmlns:x="http://schemas.openxmlformats.org/spreadsheetml/2006/main">
  <threadedComment ref="I1" dT="2026-05-02T18:45:17.51" personId="{D0A273E1-AE59-40C9-9EFD-381E588CF6FC}" id="{D1EFD38B-F35F-4F53-829B-6B853CA5068A}">
    <text xml:space="preserve">There is no weight correction. For coating as it doesn’t lose weight
</text>
  </threadedComment>
  <threadedComment ref="K1" dT="2026-05-02T18:42:37.69" personId="{D0A273E1-AE59-40C9-9EFD-381E588CF6FC}" id="{DFDC8677-3B46-4597-A78A-89DFD78B19A4}">
    <text>The coating will never lose weight during cooking; however there will be loses as it will not stick to the chicken , get burned, and 75% is high efficiency coating</text>
  </threadedComment>
  <threadedComment ref="AC25" dT="2026-06-23T02:19:27.89" personId="{E4E539F7-EF01-4E1C-A881-E9D2CB5C903B}" id="{AFA68A81-CD12-4647-8026-78AC98878D4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80E7D8-C120-463D-BEA4-B02CE0830906}" parentId="{AFA68A81-CD12-4647-8026-78AC98878D42}">
    <text xml:space="preserve">If true the Cost of Protein + Mix + Topping will be equal to the Blue Table </text>
  </threadedComment>
  <threadedComment ref="AC25" dT="2026-06-23T02:29:24.85" personId="{E4E539F7-EF01-4E1C-A881-E9D2CB5C903B}" id="{295FD4E7-0A54-4BFB-92B5-B86C62B9E13F}" parentId="{AFA68A81-CD12-4647-8026-78AC98878D42}">
    <text>Marination Cost per gram is only linked to the uncoocked chicken quantity not total with Sauce</text>
  </threadedComment>
  <threadedComment ref="AC25" dT="2026-06-23T02:34:15.40" personId="{E4E539F7-EF01-4E1C-A881-E9D2CB5C903B}" id="{19C4264B-D4E1-4768-A5C1-FA25535C0000}" parentId="{AFA68A81-CD12-4647-8026-78AC98878D42}">
    <text>Garnish rate is divided on the total quantity of Chicken and Sauce to get its contribution for each gm of total</text>
  </threadedComment>
</ThreadedComments>
</file>

<file path=xl/threadedComments/threadedComment5.xml><?xml version="1.0" encoding="utf-8"?>
<ThreadedComments xmlns="http://schemas.microsoft.com/office/spreadsheetml/2018/threadedcomments" xmlns:x="http://schemas.openxmlformats.org/spreadsheetml/2006/main">
  <threadedComment ref="AC25" dT="2026-06-23T02:19:27.89" personId="{E4E539F7-EF01-4E1C-A881-E9D2CB5C903B}" id="{ADAC1321-0D8E-452C-AD0E-7D9D38F2ED51}">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1ED7AC2E-3C01-422D-898D-FCF9DC1C4A24}" parentId="{ADAC1321-0D8E-452C-AD0E-7D9D38F2ED51}">
    <text xml:space="preserve">If true the Cost of Protein + Mix + Topping will be equal to the Blue Table </text>
  </threadedComment>
  <threadedComment ref="AC25" dT="2026-06-23T02:29:24.85" personId="{E4E539F7-EF01-4E1C-A881-E9D2CB5C903B}" id="{C01165E8-C6AD-435E-916A-F12E84AF80D2}" parentId="{ADAC1321-0D8E-452C-AD0E-7D9D38F2ED51}">
    <text>Marination Cost per gram is only linked to the uncoocked chicken quantity not total with Sauce</text>
  </threadedComment>
  <threadedComment ref="AC25" dT="2026-06-23T02:34:15.40" personId="{E4E539F7-EF01-4E1C-A881-E9D2CB5C903B}" id="{1A23ECB2-3171-4577-85E0-452C579FB2B5}" parentId="{ADAC1321-0D8E-452C-AD0E-7D9D38F2ED51}">
    <text>Garnish rate is divided on the total quantity of Chicken and Sauce to get its contribution for each gm of total</text>
  </threadedComment>
</ThreadedComments>
</file>

<file path=xl/threadedComments/threadedComment6.xml><?xml version="1.0" encoding="utf-8"?>
<ThreadedComments xmlns="http://schemas.microsoft.com/office/spreadsheetml/2018/threadedcomments" xmlns:x="http://schemas.openxmlformats.org/spreadsheetml/2006/main">
  <threadedComment ref="AC25" dT="2026-06-23T02:19:27.89" personId="{E4E539F7-EF01-4E1C-A881-E9D2CB5C903B}" id="{003E98E4-44CF-43F4-8018-2B4370DD5E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FDE06353-5266-4D65-B999-8F5538959799}" parentId="{003E98E4-44CF-43F4-8018-2B4370DD5EF7}">
    <text xml:space="preserve">If true the Cost of Protein + Mix + Topping will be equal to the Blue Table </text>
  </threadedComment>
  <threadedComment ref="AC25" dT="2026-06-23T02:29:24.85" personId="{E4E539F7-EF01-4E1C-A881-E9D2CB5C903B}" id="{B00DC54A-2AD0-4B58-B3CC-7A478BBF44AC}" parentId="{003E98E4-44CF-43F4-8018-2B4370DD5EF7}">
    <text>Marination Cost per gram is only linked to the uncoocked chicken quantity not total with Sauce</text>
  </threadedComment>
  <threadedComment ref="AC25" dT="2026-06-23T02:34:15.40" personId="{E4E539F7-EF01-4E1C-A881-E9D2CB5C903B}" id="{0553EC14-2F26-4AA9-98E5-6AE4D7DFA385}" parentId="{003E98E4-44CF-43F4-8018-2B4370DD5EF7}">
    <text>Garnish rate is divided on the total quantity of Chicken and Sauce to get its contribution for each gm of total</text>
  </threadedComment>
</ThreadedComments>
</file>

<file path=xl/threadedComments/threadedComment7.xml><?xml version="1.0" encoding="utf-8"?>
<ThreadedComments xmlns="http://schemas.microsoft.com/office/spreadsheetml/2018/threadedcomments" xmlns:x="http://schemas.openxmlformats.org/spreadsheetml/2006/main">
  <threadedComment ref="AC25" dT="2026-06-23T02:19:27.89" personId="{E4E539F7-EF01-4E1C-A881-E9D2CB5C903B}" id="{2ECC9FD7-3B29-4CC2-9BE8-C4E5CF01D92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573BD04-81FF-4465-BAC9-40F3B47CC71E}" parentId="{2ECC9FD7-3B29-4CC2-9BE8-C4E5CF01D92F}">
    <text xml:space="preserve">If true the Cost of Protein + Mix + Topping will be equal to the Blue Table </text>
  </threadedComment>
  <threadedComment ref="AC25" dT="2026-06-23T02:29:24.85" personId="{E4E539F7-EF01-4E1C-A881-E9D2CB5C903B}" id="{3E7BB26B-DE33-49CE-9BDE-69E7D5B96765}" parentId="{2ECC9FD7-3B29-4CC2-9BE8-C4E5CF01D92F}">
    <text>Marination Cost per gram is only linked to the uncoocked chicken quantity not total with Sauce</text>
  </threadedComment>
  <threadedComment ref="AC25" dT="2026-06-23T02:34:15.40" personId="{E4E539F7-EF01-4E1C-A881-E9D2CB5C903B}" id="{1C324CD3-9943-4619-A308-64F3D1C2D114}" parentId="{2ECC9FD7-3B29-4CC2-9BE8-C4E5CF01D92F}">
    <text>Garnish rate is divided on the total quantity of Chicken and Sauce to get its contribution for each gm of total</text>
  </threadedComment>
</ThreadedComments>
</file>

<file path=xl/threadedComments/threadedComment8.xml><?xml version="1.0" encoding="utf-8"?>
<ThreadedComments xmlns="http://schemas.microsoft.com/office/spreadsheetml/2018/threadedcomments" xmlns:x="http://schemas.openxmlformats.org/spreadsheetml/2006/main">
  <threadedComment ref="AC25" dT="2026-06-23T02:19:27.89" personId="{E4E539F7-EF01-4E1C-A881-E9D2CB5C903B}" id="{80258C01-47E0-4C6A-B5D0-A8F68454EA8E}">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66192683-B906-4AD6-BF34-7AA6F838DD97}" parentId="{80258C01-47E0-4C6A-B5D0-A8F68454EA8E}">
    <text xml:space="preserve">If true the Cost of Protein + Mix + Topping will be equal to the Blue Table </text>
  </threadedComment>
  <threadedComment ref="AC25" dT="2026-06-23T02:29:24.85" personId="{E4E539F7-EF01-4E1C-A881-E9D2CB5C903B}" id="{A052203C-1B2D-4051-A814-C85E8308A326}" parentId="{80258C01-47E0-4C6A-B5D0-A8F68454EA8E}">
    <text>Marination Cost per gram is only linked to the uncoocked chicken quantity not total with Sauce</text>
  </threadedComment>
  <threadedComment ref="AC25" dT="2026-06-23T02:34:15.40" personId="{E4E539F7-EF01-4E1C-A881-E9D2CB5C903B}" id="{26394F80-06EE-4897-917A-C8910B7A0B16}" parentId="{80258C01-47E0-4C6A-B5D0-A8F68454EA8E}">
    <text>Garnish rate is divided on the total quantity of Chicken and Sauce to get its contribution for each gm of total</text>
  </threadedComment>
</ThreadedComments>
</file>

<file path=xl/threadedComments/threadedComment9.xml><?xml version="1.0" encoding="utf-8"?>
<ThreadedComments xmlns="http://schemas.microsoft.com/office/spreadsheetml/2018/threadedcomments" xmlns:x="http://schemas.openxmlformats.org/spreadsheetml/2006/main">
  <threadedComment ref="AC25" dT="2026-06-23T02:19:27.89" personId="{E4E539F7-EF01-4E1C-A881-E9D2CB5C903B}" id="{15FBDEDA-BE01-4524-AC62-958B07B425D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59F39C1-DD30-4C26-8FB7-2DAF3A7D7ED5}" parentId="{15FBDEDA-BE01-4524-AC62-958B07B425D9}">
    <text xml:space="preserve">If true the Cost of Protein + Mix + Topping will be equal to the Blue Table </text>
  </threadedComment>
  <threadedComment ref="AC25" dT="2026-06-23T02:29:24.85" personId="{E4E539F7-EF01-4E1C-A881-E9D2CB5C903B}" id="{A496B6EA-5565-4715-922D-FEDB0DCA2EB9}" parentId="{15FBDEDA-BE01-4524-AC62-958B07B425D9}">
    <text>Marination Cost per gram is only linked to the uncoocked chicken quantity not total with Sauce</text>
  </threadedComment>
  <threadedComment ref="AC25" dT="2026-06-23T02:34:15.40" personId="{E4E539F7-EF01-4E1C-A881-E9D2CB5C903B}" id="{1FBE7618-1D34-4A82-A39B-5991670F029D}" parentId="{15FBDEDA-BE01-4524-AC62-958B07B425D9}">
    <text>Garnish rate is divided on the total quantity of Chicken and Sauce to get its contribution for each gm of total</text>
  </threadedComment>
</ThreadedComments>
</file>

<file path=xl/threadedComments/threadedComment10.xml><?xml version="1.0" encoding="utf-8"?>
<ThreadedComments xmlns="http://schemas.microsoft.com/office/spreadsheetml/2018/threadedcomments" xmlns:x="http://schemas.openxmlformats.org/spreadsheetml/2006/main">
  <threadedComment ref="AC25" dT="2026-06-23T02:19:27.89" personId="{E4E539F7-EF01-4E1C-A881-E9D2CB5C903B}" id="{2A66C493-8FD3-43DA-9452-DAC88E320B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2EEAE9-3490-47EF-932E-1C0744C14684}" parentId="{2A66C493-8FD3-43DA-9452-DAC88E320BF7}">
    <text xml:space="preserve">If true the Cost of Protein + Mix + Topping will be equal to the Blue Table </text>
  </threadedComment>
  <threadedComment ref="AC25" dT="2026-06-23T02:29:24.85" personId="{E4E539F7-EF01-4E1C-A881-E9D2CB5C903B}" id="{5C3E6921-BA19-45F1-B395-F31E2163978D}" parentId="{2A66C493-8FD3-43DA-9452-DAC88E320BF7}">
    <text>Marination Cost per gram is only linked to the uncoocked chicken quantity not total with Sauce</text>
  </threadedComment>
  <threadedComment ref="AC25" dT="2026-06-23T02:34:15.40" personId="{E4E539F7-EF01-4E1C-A881-E9D2CB5C903B}" id="{37AF96A8-710F-444F-AE27-8BB266B5CA13}" parentId="{2A66C493-8FD3-43DA-9452-DAC88E320BF7}">
    <text>Garnish rate is divided on the total quantity of Chicken and Sauce to get its contribution for each gm of total</text>
  </threadedComment>
</ThreadedComments>
</file>

<file path=xl/threadedComments/threadedComment11.xml><?xml version="1.0" encoding="utf-8"?>
<ThreadedComments xmlns="http://schemas.microsoft.com/office/spreadsheetml/2018/threadedcomments" xmlns:x="http://schemas.openxmlformats.org/spreadsheetml/2006/main">
  <threadedComment ref="AC25" dT="2026-06-23T02:19:27.89" personId="{E4E539F7-EF01-4E1C-A881-E9D2CB5C903B}" id="{3359F034-9006-4058-909C-6311A4116AA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391309C-2FED-4FF7-8BDE-0FCC498627E8}" parentId="{3359F034-9006-4058-909C-6311A4116AA2}">
    <text xml:space="preserve">If true the Cost of Protein + Mix + Topping will be equal to the Blue Table </text>
  </threadedComment>
  <threadedComment ref="AC25" dT="2026-06-23T02:29:24.85" personId="{E4E539F7-EF01-4E1C-A881-E9D2CB5C903B}" id="{AC324CE2-3868-40DF-9D7F-66BEE3412EB3}" parentId="{3359F034-9006-4058-909C-6311A4116AA2}">
    <text>Marination Cost per gram is only linked to the uncoocked chicken quantity not total with Sauce</text>
  </threadedComment>
  <threadedComment ref="AC25" dT="2026-06-23T02:34:15.40" personId="{E4E539F7-EF01-4E1C-A881-E9D2CB5C903B}" id="{14C7FACD-3964-4CCA-915C-736D6D41D172}" parentId="{3359F034-9006-4058-909C-6311A4116AA2}">
    <text>Garnish rate is divided on the total quantity of Chicken and Sauce to get its contribution for each gm of total</text>
  </threadedComment>
</ThreadedComments>
</file>

<file path=xl/threadedComments/threadedComment12.xml><?xml version="1.0" encoding="utf-8"?>
<ThreadedComments xmlns="http://schemas.microsoft.com/office/spreadsheetml/2018/threadedcomments" xmlns:x="http://schemas.openxmlformats.org/spreadsheetml/2006/main">
  <threadedComment ref="AC25" dT="2026-06-23T02:19:27.89" personId="{E4E539F7-EF01-4E1C-A881-E9D2CB5C903B}" id="{608F1BEB-2EAE-4E5E-8748-AE7646B10B4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93543CE-527F-455D-BB56-46C24EE8751E}" parentId="{608F1BEB-2EAE-4E5E-8748-AE7646B10B4F}">
    <text xml:space="preserve">If true the Cost of Protein + Mix + Topping will be equal to the Blue Table </text>
  </threadedComment>
  <threadedComment ref="AC25" dT="2026-06-23T02:29:24.85" personId="{E4E539F7-EF01-4E1C-A881-E9D2CB5C903B}" id="{D4B48E4F-D478-4965-8B86-1BC078DFC921}" parentId="{608F1BEB-2EAE-4E5E-8748-AE7646B10B4F}">
    <text>Marination Cost per gram is only linked to the uncoocked chicken quantity not total with Sauce</text>
  </threadedComment>
  <threadedComment ref="AC25" dT="2026-06-23T02:34:15.40" personId="{E4E539F7-EF01-4E1C-A881-E9D2CB5C903B}" id="{76E32A95-DE77-437A-88DC-28A5E5D4087E}" parentId="{608F1BEB-2EAE-4E5E-8748-AE7646B10B4F}">
    <text>Garnish rate is divided on the total quantity of Chicken and Sauce to get its contribution for each gm of total</text>
  </threadedComment>
</ThreadedComments>
</file>

<file path=xl/threadedComments/threadedComment13.xml><?xml version="1.0" encoding="utf-8"?>
<ThreadedComments xmlns="http://schemas.microsoft.com/office/spreadsheetml/2018/threadedcomments" xmlns:x="http://schemas.openxmlformats.org/spreadsheetml/2006/main">
  <threadedComment ref="AC25" dT="2026-06-23T02:19:27.89" personId="{E4E539F7-EF01-4E1C-A881-E9D2CB5C903B}" id="{9BD9F61B-E342-45B6-BB85-2CCCD1168FA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3E8B7655-37AF-49BD-8E08-371B973ACB61}" parentId="{9BD9F61B-E342-45B6-BB85-2CCCD1168FA6}">
    <text xml:space="preserve">If true the Cost of Protein + Mix + Topping will be equal to the Blue Table </text>
  </threadedComment>
  <threadedComment ref="AC25" dT="2026-06-23T02:29:24.85" personId="{E4E539F7-EF01-4E1C-A881-E9D2CB5C903B}" id="{7AC95FCA-D351-44BD-BEBE-911EA2C7DCB6}" parentId="{9BD9F61B-E342-45B6-BB85-2CCCD1168FA6}">
    <text>Marination Cost per gram is only linked to the uncoocked chicken quantity not total with Sauce</text>
  </threadedComment>
  <threadedComment ref="AC25" dT="2026-06-23T02:34:15.40" personId="{E4E539F7-EF01-4E1C-A881-E9D2CB5C903B}" id="{C1CF1D8E-295C-4661-917B-88FD3AD2A8F5}" parentId="{9BD9F61B-E342-45B6-BB85-2CCCD1168FA6}">
    <text>Garnish rate is divided on the total quantity of Chicken and Sauce to get its contribution for each gm of total</text>
  </threadedComment>
</ThreadedComments>
</file>

<file path=xl/threadedComments/threadedComment14.xml><?xml version="1.0" encoding="utf-8"?>
<ThreadedComments xmlns="http://schemas.microsoft.com/office/spreadsheetml/2018/threadedcomments" xmlns:x="http://schemas.openxmlformats.org/spreadsheetml/2006/main">
  <threadedComment ref="AC25" dT="2026-06-23T02:19:27.89" personId="{E4E539F7-EF01-4E1C-A881-E9D2CB5C903B}" id="{986678C2-DF96-4A70-B0ED-C8D57D89417A}">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18FC24D-70DF-4863-8C3B-360747E27414}" parentId="{986678C2-DF96-4A70-B0ED-C8D57D89417A}">
    <text xml:space="preserve">If true the Cost of Protein + Mix + Topping will be equal to the Blue Table </text>
  </threadedComment>
  <threadedComment ref="AC25" dT="2026-06-23T02:29:24.85" personId="{E4E539F7-EF01-4E1C-A881-E9D2CB5C903B}" id="{96DA697A-DC46-4622-BAAF-28D7B7D4F5B5}" parentId="{986678C2-DF96-4A70-B0ED-C8D57D89417A}">
    <text>Marination Cost per gram is only linked to the uncoocked chicken quantity not total with Sauce</text>
  </threadedComment>
  <threadedComment ref="AC25" dT="2026-06-23T02:34:15.40" personId="{E4E539F7-EF01-4E1C-A881-E9D2CB5C903B}" id="{C62CA56C-A3C2-4EC8-8F2F-7E8F5915D415}" parentId="{986678C2-DF96-4A70-B0ED-C8D57D89417A}">
    <text>Garnish rate is divided on the total quantity of Chicken and Sauce to get its contribution for each gm of total</text>
  </threadedComment>
</ThreadedComments>
</file>

<file path=xl/threadedComments/threadedComment15.xml><?xml version="1.0" encoding="utf-8"?>
<ThreadedComments xmlns="http://schemas.microsoft.com/office/spreadsheetml/2018/threadedcomments" xmlns:x="http://schemas.openxmlformats.org/spreadsheetml/2006/main">
  <threadedComment ref="AC25" dT="2026-06-23T02:19:27.89" personId="{E4E539F7-EF01-4E1C-A881-E9D2CB5C903B}" id="{5FBD50BE-A056-49D3-90B4-CFD6B8C9DAA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F423AE4-A5A9-45F0-A427-B12ECD60DD3E}" parentId="{5FBD50BE-A056-49D3-90B4-CFD6B8C9DAA9}">
    <text xml:space="preserve">If true the Cost of Protein + Mix + Topping will be equal to the Blue Table </text>
  </threadedComment>
  <threadedComment ref="AC25" dT="2026-06-23T02:29:24.85" personId="{E4E539F7-EF01-4E1C-A881-E9D2CB5C903B}" id="{831BCC66-8B8C-4238-8BB1-476DA205D781}" parentId="{5FBD50BE-A056-49D3-90B4-CFD6B8C9DAA9}">
    <text>Marination Cost per gram is only linked to the uncoocked chicken quantity not total with Sauce</text>
  </threadedComment>
  <threadedComment ref="AC25" dT="2026-06-23T02:34:15.40" personId="{E4E539F7-EF01-4E1C-A881-E9D2CB5C903B}" id="{BF9EC1E3-5935-411E-9B9A-6647B127BAB8}" parentId="{5FBD50BE-A056-49D3-90B4-CFD6B8C9DAA9}">
    <text>Garnish rate is divided on the total quantity of Chicken and Sauce to get its contribution for each gm of total</text>
  </threadedComment>
</ThreadedComments>
</file>

<file path=xl/threadedComments/threadedComment16.xml><?xml version="1.0" encoding="utf-8"?>
<ThreadedComments xmlns="http://schemas.microsoft.com/office/spreadsheetml/2018/threadedcomments" xmlns:x="http://schemas.openxmlformats.org/spreadsheetml/2006/main">
  <threadedComment ref="AC25" dT="2026-06-23T02:19:27.89" personId="{E4E539F7-EF01-4E1C-A881-E9D2CB5C903B}" id="{B18422E9-EF47-49B9-B040-569F9006BEC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B89CD69E-D0EB-41A7-970A-6A3B8AD2C8C3}" parentId="{B18422E9-EF47-49B9-B040-569F9006BEC9}">
    <text xml:space="preserve">If true the Cost of Protein + Mix + Topping will be equal to the Blue Table </text>
  </threadedComment>
  <threadedComment ref="AC25" dT="2026-06-23T02:29:24.85" personId="{E4E539F7-EF01-4E1C-A881-E9D2CB5C903B}" id="{3320C27D-330F-4552-8283-164E85A86EAC}" parentId="{B18422E9-EF47-49B9-B040-569F9006BEC9}">
    <text>Marination Cost per gram is only linked to the uncoocked chicken quantity not total with Sauce</text>
  </threadedComment>
  <threadedComment ref="AC25" dT="2026-06-23T02:34:15.40" personId="{E4E539F7-EF01-4E1C-A881-E9D2CB5C903B}" id="{A528BD06-7272-48D8-A572-090B9D2C2279}" parentId="{B18422E9-EF47-49B9-B040-569F9006BEC9}">
    <text>Garnish rate is divided on the total quantity of Chicken and Sauce to get its contribution for each gm of total</text>
  </threadedComment>
</ThreadedComments>
</file>

<file path=xl/threadedComments/threadedComment17.xml><?xml version="1.0" encoding="utf-8"?>
<ThreadedComments xmlns="http://schemas.microsoft.com/office/spreadsheetml/2018/threadedcomments" xmlns:x="http://schemas.openxmlformats.org/spreadsheetml/2006/main">
  <threadedComment ref="AC25" dT="2026-06-23T02:19:27.89" personId="{E4E539F7-EF01-4E1C-A881-E9D2CB5C903B}" id="{508C95CA-FC6A-4A11-86DD-9F0D520525D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44CF79F9-95F6-4BD4-873E-94D91372FDB5}" parentId="{508C95CA-FC6A-4A11-86DD-9F0D520525D6}">
    <text xml:space="preserve">If true the Cost of Protein + Mix + Topping will be equal to the Blue Table </text>
  </threadedComment>
  <threadedComment ref="AC25" dT="2026-06-23T02:29:24.85" personId="{E4E539F7-EF01-4E1C-A881-E9D2CB5C903B}" id="{15C30B99-1A21-43C6-8AC4-FEDA1918EC1A}" parentId="{508C95CA-FC6A-4A11-86DD-9F0D520525D6}">
    <text>Marination Cost per gram is only linked to the uncoocked chicken quantity not total with Sauce</text>
  </threadedComment>
  <threadedComment ref="AC25" dT="2026-06-23T02:34:15.40" personId="{E4E539F7-EF01-4E1C-A881-E9D2CB5C903B}" id="{EC8F26AE-57FE-4143-A4BC-FB8D808CE2F6}" parentId="{508C95CA-FC6A-4A11-86DD-9F0D520525D6}">
    <text>Garnish rate is divided on the total quantity of Chicken and Sauce to get its contribution for each gm of total</text>
  </threadedComment>
</ThreadedComments>
</file>

<file path=xl/threadedComments/threadedComment18.xml><?xml version="1.0" encoding="utf-8"?>
<ThreadedComments xmlns="http://schemas.microsoft.com/office/spreadsheetml/2018/threadedcomments" xmlns:x="http://schemas.openxmlformats.org/spreadsheetml/2006/main">
  <threadedComment ref="AC25" dT="2026-06-23T02:19:27.89" personId="{E4E539F7-EF01-4E1C-A881-E9D2CB5C903B}" id="{E72FB9AB-5619-4FD9-B5C3-28CC1DEC850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01E58BB-C0F0-409F-811C-F8AF68B4535C}" parentId="{E72FB9AB-5619-4FD9-B5C3-28CC1DEC8507}">
    <text xml:space="preserve">If true the Cost of Protein + Mix + Topping will be equal to the Blue Table </text>
  </threadedComment>
  <threadedComment ref="AC25" dT="2026-06-23T02:29:24.85" personId="{E4E539F7-EF01-4E1C-A881-E9D2CB5C903B}" id="{D0D48E6F-25AA-48FC-8F27-8E7F2F42D852}" parentId="{E72FB9AB-5619-4FD9-B5C3-28CC1DEC8507}">
    <text>Marination Cost per gram is only linked to the uncoocked chicken quantity not total with Sauce</text>
  </threadedComment>
  <threadedComment ref="AC25" dT="2026-06-23T02:34:15.40" personId="{E4E539F7-EF01-4E1C-A881-E9D2CB5C903B}" id="{B9889DC0-8AFD-4DC6-8DE8-00CDFCAF6DEA}" parentId="{E72FB9AB-5619-4FD9-B5C3-28CC1DEC8507}">
    <text>Garnish rate is divided on the total quantity of Chicken and Sauce to get its contribution for each gm of total</text>
  </threadedComment>
</ThreadedComments>
</file>

<file path=xl/threadedComments/threadedComment19.xml><?xml version="1.0" encoding="utf-8"?>
<ThreadedComments xmlns="http://schemas.microsoft.com/office/spreadsheetml/2018/threadedcomments" xmlns:x="http://schemas.openxmlformats.org/spreadsheetml/2006/main">
  <threadedComment ref="AC25" dT="2026-06-23T02:19:27.89" personId="{E4E539F7-EF01-4E1C-A881-E9D2CB5C903B}" id="{3BE16D37-795B-43AD-8E50-87BBD5FAF9BC}">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ED108C3-D650-4371-A610-330D72E0542B}" parentId="{3BE16D37-795B-43AD-8E50-87BBD5FAF9BC}">
    <text xml:space="preserve">If true the Cost of Protein + Mix + Topping will be equal to the Blue Table </text>
  </threadedComment>
  <threadedComment ref="AC25" dT="2026-06-23T02:29:24.85" personId="{E4E539F7-EF01-4E1C-A881-E9D2CB5C903B}" id="{ACB18F54-2AD5-4407-89F0-1445C3F335AF}" parentId="{3BE16D37-795B-43AD-8E50-87BBD5FAF9BC}">
    <text>Marination Cost per gram is only linked to the uncoocked chicken quantity not total with Sauce</text>
  </threadedComment>
  <threadedComment ref="AC25" dT="2026-06-23T02:34:15.40" personId="{E4E539F7-EF01-4E1C-A881-E9D2CB5C903B}" id="{CF131A1A-00E5-458F-B60A-BF53D8ED6CAB}" parentId="{3BE16D37-795B-43AD-8E50-87BBD5FAF9BC}">
    <text>Garnish rate is divided on the total quantity of Chicken and Sauce to get its contribution for each gm of total</text>
  </threadedComment>
</ThreadedComments>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9">
    <wetp:webextensionref xmlns:r="http://schemas.openxmlformats.org/officeDocument/2006/relationships" r:id="rId2"/>
  </wetp:taskpane>
  <wetp:taskpane dockstate="right" visibility="0" width="998" row="7">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E35906E-07D1-4B2E-B120-8B6664BBDA80}">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s>_xldudf_AI_WEB</we:customFunctionIds>
      </we:customFunctionIdList>
    </a:ext>
  </we:extLst>
</we:webextension>
</file>

<file path=xl/webextensions/webextension2.xml><?xml version="1.0" encoding="utf-8"?>
<we:webextension xmlns:we="http://schemas.microsoft.com/office/webextensions/webextension/2010/11" id="{BCB226FB-C87C-4051-8660-E1B8D8E1D001}">
  <we:reference id="wa200009404" version="1.0.0.8" store="en-US" storeType="OMEX"/>
  <we:alternateReferences>
    <we:reference id="wa200009404" version="1.0.0.8" store="wa200009404" storeType="OMEX"/>
  </we:alternateReferences>
  <we:properties>
    <we:property name="claude.fileId" value="&quot;736a89ba-973f-479c-be8f-917b5b76a951&quot;"/>
  </we:properties>
  <we:bindings/>
  <we:snapshot xmlns:r="http://schemas.openxmlformats.org/officeDocument/2006/relationships"/>
</we:webextension>
</file>

<file path=xl/webextensions/webextension3.xml><?xml version="1.0" encoding="utf-8"?>
<we:webextension xmlns:we="http://schemas.microsoft.com/office/webextensions/webextension/2010/11" id="{809BC48D-66B1-495D-ADEC-357D97BB65CA}">
  <we:reference id="WA200010725" version="1.0.0.1" store="Omex" storeType="OMEX"/>
  <we:alternateReferences>
    <we:reference id="WA200010725" version="1.0.0.1" store="WA200010725" storeType="OMEX"/>
  </we:alternateReferences>
  <we:properties>
    <we:property name="claude.fileId" value="&quot;5104732d-4369-40cf-a052-4aa24bd2c5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 Id="rId4" Type="http://schemas.microsoft.com/office/2017/10/relationships/threadedComment" Target="../threadedComments/threadedComment3.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30.bin"/><Relationship Id="rId4" Type="http://schemas.microsoft.com/office/2017/10/relationships/threadedComment" Target="../threadedComments/threadedComment4.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31.bin"/><Relationship Id="rId4" Type="http://schemas.microsoft.com/office/2017/10/relationships/threadedComment" Target="../threadedComments/threadedComment5.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4.bin"/><Relationship Id="rId4" Type="http://schemas.microsoft.com/office/2017/10/relationships/threadedComment" Target="../threadedComments/threadedComment6.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50.bin"/><Relationship Id="rId4" Type="http://schemas.microsoft.com/office/2017/10/relationships/threadedComment" Target="../threadedComments/threadedComment7.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54.bin"/><Relationship Id="rId4" Type="http://schemas.microsoft.com/office/2017/10/relationships/threadedComment" Target="../threadedComments/threadedComment8.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55.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56.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58.bin"/><Relationship Id="rId4" Type="http://schemas.microsoft.com/office/2017/10/relationships/threadedComment" Target="../threadedComments/threadedComment9.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62.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63.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69.bin"/><Relationship Id="rId4" Type="http://schemas.microsoft.com/office/2017/10/relationships/threadedComment" Target="../threadedComments/threadedComment10.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70.bin"/><Relationship Id="rId4" Type="http://schemas.microsoft.com/office/2017/10/relationships/threadedComment" Target="../threadedComments/threadedComment11.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71.bin"/><Relationship Id="rId4" Type="http://schemas.microsoft.com/office/2017/10/relationships/threadedComment" Target="../threadedComments/threadedComment12.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72.bin"/></Relationships>
</file>

<file path=xl/worksheets/_rels/sheet76.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73.bin"/></Relationships>
</file>

<file path=xl/worksheets/_rels/sheet77.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74.bin"/><Relationship Id="rId4" Type="http://schemas.microsoft.com/office/2017/10/relationships/threadedComment" Target="../threadedComments/threadedComment13.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75.bin"/></Relationships>
</file>

<file path=xl/worksheets/_rels/sheet79.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76.bin"/></Relationships>
</file>

<file path=xl/worksheets/_rels/sheet80.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77.bin"/></Relationships>
</file>

<file path=xl/worksheets/_rels/sheet81.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78.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79.bin"/></Relationships>
</file>

<file path=xl/worksheets/_rels/sheet83.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80.bin"/></Relationships>
</file>

<file path=xl/worksheets/_rels/sheet84.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81.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9.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86.bin"/><Relationship Id="rId4" Type="http://schemas.microsoft.com/office/2017/10/relationships/threadedComment" Target="../threadedComments/threadedComment14.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87.bin"/><Relationship Id="rId4" Type="http://schemas.microsoft.com/office/2017/10/relationships/threadedComment" Target="../threadedComments/threadedComment15.xml"/></Relationships>
</file>

<file path=xl/worksheets/_rels/sheet91.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88.bin"/><Relationship Id="rId4" Type="http://schemas.microsoft.com/office/2017/10/relationships/threadedComment" Target="../threadedComments/threadedComment16.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89.bin"/><Relationship Id="rId4" Type="http://schemas.microsoft.com/office/2017/10/relationships/threadedComment" Target="../threadedComments/threadedComment17.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90.bin"/><Relationship Id="rId4" Type="http://schemas.microsoft.com/office/2017/10/relationships/threadedComment" Target="../threadedComments/threadedComment18.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91.bin"/><Relationship Id="rId4" Type="http://schemas.microsoft.com/office/2017/10/relationships/threadedComment" Target="../threadedComments/threadedComment19.xml"/></Relationships>
</file>

<file path=xl/worksheets/_rels/sheet95.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92.bin"/></Relationships>
</file>

<file path=xl/worksheets/_rels/sheet96.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93.bin"/></Relationships>
</file>

<file path=xl/worksheets/_rels/sheet97.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94.bin"/></Relationships>
</file>

<file path=xl/worksheets/_rels/sheet98.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95.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7885F-54F9-48C0-8A0A-E251A3B7C0BB}">
  <sheetPr codeName="Sheet80"/>
  <dimension ref="A1:T198"/>
  <sheetViews>
    <sheetView topLeftCell="G17" zoomScale="115" zoomScaleNormal="115" workbookViewId="0">
      <selection activeCell="H38" sqref="H38"/>
    </sheetView>
  </sheetViews>
  <sheetFormatPr defaultRowHeight="14.25" x14ac:dyDescent="0.2"/>
  <cols>
    <col min="1" max="1" width="28.625" customWidth="1"/>
    <col min="2" max="2" width="35.625" customWidth="1"/>
    <col min="3" max="3" width="38.625" customWidth="1"/>
    <col min="4" max="4" width="16.625" style="572" customWidth="1"/>
    <col min="5" max="5" width="14.625" style="574" customWidth="1"/>
    <col min="6" max="6" width="4.875" customWidth="1"/>
    <col min="7" max="7" width="18.125" customWidth="1"/>
    <col min="8" max="8" width="31.625" customWidth="1"/>
    <col min="9" max="9" width="40.125" customWidth="1"/>
    <col min="11" max="11" width="13.625" customWidth="1"/>
    <col min="12" max="12" width="26.125" bestFit="1" customWidth="1"/>
    <col min="13" max="13" width="5.625" customWidth="1"/>
    <col min="14" max="14" width="34.75" customWidth="1"/>
    <col min="15" max="15" width="19.375" customWidth="1"/>
    <col min="16" max="16" width="11.375" customWidth="1"/>
    <col min="17" max="17" width="14.5" customWidth="1"/>
    <col min="20" max="20" width="14.75" customWidth="1"/>
  </cols>
  <sheetData>
    <row r="1" spans="1:20" ht="16.5" x14ac:dyDescent="0.25">
      <c r="A1" s="1615" t="s">
        <v>490</v>
      </c>
      <c r="B1" s="1616"/>
      <c r="C1" s="1616"/>
      <c r="D1" s="1616"/>
      <c r="E1" s="1616"/>
      <c r="I1" s="915" t="s">
        <v>718</v>
      </c>
      <c r="N1" s="915" t="s">
        <v>718</v>
      </c>
    </row>
    <row r="2" spans="1:20" ht="20.100000000000001" customHeight="1" x14ac:dyDescent="0.25">
      <c r="A2" s="570" t="s">
        <v>228</v>
      </c>
      <c r="B2" s="570" t="s">
        <v>491</v>
      </c>
      <c r="C2" s="570" t="s">
        <v>492</v>
      </c>
      <c r="D2" s="571" t="s">
        <v>493</v>
      </c>
      <c r="E2" s="573" t="s">
        <v>494</v>
      </c>
      <c r="I2" s="1619" t="s">
        <v>220</v>
      </c>
      <c r="J2" s="1620"/>
      <c r="K2" s="755" t="s">
        <v>760</v>
      </c>
      <c r="L2" s="755" t="s">
        <v>910</v>
      </c>
      <c r="M2" s="871"/>
      <c r="N2" s="806" t="s">
        <v>759</v>
      </c>
      <c r="O2" s="806" t="s">
        <v>762</v>
      </c>
      <c r="P2" s="806" t="s">
        <v>761</v>
      </c>
      <c r="Q2" s="806" t="s">
        <v>760</v>
      </c>
    </row>
    <row r="3" spans="1:20" ht="15" x14ac:dyDescent="0.25">
      <c r="A3" t="s">
        <v>16</v>
      </c>
      <c r="B3" t="s">
        <v>16</v>
      </c>
      <c r="C3" t="s">
        <v>220</v>
      </c>
      <c r="D3" s="572">
        <v>33833.11603650586</v>
      </c>
      <c r="E3" s="574">
        <v>33.833116036505864</v>
      </c>
      <c r="H3" t="s">
        <v>16</v>
      </c>
      <c r="I3" s="756" t="s">
        <v>994</v>
      </c>
      <c r="J3" s="757">
        <f t="shared" ref="J3:J8" si="0">VLOOKUP(H3,A:E,4,FALSE)</f>
        <v>33833.11603650586</v>
      </c>
      <c r="K3" s="787"/>
      <c r="L3" s="787" t="s">
        <v>911</v>
      </c>
      <c r="M3" s="771"/>
      <c r="N3" s="973" t="s">
        <v>220</v>
      </c>
      <c r="O3" s="691">
        <f>(SUM(J3:J8)/S3)/T3</f>
        <v>18.736232491403157</v>
      </c>
      <c r="P3" s="58" t="s">
        <v>26</v>
      </c>
      <c r="Q3" s="271"/>
      <c r="S3" s="974">
        <v>0.86</v>
      </c>
      <c r="T3" s="963">
        <v>10000</v>
      </c>
    </row>
    <row r="4" spans="1:20" ht="15" x14ac:dyDescent="0.25">
      <c r="A4" t="s">
        <v>18</v>
      </c>
      <c r="B4" t="s">
        <v>495</v>
      </c>
      <c r="C4" t="s">
        <v>223</v>
      </c>
      <c r="D4" s="572">
        <v>47571.428571428572</v>
      </c>
      <c r="E4" s="574">
        <v>47.571428571428569</v>
      </c>
      <c r="H4" t="s">
        <v>27</v>
      </c>
      <c r="I4" s="756" t="s">
        <v>504</v>
      </c>
      <c r="J4" s="757">
        <f t="shared" si="0"/>
        <v>33624.511082138197</v>
      </c>
      <c r="K4" s="787"/>
      <c r="L4" s="787" t="s">
        <v>912</v>
      </c>
      <c r="M4" s="771"/>
      <c r="N4" s="973" t="s">
        <v>550</v>
      </c>
      <c r="O4" s="691">
        <f>(SUM(J11:J13)/S4)/T4</f>
        <v>10.788100788100785</v>
      </c>
      <c r="P4" s="58" t="s">
        <v>26</v>
      </c>
      <c r="Q4" s="271"/>
      <c r="S4" s="974">
        <v>0.55000000000000004</v>
      </c>
      <c r="T4" s="963">
        <v>18000</v>
      </c>
    </row>
    <row r="5" spans="1:20" ht="15" x14ac:dyDescent="0.25">
      <c r="A5" t="s">
        <v>22</v>
      </c>
      <c r="B5" t="s">
        <v>22</v>
      </c>
      <c r="C5" t="s">
        <v>225</v>
      </c>
      <c r="D5" s="572">
        <v>45018.518518518518</v>
      </c>
      <c r="E5" s="574">
        <v>45.018518518518519</v>
      </c>
      <c r="H5" t="s">
        <v>29</v>
      </c>
      <c r="I5" s="756" t="s">
        <v>995</v>
      </c>
      <c r="J5" s="757">
        <f t="shared" si="0"/>
        <v>31406.77966101695</v>
      </c>
      <c r="K5" s="787"/>
      <c r="L5" s="787" t="s">
        <v>911</v>
      </c>
      <c r="M5" s="771"/>
      <c r="N5" s="973" t="s">
        <v>225</v>
      </c>
      <c r="O5" s="691">
        <f>(J16/S5)/T5</f>
        <v>9.5784081954294731</v>
      </c>
      <c r="P5" s="58" t="s">
        <v>26</v>
      </c>
      <c r="Q5" s="271"/>
      <c r="S5" s="974">
        <v>0.47</v>
      </c>
      <c r="T5" s="963">
        <v>10000</v>
      </c>
    </row>
    <row r="6" spans="1:20" ht="15" x14ac:dyDescent="0.25">
      <c r="A6" t="s">
        <v>20</v>
      </c>
      <c r="B6" t="s">
        <v>295</v>
      </c>
      <c r="C6" t="s">
        <v>223</v>
      </c>
      <c r="D6" s="572">
        <v>24751.13122171945</v>
      </c>
      <c r="E6" s="574">
        <v>24.751131221719451</v>
      </c>
      <c r="H6" t="s">
        <v>33</v>
      </c>
      <c r="I6" s="756" t="s">
        <v>996</v>
      </c>
      <c r="J6" s="757">
        <f t="shared" si="0"/>
        <v>23653.846153846152</v>
      </c>
      <c r="K6" s="787"/>
      <c r="L6" s="787" t="s">
        <v>911</v>
      </c>
      <c r="M6" s="771"/>
      <c r="N6" s="973" t="s">
        <v>552</v>
      </c>
      <c r="O6" s="691">
        <f>(SUM(J19)/S6)/T6</f>
        <v>9.7979797979797993</v>
      </c>
      <c r="P6" s="58" t="s">
        <v>45</v>
      </c>
      <c r="Q6" s="271"/>
      <c r="S6" s="974">
        <v>0.99</v>
      </c>
      <c r="T6" s="963">
        <v>1000</v>
      </c>
    </row>
    <row r="7" spans="1:20" ht="15" x14ac:dyDescent="0.25">
      <c r="A7" t="s">
        <v>24</v>
      </c>
      <c r="B7" t="s">
        <v>304</v>
      </c>
      <c r="C7" t="s">
        <v>223</v>
      </c>
      <c r="D7" s="572">
        <v>34479.638009049762</v>
      </c>
      <c r="E7" s="574">
        <v>34.479638009049765</v>
      </c>
      <c r="H7" t="s">
        <v>31</v>
      </c>
      <c r="I7" s="756" t="s">
        <v>997</v>
      </c>
      <c r="J7" s="757">
        <f t="shared" si="0"/>
        <v>17939.18918918919</v>
      </c>
      <c r="K7" s="787"/>
      <c r="L7" s="787" t="s">
        <v>913</v>
      </c>
      <c r="M7" s="771"/>
    </row>
    <row r="8" spans="1:20" ht="15" x14ac:dyDescent="0.25">
      <c r="A8" t="s">
        <v>27</v>
      </c>
      <c r="B8" t="s">
        <v>27</v>
      </c>
      <c r="C8" t="s">
        <v>220</v>
      </c>
      <c r="D8" s="572">
        <v>33624.511082138197</v>
      </c>
      <c r="E8" s="574">
        <v>33.624511082138199</v>
      </c>
      <c r="H8" t="s">
        <v>866</v>
      </c>
      <c r="I8" s="756" t="s">
        <v>998</v>
      </c>
      <c r="J8" s="757">
        <f t="shared" si="0"/>
        <v>20674.157303370786</v>
      </c>
      <c r="K8" s="787"/>
      <c r="L8" s="787" t="s">
        <v>917</v>
      </c>
      <c r="M8" s="771"/>
    </row>
    <row r="9" spans="1:20" ht="15" x14ac:dyDescent="0.25">
      <c r="A9" t="s">
        <v>29</v>
      </c>
      <c r="B9" t="s">
        <v>29</v>
      </c>
      <c r="C9" t="s">
        <v>220</v>
      </c>
      <c r="D9" s="572">
        <v>31406.77966101695</v>
      </c>
      <c r="E9" s="574">
        <v>31.406779661016948</v>
      </c>
      <c r="I9" s="771"/>
      <c r="J9" s="771"/>
      <c r="K9" s="771"/>
      <c r="L9" s="771"/>
      <c r="M9" s="771"/>
    </row>
    <row r="10" spans="1:20" x14ac:dyDescent="0.2">
      <c r="A10" t="s">
        <v>33</v>
      </c>
      <c r="B10" t="s">
        <v>334</v>
      </c>
      <c r="C10" t="s">
        <v>220</v>
      </c>
      <c r="D10" s="572">
        <v>23653.846153846152</v>
      </c>
      <c r="E10" s="574">
        <v>23.653846153846153</v>
      </c>
      <c r="I10" s="1619" t="s">
        <v>550</v>
      </c>
      <c r="J10" s="1620"/>
      <c r="K10" s="755" t="s">
        <v>760</v>
      </c>
      <c r="L10" s="755" t="s">
        <v>910</v>
      </c>
      <c r="M10" s="871"/>
    </row>
    <row r="11" spans="1:20" ht="15" x14ac:dyDescent="0.25">
      <c r="A11" t="s">
        <v>866</v>
      </c>
      <c r="B11" t="s">
        <v>861</v>
      </c>
      <c r="C11" t="s">
        <v>860</v>
      </c>
      <c r="D11" s="572">
        <v>20674.157303370786</v>
      </c>
      <c r="E11" s="574">
        <v>20.674157303370787</v>
      </c>
      <c r="H11" t="s">
        <v>18</v>
      </c>
      <c r="I11" s="756" t="s">
        <v>999</v>
      </c>
      <c r="J11" s="757">
        <f>VLOOKUP(H11,A:E,4,FALSE)</f>
        <v>47571.428571428572</v>
      </c>
      <c r="K11" s="787"/>
      <c r="L11" s="787" t="s">
        <v>911</v>
      </c>
      <c r="M11" s="771"/>
    </row>
    <row r="12" spans="1:20" ht="15" x14ac:dyDescent="0.25">
      <c r="A12" t="s">
        <v>31</v>
      </c>
      <c r="B12" t="s">
        <v>316</v>
      </c>
      <c r="C12" t="s">
        <v>220</v>
      </c>
      <c r="D12" s="572">
        <v>17939.18918918919</v>
      </c>
      <c r="E12" s="574">
        <v>17.939189189189189</v>
      </c>
      <c r="H12" t="s">
        <v>20</v>
      </c>
      <c r="I12" s="756" t="s">
        <v>1001</v>
      </c>
      <c r="J12" s="757">
        <f>VLOOKUP(H12,A:E,4,FALSE)</f>
        <v>24751.13122171945</v>
      </c>
      <c r="K12" s="787"/>
      <c r="L12" s="787" t="s">
        <v>912</v>
      </c>
      <c r="M12" s="771"/>
    </row>
    <row r="13" spans="1:20" ht="15" x14ac:dyDescent="0.25">
      <c r="A13" t="s">
        <v>43</v>
      </c>
      <c r="B13" t="s">
        <v>43</v>
      </c>
      <c r="C13" t="s">
        <v>220</v>
      </c>
      <c r="D13" s="572">
        <v>43533.246414602341</v>
      </c>
      <c r="E13" s="574">
        <v>43.533246414602338</v>
      </c>
      <c r="H13" t="s">
        <v>24</v>
      </c>
      <c r="I13" s="756" t="s">
        <v>1000</v>
      </c>
      <c r="J13" s="757">
        <f>VLOOKUP(H13,A:E,4,FALSE)</f>
        <v>34479.638009049762</v>
      </c>
      <c r="K13" s="787"/>
      <c r="L13" s="787" t="s">
        <v>911</v>
      </c>
      <c r="M13" s="771"/>
    </row>
    <row r="14" spans="1:20" ht="15" x14ac:dyDescent="0.25">
      <c r="A14" t="s">
        <v>820</v>
      </c>
      <c r="B14" t="s">
        <v>820</v>
      </c>
      <c r="C14" t="s">
        <v>225</v>
      </c>
      <c r="D14" s="572">
        <v>51722.222222222219</v>
      </c>
      <c r="E14" s="574">
        <v>51.722222222222221</v>
      </c>
      <c r="I14" s="771"/>
      <c r="J14" s="771"/>
      <c r="K14" s="771"/>
      <c r="L14" s="771"/>
      <c r="M14" s="771"/>
    </row>
    <row r="15" spans="1:20" x14ac:dyDescent="0.2">
      <c r="A15" t="s">
        <v>46</v>
      </c>
      <c r="B15" t="s">
        <v>46</v>
      </c>
      <c r="C15" t="s">
        <v>220</v>
      </c>
      <c r="D15" s="572">
        <v>24224.250325945239</v>
      </c>
      <c r="E15" s="574">
        <v>24.224250325945238</v>
      </c>
      <c r="I15" s="1619" t="s">
        <v>225</v>
      </c>
      <c r="J15" s="1620"/>
      <c r="K15" s="755" t="s">
        <v>760</v>
      </c>
      <c r="L15" s="755" t="s">
        <v>910</v>
      </c>
      <c r="M15" s="871"/>
    </row>
    <row r="16" spans="1:20" ht="15" x14ac:dyDescent="0.25">
      <c r="A16" t="s">
        <v>48</v>
      </c>
      <c r="B16" t="s">
        <v>48</v>
      </c>
      <c r="C16" t="s">
        <v>220</v>
      </c>
      <c r="D16" s="572">
        <v>48657.105606258134</v>
      </c>
      <c r="E16" s="574">
        <v>48.657105606258135</v>
      </c>
      <c r="H16" t="s">
        <v>22</v>
      </c>
      <c r="I16" s="756" t="s">
        <v>1002</v>
      </c>
      <c r="J16" s="757">
        <f>VLOOKUP(H16,A:E,4,FALSE)</f>
        <v>45018.518518518518</v>
      </c>
      <c r="K16" s="787"/>
      <c r="L16" s="787" t="s">
        <v>914</v>
      </c>
      <c r="M16" s="771"/>
    </row>
    <row r="17" spans="1:20" ht="15" x14ac:dyDescent="0.25">
      <c r="A17" t="s">
        <v>51</v>
      </c>
      <c r="B17" t="s">
        <v>51</v>
      </c>
      <c r="C17" t="s">
        <v>223</v>
      </c>
      <c r="D17" s="572">
        <v>14509.803921568624</v>
      </c>
      <c r="E17" s="574">
        <v>14.509803921568624</v>
      </c>
      <c r="I17" s="872"/>
      <c r="J17" s="873"/>
      <c r="K17" s="771"/>
      <c r="L17" s="771"/>
      <c r="M17" s="771"/>
    </row>
    <row r="18" spans="1:20" ht="15" x14ac:dyDescent="0.25">
      <c r="A18" t="s">
        <v>53</v>
      </c>
      <c r="B18" t="s">
        <v>53</v>
      </c>
      <c r="C18" t="s">
        <v>220</v>
      </c>
      <c r="D18" s="572">
        <v>25254.237288135588</v>
      </c>
      <c r="E18" s="574">
        <v>25.254237288135588</v>
      </c>
      <c r="I18" s="1617" t="s">
        <v>552</v>
      </c>
      <c r="J18" s="1618"/>
      <c r="K18" s="755" t="s">
        <v>760</v>
      </c>
      <c r="L18" s="755" t="s">
        <v>910</v>
      </c>
      <c r="M18" s="771"/>
    </row>
    <row r="19" spans="1:20" ht="15" x14ac:dyDescent="0.25">
      <c r="A19" t="s">
        <v>918</v>
      </c>
      <c r="B19" t="s">
        <v>869</v>
      </c>
      <c r="C19" t="s">
        <v>223</v>
      </c>
      <c r="D19" s="572">
        <v>20716.180371352784</v>
      </c>
      <c r="E19" s="574">
        <v>20.716180371352785</v>
      </c>
      <c r="I19" s="1352" t="s">
        <v>1003</v>
      </c>
      <c r="J19" s="1577">
        <f>All_Ingredients!AR2*100</f>
        <v>9700</v>
      </c>
      <c r="K19" s="808"/>
      <c r="L19" s="808" t="s">
        <v>931</v>
      </c>
    </row>
    <row r="20" spans="1:20" ht="15" x14ac:dyDescent="0.25">
      <c r="A20" t="s">
        <v>874</v>
      </c>
      <c r="B20" t="s">
        <v>871</v>
      </c>
      <c r="C20" t="s">
        <v>487</v>
      </c>
      <c r="D20" s="572">
        <v>18960</v>
      </c>
      <c r="E20" s="574">
        <v>18.96</v>
      </c>
      <c r="I20" s="771"/>
      <c r="J20" s="771"/>
      <c r="K20" s="771"/>
      <c r="L20" s="771"/>
    </row>
    <row r="21" spans="1:20" x14ac:dyDescent="0.2">
      <c r="A21" t="s">
        <v>875</v>
      </c>
      <c r="B21" t="s">
        <v>872</v>
      </c>
      <c r="C21" t="s">
        <v>860</v>
      </c>
      <c r="D21" s="572">
        <v>15730.337078651684</v>
      </c>
      <c r="E21" s="574">
        <v>15.730337078651685</v>
      </c>
      <c r="I21" s="767"/>
      <c r="J21" s="767"/>
      <c r="K21" s="767"/>
      <c r="L21" s="767"/>
    </row>
    <row r="22" spans="1:20" ht="15" x14ac:dyDescent="0.25">
      <c r="A22" t="s">
        <v>56</v>
      </c>
      <c r="B22" t="s">
        <v>952</v>
      </c>
      <c r="C22" t="s">
        <v>223</v>
      </c>
      <c r="D22" s="572">
        <v>62641.509433962259</v>
      </c>
      <c r="E22" s="574">
        <v>62.641509433962263</v>
      </c>
      <c r="I22" s="915" t="s">
        <v>719</v>
      </c>
      <c r="N22" s="915" t="s">
        <v>719</v>
      </c>
    </row>
    <row r="23" spans="1:20" ht="15" x14ac:dyDescent="0.25">
      <c r="A23" t="s">
        <v>58</v>
      </c>
      <c r="B23" t="s">
        <v>953</v>
      </c>
      <c r="C23" t="s">
        <v>220</v>
      </c>
      <c r="D23" s="572">
        <v>26543.865923076923</v>
      </c>
      <c r="E23" s="574">
        <v>26.543865923076922</v>
      </c>
      <c r="I23" s="1621" t="s">
        <v>220</v>
      </c>
      <c r="J23" s="1622"/>
      <c r="K23" s="755" t="s">
        <v>760</v>
      </c>
      <c r="L23" s="755" t="s">
        <v>910</v>
      </c>
      <c r="N23" s="806" t="s">
        <v>759</v>
      </c>
      <c r="O23" s="806" t="s">
        <v>762</v>
      </c>
      <c r="P23" s="806" t="s">
        <v>761</v>
      </c>
      <c r="Q23" s="806" t="s">
        <v>760</v>
      </c>
    </row>
    <row r="24" spans="1:20" ht="15" x14ac:dyDescent="0.25">
      <c r="A24" t="s">
        <v>59</v>
      </c>
      <c r="B24" t="s">
        <v>374</v>
      </c>
      <c r="C24" t="s">
        <v>220</v>
      </c>
      <c r="D24" s="572">
        <v>19530.638852672746</v>
      </c>
      <c r="E24" s="574">
        <v>19.530638852672745</v>
      </c>
      <c r="H24" t="s">
        <v>43</v>
      </c>
      <c r="I24" s="756" t="s">
        <v>1004</v>
      </c>
      <c r="J24" s="757">
        <f>VLOOKUP(H24,A:E,4,FALSE)</f>
        <v>43533.246414602341</v>
      </c>
      <c r="K24" s="787"/>
      <c r="L24" s="787" t="s">
        <v>915</v>
      </c>
      <c r="N24" s="973" t="s">
        <v>220</v>
      </c>
      <c r="O24" s="691">
        <f>(SUM(J24:J28)/S24)/T24</f>
        <v>18.302229850417788</v>
      </c>
      <c r="P24" s="58" t="s">
        <v>26</v>
      </c>
      <c r="Q24" s="271"/>
      <c r="S24" s="974">
        <v>0.86</v>
      </c>
      <c r="T24" s="963">
        <v>10000</v>
      </c>
    </row>
    <row r="25" spans="1:20" ht="15" x14ac:dyDescent="0.25">
      <c r="A25" t="s">
        <v>65</v>
      </c>
      <c r="B25" t="s">
        <v>65</v>
      </c>
      <c r="C25" t="s">
        <v>220</v>
      </c>
      <c r="D25" s="572">
        <v>36088.657105606253</v>
      </c>
      <c r="E25" s="574">
        <v>36.088657105606252</v>
      </c>
      <c r="H25" t="s">
        <v>46</v>
      </c>
      <c r="I25" s="756" t="s">
        <v>1005</v>
      </c>
      <c r="J25" s="757">
        <f>VLOOKUP(H25,A:E,4,FALSE)</f>
        <v>24224.250325945239</v>
      </c>
      <c r="K25" s="787"/>
      <c r="L25" s="787" t="s">
        <v>911</v>
      </c>
      <c r="N25" s="973" t="s">
        <v>550</v>
      </c>
      <c r="O25" s="691">
        <f>(SUM(J31:J33)/S25)/T25</f>
        <v>9.8856054269579463</v>
      </c>
      <c r="P25" s="58" t="s">
        <v>26</v>
      </c>
      <c r="Q25" s="271"/>
      <c r="S25" s="974">
        <v>0.55000000000000004</v>
      </c>
      <c r="T25" s="963">
        <v>18000</v>
      </c>
    </row>
    <row r="26" spans="1:20" ht="15" x14ac:dyDescent="0.25">
      <c r="A26" t="s">
        <v>67</v>
      </c>
      <c r="B26" t="s">
        <v>378</v>
      </c>
      <c r="C26" t="s">
        <v>226</v>
      </c>
      <c r="D26" s="572">
        <v>37732.095490716172</v>
      </c>
      <c r="E26" s="574">
        <v>37.732095490716169</v>
      </c>
      <c r="H26" t="s">
        <v>48</v>
      </c>
      <c r="I26" s="756" t="s">
        <v>484</v>
      </c>
      <c r="J26" s="757">
        <f>VLOOKUP(H26,A:E,4,FALSE)</f>
        <v>48657.105606258134</v>
      </c>
      <c r="K26" s="787"/>
      <c r="L26" s="787" t="s">
        <v>911</v>
      </c>
      <c r="N26" s="973" t="s">
        <v>487</v>
      </c>
      <c r="O26" s="691">
        <f>(J36/S26)/T26</f>
        <v>19.546391752577321</v>
      </c>
      <c r="P26" s="58" t="s">
        <v>45</v>
      </c>
      <c r="Q26" s="271"/>
      <c r="S26" s="974">
        <v>0.97</v>
      </c>
      <c r="T26" s="963">
        <v>1000</v>
      </c>
    </row>
    <row r="27" spans="1:20" ht="15" x14ac:dyDescent="0.25">
      <c r="A27" t="s">
        <v>832</v>
      </c>
      <c r="B27" t="s">
        <v>833</v>
      </c>
      <c r="C27" t="s">
        <v>225</v>
      </c>
      <c r="D27" s="572">
        <v>45555.555555555555</v>
      </c>
      <c r="E27" s="574">
        <v>45.555555555555557</v>
      </c>
      <c r="H27" t="s">
        <v>53</v>
      </c>
      <c r="I27" s="756" t="s">
        <v>1006</v>
      </c>
      <c r="J27" s="757">
        <f>VLOOKUP(H27,A:E,4,FALSE)</f>
        <v>25254.237288135588</v>
      </c>
      <c r="K27" s="787"/>
      <c r="L27" s="787" t="s">
        <v>911</v>
      </c>
      <c r="N27" s="973" t="s">
        <v>225</v>
      </c>
      <c r="O27" s="691">
        <f>(J39/S27)/T27</f>
        <v>11.004728132387706</v>
      </c>
      <c r="P27" s="58" t="s">
        <v>26</v>
      </c>
      <c r="Q27" s="271"/>
      <c r="S27" s="974">
        <v>0.47</v>
      </c>
      <c r="T27" s="963">
        <v>10000</v>
      </c>
    </row>
    <row r="28" spans="1:20" ht="15" x14ac:dyDescent="0.25">
      <c r="A28" t="s">
        <v>73</v>
      </c>
      <c r="B28" t="s">
        <v>73</v>
      </c>
      <c r="C28" t="s">
        <v>226</v>
      </c>
      <c r="D28" s="572">
        <v>24740.325454545451</v>
      </c>
      <c r="E28" s="574">
        <v>24.740325454545452</v>
      </c>
      <c r="H28" t="s">
        <v>875</v>
      </c>
      <c r="I28" s="756" t="s">
        <v>1007</v>
      </c>
      <c r="J28" s="757">
        <f>VLOOKUP(H28,A:E,4,FALSE)</f>
        <v>15730.337078651684</v>
      </c>
      <c r="K28" s="787"/>
      <c r="L28" s="787" t="s">
        <v>916</v>
      </c>
    </row>
    <row r="29" spans="1:20" ht="15" x14ac:dyDescent="0.25">
      <c r="A29" t="s">
        <v>74</v>
      </c>
      <c r="B29" t="s">
        <v>385</v>
      </c>
      <c r="C29" t="s">
        <v>223</v>
      </c>
      <c r="D29" s="572">
        <v>44300.948979591834</v>
      </c>
      <c r="E29" s="574">
        <v>44.300948979591837</v>
      </c>
      <c r="I29" s="771"/>
      <c r="J29" s="771"/>
      <c r="K29" s="771"/>
      <c r="L29" s="771"/>
    </row>
    <row r="30" spans="1:20" ht="15" x14ac:dyDescent="0.25">
      <c r="A30" t="s">
        <v>695</v>
      </c>
      <c r="B30" t="s">
        <v>690</v>
      </c>
      <c r="C30" t="s">
        <v>226</v>
      </c>
      <c r="D30" s="572">
        <v>10994.696969696968</v>
      </c>
      <c r="E30" s="574">
        <v>10.994696969696967</v>
      </c>
      <c r="I30" s="1621" t="s">
        <v>550</v>
      </c>
      <c r="J30" s="1622"/>
      <c r="K30" s="755" t="s">
        <v>760</v>
      </c>
      <c r="L30" s="755" t="s">
        <v>910</v>
      </c>
    </row>
    <row r="31" spans="1:20" ht="15" x14ac:dyDescent="0.25">
      <c r="A31" t="s">
        <v>76</v>
      </c>
      <c r="B31" t="s">
        <v>959</v>
      </c>
      <c r="C31" t="s">
        <v>220</v>
      </c>
      <c r="D31" s="572">
        <v>23661.290322580644</v>
      </c>
      <c r="E31" s="574">
        <v>23.661290322580644</v>
      </c>
      <c r="H31" t="s">
        <v>51</v>
      </c>
      <c r="I31" s="756" t="s">
        <v>1008</v>
      </c>
      <c r="J31" s="757">
        <f>VLOOKUP(H31,A:E,4,FALSE)</f>
        <v>14509.803921568624</v>
      </c>
      <c r="K31" s="787"/>
      <c r="L31" s="787" t="s">
        <v>911</v>
      </c>
    </row>
    <row r="32" spans="1:20" ht="15" x14ac:dyDescent="0.25">
      <c r="A32" t="s">
        <v>77</v>
      </c>
      <c r="B32" t="s">
        <v>316</v>
      </c>
      <c r="C32" t="s">
        <v>220</v>
      </c>
      <c r="D32" s="572">
        <v>20526.315789473683</v>
      </c>
      <c r="E32" s="574">
        <v>20.526315789473685</v>
      </c>
      <c r="H32" t="s">
        <v>56</v>
      </c>
      <c r="I32" s="756" t="s">
        <v>952</v>
      </c>
      <c r="J32" s="757">
        <f>VLOOKUP(H32,A:E,4,FALSE)</f>
        <v>62641.509433962259</v>
      </c>
      <c r="K32" s="787"/>
      <c r="L32" s="787" t="s">
        <v>912</v>
      </c>
    </row>
    <row r="33" spans="1:20" ht="15" x14ac:dyDescent="0.25">
      <c r="A33" t="s">
        <v>78</v>
      </c>
      <c r="B33" t="s">
        <v>496</v>
      </c>
      <c r="C33" t="s">
        <v>220</v>
      </c>
      <c r="D33" s="572">
        <v>11490.196078431374</v>
      </c>
      <c r="E33" s="574">
        <v>11.490196078431374</v>
      </c>
      <c r="H33" t="s">
        <v>918</v>
      </c>
      <c r="I33" s="756" t="s">
        <v>1009</v>
      </c>
      <c r="J33" s="757">
        <f>VLOOKUP(H33,A:E,4,FALSE)</f>
        <v>20716.180371352784</v>
      </c>
      <c r="K33" s="787"/>
      <c r="L33" s="787" t="s">
        <v>912</v>
      </c>
      <c r="N33" s="1"/>
      <c r="O33" s="1"/>
      <c r="P33" s="974"/>
      <c r="Q33" s="963"/>
      <c r="R33" s="4"/>
    </row>
    <row r="34" spans="1:20" ht="15" x14ac:dyDescent="0.25">
      <c r="A34" t="s">
        <v>882</v>
      </c>
      <c r="B34" t="s">
        <v>881</v>
      </c>
      <c r="C34" t="s">
        <v>487</v>
      </c>
      <c r="D34" s="572">
        <v>21240</v>
      </c>
      <c r="E34" s="574">
        <v>21.24</v>
      </c>
      <c r="I34" s="771"/>
      <c r="J34" s="771"/>
      <c r="K34" s="771"/>
      <c r="L34" s="771"/>
      <c r="N34" s="1"/>
      <c r="O34" s="1"/>
      <c r="P34" s="974"/>
      <c r="Q34" s="963"/>
      <c r="R34" s="4"/>
    </row>
    <row r="35" spans="1:20" ht="15" x14ac:dyDescent="0.25">
      <c r="A35" t="s">
        <v>81</v>
      </c>
      <c r="B35" t="s">
        <v>81</v>
      </c>
      <c r="C35" t="s">
        <v>220</v>
      </c>
      <c r="D35" s="572">
        <v>13033.898305084747</v>
      </c>
      <c r="E35" s="574">
        <v>13.033898305084747</v>
      </c>
      <c r="I35" s="1621" t="s">
        <v>487</v>
      </c>
      <c r="J35" s="1622"/>
      <c r="K35" s="755" t="s">
        <v>760</v>
      </c>
      <c r="L35" s="755" t="s">
        <v>910</v>
      </c>
      <c r="N35" s="1"/>
      <c r="O35" s="1"/>
      <c r="P35" s="974"/>
      <c r="Q35" s="963"/>
      <c r="R35" s="4"/>
    </row>
    <row r="36" spans="1:20" ht="15" x14ac:dyDescent="0.25">
      <c r="A36" t="s">
        <v>91</v>
      </c>
      <c r="B36" t="s">
        <v>396</v>
      </c>
      <c r="C36" t="s">
        <v>220</v>
      </c>
      <c r="D36" s="572">
        <v>37009.586440677966</v>
      </c>
      <c r="E36" s="574">
        <v>37.009586440677964</v>
      </c>
      <c r="H36" t="s">
        <v>874</v>
      </c>
      <c r="I36" s="756" t="s">
        <v>1010</v>
      </c>
      <c r="J36" s="757">
        <f>VLOOKUP(H36,A:E,4,FALSE)</f>
        <v>18960</v>
      </c>
      <c r="K36" s="787"/>
      <c r="L36" s="808" t="s">
        <v>931</v>
      </c>
      <c r="N36" s="1"/>
      <c r="O36" s="1"/>
      <c r="P36" s="974"/>
      <c r="Q36" s="963"/>
      <c r="R36" s="4"/>
    </row>
    <row r="37" spans="1:20" ht="15" x14ac:dyDescent="0.25">
      <c r="A37" t="s">
        <v>96</v>
      </c>
      <c r="B37" t="s">
        <v>96</v>
      </c>
      <c r="C37" t="s">
        <v>220</v>
      </c>
      <c r="D37" s="572">
        <v>20647.058823529413</v>
      </c>
      <c r="E37" s="574">
        <v>20.647058823529413</v>
      </c>
      <c r="I37" s="771"/>
      <c r="J37" s="771"/>
      <c r="K37" s="771"/>
      <c r="L37" s="771"/>
      <c r="N37" s="1"/>
      <c r="O37" s="1"/>
      <c r="P37" s="974"/>
      <c r="Q37" s="963"/>
      <c r="R37" s="4"/>
    </row>
    <row r="38" spans="1:20" ht="15" x14ac:dyDescent="0.25">
      <c r="A38" t="s">
        <v>98</v>
      </c>
      <c r="B38" t="s">
        <v>404</v>
      </c>
      <c r="C38" t="s">
        <v>223</v>
      </c>
      <c r="D38" s="572">
        <v>26395.173453996977</v>
      </c>
      <c r="E38" s="574">
        <v>26.395173453996975</v>
      </c>
      <c r="I38" s="1621" t="s">
        <v>225</v>
      </c>
      <c r="J38" s="1622"/>
      <c r="K38" s="755" t="s">
        <v>760</v>
      </c>
      <c r="L38" s="755" t="s">
        <v>910</v>
      </c>
      <c r="N38" s="1"/>
      <c r="O38" s="1"/>
      <c r="P38" s="974"/>
      <c r="Q38" s="963"/>
      <c r="R38" s="4"/>
    </row>
    <row r="39" spans="1:20" ht="15" x14ac:dyDescent="0.25">
      <c r="A39" t="s">
        <v>102</v>
      </c>
      <c r="B39" t="s">
        <v>102</v>
      </c>
      <c r="C39" t="s">
        <v>223</v>
      </c>
      <c r="D39" s="572">
        <v>20769.230769230762</v>
      </c>
      <c r="E39" s="574">
        <v>20.769230769230763</v>
      </c>
      <c r="H39" t="s">
        <v>820</v>
      </c>
      <c r="I39" s="756" t="s">
        <v>1011</v>
      </c>
      <c r="J39" s="757">
        <f>VLOOKUP(H39,A:E,4,FALSE)</f>
        <v>51722.222222222219</v>
      </c>
      <c r="K39" s="787"/>
      <c r="L39" s="787" t="s">
        <v>911</v>
      </c>
      <c r="N39" s="1"/>
      <c r="O39" s="1"/>
      <c r="P39" s="974"/>
      <c r="Q39" s="963"/>
      <c r="R39" s="4"/>
    </row>
    <row r="40" spans="1:20" ht="15" x14ac:dyDescent="0.25">
      <c r="A40" t="s">
        <v>104</v>
      </c>
      <c r="B40" t="s">
        <v>104</v>
      </c>
      <c r="C40" t="s">
        <v>220</v>
      </c>
      <c r="D40" s="572">
        <v>40464.190981432352</v>
      </c>
      <c r="E40" s="574">
        <v>40.464190981432353</v>
      </c>
      <c r="I40" s="767"/>
      <c r="J40" s="767"/>
      <c r="K40" s="767"/>
      <c r="L40" s="767"/>
      <c r="N40" s="1"/>
      <c r="O40" s="1"/>
      <c r="P40" s="974"/>
      <c r="Q40" s="963"/>
      <c r="R40" s="4"/>
    </row>
    <row r="41" spans="1:20" ht="15" x14ac:dyDescent="0.25">
      <c r="A41" t="s">
        <v>106</v>
      </c>
      <c r="B41" t="s">
        <v>106</v>
      </c>
      <c r="C41" t="s">
        <v>223</v>
      </c>
      <c r="D41" s="572">
        <v>19517.345399698333</v>
      </c>
      <c r="E41" s="574">
        <v>19.517345399698332</v>
      </c>
      <c r="N41" s="1"/>
      <c r="O41" s="1"/>
      <c r="P41" s="974"/>
      <c r="Q41" s="963"/>
      <c r="R41" s="4"/>
    </row>
    <row r="42" spans="1:20" ht="15" x14ac:dyDescent="0.25">
      <c r="A42" t="s">
        <v>825</v>
      </c>
      <c r="B42" t="s">
        <v>825</v>
      </c>
      <c r="C42" t="s">
        <v>225</v>
      </c>
      <c r="D42" s="572">
        <v>60240.740740740737</v>
      </c>
      <c r="E42" s="574">
        <v>60.24074074074074</v>
      </c>
      <c r="I42" s="915" t="s">
        <v>720</v>
      </c>
      <c r="N42" s="915" t="s">
        <v>720</v>
      </c>
    </row>
    <row r="43" spans="1:20" ht="15" x14ac:dyDescent="0.25">
      <c r="A43" t="s">
        <v>475</v>
      </c>
      <c r="B43" t="s">
        <v>477</v>
      </c>
      <c r="C43" t="s">
        <v>220</v>
      </c>
      <c r="D43" s="572">
        <v>33879.310344827587</v>
      </c>
      <c r="E43" s="574">
        <v>33.879310344827587</v>
      </c>
      <c r="I43" s="1617" t="s">
        <v>220</v>
      </c>
      <c r="J43" s="1618"/>
      <c r="K43" s="755" t="s">
        <v>760</v>
      </c>
      <c r="L43" s="755" t="s">
        <v>910</v>
      </c>
      <c r="N43" s="806" t="s">
        <v>759</v>
      </c>
      <c r="O43" s="806" t="s">
        <v>762</v>
      </c>
      <c r="P43" s="806" t="s">
        <v>761</v>
      </c>
      <c r="Q43" s="806" t="s">
        <v>760</v>
      </c>
    </row>
    <row r="44" spans="1:20" ht="15" x14ac:dyDescent="0.25">
      <c r="A44" t="s">
        <v>112</v>
      </c>
      <c r="B44" t="s">
        <v>955</v>
      </c>
      <c r="C44" t="s">
        <v>220</v>
      </c>
      <c r="D44" s="572">
        <v>28698.4126984127</v>
      </c>
      <c r="E44" s="574">
        <v>28.698412698412699</v>
      </c>
      <c r="H44" t="s">
        <v>58</v>
      </c>
      <c r="I44" s="807" t="s">
        <v>58</v>
      </c>
      <c r="J44" s="757">
        <f>VLOOKUP(H44,A:E,4,FALSE)</f>
        <v>26543.865923076923</v>
      </c>
      <c r="K44" s="808"/>
      <c r="L44" s="787" t="s">
        <v>932</v>
      </c>
      <c r="N44" s="973" t="s">
        <v>220</v>
      </c>
      <c r="O44" s="691">
        <f>(SUM(J44:J50)/S44)/T44</f>
        <v>17.543588648479812</v>
      </c>
      <c r="P44" s="58" t="s">
        <v>26</v>
      </c>
      <c r="Q44" s="271"/>
      <c r="S44" s="974">
        <v>0.86</v>
      </c>
      <c r="T44" s="963">
        <v>10000</v>
      </c>
    </row>
    <row r="45" spans="1:20" ht="15" x14ac:dyDescent="0.25">
      <c r="A45" t="s">
        <v>117</v>
      </c>
      <c r="B45" t="s">
        <v>117</v>
      </c>
      <c r="C45" t="s">
        <v>220</v>
      </c>
      <c r="D45" s="572">
        <v>19452.411994784874</v>
      </c>
      <c r="E45" s="574">
        <v>19.452411994784875</v>
      </c>
      <c r="H45" t="s">
        <v>59</v>
      </c>
      <c r="I45" s="807" t="s">
        <v>59</v>
      </c>
      <c r="J45" s="757">
        <f t="shared" ref="J45:J50" si="1">VLOOKUP(H45,A:E,4,FALSE)</f>
        <v>19530.638852672746</v>
      </c>
      <c r="K45" s="808"/>
      <c r="L45" s="787" t="s">
        <v>915</v>
      </c>
      <c r="N45" s="973" t="s">
        <v>550</v>
      </c>
      <c r="O45" s="691">
        <f>(J62/S45)/T45</f>
        <v>4.4748433312719023</v>
      </c>
      <c r="P45" s="58" t="s">
        <v>26</v>
      </c>
      <c r="Q45" s="271"/>
      <c r="S45" s="974">
        <v>0.55000000000000004</v>
      </c>
      <c r="T45" s="963">
        <v>18000</v>
      </c>
    </row>
    <row r="46" spans="1:20" ht="15" x14ac:dyDescent="0.25">
      <c r="A46" t="s">
        <v>898</v>
      </c>
      <c r="B46" t="s">
        <v>885</v>
      </c>
      <c r="C46" t="s">
        <v>860</v>
      </c>
      <c r="D46" s="572">
        <v>17640.449438202246</v>
      </c>
      <c r="E46" s="574">
        <v>17.640449438202246</v>
      </c>
      <c r="H46" t="s">
        <v>65</v>
      </c>
      <c r="I46" s="807" t="s">
        <v>65</v>
      </c>
      <c r="J46" s="757">
        <f t="shared" si="1"/>
        <v>36088.657105606253</v>
      </c>
      <c r="K46" s="808"/>
      <c r="L46" s="787" t="s">
        <v>911</v>
      </c>
      <c r="N46" s="973" t="s">
        <v>552</v>
      </c>
      <c r="O46" s="691">
        <f>(SUM(J53:J55)/S46)/T46</f>
        <v>74.20921001510969</v>
      </c>
      <c r="P46" s="58" t="s">
        <v>45</v>
      </c>
      <c r="Q46" s="271"/>
      <c r="S46" s="974">
        <v>0.99</v>
      </c>
      <c r="T46" s="963">
        <v>1000</v>
      </c>
    </row>
    <row r="47" spans="1:20" ht="15" x14ac:dyDescent="0.25">
      <c r="A47" t="s">
        <v>899</v>
      </c>
      <c r="B47" t="s">
        <v>886</v>
      </c>
      <c r="C47" t="s">
        <v>220</v>
      </c>
      <c r="D47" s="572">
        <v>49380</v>
      </c>
      <c r="E47" s="574">
        <v>49.38</v>
      </c>
      <c r="H47" t="s">
        <v>76</v>
      </c>
      <c r="I47" s="807" t="s">
        <v>548</v>
      </c>
      <c r="J47" s="757">
        <f t="shared" si="1"/>
        <v>23661.290322580644</v>
      </c>
      <c r="K47" s="808"/>
      <c r="L47" s="787" t="s">
        <v>913</v>
      </c>
      <c r="N47" s="973" t="s">
        <v>225</v>
      </c>
      <c r="O47" s="691">
        <f>(J59/S47)/T47</f>
        <v>9.6926713947990546</v>
      </c>
      <c r="P47" s="58" t="s">
        <v>26</v>
      </c>
      <c r="Q47" s="271"/>
      <c r="S47" s="974">
        <v>0.47</v>
      </c>
      <c r="T47" s="963">
        <v>10000</v>
      </c>
    </row>
    <row r="48" spans="1:20" ht="15" x14ac:dyDescent="0.25">
      <c r="A48" t="s">
        <v>123</v>
      </c>
      <c r="B48" t="s">
        <v>123</v>
      </c>
      <c r="C48" t="s">
        <v>220</v>
      </c>
      <c r="D48" s="572">
        <v>16813.881355932204</v>
      </c>
      <c r="E48" s="574">
        <v>16.813881355932203</v>
      </c>
      <c r="H48" t="s">
        <v>77</v>
      </c>
      <c r="I48" s="807" t="s">
        <v>549</v>
      </c>
      <c r="J48" s="757">
        <f t="shared" si="1"/>
        <v>20526.315789473683</v>
      </c>
      <c r="K48" s="808"/>
      <c r="L48" s="787" t="s">
        <v>913</v>
      </c>
      <c r="N48" s="973" t="s">
        <v>487</v>
      </c>
      <c r="O48" s="691">
        <f>(J65/S48)/T48</f>
        <v>21.896907216494846</v>
      </c>
      <c r="P48" s="58" t="s">
        <v>45</v>
      </c>
      <c r="Q48" s="271"/>
      <c r="S48" s="974">
        <v>0.97</v>
      </c>
      <c r="T48" s="963">
        <v>1000</v>
      </c>
    </row>
    <row r="49" spans="1:12" ht="15" x14ac:dyDescent="0.25">
      <c r="A49" t="s">
        <v>125</v>
      </c>
      <c r="B49" t="s">
        <v>125</v>
      </c>
      <c r="C49" t="s">
        <v>220</v>
      </c>
      <c r="D49" s="572">
        <v>41773.644067796617</v>
      </c>
      <c r="E49" s="574">
        <v>41.773644067796617</v>
      </c>
      <c r="H49" t="s">
        <v>78</v>
      </c>
      <c r="I49" s="807" t="s">
        <v>78</v>
      </c>
      <c r="J49" s="757">
        <f t="shared" si="1"/>
        <v>11490.196078431374</v>
      </c>
      <c r="K49" s="808"/>
      <c r="L49" s="787" t="s">
        <v>912</v>
      </c>
    </row>
    <row r="50" spans="1:12" ht="15" x14ac:dyDescent="0.25">
      <c r="A50" t="s">
        <v>127</v>
      </c>
      <c r="B50" t="s">
        <v>127</v>
      </c>
      <c r="C50" t="s">
        <v>226</v>
      </c>
      <c r="D50" s="572">
        <v>29534.482758620692</v>
      </c>
      <c r="E50" s="574">
        <v>29.53448275862069</v>
      </c>
      <c r="H50" t="s">
        <v>81</v>
      </c>
      <c r="I50" s="807" t="s">
        <v>81</v>
      </c>
      <c r="J50" s="757">
        <f t="shared" si="1"/>
        <v>13033.898305084747</v>
      </c>
      <c r="K50" s="808"/>
      <c r="L50" s="787" t="s">
        <v>912</v>
      </c>
    </row>
    <row r="51" spans="1:12" ht="15" x14ac:dyDescent="0.25">
      <c r="A51" t="s">
        <v>826</v>
      </c>
      <c r="B51" t="s">
        <v>826</v>
      </c>
      <c r="C51" t="s">
        <v>225</v>
      </c>
      <c r="D51" s="572">
        <v>50055.555555555555</v>
      </c>
      <c r="E51" s="574">
        <v>50.055555555555557</v>
      </c>
      <c r="I51" s="808"/>
      <c r="J51" s="808"/>
      <c r="K51" s="808"/>
      <c r="L51" s="808"/>
    </row>
    <row r="52" spans="1:12" ht="15" x14ac:dyDescent="0.25">
      <c r="A52" t="s">
        <v>130</v>
      </c>
      <c r="B52" t="s">
        <v>130</v>
      </c>
      <c r="C52" t="s">
        <v>226</v>
      </c>
      <c r="D52" s="572">
        <v>18328.912466843507</v>
      </c>
      <c r="E52" s="574">
        <v>18.328912466843509</v>
      </c>
      <c r="I52" s="1617" t="s">
        <v>552</v>
      </c>
      <c r="J52" s="1618"/>
      <c r="K52" s="755" t="s">
        <v>760</v>
      </c>
      <c r="L52" s="755" t="s">
        <v>910</v>
      </c>
    </row>
    <row r="53" spans="1:12" ht="15" x14ac:dyDescent="0.25">
      <c r="A53" t="s">
        <v>132</v>
      </c>
      <c r="B53" t="s">
        <v>132</v>
      </c>
      <c r="C53" t="s">
        <v>220</v>
      </c>
      <c r="D53" s="572">
        <v>21955.671447196866</v>
      </c>
      <c r="E53" s="574">
        <v>21.955671447196867</v>
      </c>
      <c r="H53" t="s">
        <v>67</v>
      </c>
      <c r="I53" s="1352" t="s">
        <v>67</v>
      </c>
      <c r="J53" s="1353">
        <f>VLOOKUP(H53,A:E,4,FALSE)</f>
        <v>37732.095490716172</v>
      </c>
      <c r="K53" s="808"/>
      <c r="L53" s="808" t="s">
        <v>930</v>
      </c>
    </row>
    <row r="54" spans="1:12" ht="15" x14ac:dyDescent="0.25">
      <c r="A54" t="s">
        <v>134</v>
      </c>
      <c r="B54" t="s">
        <v>134</v>
      </c>
      <c r="C54" t="s">
        <v>226</v>
      </c>
      <c r="D54" s="572">
        <v>11383.46212121212</v>
      </c>
      <c r="E54" s="574">
        <v>11.383462121212121</v>
      </c>
      <c r="H54" t="s">
        <v>73</v>
      </c>
      <c r="I54" s="1352" t="s">
        <v>73</v>
      </c>
      <c r="J54" s="1353">
        <f>VLOOKUP(H54,A:E,4,FALSE)</f>
        <v>24740.325454545451</v>
      </c>
      <c r="K54" s="808"/>
      <c r="L54" s="808" t="s">
        <v>931</v>
      </c>
    </row>
    <row r="55" spans="1:12" ht="15" x14ac:dyDescent="0.25">
      <c r="A55" t="s">
        <v>140</v>
      </c>
      <c r="B55" t="s">
        <v>454</v>
      </c>
      <c r="C55" t="s">
        <v>226</v>
      </c>
      <c r="D55" s="572">
        <v>52736.000000000007</v>
      </c>
      <c r="E55" s="574">
        <v>52.736000000000004</v>
      </c>
      <c r="H55" t="s">
        <v>695</v>
      </c>
      <c r="I55" s="1352" t="s">
        <v>695</v>
      </c>
      <c r="J55" s="1353">
        <f>VLOOKUP(H55,A:E,4,FALSE)</f>
        <v>10994.696969696968</v>
      </c>
      <c r="K55" s="808"/>
      <c r="L55" s="808" t="s">
        <v>931</v>
      </c>
    </row>
    <row r="56" spans="1:12" ht="15" x14ac:dyDescent="0.25">
      <c r="A56" t="s">
        <v>859</v>
      </c>
      <c r="B56" t="s">
        <v>858</v>
      </c>
      <c r="C56" t="s">
        <v>860</v>
      </c>
      <c r="D56" s="572">
        <v>19887.6404494382</v>
      </c>
      <c r="E56" s="574">
        <v>19.887640449438202</v>
      </c>
      <c r="I56" s="1352" t="s">
        <v>936</v>
      </c>
      <c r="J56" s="1514">
        <f>All_Ingredients!AR50*100</f>
        <v>7700</v>
      </c>
      <c r="K56" s="808"/>
      <c r="L56" s="808" t="s">
        <v>931</v>
      </c>
    </row>
    <row r="57" spans="1:12" ht="15" x14ac:dyDescent="0.25">
      <c r="A57" t="s">
        <v>853</v>
      </c>
      <c r="B57" t="s">
        <v>851</v>
      </c>
      <c r="C57" t="s">
        <v>220</v>
      </c>
      <c r="D57" s="572">
        <v>28694.91525423729</v>
      </c>
      <c r="E57" s="574">
        <v>28.694915254237291</v>
      </c>
      <c r="I57" s="808"/>
      <c r="J57" s="808"/>
      <c r="K57" s="808"/>
      <c r="L57" s="808"/>
    </row>
    <row r="58" spans="1:12" ht="15" x14ac:dyDescent="0.25">
      <c r="A58" t="s">
        <v>143</v>
      </c>
      <c r="B58" t="s">
        <v>957</v>
      </c>
      <c r="C58" t="s">
        <v>223</v>
      </c>
      <c r="D58" s="572">
        <v>25906.25</v>
      </c>
      <c r="E58" s="574">
        <v>25.90625</v>
      </c>
      <c r="I58" s="1617" t="s">
        <v>225</v>
      </c>
      <c r="J58" s="1618"/>
      <c r="K58" s="755" t="s">
        <v>760</v>
      </c>
      <c r="L58" s="755" t="s">
        <v>910</v>
      </c>
    </row>
    <row r="59" spans="1:12" ht="15" x14ac:dyDescent="0.25">
      <c r="A59" t="s">
        <v>145</v>
      </c>
      <c r="B59" t="s">
        <v>145</v>
      </c>
      <c r="C59" t="s">
        <v>226</v>
      </c>
      <c r="D59" s="572">
        <v>11208.791208791208</v>
      </c>
      <c r="E59" s="574">
        <v>11.208791208791208</v>
      </c>
      <c r="H59" t="s">
        <v>832</v>
      </c>
      <c r="I59" s="807" t="s">
        <v>832</v>
      </c>
      <c r="J59" s="757">
        <f>VLOOKUP(H59,A:E,4,FALSE)</f>
        <v>45555.555555555555</v>
      </c>
      <c r="K59" s="808"/>
      <c r="L59" s="787" t="s">
        <v>914</v>
      </c>
    </row>
    <row r="60" spans="1:12" ht="15" x14ac:dyDescent="0.25">
      <c r="A60" t="s">
        <v>148</v>
      </c>
      <c r="B60" t="s">
        <v>148</v>
      </c>
      <c r="C60" t="s">
        <v>220</v>
      </c>
      <c r="D60" s="572">
        <v>33102.998696219023</v>
      </c>
      <c r="E60" s="574">
        <v>33.102998696219025</v>
      </c>
      <c r="I60" s="808"/>
      <c r="J60" s="808"/>
      <c r="K60" s="808"/>
      <c r="L60" s="808"/>
    </row>
    <row r="61" spans="1:12" ht="15" x14ac:dyDescent="0.25">
      <c r="A61" t="s">
        <v>150</v>
      </c>
      <c r="B61" t="s">
        <v>150</v>
      </c>
      <c r="C61" t="s">
        <v>220</v>
      </c>
      <c r="D61" s="572">
        <v>48487.614080834406</v>
      </c>
      <c r="E61" s="574">
        <v>48.487614080834405</v>
      </c>
      <c r="I61" s="1617" t="s">
        <v>550</v>
      </c>
      <c r="J61" s="1618"/>
      <c r="K61" s="755" t="s">
        <v>760</v>
      </c>
      <c r="L61" s="755" t="s">
        <v>910</v>
      </c>
    </row>
    <row r="62" spans="1:12" ht="15" x14ac:dyDescent="0.25">
      <c r="A62" t="s">
        <v>151</v>
      </c>
      <c r="B62" t="s">
        <v>151</v>
      </c>
      <c r="C62" t="s">
        <v>226</v>
      </c>
      <c r="D62" s="572">
        <v>26578.249336870023</v>
      </c>
      <c r="E62" s="574">
        <v>26.578249336870023</v>
      </c>
      <c r="H62" t="s">
        <v>74</v>
      </c>
      <c r="I62" s="807" t="s">
        <v>74</v>
      </c>
      <c r="J62" s="757">
        <f>VLOOKUP(H62,A:E,4,FALSE)</f>
        <v>44300.948979591834</v>
      </c>
      <c r="K62" s="808"/>
      <c r="L62" s="787" t="s">
        <v>912</v>
      </c>
    </row>
    <row r="63" spans="1:12" ht="15" x14ac:dyDescent="0.25">
      <c r="A63" t="s">
        <v>155</v>
      </c>
      <c r="B63" t="s">
        <v>155</v>
      </c>
      <c r="C63" t="s">
        <v>220</v>
      </c>
      <c r="D63" s="572">
        <v>19543.676662320726</v>
      </c>
      <c r="E63" s="574">
        <v>19.543676662320728</v>
      </c>
      <c r="I63" s="872"/>
      <c r="J63" s="873"/>
      <c r="K63" s="771"/>
      <c r="L63" s="771"/>
    </row>
    <row r="64" spans="1:12" ht="15" x14ac:dyDescent="0.25">
      <c r="A64" t="s">
        <v>158</v>
      </c>
      <c r="B64" t="s">
        <v>158</v>
      </c>
      <c r="C64" t="s">
        <v>225</v>
      </c>
      <c r="D64" s="572">
        <v>67166.666666666657</v>
      </c>
      <c r="E64" s="574">
        <v>67.166666666666657</v>
      </c>
      <c r="I64" s="1621" t="s">
        <v>487</v>
      </c>
      <c r="J64" s="1622"/>
      <c r="K64" s="755" t="s">
        <v>760</v>
      </c>
      <c r="L64" s="755" t="s">
        <v>910</v>
      </c>
    </row>
    <row r="65" spans="1:20" ht="15" x14ac:dyDescent="0.25">
      <c r="A65" t="s">
        <v>162</v>
      </c>
      <c r="B65" t="s">
        <v>162</v>
      </c>
      <c r="C65" t="s">
        <v>220</v>
      </c>
      <c r="D65" s="572">
        <v>43180</v>
      </c>
      <c r="E65" s="574">
        <v>43.18</v>
      </c>
      <c r="H65" t="s">
        <v>882</v>
      </c>
      <c r="I65" s="756" t="s">
        <v>882</v>
      </c>
      <c r="J65" s="757">
        <f>VLOOKUP(H65,A:E,4,FALSE)</f>
        <v>21240</v>
      </c>
      <c r="K65" s="787"/>
      <c r="L65" s="808" t="s">
        <v>931</v>
      </c>
    </row>
    <row r="66" spans="1:20" x14ac:dyDescent="0.2">
      <c r="A66" t="s">
        <v>165</v>
      </c>
      <c r="B66" t="s">
        <v>842</v>
      </c>
      <c r="C66" t="s">
        <v>226</v>
      </c>
      <c r="D66" s="572">
        <v>11960</v>
      </c>
      <c r="E66" s="574">
        <v>11.96</v>
      </c>
      <c r="I66" s="786"/>
      <c r="J66" s="786"/>
      <c r="K66" s="786"/>
      <c r="L66" s="786"/>
    </row>
    <row r="67" spans="1:20" x14ac:dyDescent="0.2">
      <c r="A67" t="s">
        <v>846</v>
      </c>
      <c r="B67" t="s">
        <v>844</v>
      </c>
      <c r="C67" t="s">
        <v>487</v>
      </c>
      <c r="D67" s="572">
        <v>24000</v>
      </c>
      <c r="E67" s="574">
        <v>24</v>
      </c>
    </row>
    <row r="68" spans="1:20" ht="15" x14ac:dyDescent="0.25">
      <c r="A68" t="s">
        <v>170</v>
      </c>
      <c r="B68" t="s">
        <v>959</v>
      </c>
      <c r="C68" t="s">
        <v>220</v>
      </c>
      <c r="D68" s="572">
        <v>18983.870967741936</v>
      </c>
      <c r="E68" s="574">
        <v>18.983870967741936</v>
      </c>
      <c r="I68" s="915" t="s">
        <v>721</v>
      </c>
      <c r="N68" s="915" t="s">
        <v>721</v>
      </c>
    </row>
    <row r="69" spans="1:20" ht="15" x14ac:dyDescent="0.25">
      <c r="A69" t="s">
        <v>167</v>
      </c>
      <c r="B69" t="s">
        <v>474</v>
      </c>
      <c r="C69" t="s">
        <v>223</v>
      </c>
      <c r="D69" s="572">
        <v>32886.241154289848</v>
      </c>
      <c r="E69" s="574">
        <v>32.886241154289849</v>
      </c>
      <c r="I69" s="1617" t="s">
        <v>220</v>
      </c>
      <c r="J69" s="1618"/>
      <c r="K69" s="755" t="s">
        <v>760</v>
      </c>
      <c r="L69" s="755" t="s">
        <v>910</v>
      </c>
      <c r="N69" s="806" t="s">
        <v>759</v>
      </c>
      <c r="O69" s="806" t="s">
        <v>762</v>
      </c>
      <c r="P69" s="806" t="s">
        <v>761</v>
      </c>
      <c r="Q69" s="806" t="s">
        <v>760</v>
      </c>
    </row>
    <row r="70" spans="1:20" ht="15" x14ac:dyDescent="0.25">
      <c r="H70" t="s">
        <v>91</v>
      </c>
      <c r="I70" s="807" t="s">
        <v>91</v>
      </c>
      <c r="J70" s="757">
        <f t="shared" ref="J70:J78" si="2">VLOOKUP(H70,A:E,4,FALSE)</f>
        <v>37009.586440677966</v>
      </c>
      <c r="K70" s="808"/>
      <c r="L70" s="787" t="s">
        <v>932</v>
      </c>
      <c r="N70" s="973" t="s">
        <v>220</v>
      </c>
      <c r="O70" s="691">
        <f>(SUM(J70:J78)/S70)/T70</f>
        <v>29.549583804868274</v>
      </c>
      <c r="P70" s="58" t="s">
        <v>26</v>
      </c>
      <c r="Q70" s="271"/>
      <c r="S70" s="974">
        <v>0.86</v>
      </c>
      <c r="T70" s="963">
        <v>10000</v>
      </c>
    </row>
    <row r="71" spans="1:20" ht="15" x14ac:dyDescent="0.25">
      <c r="A71" s="575" t="s">
        <v>497</v>
      </c>
      <c r="B71" s="575" t="s">
        <v>498</v>
      </c>
      <c r="H71" t="s">
        <v>96</v>
      </c>
      <c r="I71" s="807" t="s">
        <v>96</v>
      </c>
      <c r="J71" s="757">
        <f t="shared" si="2"/>
        <v>20647.058823529413</v>
      </c>
      <c r="K71" s="808"/>
      <c r="L71" s="787" t="s">
        <v>913</v>
      </c>
      <c r="N71" s="973" t="s">
        <v>550</v>
      </c>
      <c r="O71" s="691">
        <f>(SUM(J84:J86)/S71)/T71</f>
        <v>6.7355302649420272</v>
      </c>
      <c r="P71" s="58" t="s">
        <v>26</v>
      </c>
      <c r="Q71" s="271"/>
      <c r="S71" s="974">
        <v>0.55000000000000004</v>
      </c>
      <c r="T71" s="963">
        <v>18000</v>
      </c>
    </row>
    <row r="72" spans="1:20" ht="15" x14ac:dyDescent="0.25">
      <c r="A72" t="s">
        <v>220</v>
      </c>
      <c r="B72" s="574">
        <v>935.06838795050783</v>
      </c>
      <c r="H72" t="s">
        <v>104</v>
      </c>
      <c r="I72" s="807" t="s">
        <v>104</v>
      </c>
      <c r="J72" s="757">
        <f t="shared" si="2"/>
        <v>40464.190981432352</v>
      </c>
      <c r="K72" s="808"/>
      <c r="L72" s="787" t="s">
        <v>911</v>
      </c>
      <c r="N72" s="973" t="s">
        <v>225</v>
      </c>
      <c r="O72" s="691">
        <f>(J81/S72)/T72</f>
        <v>12.817178881008669</v>
      </c>
      <c r="P72" s="58" t="s">
        <v>26</v>
      </c>
      <c r="Q72" s="271"/>
      <c r="S72" s="974">
        <v>0.47</v>
      </c>
      <c r="T72" s="963">
        <v>10000</v>
      </c>
    </row>
    <row r="73" spans="1:20" ht="15" x14ac:dyDescent="0.25">
      <c r="A73" t="s">
        <v>223</v>
      </c>
      <c r="B73" s="574">
        <v>374.44488128588921</v>
      </c>
      <c r="H73" t="s">
        <v>475</v>
      </c>
      <c r="I73" s="807" t="s">
        <v>475</v>
      </c>
      <c r="J73" s="757">
        <f t="shared" si="2"/>
        <v>33879.310344827587</v>
      </c>
      <c r="K73" s="808"/>
      <c r="L73" s="787" t="s">
        <v>911</v>
      </c>
    </row>
    <row r="74" spans="1:20" ht="15" x14ac:dyDescent="0.25">
      <c r="A74" t="s">
        <v>225</v>
      </c>
      <c r="B74" s="574">
        <v>319.75925925925924</v>
      </c>
      <c r="H74" t="s">
        <v>112</v>
      </c>
      <c r="I74" s="807" t="s">
        <v>112</v>
      </c>
      <c r="J74" s="757">
        <f t="shared" si="2"/>
        <v>28698.4126984127</v>
      </c>
      <c r="K74" s="808"/>
      <c r="L74" s="787" t="s">
        <v>913</v>
      </c>
    </row>
    <row r="75" spans="1:20" ht="15" x14ac:dyDescent="0.25">
      <c r="A75" t="s">
        <v>860</v>
      </c>
      <c r="B75" s="574">
        <v>73.932584269662925</v>
      </c>
      <c r="H75" t="s">
        <v>117</v>
      </c>
      <c r="I75" s="807" t="s">
        <v>117</v>
      </c>
      <c r="J75" s="757">
        <f t="shared" si="2"/>
        <v>19452.411994784874</v>
      </c>
      <c r="K75" s="808"/>
      <c r="L75" s="787" t="s">
        <v>912</v>
      </c>
    </row>
    <row r="76" spans="1:20" ht="15" x14ac:dyDescent="0.25">
      <c r="A76" t="s">
        <v>487</v>
      </c>
      <c r="B76" s="574">
        <v>64.2</v>
      </c>
      <c r="H76" s="870"/>
      <c r="I76" s="807" t="s">
        <v>551</v>
      </c>
      <c r="J76" s="757">
        <f>All_Ingredients!AV2*107</f>
        <v>6955</v>
      </c>
      <c r="K76" s="808"/>
      <c r="L76" s="787" t="s">
        <v>913</v>
      </c>
    </row>
    <row r="77" spans="1:20" ht="15" x14ac:dyDescent="0.25">
      <c r="A77" t="s">
        <v>226</v>
      </c>
      <c r="B77" s="574">
        <v>235.19701580729614</v>
      </c>
      <c r="H77" t="s">
        <v>898</v>
      </c>
      <c r="I77" s="807" t="s">
        <v>898</v>
      </c>
      <c r="J77" s="757">
        <f t="shared" si="2"/>
        <v>17640.449438202246</v>
      </c>
      <c r="K77" s="808"/>
      <c r="L77" s="787" t="s">
        <v>912</v>
      </c>
    </row>
    <row r="78" spans="1:20" ht="15" x14ac:dyDescent="0.25">
      <c r="H78" t="s">
        <v>899</v>
      </c>
      <c r="I78" s="807" t="s">
        <v>899</v>
      </c>
      <c r="J78" s="757">
        <f t="shared" si="2"/>
        <v>49380</v>
      </c>
      <c r="K78" s="808"/>
      <c r="L78" s="787" t="s">
        <v>941</v>
      </c>
    </row>
    <row r="79" spans="1:20" ht="15" customHeight="1" x14ac:dyDescent="0.2"/>
    <row r="80" spans="1:20" ht="15" x14ac:dyDescent="0.25">
      <c r="I80" s="1617" t="s">
        <v>225</v>
      </c>
      <c r="J80" s="1618"/>
      <c r="K80" s="755" t="s">
        <v>760</v>
      </c>
      <c r="L80" s="755" t="s">
        <v>910</v>
      </c>
    </row>
    <row r="81" spans="8:20" ht="15" x14ac:dyDescent="0.25">
      <c r="H81" t="s">
        <v>825</v>
      </c>
      <c r="I81" s="807" t="s">
        <v>825</v>
      </c>
      <c r="J81" s="757">
        <f>VLOOKUP(H81,A:E,4,FALSE)</f>
        <v>60240.740740740737</v>
      </c>
      <c r="K81" s="808"/>
      <c r="L81" s="787" t="s">
        <v>912</v>
      </c>
    </row>
    <row r="82" spans="8:20" ht="15" x14ac:dyDescent="0.25">
      <c r="I82" s="808"/>
      <c r="J82" s="808"/>
      <c r="K82" s="808"/>
      <c r="L82" s="808"/>
    </row>
    <row r="83" spans="8:20" x14ac:dyDescent="0.2">
      <c r="I83" s="1624" t="s">
        <v>550</v>
      </c>
      <c r="J83" s="1625"/>
      <c r="K83" s="755" t="s">
        <v>760</v>
      </c>
      <c r="L83" s="755" t="s">
        <v>910</v>
      </c>
    </row>
    <row r="84" spans="8:20" ht="15" x14ac:dyDescent="0.25">
      <c r="H84" t="s">
        <v>98</v>
      </c>
      <c r="I84" s="807" t="s">
        <v>98</v>
      </c>
      <c r="J84" s="757">
        <f>VLOOKUP(H84,A:E,4,FALSE)</f>
        <v>26395.173453996977</v>
      </c>
      <c r="K84" s="808"/>
      <c r="L84" s="787" t="s">
        <v>911</v>
      </c>
    </row>
    <row r="85" spans="8:20" ht="15" x14ac:dyDescent="0.25">
      <c r="H85" t="s">
        <v>102</v>
      </c>
      <c r="I85" s="807" t="s">
        <v>102</v>
      </c>
      <c r="J85" s="757">
        <f>VLOOKUP(H85,A:E,4,FALSE)</f>
        <v>20769.230769230762</v>
      </c>
      <c r="K85" s="808"/>
      <c r="L85" s="787" t="s">
        <v>912</v>
      </c>
    </row>
    <row r="86" spans="8:20" ht="15" x14ac:dyDescent="0.25">
      <c r="H86" t="s">
        <v>106</v>
      </c>
      <c r="I86" s="807" t="s">
        <v>106</v>
      </c>
      <c r="J86" s="757">
        <f>VLOOKUP(H86,A:E,4,FALSE)</f>
        <v>19517.345399698333</v>
      </c>
      <c r="K86" s="808"/>
      <c r="L86" s="787" t="s">
        <v>911</v>
      </c>
    </row>
    <row r="87" spans="8:20" x14ac:dyDescent="0.2">
      <c r="I87" s="786"/>
      <c r="J87" s="786"/>
      <c r="K87" s="786"/>
      <c r="L87" s="786"/>
    </row>
    <row r="90" spans="8:20" ht="15" x14ac:dyDescent="0.25">
      <c r="I90" s="915" t="s">
        <v>722</v>
      </c>
      <c r="N90" s="915" t="s">
        <v>722</v>
      </c>
    </row>
    <row r="91" spans="8:20" ht="15" x14ac:dyDescent="0.25">
      <c r="I91" s="1623" t="s">
        <v>220</v>
      </c>
      <c r="J91" s="1623"/>
      <c r="K91" s="755" t="s">
        <v>760</v>
      </c>
      <c r="L91" s="755" t="s">
        <v>910</v>
      </c>
      <c r="N91" s="806" t="s">
        <v>759</v>
      </c>
      <c r="O91" s="806" t="s">
        <v>762</v>
      </c>
      <c r="P91" s="806" t="s">
        <v>761</v>
      </c>
      <c r="Q91" s="806" t="s">
        <v>760</v>
      </c>
    </row>
    <row r="92" spans="8:20" ht="15" x14ac:dyDescent="0.25">
      <c r="H92" t="s">
        <v>123</v>
      </c>
      <c r="I92" s="247" t="s">
        <v>123</v>
      </c>
      <c r="J92" s="757">
        <f t="shared" ref="J92:J100" si="3">VLOOKUP(H92,A:E,4,FALSE)</f>
        <v>16813.881355932204</v>
      </c>
      <c r="K92" s="247"/>
      <c r="L92" s="787" t="s">
        <v>912</v>
      </c>
      <c r="N92" s="973" t="s">
        <v>220</v>
      </c>
      <c r="O92" s="691">
        <f>(SUM(J92:J97)/S92)/T92</f>
        <v>16.694273555186186</v>
      </c>
      <c r="P92" s="58" t="s">
        <v>26</v>
      </c>
      <c r="Q92" s="271"/>
      <c r="S92" s="974">
        <v>0.86</v>
      </c>
      <c r="T92" s="963">
        <v>10000</v>
      </c>
    </row>
    <row r="93" spans="8:20" ht="15" x14ac:dyDescent="0.25">
      <c r="H93" t="s">
        <v>125</v>
      </c>
      <c r="I93" s="247" t="s">
        <v>125</v>
      </c>
      <c r="J93" s="757">
        <f t="shared" si="3"/>
        <v>41773.644067796617</v>
      </c>
      <c r="K93" s="247"/>
      <c r="L93" s="787" t="s">
        <v>911</v>
      </c>
      <c r="N93" s="973" t="s">
        <v>550</v>
      </c>
      <c r="O93" s="691">
        <f>(J108/S93)/T93</f>
        <v>2.6167929292929291</v>
      </c>
      <c r="P93" s="58" t="s">
        <v>26</v>
      </c>
      <c r="Q93" s="271"/>
      <c r="S93" s="974">
        <v>0.55000000000000004</v>
      </c>
      <c r="T93" s="963">
        <v>18000</v>
      </c>
    </row>
    <row r="94" spans="8:20" ht="15" x14ac:dyDescent="0.25">
      <c r="H94" t="s">
        <v>132</v>
      </c>
      <c r="I94" s="247" t="s">
        <v>956</v>
      </c>
      <c r="J94" s="757">
        <f t="shared" si="3"/>
        <v>21955.671447196866</v>
      </c>
      <c r="K94" s="247"/>
      <c r="L94" s="787" t="s">
        <v>932</v>
      </c>
      <c r="N94" s="973" t="s">
        <v>552</v>
      </c>
      <c r="O94" s="691">
        <f>(SUM(J102:J106)/S94)/T94</f>
        <v>124.4360086418864</v>
      </c>
      <c r="P94" s="58" t="s">
        <v>45</v>
      </c>
      <c r="Q94" s="271"/>
      <c r="S94" s="974">
        <v>0.99</v>
      </c>
      <c r="T94" s="963">
        <v>1000</v>
      </c>
    </row>
    <row r="95" spans="8:20" ht="15" x14ac:dyDescent="0.25">
      <c r="I95" s="247" t="s">
        <v>716</v>
      </c>
      <c r="J95" s="691">
        <f>All_Ingredients!AV29*107</f>
        <v>14445</v>
      </c>
      <c r="K95" s="247"/>
      <c r="L95" s="787" t="s">
        <v>913</v>
      </c>
      <c r="N95" s="973" t="s">
        <v>225</v>
      </c>
      <c r="O95" s="691">
        <f>(J100/S95)/T95</f>
        <v>10.650118203309693</v>
      </c>
      <c r="P95" s="58" t="s">
        <v>26</v>
      </c>
      <c r="Q95" s="271"/>
      <c r="S95" s="974">
        <v>0.47</v>
      </c>
      <c r="T95" s="963">
        <v>10000</v>
      </c>
    </row>
    <row r="96" spans="8:20" ht="15" x14ac:dyDescent="0.25">
      <c r="H96" s="14" t="s">
        <v>859</v>
      </c>
      <c r="I96" s="247" t="s">
        <v>859</v>
      </c>
      <c r="J96" s="757">
        <f>VLOOKUP(H96,A:E,4,FALSE)</f>
        <v>19887.6404494382</v>
      </c>
      <c r="K96" s="247"/>
      <c r="L96" s="787" t="s">
        <v>937</v>
      </c>
      <c r="S96" s="974"/>
      <c r="T96" s="963"/>
    </row>
    <row r="97" spans="8:20" ht="15" x14ac:dyDescent="0.25">
      <c r="H97" s="14" t="s">
        <v>853</v>
      </c>
      <c r="I97" s="247" t="s">
        <v>853</v>
      </c>
      <c r="J97" s="757">
        <f>VLOOKUP(H97,A:E,4,FALSE)</f>
        <v>28694.91525423729</v>
      </c>
      <c r="K97" s="247"/>
      <c r="L97" s="787" t="s">
        <v>913</v>
      </c>
      <c r="S97" s="974"/>
      <c r="T97" s="963"/>
    </row>
    <row r="98" spans="8:20" ht="15" x14ac:dyDescent="0.25">
      <c r="I98" s="247"/>
      <c r="J98" s="691"/>
      <c r="K98" s="247"/>
      <c r="L98" s="247"/>
      <c r="S98" s="974"/>
      <c r="T98" s="963"/>
    </row>
    <row r="99" spans="8:20" ht="15" x14ac:dyDescent="0.25">
      <c r="I99" s="867" t="s">
        <v>225</v>
      </c>
      <c r="J99" s="867"/>
      <c r="K99" s="868"/>
      <c r="L99" s="755" t="s">
        <v>910</v>
      </c>
    </row>
    <row r="100" spans="8:20" ht="15" x14ac:dyDescent="0.25">
      <c r="H100" t="s">
        <v>826</v>
      </c>
      <c r="I100" s="247" t="s">
        <v>826</v>
      </c>
      <c r="J100" s="757">
        <f t="shared" si="3"/>
        <v>50055.555555555555</v>
      </c>
      <c r="K100" s="247"/>
      <c r="L100" s="787" t="s">
        <v>911</v>
      </c>
    </row>
    <row r="101" spans="8:20" ht="15" x14ac:dyDescent="0.25">
      <c r="I101" s="869" t="s">
        <v>226</v>
      </c>
      <c r="J101" s="867"/>
      <c r="K101" s="868"/>
      <c r="L101" s="755" t="s">
        <v>910</v>
      </c>
    </row>
    <row r="102" spans="8:20" ht="15" x14ac:dyDescent="0.25">
      <c r="H102" t="s">
        <v>127</v>
      </c>
      <c r="I102" s="1451" t="s">
        <v>127</v>
      </c>
      <c r="J102" s="1353">
        <f t="shared" ref="J102:J108" si="4">VLOOKUP(H102,A:E,4,FALSE)</f>
        <v>29534.482758620692</v>
      </c>
      <c r="K102" s="247"/>
      <c r="L102" s="808" t="s">
        <v>930</v>
      </c>
    </row>
    <row r="103" spans="8:20" ht="15" x14ac:dyDescent="0.25">
      <c r="H103" t="s">
        <v>134</v>
      </c>
      <c r="I103" s="1451" t="s">
        <v>134</v>
      </c>
      <c r="J103" s="1353">
        <f t="shared" si="4"/>
        <v>11383.46212121212</v>
      </c>
      <c r="K103" s="247"/>
      <c r="L103" s="808" t="s">
        <v>931</v>
      </c>
    </row>
    <row r="104" spans="8:20" ht="15" x14ac:dyDescent="0.25">
      <c r="H104" t="s">
        <v>140</v>
      </c>
      <c r="I104" s="1451" t="s">
        <v>140</v>
      </c>
      <c r="J104" s="1353">
        <f t="shared" si="4"/>
        <v>52736.000000000007</v>
      </c>
      <c r="K104" s="247"/>
      <c r="L104" s="808" t="s">
        <v>931</v>
      </c>
    </row>
    <row r="105" spans="8:20" ht="15" x14ac:dyDescent="0.25">
      <c r="H105" t="s">
        <v>145</v>
      </c>
      <c r="I105" s="1451" t="s">
        <v>145</v>
      </c>
      <c r="J105" s="1353">
        <f t="shared" si="4"/>
        <v>11208.791208791208</v>
      </c>
      <c r="K105" s="247"/>
      <c r="L105" s="808" t="s">
        <v>931</v>
      </c>
    </row>
    <row r="106" spans="8:20" ht="15" x14ac:dyDescent="0.25">
      <c r="H106" t="s">
        <v>130</v>
      </c>
      <c r="I106" s="1451" t="s">
        <v>130</v>
      </c>
      <c r="J106" s="1353">
        <f t="shared" si="4"/>
        <v>18328.912466843507</v>
      </c>
      <c r="K106" s="247"/>
      <c r="L106" s="808" t="s">
        <v>930</v>
      </c>
    </row>
    <row r="107" spans="8:20" ht="15" x14ac:dyDescent="0.25">
      <c r="I107" s="1623" t="s">
        <v>223</v>
      </c>
      <c r="J107" s="1623"/>
      <c r="K107" s="868"/>
      <c r="L107" s="755" t="s">
        <v>910</v>
      </c>
    </row>
    <row r="108" spans="8:20" ht="15" x14ac:dyDescent="0.25">
      <c r="H108" t="s">
        <v>143</v>
      </c>
      <c r="I108" s="247" t="s">
        <v>143</v>
      </c>
      <c r="J108" s="757">
        <f t="shared" si="4"/>
        <v>25906.25</v>
      </c>
      <c r="K108" s="247"/>
      <c r="L108" s="787" t="s">
        <v>912</v>
      </c>
    </row>
    <row r="109" spans="8:20" x14ac:dyDescent="0.2">
      <c r="I109" s="786"/>
      <c r="J109" s="786"/>
      <c r="K109" s="786"/>
      <c r="L109" s="786"/>
    </row>
    <row r="110" spans="8:20" ht="15" x14ac:dyDescent="0.25">
      <c r="I110" s="1"/>
      <c r="J110" s="873"/>
      <c r="K110" s="1"/>
      <c r="L110" s="1"/>
    </row>
    <row r="111" spans="8:20" ht="15" x14ac:dyDescent="0.25">
      <c r="I111" s="915" t="s">
        <v>723</v>
      </c>
      <c r="N111" s="915" t="s">
        <v>723</v>
      </c>
    </row>
    <row r="112" spans="8:20" ht="15" x14ac:dyDescent="0.25">
      <c r="I112" s="1617" t="s">
        <v>220</v>
      </c>
      <c r="J112" s="1626"/>
      <c r="K112" s="755" t="s">
        <v>760</v>
      </c>
      <c r="L112" s="755" t="s">
        <v>910</v>
      </c>
      <c r="N112" s="806" t="s">
        <v>759</v>
      </c>
      <c r="O112" s="806" t="s">
        <v>762</v>
      </c>
      <c r="P112" s="806" t="s">
        <v>761</v>
      </c>
      <c r="Q112" s="806" t="s">
        <v>760</v>
      </c>
    </row>
    <row r="113" spans="8:20" ht="15" x14ac:dyDescent="0.25">
      <c r="H113" t="s">
        <v>148</v>
      </c>
      <c r="I113" s="807" t="s">
        <v>984</v>
      </c>
      <c r="J113" s="757">
        <f>VLOOKUP(H113,A:E,4,FALSE)</f>
        <v>33102.998696219023</v>
      </c>
      <c r="K113" s="849"/>
      <c r="L113" s="787" t="s">
        <v>912</v>
      </c>
      <c r="N113" s="973" t="s">
        <v>220</v>
      </c>
      <c r="O113" s="691">
        <f>(SUM(J113:J118)/S113)/T113</f>
        <v>20.21990237292048</v>
      </c>
      <c r="P113" s="58" t="s">
        <v>26</v>
      </c>
      <c r="Q113" s="271"/>
      <c r="S113" s="974">
        <v>0.86</v>
      </c>
      <c r="T113" s="963">
        <v>10000</v>
      </c>
    </row>
    <row r="114" spans="8:20" ht="15" x14ac:dyDescent="0.25">
      <c r="H114" t="s">
        <v>150</v>
      </c>
      <c r="I114" s="807" t="s">
        <v>975</v>
      </c>
      <c r="J114" s="757">
        <f>VLOOKUP(H114,A:E,4,FALSE)</f>
        <v>48487.614080834406</v>
      </c>
      <c r="K114" s="849"/>
      <c r="L114" s="787" t="s">
        <v>912</v>
      </c>
      <c r="N114" s="973" t="s">
        <v>550</v>
      </c>
      <c r="O114" s="691">
        <f>(J125/S114)/T114</f>
        <v>3.3218425408373582</v>
      </c>
      <c r="P114" s="58" t="s">
        <v>26</v>
      </c>
      <c r="Q114" s="271"/>
      <c r="S114" s="974">
        <v>0.55000000000000004</v>
      </c>
      <c r="T114" s="963">
        <v>18000</v>
      </c>
    </row>
    <row r="115" spans="8:20" ht="15" x14ac:dyDescent="0.25">
      <c r="H115" t="s">
        <v>155</v>
      </c>
      <c r="I115" s="807" t="s">
        <v>976</v>
      </c>
      <c r="J115" s="757">
        <f>VLOOKUP(H115,A:E,4,FALSE)</f>
        <v>19543.676662320726</v>
      </c>
      <c r="K115" s="849"/>
      <c r="L115" s="787" t="s">
        <v>911</v>
      </c>
      <c r="N115" s="973" t="s">
        <v>552</v>
      </c>
      <c r="O115" s="691">
        <f>(SUM(J121:J122)/S115)/T115</f>
        <v>38.927524582696989</v>
      </c>
      <c r="P115" s="58" t="s">
        <v>45</v>
      </c>
      <c r="Q115" s="271"/>
      <c r="S115" s="974">
        <v>0.99</v>
      </c>
      <c r="T115" s="963">
        <v>1000</v>
      </c>
    </row>
    <row r="116" spans="8:20" ht="15" x14ac:dyDescent="0.25">
      <c r="H116" t="s">
        <v>162</v>
      </c>
      <c r="I116" s="807" t="s">
        <v>985</v>
      </c>
      <c r="J116" s="757">
        <f>VLOOKUP(H116,A:E,4,FALSE)</f>
        <v>43180</v>
      </c>
      <c r="K116" s="849"/>
      <c r="L116" s="787" t="s">
        <v>911</v>
      </c>
      <c r="N116" s="973" t="s">
        <v>225</v>
      </c>
      <c r="O116" s="691">
        <f>(J128/S116)/T116</f>
        <v>14.290780141843971</v>
      </c>
      <c r="P116" s="58" t="s">
        <v>26</v>
      </c>
      <c r="Q116" s="271"/>
      <c r="S116" s="974">
        <v>0.47</v>
      </c>
      <c r="T116" s="963">
        <v>10000</v>
      </c>
    </row>
    <row r="117" spans="8:20" ht="15" x14ac:dyDescent="0.25">
      <c r="H117" t="s">
        <v>170</v>
      </c>
      <c r="I117" s="807" t="s">
        <v>977</v>
      </c>
      <c r="J117" s="757">
        <f>VLOOKUP(H117,A:E,4,FALSE)</f>
        <v>18983.870967741936</v>
      </c>
      <c r="K117" s="849"/>
      <c r="L117" s="787" t="s">
        <v>913</v>
      </c>
      <c r="N117" s="973" t="s">
        <v>487</v>
      </c>
      <c r="O117" s="691">
        <f>(J131/S117)/T117</f>
        <v>24.742268041237114</v>
      </c>
      <c r="P117" s="58" t="s">
        <v>45</v>
      </c>
      <c r="Q117" s="271"/>
      <c r="S117" s="974">
        <v>0.97</v>
      </c>
      <c r="T117" s="963">
        <v>1000</v>
      </c>
    </row>
    <row r="118" spans="8:20" ht="15" x14ac:dyDescent="0.25">
      <c r="H118" s="870"/>
      <c r="I118" s="807" t="s">
        <v>978</v>
      </c>
      <c r="J118" s="809">
        <f>All_Ingredients!AV59*107</f>
        <v>10593</v>
      </c>
      <c r="K118" s="849"/>
      <c r="L118" s="787" t="s">
        <v>913</v>
      </c>
    </row>
    <row r="119" spans="8:20" ht="15" x14ac:dyDescent="0.25">
      <c r="I119" s="849"/>
      <c r="J119" s="849"/>
      <c r="K119" s="849"/>
      <c r="L119" s="849"/>
    </row>
    <row r="120" spans="8:20" ht="15" x14ac:dyDescent="0.25">
      <c r="I120" s="1617" t="s">
        <v>552</v>
      </c>
      <c r="J120" s="1626"/>
      <c r="K120" s="755" t="s">
        <v>760</v>
      </c>
      <c r="L120" s="755" t="s">
        <v>910</v>
      </c>
    </row>
    <row r="121" spans="8:20" ht="15" x14ac:dyDescent="0.25">
      <c r="H121" t="s">
        <v>151</v>
      </c>
      <c r="I121" s="1352" t="s">
        <v>979</v>
      </c>
      <c r="J121" s="1353">
        <f>VLOOKUP(H121,A:E,4,FALSE)</f>
        <v>26578.249336870023</v>
      </c>
      <c r="K121" s="849"/>
      <c r="L121" s="808" t="s">
        <v>930</v>
      </c>
    </row>
    <row r="122" spans="8:20" ht="15" x14ac:dyDescent="0.25">
      <c r="H122" t="s">
        <v>165</v>
      </c>
      <c r="I122" s="1352" t="s">
        <v>980</v>
      </c>
      <c r="J122" s="1353">
        <f>VLOOKUP(H122,A:E,4,FALSE)</f>
        <v>11960</v>
      </c>
      <c r="K122" s="849"/>
      <c r="L122" s="808" t="s">
        <v>931</v>
      </c>
    </row>
    <row r="123" spans="8:20" ht="15" x14ac:dyDescent="0.25">
      <c r="I123" s="849"/>
      <c r="J123" s="849"/>
      <c r="K123" s="849"/>
      <c r="L123" s="849"/>
    </row>
    <row r="124" spans="8:20" ht="15" x14ac:dyDescent="0.25">
      <c r="I124" s="1617" t="s">
        <v>550</v>
      </c>
      <c r="J124" s="1626"/>
      <c r="K124" s="755" t="s">
        <v>760</v>
      </c>
      <c r="L124" s="755" t="s">
        <v>910</v>
      </c>
    </row>
    <row r="125" spans="8:20" ht="15" x14ac:dyDescent="0.25">
      <c r="H125" t="s">
        <v>167</v>
      </c>
      <c r="I125" s="807" t="s">
        <v>981</v>
      </c>
      <c r="J125" s="757">
        <f>VLOOKUP(H125,A:E,4,FALSE)</f>
        <v>32886.241154289848</v>
      </c>
      <c r="K125" s="849"/>
      <c r="L125" s="787" t="s">
        <v>912</v>
      </c>
    </row>
    <row r="126" spans="8:20" ht="15" x14ac:dyDescent="0.25">
      <c r="I126" s="849"/>
      <c r="J126" s="849"/>
      <c r="K126" s="849"/>
      <c r="L126" s="849"/>
    </row>
    <row r="127" spans="8:20" ht="15" x14ac:dyDescent="0.25">
      <c r="I127" s="1617" t="s">
        <v>225</v>
      </c>
      <c r="J127" s="1626"/>
      <c r="K127" s="755" t="s">
        <v>760</v>
      </c>
      <c r="L127" s="755" t="s">
        <v>910</v>
      </c>
    </row>
    <row r="128" spans="8:20" ht="15" x14ac:dyDescent="0.25">
      <c r="H128" t="s">
        <v>158</v>
      </c>
      <c r="I128" s="807" t="s">
        <v>982</v>
      </c>
      <c r="J128" s="757">
        <f>VLOOKUP(H128,A:E,4,FALSE)</f>
        <v>67166.666666666657</v>
      </c>
      <c r="K128" s="849"/>
      <c r="L128" s="787" t="s">
        <v>914</v>
      </c>
    </row>
    <row r="129" spans="8:12" ht="15" x14ac:dyDescent="0.25">
      <c r="I129" s="872"/>
      <c r="J129" s="873"/>
      <c r="K129" s="876"/>
      <c r="L129" s="876"/>
    </row>
    <row r="130" spans="8:12" ht="15" x14ac:dyDescent="0.25">
      <c r="I130" s="1621" t="s">
        <v>487</v>
      </c>
      <c r="J130" s="1622"/>
      <c r="K130" s="755" t="s">
        <v>760</v>
      </c>
      <c r="L130" s="755" t="s">
        <v>910</v>
      </c>
    </row>
    <row r="131" spans="8:12" ht="15" x14ac:dyDescent="0.25">
      <c r="H131" t="s">
        <v>846</v>
      </c>
      <c r="I131" s="756" t="s">
        <v>983</v>
      </c>
      <c r="J131" s="757">
        <f>VLOOKUP(H131,A:E,4,FALSE)</f>
        <v>24000</v>
      </c>
      <c r="K131" s="787"/>
      <c r="L131" s="808" t="s">
        <v>931</v>
      </c>
    </row>
    <row r="155" ht="15.75" customHeight="1" x14ac:dyDescent="0.2"/>
    <row r="168" spans="9:12" ht="26.25" x14ac:dyDescent="0.4">
      <c r="I168" s="1613"/>
      <c r="J168" s="1613"/>
      <c r="K168" s="1613"/>
      <c r="L168" s="1613"/>
    </row>
    <row r="169" spans="9:12" ht="15" x14ac:dyDescent="0.2">
      <c r="I169" s="1298"/>
      <c r="J169" s="1298"/>
      <c r="K169" s="241"/>
      <c r="L169" s="1299"/>
    </row>
    <row r="170" spans="9:12" ht="15" x14ac:dyDescent="0.2">
      <c r="I170" s="1301"/>
      <c r="J170" s="1301"/>
      <c r="K170" s="1259"/>
      <c r="L170" s="1299"/>
    </row>
    <row r="171" spans="9:12" ht="15" x14ac:dyDescent="0.2">
      <c r="I171" s="1259"/>
      <c r="J171" s="1259"/>
      <c r="K171" s="1259"/>
      <c r="L171" s="1259"/>
    </row>
    <row r="172" spans="9:12" ht="15" x14ac:dyDescent="0.2">
      <c r="I172" s="1301"/>
      <c r="J172" s="1301"/>
      <c r="K172" s="1259"/>
      <c r="L172" s="1299"/>
    </row>
    <row r="173" spans="9:12" ht="15" x14ac:dyDescent="0.2">
      <c r="I173" s="1301"/>
      <c r="J173" s="1301"/>
      <c r="K173" s="1259"/>
      <c r="L173" s="1299"/>
    </row>
    <row r="174" spans="9:12" ht="15" x14ac:dyDescent="0.2">
      <c r="I174" s="1301"/>
      <c r="J174" s="1298"/>
      <c r="K174" s="1259"/>
      <c r="L174" s="1299"/>
    </row>
    <row r="175" spans="9:12" ht="15" x14ac:dyDescent="0.2">
      <c r="I175" s="1301"/>
      <c r="J175" s="1301"/>
      <c r="K175" s="1259"/>
      <c r="L175" s="1299"/>
    </row>
    <row r="176" spans="9:12" ht="15" x14ac:dyDescent="0.2">
      <c r="I176" s="1301"/>
      <c r="J176" s="1301"/>
      <c r="K176" s="1259"/>
      <c r="L176" s="1299"/>
    </row>
    <row r="177" spans="9:12" ht="15" x14ac:dyDescent="0.25">
      <c r="I177" s="1"/>
      <c r="J177" s="1"/>
      <c r="K177" s="2"/>
      <c r="L177" s="1611"/>
    </row>
    <row r="178" spans="9:12" ht="15" x14ac:dyDescent="0.2">
      <c r="I178" s="1298"/>
      <c r="J178" s="1298"/>
      <c r="K178" s="241"/>
      <c r="L178" s="1299"/>
    </row>
    <row r="179" spans="9:12" ht="15" x14ac:dyDescent="0.2">
      <c r="I179" s="1301"/>
      <c r="J179" s="1301"/>
      <c r="K179" s="1259"/>
      <c r="L179" s="1299"/>
    </row>
    <row r="180" spans="9:12" ht="15" x14ac:dyDescent="0.2">
      <c r="I180" s="1301"/>
      <c r="J180" s="1301"/>
      <c r="K180" s="1259"/>
      <c r="L180" s="1299"/>
    </row>
    <row r="181" spans="9:12" ht="15" x14ac:dyDescent="0.2">
      <c r="I181" s="1301"/>
      <c r="J181" s="1301"/>
      <c r="K181" s="1259"/>
      <c r="L181" s="1299"/>
    </row>
    <row r="182" spans="9:12" ht="15" x14ac:dyDescent="0.2">
      <c r="I182" s="1301"/>
      <c r="J182" s="1301"/>
      <c r="K182" s="1259"/>
      <c r="L182" s="1299"/>
    </row>
    <row r="183" spans="9:12" ht="15" x14ac:dyDescent="0.2">
      <c r="I183" s="1301"/>
      <c r="J183" s="1301"/>
      <c r="K183" s="1259"/>
      <c r="L183" s="1299"/>
    </row>
    <row r="184" spans="9:12" ht="15" x14ac:dyDescent="0.2">
      <c r="I184" s="1301"/>
      <c r="J184" s="1301"/>
      <c r="K184" s="1259"/>
      <c r="L184" s="1299"/>
    </row>
    <row r="185" spans="9:12" ht="15" x14ac:dyDescent="0.2">
      <c r="I185" s="1301"/>
      <c r="J185" s="1301"/>
      <c r="K185" s="1259"/>
      <c r="L185" s="1299"/>
    </row>
    <row r="186" spans="9:12" ht="15" x14ac:dyDescent="0.2">
      <c r="I186" s="1301"/>
      <c r="J186" s="1301"/>
      <c r="K186" s="1259"/>
      <c r="L186" s="1299"/>
    </row>
    <row r="187" spans="9:12" ht="15" x14ac:dyDescent="0.2">
      <c r="I187" s="1301"/>
      <c r="J187" s="1301"/>
      <c r="K187" s="1259"/>
      <c r="L187" s="1299"/>
    </row>
    <row r="188" spans="9:12" ht="15" x14ac:dyDescent="0.2">
      <c r="I188" s="1301"/>
      <c r="J188" s="1301"/>
      <c r="K188" s="1259"/>
      <c r="L188" s="1299"/>
    </row>
    <row r="189" spans="9:12" ht="15" x14ac:dyDescent="0.2">
      <c r="I189" s="1301"/>
      <c r="J189" s="1301"/>
      <c r="K189" s="1259"/>
      <c r="L189" s="1299"/>
    </row>
    <row r="190" spans="9:12" ht="15" x14ac:dyDescent="0.2">
      <c r="I190" s="1301"/>
      <c r="J190" s="1301"/>
      <c r="K190" s="1259"/>
      <c r="L190" s="1299"/>
    </row>
    <row r="191" spans="9:12" ht="15" x14ac:dyDescent="0.2">
      <c r="I191" s="1298"/>
      <c r="J191" s="1298"/>
      <c r="K191" s="241"/>
      <c r="L191" s="1611"/>
    </row>
    <row r="192" spans="9:12" ht="15" x14ac:dyDescent="0.2">
      <c r="I192" s="1298"/>
      <c r="J192" s="1298"/>
      <c r="K192" s="241"/>
      <c r="L192" s="1611"/>
    </row>
    <row r="193" spans="9:12" ht="15" x14ac:dyDescent="0.2">
      <c r="I193" s="1301"/>
      <c r="J193" s="1301"/>
      <c r="K193" s="1259"/>
      <c r="L193" s="1299"/>
    </row>
    <row r="194" spans="9:12" x14ac:dyDescent="0.2">
      <c r="I194" s="325"/>
      <c r="J194" s="325"/>
      <c r="K194" s="325"/>
      <c r="L194" s="325"/>
    </row>
    <row r="195" spans="9:12" ht="15" x14ac:dyDescent="0.2">
      <c r="I195" s="1301"/>
      <c r="J195" s="1298"/>
      <c r="K195" s="1259"/>
      <c r="L195" s="1299"/>
    </row>
    <row r="196" spans="9:12" ht="15" x14ac:dyDescent="0.2">
      <c r="I196" s="1612"/>
      <c r="J196" s="1298"/>
      <c r="K196" s="1259"/>
      <c r="L196" s="1299"/>
    </row>
    <row r="197" spans="9:12" x14ac:dyDescent="0.2">
      <c r="I197" s="325"/>
      <c r="J197" s="325"/>
      <c r="K197" s="325"/>
      <c r="L197" s="325"/>
    </row>
    <row r="198" spans="9:12" ht="15" x14ac:dyDescent="0.2">
      <c r="I198" s="1301"/>
      <c r="J198" s="1298"/>
      <c r="K198" s="1259"/>
      <c r="L198" s="1299"/>
    </row>
  </sheetData>
  <mergeCells count="24">
    <mergeCell ref="I130:J130"/>
    <mergeCell ref="I107:J107"/>
    <mergeCell ref="I112:J112"/>
    <mergeCell ref="I120:J120"/>
    <mergeCell ref="I124:J124"/>
    <mergeCell ref="I127:J127"/>
    <mergeCell ref="I91:J91"/>
    <mergeCell ref="I35:J35"/>
    <mergeCell ref="I38:J38"/>
    <mergeCell ref="I43:J43"/>
    <mergeCell ref="I52:J52"/>
    <mergeCell ref="I58:J58"/>
    <mergeCell ref="I64:J64"/>
    <mergeCell ref="I83:J83"/>
    <mergeCell ref="A1:E1"/>
    <mergeCell ref="I61:J61"/>
    <mergeCell ref="I69:J69"/>
    <mergeCell ref="I80:J80"/>
    <mergeCell ref="I2:J2"/>
    <mergeCell ref="I10:J10"/>
    <mergeCell ref="I15:J15"/>
    <mergeCell ref="I23:J23"/>
    <mergeCell ref="I30:J30"/>
    <mergeCell ref="I18:J18"/>
  </mergeCells>
  <printOptions horizontalCentered="1"/>
  <pageMargins left="0.7" right="0.7" top="0.75" bottom="0.75" header="0.3" footer="0.3"/>
  <pageSetup fitToHeight="0" orientation="landscape" r:id="rId1"/>
  <headerFooter>
    <oddHeader>&amp;L&amp;BButchery&amp;R&amp;D</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W302"/>
  <sheetViews>
    <sheetView topLeftCell="O1" zoomScale="55" zoomScaleNormal="55" workbookViewId="0">
      <pane ySplit="1" topLeftCell="A2" activePane="bottomLeft" state="frozen"/>
      <selection activeCell="X1" sqref="X1"/>
      <selection pane="bottomLeft" activeCell="AS34" sqref="AS34"/>
    </sheetView>
  </sheetViews>
  <sheetFormatPr defaultColWidth="8.875" defaultRowHeight="15" x14ac:dyDescent="0.25"/>
  <cols>
    <col min="1" max="1" width="40.375" style="1" customWidth="1"/>
    <col min="2" max="2" width="11.5" style="1" customWidth="1"/>
    <col min="3" max="3" width="11.5" style="2" customWidth="1"/>
    <col min="4" max="4" width="14" style="3" customWidth="1"/>
    <col min="5" max="5" width="12.875" style="3" customWidth="1"/>
    <col min="6" max="6" width="12.125" style="1150" customWidth="1"/>
    <col min="7" max="7" width="21.5" style="963" customWidth="1"/>
    <col min="8" max="8" width="16.375" style="4" customWidth="1"/>
    <col min="9" max="9" width="13.125" style="4" customWidth="1"/>
    <col min="10" max="10" width="20.75" style="5" customWidth="1"/>
    <col min="11" max="11" width="17.375" style="5" bestFit="1" customWidth="1"/>
    <col min="12" max="12" width="13.625" style="4" customWidth="1"/>
    <col min="13" max="13" width="10.75" style="4" customWidth="1"/>
    <col min="14" max="14" width="12.75" style="4" customWidth="1"/>
    <col min="15" max="16" width="12.125" style="4" customWidth="1"/>
    <col min="17" max="17" width="19.5" customWidth="1"/>
    <col min="19" max="21" width="3.875" customWidth="1"/>
    <col min="22" max="22" width="13.875" customWidth="1"/>
    <col min="23" max="34" width="2.375" customWidth="1"/>
    <col min="36" max="36" width="8.375" customWidth="1"/>
    <col min="37" max="37" width="25.375" customWidth="1"/>
    <col min="38" max="38" width="14.25" customWidth="1"/>
    <col min="39" max="39" width="9.125" customWidth="1"/>
    <col min="40" max="40" width="8.875" customWidth="1"/>
    <col min="41" max="41" width="6.625" customWidth="1"/>
    <col min="42" max="42" width="2.875" customWidth="1"/>
    <col min="43" max="43" width="25.5" customWidth="1"/>
    <col min="46" max="46" width="2.875" customWidth="1"/>
    <col min="47" max="47" width="30.625" customWidth="1"/>
  </cols>
  <sheetData>
    <row r="1" spans="1:49" ht="40.5" customHeight="1" x14ac:dyDescent="0.2">
      <c r="A1" s="6" t="s">
        <v>0</v>
      </c>
      <c r="B1" s="6" t="s">
        <v>1</v>
      </c>
      <c r="C1" s="6" t="s">
        <v>2</v>
      </c>
      <c r="D1" s="6" t="s">
        <v>3</v>
      </c>
      <c r="E1" s="7" t="s">
        <v>5</v>
      </c>
      <c r="F1" s="6" t="s">
        <v>6</v>
      </c>
      <c r="G1" s="910" t="s">
        <v>709</v>
      </c>
      <c r="H1" s="911" t="s">
        <v>710</v>
      </c>
      <c r="I1" s="910" t="s">
        <v>711</v>
      </c>
      <c r="J1" s="910" t="s">
        <v>712</v>
      </c>
      <c r="K1" s="6" t="s">
        <v>8</v>
      </c>
      <c r="L1" s="6" t="s">
        <v>9</v>
      </c>
      <c r="M1" s="6" t="s">
        <v>7</v>
      </c>
      <c r="N1" s="6" t="s">
        <v>10</v>
      </c>
      <c r="O1" s="6" t="s">
        <v>11</v>
      </c>
      <c r="Q1" s="8" t="s">
        <v>4</v>
      </c>
      <c r="R1" s="8">
        <v>4</v>
      </c>
      <c r="AJ1" s="758" t="s">
        <v>555</v>
      </c>
      <c r="AK1" s="758" t="s">
        <v>228</v>
      </c>
      <c r="AL1" s="758" t="s">
        <v>554</v>
      </c>
      <c r="AM1" s="758" t="s">
        <v>455</v>
      </c>
      <c r="AN1" s="758" t="s">
        <v>546</v>
      </c>
      <c r="AQ1" s="779" t="s">
        <v>643</v>
      </c>
      <c r="AR1" s="779" t="s">
        <v>538</v>
      </c>
      <c r="AS1" s="779" t="s">
        <v>642</v>
      </c>
      <c r="AU1" s="779" t="s">
        <v>643</v>
      </c>
      <c r="AV1" s="779" t="s">
        <v>538</v>
      </c>
      <c r="AW1" s="779" t="s">
        <v>642</v>
      </c>
    </row>
    <row r="2" spans="1:49" ht="14.25" customHeight="1" x14ac:dyDescent="0.25">
      <c r="AK2" s="759" t="s">
        <v>508</v>
      </c>
      <c r="AL2" s="759"/>
      <c r="AM2" s="759"/>
      <c r="AN2" s="759"/>
      <c r="AQ2" s="760" t="s">
        <v>935</v>
      </c>
      <c r="AR2" s="760">
        <v>97</v>
      </c>
      <c r="AS2" s="760">
        <v>97</v>
      </c>
      <c r="AU2" s="763" t="s">
        <v>717</v>
      </c>
      <c r="AV2" s="763">
        <v>65</v>
      </c>
      <c r="AW2" s="763">
        <v>65</v>
      </c>
    </row>
    <row r="3" spans="1:49" ht="14.25" customHeight="1" x14ac:dyDescent="0.25">
      <c r="A3" s="952" t="s">
        <v>152</v>
      </c>
      <c r="B3" s="952" t="s">
        <v>153</v>
      </c>
      <c r="C3" s="953" t="s">
        <v>14</v>
      </c>
      <c r="D3" s="954">
        <v>3219.0956610619282</v>
      </c>
      <c r="E3" s="955">
        <v>18324.898850902664</v>
      </c>
      <c r="F3" s="1151">
        <v>1</v>
      </c>
      <c r="G3" s="964">
        <v>25000</v>
      </c>
      <c r="H3" s="955" t="s">
        <v>154</v>
      </c>
      <c r="I3" s="956">
        <v>750</v>
      </c>
      <c r="J3" s="955">
        <f t="shared" ref="J3:J13" si="0">I3/(G3/1000)</f>
        <v>30</v>
      </c>
      <c r="K3" s="955">
        <f t="shared" ref="K3:K13" si="1">(E3/F3)/G3</f>
        <v>0.73299595403610651</v>
      </c>
      <c r="L3" s="955">
        <f>(D3/F3)/G3</f>
        <v>0.12876382644247714</v>
      </c>
      <c r="M3" s="955" t="s">
        <v>45</v>
      </c>
      <c r="N3" s="955">
        <f t="shared" ref="N3:N13" si="2">K3*I3</f>
        <v>549.74696552707985</v>
      </c>
      <c r="O3" s="955">
        <f t="shared" ref="O3:O13" si="3">L3*I3</f>
        <v>96.572869831857858</v>
      </c>
      <c r="AJ3" s="760">
        <v>1</v>
      </c>
      <c r="AK3" s="760" t="s">
        <v>16</v>
      </c>
      <c r="AL3" s="760">
        <f>AS4</f>
        <v>25950</v>
      </c>
      <c r="AM3" s="760">
        <v>0</v>
      </c>
      <c r="AN3" s="760">
        <f>AR4</f>
        <v>182</v>
      </c>
      <c r="AQ3" s="760" t="s">
        <v>641</v>
      </c>
      <c r="AR3" s="760">
        <v>63</v>
      </c>
      <c r="AS3" s="760">
        <v>63</v>
      </c>
      <c r="AU3" s="763" t="s">
        <v>595</v>
      </c>
      <c r="AV3" s="763">
        <v>58</v>
      </c>
      <c r="AW3" s="763">
        <v>58</v>
      </c>
    </row>
    <row r="4" spans="1:49" ht="14.25" customHeight="1" x14ac:dyDescent="0.25">
      <c r="A4" s="952" t="s">
        <v>174</v>
      </c>
      <c r="B4" s="952" t="s">
        <v>153</v>
      </c>
      <c r="C4" s="953" t="s">
        <v>160</v>
      </c>
      <c r="D4" s="954">
        <v>9237.7999999999993</v>
      </c>
      <c r="E4" s="955">
        <v>14373.734506596162</v>
      </c>
      <c r="F4" s="1151">
        <v>1</v>
      </c>
      <c r="G4" s="964">
        <v>9600</v>
      </c>
      <c r="H4" s="955" t="s">
        <v>175</v>
      </c>
      <c r="I4" s="956">
        <v>95</v>
      </c>
      <c r="J4" s="955">
        <f t="shared" si="0"/>
        <v>9.8958333333333339</v>
      </c>
      <c r="K4" s="955">
        <f t="shared" si="1"/>
        <v>1.4972640111037669</v>
      </c>
      <c r="L4" s="955">
        <f t="shared" ref="L4:L13" si="4">(D4/F4)/G4</f>
        <v>0.9622708333333333</v>
      </c>
      <c r="M4" s="955" t="s">
        <v>26</v>
      </c>
      <c r="N4" s="955">
        <f t="shared" si="2"/>
        <v>142.24008105485785</v>
      </c>
      <c r="O4" s="955">
        <f t="shared" si="3"/>
        <v>91.415729166666665</v>
      </c>
      <c r="AJ4" s="760">
        <v>1</v>
      </c>
      <c r="AK4" s="760" t="s">
        <v>18</v>
      </c>
      <c r="AL4" s="760">
        <f>AS7</f>
        <v>22810</v>
      </c>
      <c r="AM4" s="760">
        <v>500</v>
      </c>
      <c r="AN4" s="760">
        <f>AR7</f>
        <v>150</v>
      </c>
      <c r="AQ4" s="760" t="s">
        <v>557</v>
      </c>
      <c r="AR4" s="760">
        <v>182</v>
      </c>
      <c r="AS4" s="760">
        <v>25950</v>
      </c>
      <c r="AU4" s="763" t="s">
        <v>596</v>
      </c>
      <c r="AV4" s="763">
        <v>169</v>
      </c>
      <c r="AW4" s="763">
        <v>24610</v>
      </c>
    </row>
    <row r="5" spans="1:49" ht="14.25" customHeight="1" x14ac:dyDescent="0.25">
      <c r="A5" s="952" t="s">
        <v>166</v>
      </c>
      <c r="B5" s="952" t="s">
        <v>153</v>
      </c>
      <c r="C5" s="953" t="s">
        <v>160</v>
      </c>
      <c r="D5" s="954">
        <v>7531.9004524886905</v>
      </c>
      <c r="E5" s="955">
        <v>130854.22810306717</v>
      </c>
      <c r="F5" s="1151">
        <v>1</v>
      </c>
      <c r="G5" s="964">
        <v>12000</v>
      </c>
      <c r="H5" s="955" t="s">
        <v>161</v>
      </c>
      <c r="I5" s="956">
        <v>152</v>
      </c>
      <c r="J5" s="956">
        <f t="shared" si="0"/>
        <v>12.666666666666666</v>
      </c>
      <c r="K5" s="955">
        <f>(E5/F5)/G5</f>
        <v>10.904519008588931</v>
      </c>
      <c r="L5" s="955">
        <f t="shared" si="4"/>
        <v>0.62765837104072419</v>
      </c>
      <c r="M5" s="955" t="s">
        <v>26</v>
      </c>
      <c r="N5" s="955">
        <f t="shared" si="2"/>
        <v>1657.4868893055175</v>
      </c>
      <c r="O5" s="955">
        <f t="shared" si="3"/>
        <v>95.404072398190081</v>
      </c>
      <c r="AJ5" s="760">
        <v>1</v>
      </c>
      <c r="AK5" s="760" t="s">
        <v>22</v>
      </c>
      <c r="AL5" s="760">
        <f>AS12</f>
        <v>23310</v>
      </c>
      <c r="AM5" s="760">
        <v>1000</v>
      </c>
      <c r="AN5" s="760">
        <f>AR12</f>
        <v>155</v>
      </c>
      <c r="AQ5" s="760" t="s">
        <v>558</v>
      </c>
      <c r="AR5" s="760">
        <v>156</v>
      </c>
      <c r="AS5" s="760">
        <v>22050</v>
      </c>
      <c r="AU5" s="763" t="s">
        <v>559</v>
      </c>
      <c r="AV5" s="763">
        <v>30</v>
      </c>
      <c r="AW5" s="763">
        <v>4500</v>
      </c>
    </row>
    <row r="6" spans="1:49" ht="14.25" customHeight="1" x14ac:dyDescent="0.25">
      <c r="A6" s="952" t="s">
        <v>156</v>
      </c>
      <c r="B6" s="952" t="s">
        <v>153</v>
      </c>
      <c r="C6" s="953" t="s">
        <v>14</v>
      </c>
      <c r="D6" s="954">
        <v>0</v>
      </c>
      <c r="E6" s="955">
        <v>592.05567010309267</v>
      </c>
      <c r="F6" s="1151">
        <v>1</v>
      </c>
      <c r="G6" s="964">
        <v>1600</v>
      </c>
      <c r="H6" s="955" t="s">
        <v>714</v>
      </c>
      <c r="I6" s="956">
        <v>73.91</v>
      </c>
      <c r="J6" s="955">
        <f t="shared" si="0"/>
        <v>46.193749999999994</v>
      </c>
      <c r="K6" s="955">
        <f>(E6/F6)/G6</f>
        <v>0.37003479381443294</v>
      </c>
      <c r="L6" s="955">
        <f t="shared" si="4"/>
        <v>0</v>
      </c>
      <c r="M6" s="955" t="s">
        <v>26</v>
      </c>
      <c r="N6" s="955">
        <f t="shared" si="2"/>
        <v>27.349271610824736</v>
      </c>
      <c r="O6" s="955">
        <f t="shared" si="3"/>
        <v>0</v>
      </c>
      <c r="AJ6" s="760">
        <v>1</v>
      </c>
      <c r="AK6" s="760" t="s">
        <v>20</v>
      </c>
      <c r="AL6" s="760">
        <f>AS9</f>
        <v>16410</v>
      </c>
      <c r="AM6" s="760">
        <v>0</v>
      </c>
      <c r="AN6" s="760">
        <f>AR9</f>
        <v>112</v>
      </c>
      <c r="AQ6" s="760" t="s">
        <v>559</v>
      </c>
      <c r="AR6" s="760">
        <v>26</v>
      </c>
      <c r="AS6" s="760">
        <v>3900</v>
      </c>
      <c r="AU6" s="763" t="s">
        <v>597</v>
      </c>
      <c r="AV6" s="763">
        <v>139</v>
      </c>
      <c r="AW6" s="763">
        <v>20110</v>
      </c>
    </row>
    <row r="7" spans="1:49" ht="14.25" customHeight="1" x14ac:dyDescent="0.25">
      <c r="A7" s="952" t="s">
        <v>168</v>
      </c>
      <c r="B7" s="952" t="s">
        <v>153</v>
      </c>
      <c r="C7" s="953" t="s">
        <v>14</v>
      </c>
      <c r="D7" s="954">
        <v>0</v>
      </c>
      <c r="E7" s="955">
        <v>1975.5244755244778</v>
      </c>
      <c r="F7" s="1151">
        <v>1</v>
      </c>
      <c r="G7" s="964">
        <v>11000</v>
      </c>
      <c r="H7" s="955" t="s">
        <v>169</v>
      </c>
      <c r="I7" s="956">
        <v>149</v>
      </c>
      <c r="J7" s="955">
        <f t="shared" si="0"/>
        <v>13.545454545454545</v>
      </c>
      <c r="K7" s="955">
        <f t="shared" si="1"/>
        <v>0.17959313413858888</v>
      </c>
      <c r="L7" s="955">
        <f t="shared" si="4"/>
        <v>0</v>
      </c>
      <c r="M7" s="955" t="s">
        <v>26</v>
      </c>
      <c r="N7" s="955">
        <f t="shared" si="2"/>
        <v>26.759376986649741</v>
      </c>
      <c r="O7" s="955">
        <f t="shared" si="3"/>
        <v>0</v>
      </c>
      <c r="AJ7" s="760">
        <v>1</v>
      </c>
      <c r="AK7" s="760" t="s">
        <v>24</v>
      </c>
      <c r="AL7" s="760">
        <f>AS15</f>
        <v>22860</v>
      </c>
      <c r="AM7" s="760">
        <v>1000</v>
      </c>
      <c r="AN7" s="760">
        <f>AR15</f>
        <v>169</v>
      </c>
      <c r="AQ7" s="760" t="s">
        <v>560</v>
      </c>
      <c r="AR7" s="760">
        <v>150</v>
      </c>
      <c r="AS7" s="760">
        <v>22810</v>
      </c>
      <c r="AU7" s="763" t="s">
        <v>598</v>
      </c>
      <c r="AV7" s="763">
        <v>81</v>
      </c>
      <c r="AW7" s="763">
        <v>11700</v>
      </c>
    </row>
    <row r="8" spans="1:49" ht="14.25" customHeight="1" x14ac:dyDescent="0.25">
      <c r="A8" s="952" t="s">
        <v>159</v>
      </c>
      <c r="B8" s="952" t="s">
        <v>153</v>
      </c>
      <c r="C8" s="953" t="s">
        <v>160</v>
      </c>
      <c r="D8" s="954">
        <v>0</v>
      </c>
      <c r="E8" s="955">
        <v>56545.200778702048</v>
      </c>
      <c r="F8" s="1151">
        <v>1</v>
      </c>
      <c r="G8" s="964">
        <v>12000</v>
      </c>
      <c r="H8" s="955" t="s">
        <v>161</v>
      </c>
      <c r="I8" s="956">
        <v>50.44</v>
      </c>
      <c r="J8" s="955">
        <f t="shared" si="0"/>
        <v>4.2033333333333331</v>
      </c>
      <c r="K8" s="955">
        <f t="shared" si="1"/>
        <v>4.7121000648918372</v>
      </c>
      <c r="L8" s="955">
        <f t="shared" si="4"/>
        <v>0</v>
      </c>
      <c r="M8" s="955" t="s">
        <v>26</v>
      </c>
      <c r="N8" s="955">
        <f t="shared" si="2"/>
        <v>237.67832727314425</v>
      </c>
      <c r="O8" s="955">
        <f t="shared" si="3"/>
        <v>0</v>
      </c>
      <c r="AJ8" s="760">
        <v>1</v>
      </c>
      <c r="AK8" s="760" t="s">
        <v>27</v>
      </c>
      <c r="AL8" s="760">
        <f>AS17</f>
        <v>25790</v>
      </c>
      <c r="AM8" s="760">
        <v>500</v>
      </c>
      <c r="AN8" s="760">
        <f>AR17</f>
        <v>189</v>
      </c>
      <c r="AQ8" s="760" t="s">
        <v>561</v>
      </c>
      <c r="AR8" s="760">
        <v>150</v>
      </c>
      <c r="AS8" s="760">
        <v>22810</v>
      </c>
      <c r="AU8" s="763" t="s">
        <v>570</v>
      </c>
      <c r="AV8" s="763">
        <v>58</v>
      </c>
      <c r="AW8" s="763">
        <v>8250</v>
      </c>
    </row>
    <row r="9" spans="1:49" ht="14.25" customHeight="1" x14ac:dyDescent="0.25">
      <c r="A9" s="952" t="s">
        <v>172</v>
      </c>
      <c r="B9" s="952" t="s">
        <v>153</v>
      </c>
      <c r="C9" s="953" t="s">
        <v>14</v>
      </c>
      <c r="D9" s="954">
        <v>236.53846153846155</v>
      </c>
      <c r="E9" s="955">
        <v>24051.855217818866</v>
      </c>
      <c r="F9" s="1151">
        <v>1</v>
      </c>
      <c r="G9" s="964">
        <v>9200</v>
      </c>
      <c r="H9" s="955" t="s">
        <v>173</v>
      </c>
      <c r="I9" s="956">
        <v>165</v>
      </c>
      <c r="J9" s="955">
        <f t="shared" si="0"/>
        <v>17.934782608695652</v>
      </c>
      <c r="K9" s="955">
        <f t="shared" si="1"/>
        <v>2.614332088893355</v>
      </c>
      <c r="L9" s="955">
        <f t="shared" si="4"/>
        <v>2.5710702341137124E-2</v>
      </c>
      <c r="M9" s="955" t="s">
        <v>26</v>
      </c>
      <c r="N9" s="955">
        <f t="shared" si="2"/>
        <v>431.3647946674036</v>
      </c>
      <c r="O9" s="955">
        <f t="shared" si="3"/>
        <v>4.2422658862876252</v>
      </c>
      <c r="AJ9" s="760">
        <v>1</v>
      </c>
      <c r="AK9" s="760" t="s">
        <v>29</v>
      </c>
      <c r="AL9" s="760">
        <f>AS19</f>
        <v>17530</v>
      </c>
      <c r="AM9" s="760">
        <v>1000</v>
      </c>
      <c r="AN9" s="760">
        <f>AR19</f>
        <v>119</v>
      </c>
      <c r="AQ9" s="760" t="s">
        <v>562</v>
      </c>
      <c r="AR9" s="760">
        <v>112</v>
      </c>
      <c r="AS9" s="760">
        <v>16410</v>
      </c>
      <c r="AU9" s="763" t="s">
        <v>559</v>
      </c>
      <c r="AV9" s="763">
        <v>23</v>
      </c>
      <c r="AW9" s="763">
        <v>3450</v>
      </c>
    </row>
    <row r="10" spans="1:49" ht="14.25" customHeight="1" x14ac:dyDescent="0.25">
      <c r="A10" s="952" t="s">
        <v>726</v>
      </c>
      <c r="B10" s="952" t="s">
        <v>153</v>
      </c>
      <c r="C10" s="953" t="s">
        <v>14</v>
      </c>
      <c r="D10" s="954">
        <v>0</v>
      </c>
      <c r="E10" s="955">
        <v>2112.1494772079777</v>
      </c>
      <c r="F10" s="1151">
        <v>1</v>
      </c>
      <c r="G10" s="964">
        <v>2724</v>
      </c>
      <c r="H10" s="955" t="s">
        <v>715</v>
      </c>
      <c r="I10" s="956">
        <v>185</v>
      </c>
      <c r="J10" s="955">
        <f t="shared" si="0"/>
        <v>67.91483113069016</v>
      </c>
      <c r="K10" s="955">
        <f t="shared" si="1"/>
        <v>0.77538527063435303</v>
      </c>
      <c r="L10" s="955">
        <f t="shared" si="4"/>
        <v>0</v>
      </c>
      <c r="M10" s="955" t="s">
        <v>26</v>
      </c>
      <c r="N10" s="955">
        <f t="shared" si="2"/>
        <v>143.44627506735532</v>
      </c>
      <c r="O10" s="955">
        <f t="shared" si="3"/>
        <v>0</v>
      </c>
      <c r="AJ10" s="760">
        <v>1</v>
      </c>
      <c r="AK10" s="760" t="s">
        <v>33</v>
      </c>
      <c r="AL10" s="760">
        <f>AS23+AS3</f>
        <v>118</v>
      </c>
      <c r="AM10" s="760">
        <v>5</v>
      </c>
      <c r="AN10" s="760">
        <f>AR23+AR3</f>
        <v>118</v>
      </c>
      <c r="AQ10" s="760" t="s">
        <v>563</v>
      </c>
      <c r="AR10" s="760">
        <v>25</v>
      </c>
      <c r="AS10" s="760">
        <v>3750</v>
      </c>
      <c r="AU10" s="763" t="s">
        <v>599</v>
      </c>
      <c r="AV10" s="763">
        <v>123</v>
      </c>
      <c r="AW10" s="763">
        <v>17500</v>
      </c>
    </row>
    <row r="11" spans="1:49" ht="14.25" customHeight="1" x14ac:dyDescent="0.25">
      <c r="A11" s="952" t="s">
        <v>989</v>
      </c>
      <c r="B11" s="952" t="s">
        <v>153</v>
      </c>
      <c r="C11" s="953" t="s">
        <v>14</v>
      </c>
      <c r="D11" s="954">
        <v>3680</v>
      </c>
      <c r="E11" s="1452">
        <v>3680</v>
      </c>
      <c r="F11" s="1151">
        <v>1</v>
      </c>
      <c r="G11" s="964">
        <v>7200</v>
      </c>
      <c r="H11" s="955" t="s">
        <v>856</v>
      </c>
      <c r="I11" s="956">
        <v>155</v>
      </c>
      <c r="J11" s="955">
        <v>21.527777777777779</v>
      </c>
      <c r="K11" s="955">
        <v>1.5209722222222222</v>
      </c>
      <c r="L11" s="955">
        <v>1.03</v>
      </c>
      <c r="M11" s="955" t="s">
        <v>26</v>
      </c>
      <c r="N11" s="955">
        <v>235.75069444444443</v>
      </c>
      <c r="O11" s="955">
        <v>159.65</v>
      </c>
      <c r="AJ11" s="760">
        <v>1</v>
      </c>
      <c r="AK11" s="760" t="s">
        <v>539</v>
      </c>
      <c r="AL11" s="760">
        <f>AS38</f>
        <v>18870</v>
      </c>
      <c r="AM11" s="760">
        <v>5</v>
      </c>
      <c r="AN11" s="760">
        <f>AR38</f>
        <v>127</v>
      </c>
      <c r="AQ11" s="760" t="s">
        <v>564</v>
      </c>
      <c r="AR11" s="760">
        <v>87</v>
      </c>
      <c r="AS11" s="760">
        <v>12660</v>
      </c>
      <c r="AU11" s="763" t="s">
        <v>561</v>
      </c>
      <c r="AV11" s="763">
        <v>123</v>
      </c>
      <c r="AW11" s="763">
        <v>17500</v>
      </c>
    </row>
    <row r="12" spans="1:49" ht="14.25" customHeight="1" x14ac:dyDescent="0.25">
      <c r="A12" s="1249" t="s">
        <v>836</v>
      </c>
      <c r="B12" s="952" t="s">
        <v>153</v>
      </c>
      <c r="C12" s="953" t="s">
        <v>230</v>
      </c>
      <c r="D12" s="954">
        <v>0</v>
      </c>
      <c r="E12" s="955">
        <v>1017.2731554160127</v>
      </c>
      <c r="F12" s="1151">
        <v>1</v>
      </c>
      <c r="G12" s="964">
        <f>(12*10)</f>
        <v>120</v>
      </c>
      <c r="H12" s="955" t="s">
        <v>811</v>
      </c>
      <c r="I12" s="956">
        <v>70</v>
      </c>
      <c r="J12" s="955">
        <f>I12/(G12)</f>
        <v>0.58333333333333337</v>
      </c>
      <c r="K12" s="955">
        <f t="shared" si="1"/>
        <v>8.4772762951334393</v>
      </c>
      <c r="L12" s="955">
        <f t="shared" si="4"/>
        <v>0</v>
      </c>
      <c r="M12" s="955" t="s">
        <v>26</v>
      </c>
      <c r="N12" s="955">
        <f t="shared" si="2"/>
        <v>593.40934065934073</v>
      </c>
      <c r="O12" s="955">
        <f t="shared" si="3"/>
        <v>0</v>
      </c>
      <c r="AJ12" s="760">
        <v>1</v>
      </c>
      <c r="AK12" s="760" t="s">
        <v>866</v>
      </c>
      <c r="AL12" s="760">
        <f>AS24</f>
        <v>179</v>
      </c>
      <c r="AM12" s="760">
        <v>5</v>
      </c>
      <c r="AN12" s="760">
        <f>AR24</f>
        <v>179</v>
      </c>
      <c r="AQ12" s="760" t="s">
        <v>565</v>
      </c>
      <c r="AR12" s="760">
        <v>155</v>
      </c>
      <c r="AS12" s="760">
        <v>23310</v>
      </c>
      <c r="AU12" s="763" t="s">
        <v>600</v>
      </c>
      <c r="AV12" s="763">
        <v>92</v>
      </c>
      <c r="AW12" s="763">
        <v>13770</v>
      </c>
    </row>
    <row r="13" spans="1:49" ht="14.25" customHeight="1" x14ac:dyDescent="0.25">
      <c r="A13" s="952" t="s">
        <v>163</v>
      </c>
      <c r="B13" s="952" t="s">
        <v>153</v>
      </c>
      <c r="C13" s="953" t="s">
        <v>14</v>
      </c>
      <c r="D13" s="954">
        <v>3917.4208144796403</v>
      </c>
      <c r="E13" s="955">
        <v>22549.495055714597</v>
      </c>
      <c r="F13" s="1151">
        <v>1</v>
      </c>
      <c r="G13" s="964">
        <v>10000</v>
      </c>
      <c r="H13" s="955" t="s">
        <v>164</v>
      </c>
      <c r="I13" s="956">
        <v>66.959999999999994</v>
      </c>
      <c r="J13" s="955">
        <f t="shared" si="0"/>
        <v>6.6959999999999997</v>
      </c>
      <c r="K13" s="955">
        <f t="shared" si="1"/>
        <v>2.2549495055714597</v>
      </c>
      <c r="L13" s="955">
        <f t="shared" si="4"/>
        <v>0.39174208144796402</v>
      </c>
      <c r="M13" s="955" t="s">
        <v>164</v>
      </c>
      <c r="N13" s="955">
        <f t="shared" si="2"/>
        <v>150.99141889306492</v>
      </c>
      <c r="O13" s="955">
        <f t="shared" si="3"/>
        <v>26.231049773755668</v>
      </c>
      <c r="AJ13" s="760">
        <v>1</v>
      </c>
      <c r="AK13" s="760" t="s">
        <v>31</v>
      </c>
      <c r="AL13" s="760">
        <f>AS21</f>
        <v>13270</v>
      </c>
      <c r="AM13" s="760">
        <v>5</v>
      </c>
      <c r="AN13" s="760">
        <f>AR21</f>
        <v>90</v>
      </c>
      <c r="AQ13" s="760" t="s">
        <v>559</v>
      </c>
      <c r="AR13" s="760">
        <v>27</v>
      </c>
      <c r="AS13" s="760">
        <v>4050</v>
      </c>
      <c r="AU13" s="763" t="s">
        <v>559</v>
      </c>
      <c r="AV13" s="763">
        <v>17</v>
      </c>
      <c r="AW13" s="763">
        <v>2550</v>
      </c>
    </row>
    <row r="14" spans="1:49" x14ac:dyDescent="0.25">
      <c r="AJ14" s="760">
        <v>1</v>
      </c>
      <c r="AK14" s="760" t="s">
        <v>688</v>
      </c>
      <c r="AL14" s="760">
        <f>AR23+AR3</f>
        <v>118</v>
      </c>
      <c r="AM14" s="760">
        <v>0</v>
      </c>
      <c r="AN14" s="760">
        <f>AS23+AS3</f>
        <v>118</v>
      </c>
      <c r="AQ14" s="760" t="s">
        <v>566</v>
      </c>
      <c r="AR14" s="760">
        <v>128</v>
      </c>
      <c r="AS14" s="760">
        <v>19260</v>
      </c>
      <c r="AU14" s="763" t="s">
        <v>568</v>
      </c>
      <c r="AV14" s="763">
        <v>75</v>
      </c>
      <c r="AW14" s="763">
        <v>11220</v>
      </c>
    </row>
    <row r="15" spans="1:49" ht="14.25" customHeight="1" x14ac:dyDescent="0.25">
      <c r="A15" s="931" t="s">
        <v>209</v>
      </c>
      <c r="B15" s="931" t="s">
        <v>190</v>
      </c>
      <c r="C15" s="932" t="s">
        <v>160</v>
      </c>
      <c r="D15" s="933">
        <v>76.981666666666655</v>
      </c>
      <c r="E15" s="934">
        <v>76.981666666666655</v>
      </c>
      <c r="F15" s="935">
        <v>1</v>
      </c>
      <c r="G15" s="971">
        <f>12*500</f>
        <v>6000</v>
      </c>
      <c r="H15" s="932" t="s">
        <v>210</v>
      </c>
      <c r="I15" s="932">
        <v>170.44</v>
      </c>
      <c r="J15" s="936">
        <f>I15/6</f>
        <v>28.406666666666666</v>
      </c>
      <c r="K15" s="937">
        <f t="shared" ref="K15:K25" si="5">(E15/F15)/G15</f>
        <v>1.2830277777777776E-2</v>
      </c>
      <c r="L15" s="937">
        <f t="shared" ref="L15:L25" si="6">(D15/F15)/G15</f>
        <v>1.2830277777777776E-2</v>
      </c>
      <c r="M15" s="937" t="s">
        <v>26</v>
      </c>
      <c r="N15" s="937">
        <f t="shared" ref="N15:N25" si="7">K15*I15</f>
        <v>2.1867925444444438</v>
      </c>
      <c r="O15" s="937">
        <f t="shared" ref="O15:O25" si="8">L15*I15</f>
        <v>2.1867925444444438</v>
      </c>
      <c r="AJ15" s="760">
        <v>1</v>
      </c>
      <c r="AK15" s="760" t="s">
        <v>35</v>
      </c>
      <c r="AL15" s="760">
        <f>AS20</f>
        <v>17530</v>
      </c>
      <c r="AM15" s="760">
        <v>0</v>
      </c>
      <c r="AN15" s="760">
        <f>AR20</f>
        <v>119</v>
      </c>
      <c r="AQ15" s="760" t="s">
        <v>567</v>
      </c>
      <c r="AR15" s="760">
        <v>169</v>
      </c>
      <c r="AS15" s="760">
        <v>22860</v>
      </c>
      <c r="AU15" s="763" t="s">
        <v>601</v>
      </c>
      <c r="AV15" s="763">
        <v>211</v>
      </c>
      <c r="AW15" s="763">
        <v>30010</v>
      </c>
    </row>
    <row r="16" spans="1:49" ht="14.25" customHeight="1" x14ac:dyDescent="0.25">
      <c r="A16" s="924" t="s">
        <v>189</v>
      </c>
      <c r="B16" s="924" t="s">
        <v>190</v>
      </c>
      <c r="C16" s="925" t="s">
        <v>160</v>
      </c>
      <c r="D16" s="926">
        <v>0</v>
      </c>
      <c r="E16" s="927">
        <v>3260.9576138147604</v>
      </c>
      <c r="F16" s="928">
        <v>1</v>
      </c>
      <c r="G16" s="972">
        <f>3790*4</f>
        <v>15160</v>
      </c>
      <c r="H16" s="929" t="s">
        <v>191</v>
      </c>
      <c r="I16" s="930">
        <v>265</v>
      </c>
      <c r="J16" s="930">
        <f>I16/(G16/1000)</f>
        <v>17.480211081794195</v>
      </c>
      <c r="K16" s="929">
        <f t="shared" si="5"/>
        <v>0.21510274497458842</v>
      </c>
      <c r="L16" s="929">
        <f t="shared" si="6"/>
        <v>0</v>
      </c>
      <c r="M16" s="929" t="s">
        <v>26</v>
      </c>
      <c r="N16" s="929">
        <f t="shared" si="7"/>
        <v>57.002227418265932</v>
      </c>
      <c r="O16" s="929">
        <f t="shared" si="8"/>
        <v>0</v>
      </c>
      <c r="AJ16" s="760">
        <v>1</v>
      </c>
      <c r="AK16" s="760" t="s">
        <v>520</v>
      </c>
      <c r="AL16" s="760">
        <f>AS5</f>
        <v>22050</v>
      </c>
      <c r="AM16" s="760">
        <v>0</v>
      </c>
      <c r="AN16" s="760">
        <f>AR5</f>
        <v>156</v>
      </c>
      <c r="AQ16" s="760" t="s">
        <v>568</v>
      </c>
      <c r="AR16" s="760">
        <v>169</v>
      </c>
      <c r="AS16" s="760">
        <v>22860</v>
      </c>
      <c r="AU16" s="763" t="s">
        <v>602</v>
      </c>
      <c r="AV16" s="763">
        <v>211</v>
      </c>
      <c r="AW16" s="763">
        <v>30010</v>
      </c>
    </row>
    <row r="17" spans="1:49" ht="14.25" customHeight="1" x14ac:dyDescent="0.25">
      <c r="A17" s="924" t="s">
        <v>200</v>
      </c>
      <c r="B17" s="924" t="s">
        <v>190</v>
      </c>
      <c r="C17" s="925" t="s">
        <v>14</v>
      </c>
      <c r="D17" s="926">
        <v>0</v>
      </c>
      <c r="E17" s="927">
        <v>1165.2688109095225</v>
      </c>
      <c r="F17" s="928">
        <v>1</v>
      </c>
      <c r="G17" s="972">
        <f>750*6</f>
        <v>4500</v>
      </c>
      <c r="H17" s="929" t="s">
        <v>201</v>
      </c>
      <c r="I17" s="930">
        <v>285</v>
      </c>
      <c r="J17" s="930">
        <f t="shared" ref="J17:J25" si="9">I17/(G17/1000)</f>
        <v>63.333333333333336</v>
      </c>
      <c r="K17" s="929">
        <f t="shared" si="5"/>
        <v>0.25894862464656054</v>
      </c>
      <c r="L17" s="929">
        <f t="shared" si="6"/>
        <v>0</v>
      </c>
      <c r="M17" s="929" t="s">
        <v>26</v>
      </c>
      <c r="N17" s="929">
        <f t="shared" si="7"/>
        <v>73.800358024269755</v>
      </c>
      <c r="O17" s="929">
        <f t="shared" si="8"/>
        <v>0</v>
      </c>
      <c r="AJ17" s="760">
        <v>1</v>
      </c>
      <c r="AK17" s="760" t="s">
        <v>38</v>
      </c>
      <c r="AL17" s="760">
        <f>AS6+AS10+AS13</f>
        <v>11700</v>
      </c>
      <c r="AM17" s="760">
        <v>0</v>
      </c>
      <c r="AN17" s="760">
        <f>AR6+AR10+AR13</f>
        <v>78</v>
      </c>
      <c r="AQ17" s="760" t="s">
        <v>569</v>
      </c>
      <c r="AR17" s="760">
        <v>189</v>
      </c>
      <c r="AS17" s="760">
        <v>25790</v>
      </c>
      <c r="AU17" s="763" t="s">
        <v>603</v>
      </c>
      <c r="AV17" s="763">
        <v>86</v>
      </c>
      <c r="AW17" s="763">
        <v>12940</v>
      </c>
    </row>
    <row r="18" spans="1:49" ht="14.25" customHeight="1" x14ac:dyDescent="0.25">
      <c r="A18" s="931" t="s">
        <v>212</v>
      </c>
      <c r="B18" s="931" t="s">
        <v>190</v>
      </c>
      <c r="C18" s="932" t="s">
        <v>160</v>
      </c>
      <c r="D18" s="933">
        <v>635.0669230769231</v>
      </c>
      <c r="E18" s="934">
        <v>6767.9858977113117</v>
      </c>
      <c r="F18" s="935">
        <v>1</v>
      </c>
      <c r="G18" s="971">
        <v>12000</v>
      </c>
      <c r="H18" s="932" t="s">
        <v>732</v>
      </c>
      <c r="I18" s="932">
        <v>60</v>
      </c>
      <c r="J18" s="936">
        <f t="shared" si="9"/>
        <v>5</v>
      </c>
      <c r="K18" s="937">
        <f t="shared" si="5"/>
        <v>0.56399882480927599</v>
      </c>
      <c r="L18" s="937">
        <f t="shared" si="6"/>
        <v>5.2922243589743595E-2</v>
      </c>
      <c r="M18" s="937" t="s">
        <v>26</v>
      </c>
      <c r="N18" s="937">
        <f t="shared" si="7"/>
        <v>33.839929488556557</v>
      </c>
      <c r="O18" s="937">
        <f t="shared" si="8"/>
        <v>3.1753346153846156</v>
      </c>
      <c r="AJ18" s="760">
        <v>1</v>
      </c>
      <c r="AK18" s="760" t="s">
        <v>39</v>
      </c>
      <c r="AL18" s="760">
        <f>AS11</f>
        <v>12660</v>
      </c>
      <c r="AM18" s="760">
        <v>0</v>
      </c>
      <c r="AN18" s="760">
        <f>AR11</f>
        <v>87</v>
      </c>
      <c r="AQ18" s="760" t="s">
        <v>570</v>
      </c>
      <c r="AR18" s="760">
        <v>189</v>
      </c>
      <c r="AS18" s="760">
        <v>25790</v>
      </c>
      <c r="AU18" s="763" t="s">
        <v>570</v>
      </c>
      <c r="AV18" s="763">
        <v>86</v>
      </c>
      <c r="AW18" s="763">
        <v>12940</v>
      </c>
    </row>
    <row r="19" spans="1:49" ht="14.25" customHeight="1" x14ac:dyDescent="0.25">
      <c r="A19" s="924" t="s">
        <v>193</v>
      </c>
      <c r="B19" s="924" t="s">
        <v>190</v>
      </c>
      <c r="C19" s="925" t="s">
        <v>160</v>
      </c>
      <c r="D19" s="926">
        <v>498.70723981900483</v>
      </c>
      <c r="E19" s="927">
        <v>2387.2850819242681</v>
      </c>
      <c r="F19" s="928">
        <v>1</v>
      </c>
      <c r="G19" s="972">
        <f>259*12</f>
        <v>3108</v>
      </c>
      <c r="H19" s="929" t="s">
        <v>740</v>
      </c>
      <c r="I19" s="930">
        <v>115</v>
      </c>
      <c r="J19" s="930">
        <f t="shared" si="9"/>
        <v>37.001287001286997</v>
      </c>
      <c r="K19" s="929">
        <f t="shared" si="5"/>
        <v>0.76810974321887648</v>
      </c>
      <c r="L19" s="929">
        <f t="shared" si="6"/>
        <v>0.16045921487097967</v>
      </c>
      <c r="M19" s="929" t="s">
        <v>26</v>
      </c>
      <c r="N19" s="929">
        <f t="shared" si="7"/>
        <v>88.332620470170795</v>
      </c>
      <c r="O19" s="929">
        <f t="shared" si="8"/>
        <v>18.452809710162661</v>
      </c>
      <c r="AJ19" s="761">
        <v>2</v>
      </c>
      <c r="AK19" s="761" t="s">
        <v>43</v>
      </c>
      <c r="AL19" s="761">
        <f>AS26</f>
        <v>33390</v>
      </c>
      <c r="AM19" s="761">
        <v>0</v>
      </c>
      <c r="AN19" s="761">
        <f>AR26</f>
        <v>230</v>
      </c>
      <c r="AQ19" s="760" t="s">
        <v>571</v>
      </c>
      <c r="AR19" s="760">
        <v>119</v>
      </c>
      <c r="AS19" s="760">
        <v>17530</v>
      </c>
      <c r="AU19" s="763" t="s">
        <v>822</v>
      </c>
      <c r="AV19" s="763">
        <v>229</v>
      </c>
      <c r="AW19" s="763">
        <v>32030</v>
      </c>
    </row>
    <row r="20" spans="1:49" ht="14.25" customHeight="1" x14ac:dyDescent="0.25">
      <c r="A20" s="924" t="s">
        <v>202</v>
      </c>
      <c r="B20" s="924" t="s">
        <v>190</v>
      </c>
      <c r="C20" s="925" t="s">
        <v>14</v>
      </c>
      <c r="D20" s="926">
        <v>0</v>
      </c>
      <c r="E20" s="927">
        <v>745.95151972490874</v>
      </c>
      <c r="F20" s="928">
        <v>1</v>
      </c>
      <c r="G20" s="972">
        <f>3780*4</f>
        <v>15120</v>
      </c>
      <c r="H20" s="929" t="s">
        <v>741</v>
      </c>
      <c r="I20" s="930">
        <v>170</v>
      </c>
      <c r="J20" s="930">
        <f t="shared" si="9"/>
        <v>11.243386243386244</v>
      </c>
      <c r="K20" s="929">
        <f t="shared" si="5"/>
        <v>4.9335417971224121E-2</v>
      </c>
      <c r="L20" s="929">
        <f t="shared" si="6"/>
        <v>0</v>
      </c>
      <c r="M20" s="929" t="s">
        <v>26</v>
      </c>
      <c r="N20" s="929">
        <f t="shared" si="7"/>
        <v>8.3870210551081001</v>
      </c>
      <c r="O20" s="929">
        <f t="shared" si="8"/>
        <v>0</v>
      </c>
      <c r="AJ20" s="761">
        <v>2</v>
      </c>
      <c r="AK20" s="761" t="s">
        <v>44</v>
      </c>
      <c r="AL20" s="761">
        <f>AS27</f>
        <v>30540</v>
      </c>
      <c r="AM20" s="761">
        <v>500</v>
      </c>
      <c r="AN20" s="761">
        <f>AR27</f>
        <v>211</v>
      </c>
      <c r="AQ20" s="760" t="s">
        <v>572</v>
      </c>
      <c r="AR20" s="760">
        <v>119</v>
      </c>
      <c r="AS20" s="760">
        <v>17530</v>
      </c>
      <c r="AU20" s="763" t="s">
        <v>604</v>
      </c>
      <c r="AV20" s="763">
        <v>229</v>
      </c>
      <c r="AW20" s="763">
        <v>32030</v>
      </c>
    </row>
    <row r="21" spans="1:49" ht="14.25" customHeight="1" x14ac:dyDescent="0.25">
      <c r="A21" s="924" t="s">
        <v>196</v>
      </c>
      <c r="B21" s="924" t="s">
        <v>190</v>
      </c>
      <c r="C21" s="925" t="s">
        <v>160</v>
      </c>
      <c r="D21" s="926">
        <v>719.5153846153853</v>
      </c>
      <c r="E21" s="927">
        <v>1659.6475068284326</v>
      </c>
      <c r="F21" s="928">
        <v>1</v>
      </c>
      <c r="G21" s="972">
        <f>600*12</f>
        <v>7200</v>
      </c>
      <c r="H21" s="929" t="s">
        <v>197</v>
      </c>
      <c r="I21" s="930">
        <v>107</v>
      </c>
      <c r="J21" s="930">
        <f t="shared" si="9"/>
        <v>14.861111111111111</v>
      </c>
      <c r="K21" s="929">
        <f t="shared" si="5"/>
        <v>0.23050659817061564</v>
      </c>
      <c r="L21" s="929">
        <f t="shared" si="6"/>
        <v>9.9932692307692403E-2</v>
      </c>
      <c r="M21" s="929" t="s">
        <v>26</v>
      </c>
      <c r="N21" s="929">
        <f t="shared" si="7"/>
        <v>24.664206004255874</v>
      </c>
      <c r="O21" s="929">
        <f t="shared" si="8"/>
        <v>10.692798076923086</v>
      </c>
      <c r="AJ21" s="761">
        <v>2</v>
      </c>
      <c r="AK21" s="761" t="s">
        <v>820</v>
      </c>
      <c r="AL21" s="761">
        <f>AS32</f>
        <v>27430</v>
      </c>
      <c r="AM21" s="761">
        <v>500</v>
      </c>
      <c r="AN21" s="761">
        <f>AR32</f>
        <v>181</v>
      </c>
      <c r="AQ21" s="760" t="s">
        <v>573</v>
      </c>
      <c r="AR21" s="760">
        <v>90</v>
      </c>
      <c r="AS21" s="760">
        <v>13270</v>
      </c>
      <c r="AU21" s="763" t="s">
        <v>605</v>
      </c>
      <c r="AV21" s="763">
        <v>130</v>
      </c>
      <c r="AW21" s="763">
        <v>19150</v>
      </c>
    </row>
    <row r="22" spans="1:49" ht="14.25" customHeight="1" x14ac:dyDescent="0.25">
      <c r="A22" s="924" t="s">
        <v>192</v>
      </c>
      <c r="B22" s="924" t="s">
        <v>190</v>
      </c>
      <c r="C22" s="925" t="s">
        <v>160</v>
      </c>
      <c r="D22" s="926">
        <v>591.29242081448001</v>
      </c>
      <c r="E22" s="927">
        <v>3499.6931771100853</v>
      </c>
      <c r="F22" s="928">
        <v>1</v>
      </c>
      <c r="G22" s="972">
        <f>355*6</f>
        <v>2130</v>
      </c>
      <c r="H22" s="929" t="s">
        <v>739</v>
      </c>
      <c r="I22" s="930">
        <v>125</v>
      </c>
      <c r="J22" s="930">
        <f t="shared" si="9"/>
        <v>58.685446009389672</v>
      </c>
      <c r="K22" s="929">
        <f t="shared" si="5"/>
        <v>1.6430484399577865</v>
      </c>
      <c r="L22" s="929">
        <f t="shared" si="6"/>
        <v>0.27760207549975585</v>
      </c>
      <c r="M22" s="929" t="s">
        <v>26</v>
      </c>
      <c r="N22" s="929">
        <f t="shared" si="7"/>
        <v>205.38105499472331</v>
      </c>
      <c r="O22" s="929">
        <f t="shared" si="8"/>
        <v>34.700259437469484</v>
      </c>
      <c r="AJ22" s="761">
        <v>2</v>
      </c>
      <c r="AK22" s="761" t="s">
        <v>46</v>
      </c>
      <c r="AL22" s="761">
        <f>AS39</f>
        <v>18580</v>
      </c>
      <c r="AM22" s="761">
        <v>0</v>
      </c>
      <c r="AN22" s="761">
        <f>AR39</f>
        <v>128</v>
      </c>
      <c r="AQ22" s="760" t="s">
        <v>561</v>
      </c>
      <c r="AR22" s="760">
        <v>90</v>
      </c>
      <c r="AS22" s="760">
        <v>13270</v>
      </c>
      <c r="AU22" s="763" t="s">
        <v>606</v>
      </c>
      <c r="AV22" s="763">
        <v>130</v>
      </c>
      <c r="AW22" s="763">
        <v>19150</v>
      </c>
    </row>
    <row r="23" spans="1:49" ht="14.25" customHeight="1" x14ac:dyDescent="0.25">
      <c r="A23" s="924" t="s">
        <v>194</v>
      </c>
      <c r="B23" s="924" t="s">
        <v>190</v>
      </c>
      <c r="C23" s="925" t="s">
        <v>160</v>
      </c>
      <c r="D23" s="926">
        <v>470.84294871794901</v>
      </c>
      <c r="E23" s="927">
        <v>935.07905398110688</v>
      </c>
      <c r="F23" s="928">
        <v>1</v>
      </c>
      <c r="G23" s="972">
        <f>625*12</f>
        <v>7500</v>
      </c>
      <c r="H23" s="929" t="s">
        <v>195</v>
      </c>
      <c r="I23" s="930">
        <v>170</v>
      </c>
      <c r="J23" s="930">
        <f t="shared" si="9"/>
        <v>22.666666666666668</v>
      </c>
      <c r="K23" s="929">
        <f t="shared" si="5"/>
        <v>0.12467720719748092</v>
      </c>
      <c r="L23" s="929">
        <f t="shared" si="6"/>
        <v>6.2779059829059874E-2</v>
      </c>
      <c r="M23" s="929" t="s">
        <v>26</v>
      </c>
      <c r="N23" s="929">
        <f t="shared" si="7"/>
        <v>21.195125223571758</v>
      </c>
      <c r="O23" s="929">
        <f t="shared" si="8"/>
        <v>10.672440170940179</v>
      </c>
      <c r="AJ23" s="761">
        <v>2</v>
      </c>
      <c r="AK23" s="761" t="s">
        <v>48</v>
      </c>
      <c r="AL23" s="761">
        <f>AS29</f>
        <v>36820</v>
      </c>
      <c r="AM23" s="761">
        <v>500</v>
      </c>
      <c r="AN23" s="761">
        <f>AR29</f>
        <v>266</v>
      </c>
      <c r="AQ23" s="760" t="s">
        <v>574</v>
      </c>
      <c r="AR23" s="760">
        <v>55</v>
      </c>
      <c r="AS23" s="760">
        <v>55</v>
      </c>
      <c r="AU23" s="763" t="s">
        <v>607</v>
      </c>
      <c r="AV23" s="763">
        <v>131</v>
      </c>
      <c r="AW23" s="763">
        <v>17580</v>
      </c>
    </row>
    <row r="24" spans="1:49" ht="14.25" customHeight="1" x14ac:dyDescent="0.25">
      <c r="A24" s="924" t="s">
        <v>198</v>
      </c>
      <c r="B24" s="924" t="s">
        <v>190</v>
      </c>
      <c r="C24" s="925" t="s">
        <v>160</v>
      </c>
      <c r="D24" s="926">
        <v>5990.4374057315254</v>
      </c>
      <c r="E24" s="927">
        <v>20909.006319707343</v>
      </c>
      <c r="F24" s="928">
        <v>1</v>
      </c>
      <c r="G24" s="972">
        <f>4*5000</f>
        <v>20000</v>
      </c>
      <c r="H24" s="929" t="s">
        <v>199</v>
      </c>
      <c r="I24" s="930">
        <v>65</v>
      </c>
      <c r="J24" s="930">
        <f t="shared" si="9"/>
        <v>3.25</v>
      </c>
      <c r="K24" s="929">
        <f t="shared" si="5"/>
        <v>1.0454503159853672</v>
      </c>
      <c r="L24" s="929">
        <f t="shared" si="6"/>
        <v>0.29952187028657629</v>
      </c>
      <c r="M24" s="929" t="s">
        <v>26</v>
      </c>
      <c r="N24" s="929">
        <f t="shared" si="7"/>
        <v>67.954270539048863</v>
      </c>
      <c r="O24" s="929">
        <f t="shared" si="8"/>
        <v>19.468921568627458</v>
      </c>
      <c r="AJ24" s="761">
        <v>2</v>
      </c>
      <c r="AK24" s="761" t="s">
        <v>51</v>
      </c>
      <c r="AL24" s="761">
        <f>AS35</f>
        <v>9620</v>
      </c>
      <c r="AM24" s="761">
        <v>0</v>
      </c>
      <c r="AN24" s="761">
        <f>AR35</f>
        <v>66</v>
      </c>
      <c r="AQ24" s="760" t="s">
        <v>867</v>
      </c>
      <c r="AR24" s="760">
        <v>179</v>
      </c>
      <c r="AS24" s="760">
        <v>179</v>
      </c>
      <c r="AU24" s="763" t="s">
        <v>561</v>
      </c>
      <c r="AV24" s="763">
        <v>131</v>
      </c>
      <c r="AW24" s="763">
        <v>17580</v>
      </c>
    </row>
    <row r="25" spans="1:49" ht="14.25" customHeight="1" x14ac:dyDescent="0.25">
      <c r="A25" s="924" t="s">
        <v>698</v>
      </c>
      <c r="B25" s="924" t="s">
        <v>190</v>
      </c>
      <c r="C25" s="925" t="s">
        <v>14</v>
      </c>
      <c r="D25" s="926">
        <v>6436.0622673231392</v>
      </c>
      <c r="E25" s="927">
        <v>52921.772677445944</v>
      </c>
      <c r="F25" s="928">
        <v>1</v>
      </c>
      <c r="G25" s="972">
        <f>24*400</f>
        <v>9600</v>
      </c>
      <c r="H25" s="929" t="s">
        <v>157</v>
      </c>
      <c r="I25" s="930">
        <v>78.260000000000005</v>
      </c>
      <c r="J25" s="930">
        <f t="shared" si="9"/>
        <v>8.1520833333333336</v>
      </c>
      <c r="K25" s="929">
        <f t="shared" si="5"/>
        <v>5.5126846539006191</v>
      </c>
      <c r="L25" s="929">
        <f t="shared" si="6"/>
        <v>0.67042315284616028</v>
      </c>
      <c r="M25" s="929" t="s">
        <v>26</v>
      </c>
      <c r="N25" s="929">
        <f t="shared" si="7"/>
        <v>431.42270101426249</v>
      </c>
      <c r="O25" s="929">
        <f t="shared" si="8"/>
        <v>52.467315941740509</v>
      </c>
      <c r="AJ25" s="761">
        <v>2</v>
      </c>
      <c r="AK25" s="761" t="s">
        <v>53</v>
      </c>
      <c r="AL25" s="761">
        <f>AS37</f>
        <v>18870</v>
      </c>
      <c r="AM25" s="761">
        <v>500</v>
      </c>
      <c r="AN25" s="761">
        <f>AR37</f>
        <v>127</v>
      </c>
      <c r="AU25" s="763" t="s">
        <v>608</v>
      </c>
      <c r="AV25" s="763">
        <v>45</v>
      </c>
      <c r="AW25" s="763">
        <v>45</v>
      </c>
    </row>
    <row r="26" spans="1:49" ht="14.25" customHeight="1" x14ac:dyDescent="0.25">
      <c r="A26" s="931" t="s">
        <v>208</v>
      </c>
      <c r="B26" s="931" t="s">
        <v>190</v>
      </c>
      <c r="C26" s="932" t="s">
        <v>160</v>
      </c>
      <c r="D26" s="933">
        <v>256.73303167420823</v>
      </c>
      <c r="E26" s="934">
        <v>573.27605881580951</v>
      </c>
      <c r="F26" s="935">
        <v>1</v>
      </c>
      <c r="G26" s="971">
        <f>3700*4.5</f>
        <v>16650</v>
      </c>
      <c r="H26" s="932" t="s">
        <v>733</v>
      </c>
      <c r="I26" s="932">
        <v>36</v>
      </c>
      <c r="J26" s="936">
        <f t="shared" ref="J26" si="10">I26/(G26/1000)</f>
        <v>2.1621621621621623</v>
      </c>
      <c r="K26" s="937">
        <f t="shared" ref="K26:K27" si="11">(E26/F26)/G26</f>
        <v>3.4430994523472043E-2</v>
      </c>
      <c r="L26" s="937">
        <f t="shared" ref="L26:L27" si="12">(D26/F26)/G26</f>
        <v>1.5419401301754248E-2</v>
      </c>
      <c r="M26" s="937" t="s">
        <v>26</v>
      </c>
      <c r="N26" s="937">
        <f t="shared" ref="N26:N27" si="13">K26*I26</f>
        <v>1.2395158028449935</v>
      </c>
      <c r="O26" s="937">
        <f t="shared" ref="O26:O27" si="14">L26*I26</f>
        <v>0.55509844686315291</v>
      </c>
      <c r="AI26" s="14"/>
      <c r="AJ26" s="761">
        <v>2</v>
      </c>
      <c r="AK26" s="762" t="s">
        <v>873</v>
      </c>
      <c r="AL26" s="761">
        <f>AS44</f>
        <v>14620</v>
      </c>
      <c r="AM26" s="761">
        <v>1000</v>
      </c>
      <c r="AN26" s="761">
        <f>AR44</f>
        <v>99</v>
      </c>
      <c r="AQ26" s="761" t="s">
        <v>575</v>
      </c>
      <c r="AR26" s="761">
        <v>230</v>
      </c>
      <c r="AS26" s="761">
        <v>33390</v>
      </c>
      <c r="AU26" s="763" t="s">
        <v>883</v>
      </c>
      <c r="AV26" s="763">
        <v>157</v>
      </c>
      <c r="AW26" s="763">
        <v>23190</v>
      </c>
    </row>
    <row r="27" spans="1:49" ht="14.25" customHeight="1" x14ac:dyDescent="0.25">
      <c r="A27" s="1370" t="s">
        <v>946</v>
      </c>
      <c r="B27" s="924" t="s">
        <v>190</v>
      </c>
      <c r="C27" s="925" t="s">
        <v>160</v>
      </c>
      <c r="D27" s="926">
        <v>0</v>
      </c>
      <c r="E27" s="927">
        <v>470.06606110652359</v>
      </c>
      <c r="F27" s="928">
        <v>1</v>
      </c>
      <c r="G27" s="1447">
        <v>3540</v>
      </c>
      <c r="H27" s="1448" t="s">
        <v>948</v>
      </c>
      <c r="I27" s="1449">
        <v>118</v>
      </c>
      <c r="J27" s="1449">
        <f>I27/(G27/1000)</f>
        <v>33.333333333333336</v>
      </c>
      <c r="K27" s="929">
        <f t="shared" si="11"/>
        <v>0.13278702291144734</v>
      </c>
      <c r="L27" s="929">
        <f t="shared" si="12"/>
        <v>0</v>
      </c>
      <c r="M27" s="929" t="s">
        <v>26</v>
      </c>
      <c r="N27" s="929">
        <f t="shared" si="13"/>
        <v>15.668868703550785</v>
      </c>
      <c r="O27" s="929">
        <f t="shared" si="14"/>
        <v>0</v>
      </c>
      <c r="AI27" s="14"/>
      <c r="AJ27" s="761">
        <v>2</v>
      </c>
      <c r="AK27" s="762" t="s">
        <v>874</v>
      </c>
      <c r="AL27" s="761">
        <f>AS47</f>
        <v>153</v>
      </c>
      <c r="AM27" s="761">
        <v>5</v>
      </c>
      <c r="AN27" s="761">
        <f>AS47</f>
        <v>153</v>
      </c>
      <c r="AQ27" s="761" t="s">
        <v>558</v>
      </c>
      <c r="AR27" s="761">
        <v>211</v>
      </c>
      <c r="AS27" s="761">
        <v>30540</v>
      </c>
      <c r="AU27" s="763" t="s">
        <v>884</v>
      </c>
      <c r="AV27" s="763">
        <v>152</v>
      </c>
      <c r="AW27" s="763">
        <v>152</v>
      </c>
    </row>
    <row r="28" spans="1:49" ht="14.25" customHeight="1" x14ac:dyDescent="0.25">
      <c r="AJ28" s="761">
        <v>2</v>
      </c>
      <c r="AK28" s="762" t="s">
        <v>875</v>
      </c>
      <c r="AL28" s="761">
        <f>AR48</f>
        <v>135</v>
      </c>
      <c r="AM28" s="761">
        <v>5</v>
      </c>
      <c r="AN28" s="761">
        <f>AS48</f>
        <v>135</v>
      </c>
      <c r="AQ28" s="761" t="s">
        <v>559</v>
      </c>
      <c r="AR28" s="761">
        <v>19</v>
      </c>
      <c r="AS28" s="761">
        <v>2850</v>
      </c>
    </row>
    <row r="29" spans="1:49" ht="14.25" customHeight="1" x14ac:dyDescent="0.25">
      <c r="A29" s="938" t="s">
        <v>207</v>
      </c>
      <c r="B29" s="938" t="s">
        <v>204</v>
      </c>
      <c r="C29" s="939" t="s">
        <v>160</v>
      </c>
      <c r="D29" s="940">
        <v>12334.7004048583</v>
      </c>
      <c r="E29" s="941">
        <v>15430.61877220524</v>
      </c>
      <c r="F29" s="942">
        <v>1</v>
      </c>
      <c r="G29" s="943">
        <v>1000</v>
      </c>
      <c r="H29" s="943" t="s">
        <v>205</v>
      </c>
      <c r="I29" s="944">
        <v>0</v>
      </c>
      <c r="J29" s="968">
        <f t="shared" ref="J29:J30" si="15">I29/(G29/1000)</f>
        <v>0</v>
      </c>
      <c r="K29" s="943">
        <f>(E29/F29)/G29</f>
        <v>15.430618772205239</v>
      </c>
      <c r="L29" s="943">
        <f>(D29/F29)/G29</f>
        <v>12.3347004048583</v>
      </c>
      <c r="M29" s="943" t="s">
        <v>205</v>
      </c>
      <c r="N29" s="943">
        <f>K29*I29</f>
        <v>0</v>
      </c>
      <c r="O29" s="943">
        <f>L29*I29</f>
        <v>0</v>
      </c>
      <c r="AJ29" s="761">
        <v>2</v>
      </c>
      <c r="AK29" s="762" t="s">
        <v>56</v>
      </c>
      <c r="AL29" s="761">
        <f>AS42</f>
        <v>32700</v>
      </c>
      <c r="AM29" s="761">
        <v>500</v>
      </c>
      <c r="AN29" s="761">
        <f>AR42</f>
        <v>232</v>
      </c>
      <c r="AQ29" s="761" t="s">
        <v>576</v>
      </c>
      <c r="AR29" s="761">
        <v>266</v>
      </c>
      <c r="AS29" s="761">
        <v>36820</v>
      </c>
      <c r="AU29" s="764" t="s">
        <v>717</v>
      </c>
      <c r="AV29" s="764">
        <v>135</v>
      </c>
      <c r="AW29" s="764">
        <v>135</v>
      </c>
    </row>
    <row r="30" spans="1:49" ht="14.25" customHeight="1" x14ac:dyDescent="0.25">
      <c r="A30" s="938" t="s">
        <v>532</v>
      </c>
      <c r="B30" s="938" t="s">
        <v>204</v>
      </c>
      <c r="C30" s="939" t="s">
        <v>160</v>
      </c>
      <c r="D30" s="940">
        <v>0</v>
      </c>
      <c r="E30" s="941">
        <v>8957.3950515463894</v>
      </c>
      <c r="F30" s="942">
        <v>1</v>
      </c>
      <c r="G30" s="943">
        <v>1000</v>
      </c>
      <c r="H30" s="943" t="s">
        <v>205</v>
      </c>
      <c r="I30" s="944">
        <v>0</v>
      </c>
      <c r="J30" s="968">
        <f t="shared" si="15"/>
        <v>0</v>
      </c>
      <c r="K30" s="943">
        <f>(E30/F30)/G30</f>
        <v>8.9573950515463885</v>
      </c>
      <c r="L30" s="943">
        <f>(D30/F30)/G30</f>
        <v>0</v>
      </c>
      <c r="M30" s="943" t="s">
        <v>205</v>
      </c>
      <c r="N30" s="943">
        <f>K30*I30</f>
        <v>0</v>
      </c>
      <c r="O30" s="943">
        <f>L30*I30</f>
        <v>0</v>
      </c>
      <c r="AJ30" s="761">
        <v>2</v>
      </c>
      <c r="AK30" s="761" t="s">
        <v>57</v>
      </c>
      <c r="AL30" s="761">
        <f>AS28+AS30+AS33+AS41+AS45</f>
        <v>12150</v>
      </c>
      <c r="AM30" s="761">
        <v>0</v>
      </c>
      <c r="AN30" s="761">
        <f>AR28+AR30+AR33+AR41+AR45</f>
        <v>81</v>
      </c>
      <c r="AQ30" s="761" t="s">
        <v>563</v>
      </c>
      <c r="AR30" s="761">
        <v>18</v>
      </c>
      <c r="AS30" s="761">
        <v>2700</v>
      </c>
      <c r="AU30" s="764" t="s">
        <v>609</v>
      </c>
      <c r="AV30" s="764">
        <v>56</v>
      </c>
      <c r="AW30" s="764">
        <v>56</v>
      </c>
    </row>
    <row r="31" spans="1:49" ht="13.5" customHeight="1" x14ac:dyDescent="0.25">
      <c r="A31" s="938" t="s">
        <v>211</v>
      </c>
      <c r="B31" s="938" t="s">
        <v>204</v>
      </c>
      <c r="C31" s="939" t="s">
        <v>160</v>
      </c>
      <c r="D31" s="940">
        <v>36.75</v>
      </c>
      <c r="E31" s="941">
        <v>371.16820700667625</v>
      </c>
      <c r="F31" s="942">
        <v>1</v>
      </c>
      <c r="G31" s="970">
        <v>10000</v>
      </c>
      <c r="H31" s="939" t="s">
        <v>749</v>
      </c>
      <c r="I31" s="939">
        <v>155</v>
      </c>
      <c r="J31" s="968">
        <f>I31/(G31/1000)</f>
        <v>15.5</v>
      </c>
      <c r="K31" s="943">
        <f t="shared" ref="K31:K33" si="16">(E31/F31)/G31</f>
        <v>3.7116820700667623E-2</v>
      </c>
      <c r="L31" s="943">
        <f t="shared" ref="L31:L33" si="17">(D31/F31)/G31</f>
        <v>3.6749999999999999E-3</v>
      </c>
      <c r="M31" s="943" t="s">
        <v>205</v>
      </c>
      <c r="N31" s="943">
        <f t="shared" ref="N31:N33" si="18">K31*I31</f>
        <v>5.7531072086034811</v>
      </c>
      <c r="O31" s="943">
        <f t="shared" ref="O31:O33" si="19">L31*I31</f>
        <v>0.56962499999999994</v>
      </c>
      <c r="AJ31" s="759">
        <v>3</v>
      </c>
      <c r="AK31" s="759" t="s">
        <v>58</v>
      </c>
      <c r="AL31" s="759">
        <f>AS52</f>
        <v>23660</v>
      </c>
      <c r="AM31" s="759">
        <v>1000</v>
      </c>
      <c r="AN31" s="759">
        <f>AR52</f>
        <v>157</v>
      </c>
      <c r="AQ31" s="761" t="s">
        <v>577</v>
      </c>
      <c r="AR31" s="761">
        <v>248</v>
      </c>
      <c r="AS31" s="761">
        <v>34120</v>
      </c>
      <c r="AU31" s="764" t="s">
        <v>610</v>
      </c>
      <c r="AV31" s="764">
        <v>92</v>
      </c>
      <c r="AW31" s="764">
        <v>13610</v>
      </c>
    </row>
    <row r="32" spans="1:49" ht="14.25" customHeight="1" x14ac:dyDescent="0.25">
      <c r="A32" s="938" t="s">
        <v>206</v>
      </c>
      <c r="B32" s="938" t="s">
        <v>204</v>
      </c>
      <c r="C32" s="939" t="s">
        <v>160</v>
      </c>
      <c r="D32" s="940">
        <v>0</v>
      </c>
      <c r="E32" s="941">
        <v>501.375</v>
      </c>
      <c r="F32" s="942">
        <v>1</v>
      </c>
      <c r="G32" s="943">
        <f>270*24</f>
        <v>6480</v>
      </c>
      <c r="H32" s="943" t="s">
        <v>748</v>
      </c>
      <c r="I32" s="944">
        <v>95.65</v>
      </c>
      <c r="J32" s="968">
        <f t="shared" ref="J32:J33" si="20">I32/(G32/1000)</f>
        <v>14.760802469135802</v>
      </c>
      <c r="K32" s="943">
        <f t="shared" si="16"/>
        <v>7.7372685185185183E-2</v>
      </c>
      <c r="L32" s="943">
        <f t="shared" si="17"/>
        <v>0</v>
      </c>
      <c r="M32" s="943" t="s">
        <v>205</v>
      </c>
      <c r="N32" s="943">
        <f t="shared" si="18"/>
        <v>7.4006973379629635</v>
      </c>
      <c r="O32" s="943">
        <f t="shared" si="19"/>
        <v>0</v>
      </c>
      <c r="AJ32" s="759">
        <v>3</v>
      </c>
      <c r="AK32" s="759" t="s">
        <v>59</v>
      </c>
      <c r="AL32" s="759">
        <f>AS55</f>
        <v>14980</v>
      </c>
      <c r="AM32" s="759">
        <v>0</v>
      </c>
      <c r="AN32" s="759">
        <f>AR55</f>
        <v>105</v>
      </c>
      <c r="AQ32" s="761" t="s">
        <v>823</v>
      </c>
      <c r="AR32" s="761">
        <v>181</v>
      </c>
      <c r="AS32" s="761">
        <v>27430</v>
      </c>
      <c r="AU32" s="764" t="s">
        <v>611</v>
      </c>
      <c r="AV32" s="764">
        <v>80</v>
      </c>
      <c r="AW32" s="764">
        <v>11810</v>
      </c>
    </row>
    <row r="33" spans="1:49" ht="14.25" customHeight="1" x14ac:dyDescent="0.25">
      <c r="A33" s="938" t="s">
        <v>203</v>
      </c>
      <c r="B33" s="938" t="s">
        <v>204</v>
      </c>
      <c r="C33" s="939" t="s">
        <v>160</v>
      </c>
      <c r="D33" s="940">
        <v>64351.826470588247</v>
      </c>
      <c r="E33" s="941">
        <v>552211.52328957198</v>
      </c>
      <c r="F33" s="942">
        <v>1</v>
      </c>
      <c r="G33" s="943">
        <v>1000</v>
      </c>
      <c r="H33" s="943" t="s">
        <v>205</v>
      </c>
      <c r="I33" s="944">
        <v>0</v>
      </c>
      <c r="J33" s="968">
        <f t="shared" si="20"/>
        <v>0</v>
      </c>
      <c r="K33" s="943">
        <f t="shared" si="16"/>
        <v>552.21152328957203</v>
      </c>
      <c r="L33" s="943">
        <f t="shared" si="17"/>
        <v>64.35182647058825</v>
      </c>
      <c r="M33" s="943" t="s">
        <v>205</v>
      </c>
      <c r="N33" s="943">
        <f t="shared" si="18"/>
        <v>0</v>
      </c>
      <c r="O33" s="943">
        <f t="shared" si="19"/>
        <v>0</v>
      </c>
      <c r="AJ33" s="759">
        <v>3</v>
      </c>
      <c r="AK33" s="759" t="s">
        <v>63</v>
      </c>
      <c r="AL33" s="759">
        <f>AS56</f>
        <v>14980</v>
      </c>
      <c r="AM33" s="759">
        <v>1000</v>
      </c>
      <c r="AN33" s="759">
        <f>AR55</f>
        <v>105</v>
      </c>
      <c r="AQ33" s="761" t="s">
        <v>559</v>
      </c>
      <c r="AR33" s="761">
        <v>15</v>
      </c>
      <c r="AS33" s="761">
        <v>2250</v>
      </c>
      <c r="AU33" s="764" t="s">
        <v>563</v>
      </c>
      <c r="AV33" s="764">
        <v>12</v>
      </c>
      <c r="AW33" s="764">
        <v>1800</v>
      </c>
    </row>
    <row r="34" spans="1:49" ht="14.25" customHeight="1" x14ac:dyDescent="0.25">
      <c r="AJ34" s="759">
        <v>3</v>
      </c>
      <c r="AK34" s="759" t="s">
        <v>65</v>
      </c>
      <c r="AL34" s="759">
        <f>AS57</f>
        <v>27680</v>
      </c>
      <c r="AM34" s="759">
        <v>0</v>
      </c>
      <c r="AN34" s="759">
        <f>AR57</f>
        <v>206</v>
      </c>
      <c r="AQ34" s="761" t="s">
        <v>568</v>
      </c>
      <c r="AR34" s="761">
        <v>166</v>
      </c>
      <c r="AS34" s="761">
        <v>25180</v>
      </c>
      <c r="AU34" s="764" t="s">
        <v>612</v>
      </c>
      <c r="AV34" s="764">
        <v>214</v>
      </c>
      <c r="AW34" s="764">
        <v>31050</v>
      </c>
    </row>
    <row r="35" spans="1:49" ht="14.25" customHeight="1" x14ac:dyDescent="0.25">
      <c r="A35" s="21" t="s">
        <v>725</v>
      </c>
      <c r="B35" s="21" t="s">
        <v>94</v>
      </c>
      <c r="C35" s="22" t="s">
        <v>14</v>
      </c>
      <c r="D35" s="23">
        <v>0</v>
      </c>
      <c r="E35" s="24">
        <v>149.5</v>
      </c>
      <c r="F35" s="1152">
        <v>1</v>
      </c>
      <c r="G35" s="965">
        <f>12*200</f>
        <v>2400</v>
      </c>
      <c r="H35" s="24" t="s">
        <v>747</v>
      </c>
      <c r="I35" s="25">
        <v>104</v>
      </c>
      <c r="J35" s="25">
        <f>I35/(G35/1000)</f>
        <v>43.333333333333336</v>
      </c>
      <c r="K35" s="24">
        <f t="shared" ref="K35:K62" si="21">(E35/F35)/G35</f>
        <v>6.2291666666666669E-2</v>
      </c>
      <c r="L35" s="24">
        <f t="shared" ref="L35:L62" si="22">(D35/F35)/G35</f>
        <v>0</v>
      </c>
      <c r="M35" s="24" t="s">
        <v>45</v>
      </c>
      <c r="N35" s="24">
        <f t="shared" ref="N35:N62" si="23">K35*I35</f>
        <v>6.4783333333333335</v>
      </c>
      <c r="O35" s="24">
        <f t="shared" ref="O35:O62" si="24">L35*I35</f>
        <v>0</v>
      </c>
      <c r="AJ35" s="759">
        <v>3</v>
      </c>
      <c r="AK35" s="759" t="s">
        <v>67</v>
      </c>
      <c r="AL35" s="759">
        <f>AS60</f>
        <v>27950</v>
      </c>
      <c r="AM35" s="759">
        <v>500</v>
      </c>
      <c r="AN35" s="759">
        <f>AR60</f>
        <v>182</v>
      </c>
      <c r="AQ35" s="761" t="s">
        <v>578</v>
      </c>
      <c r="AR35" s="761">
        <v>66</v>
      </c>
      <c r="AS35" s="761">
        <v>9620</v>
      </c>
      <c r="AU35" s="764" t="s">
        <v>570</v>
      </c>
      <c r="AV35" s="764">
        <v>191</v>
      </c>
      <c r="AW35" s="764">
        <v>27600</v>
      </c>
    </row>
    <row r="36" spans="1:49" ht="14.25" customHeight="1" x14ac:dyDescent="0.25">
      <c r="A36" s="21" t="s">
        <v>135</v>
      </c>
      <c r="B36" s="21" t="s">
        <v>94</v>
      </c>
      <c r="C36" s="22" t="s">
        <v>14</v>
      </c>
      <c r="D36" s="23">
        <v>0</v>
      </c>
      <c r="E36" s="24">
        <v>123.47027972027985</v>
      </c>
      <c r="F36" s="1152">
        <v>1</v>
      </c>
      <c r="G36" s="965">
        <v>1000</v>
      </c>
      <c r="H36" s="24" t="s">
        <v>45</v>
      </c>
      <c r="I36" s="25">
        <v>43</v>
      </c>
      <c r="J36" s="25">
        <f>I36</f>
        <v>43</v>
      </c>
      <c r="K36" s="24">
        <f t="shared" si="21"/>
        <v>0.12347027972027985</v>
      </c>
      <c r="L36" s="24">
        <f t="shared" si="22"/>
        <v>0</v>
      </c>
      <c r="M36" s="24" t="s">
        <v>45</v>
      </c>
      <c r="N36" s="24">
        <f t="shared" si="23"/>
        <v>5.3092220279720337</v>
      </c>
      <c r="O36" s="24">
        <f t="shared" si="24"/>
        <v>0</v>
      </c>
      <c r="AJ36" s="759">
        <v>3</v>
      </c>
      <c r="AK36" s="759" t="s">
        <v>832</v>
      </c>
      <c r="AL36" s="759">
        <f>AS63</f>
        <v>24100</v>
      </c>
      <c r="AM36" s="759">
        <v>500</v>
      </c>
      <c r="AN36" s="759">
        <f>AR63</f>
        <v>168</v>
      </c>
      <c r="AQ36" s="761" t="s">
        <v>570</v>
      </c>
      <c r="AR36" s="761">
        <v>66</v>
      </c>
      <c r="AS36" s="761">
        <v>9620</v>
      </c>
      <c r="AU36" s="764" t="s">
        <v>559</v>
      </c>
      <c r="AV36" s="764">
        <v>23</v>
      </c>
      <c r="AW36" s="764">
        <v>3450</v>
      </c>
    </row>
    <row r="37" spans="1:49" ht="14.25" customHeight="1" x14ac:dyDescent="0.25">
      <c r="A37" s="21" t="s">
        <v>99</v>
      </c>
      <c r="B37" s="21" t="s">
        <v>94</v>
      </c>
      <c r="C37" s="22" t="s">
        <v>14</v>
      </c>
      <c r="D37" s="23">
        <v>290.46055495647693</v>
      </c>
      <c r="E37" s="24">
        <v>1258.8123247703263</v>
      </c>
      <c r="F37" s="1152">
        <v>1</v>
      </c>
      <c r="G37" s="965">
        <v>1000</v>
      </c>
      <c r="H37" s="24" t="s">
        <v>45</v>
      </c>
      <c r="I37" s="25">
        <v>31</v>
      </c>
      <c r="J37" s="25">
        <f t="shared" ref="J37:J53" si="25">I37/(G37/1000)</f>
        <v>31</v>
      </c>
      <c r="K37" s="24">
        <f t="shared" si="21"/>
        <v>1.2588123247703262</v>
      </c>
      <c r="L37" s="24">
        <f t="shared" si="22"/>
        <v>0.29046055495647694</v>
      </c>
      <c r="M37" s="24" t="s">
        <v>45</v>
      </c>
      <c r="N37" s="24">
        <f t="shared" si="23"/>
        <v>39.023182067880114</v>
      </c>
      <c r="O37" s="24">
        <f t="shared" si="24"/>
        <v>9.0042772036507852</v>
      </c>
      <c r="AJ37" s="759">
        <v>3</v>
      </c>
      <c r="AK37" s="759" t="s">
        <v>72</v>
      </c>
      <c r="AL37" s="759">
        <f>AS66</f>
        <v>25320</v>
      </c>
      <c r="AM37" s="759">
        <v>0</v>
      </c>
      <c r="AN37" s="759">
        <f>AR66</f>
        <v>167</v>
      </c>
      <c r="AQ37" s="761" t="s">
        <v>579</v>
      </c>
      <c r="AR37" s="761">
        <v>127</v>
      </c>
      <c r="AS37" s="761">
        <v>18870</v>
      </c>
      <c r="AU37" s="764" t="s">
        <v>613</v>
      </c>
      <c r="AV37" s="764">
        <v>107</v>
      </c>
      <c r="AW37" s="764">
        <v>15840</v>
      </c>
    </row>
    <row r="38" spans="1:49" ht="14.25" customHeight="1" x14ac:dyDescent="0.25">
      <c r="A38" s="21" t="s">
        <v>97</v>
      </c>
      <c r="B38" s="21" t="s">
        <v>94</v>
      </c>
      <c r="C38" s="22" t="s">
        <v>14</v>
      </c>
      <c r="D38" s="23">
        <v>54.19384615384616</v>
      </c>
      <c r="E38" s="24">
        <v>152.3024407231799</v>
      </c>
      <c r="F38" s="1152">
        <v>1</v>
      </c>
      <c r="G38" s="965">
        <v>1000</v>
      </c>
      <c r="H38" s="24" t="s">
        <v>45</v>
      </c>
      <c r="I38" s="25">
        <v>38</v>
      </c>
      <c r="J38" s="25">
        <f t="shared" si="25"/>
        <v>38</v>
      </c>
      <c r="K38" s="24">
        <f t="shared" si="21"/>
        <v>0.15230244072317989</v>
      </c>
      <c r="L38" s="24">
        <f t="shared" si="22"/>
        <v>5.4193846153846162E-2</v>
      </c>
      <c r="M38" s="24" t="s">
        <v>45</v>
      </c>
      <c r="N38" s="24">
        <f t="shared" si="23"/>
        <v>5.7874927474808358</v>
      </c>
      <c r="O38" s="24">
        <f t="shared" si="24"/>
        <v>2.0593661538461543</v>
      </c>
      <c r="AJ38" s="759">
        <v>3</v>
      </c>
      <c r="AK38" s="759" t="s">
        <v>73</v>
      </c>
      <c r="AL38" s="759">
        <f>AS66</f>
        <v>25320</v>
      </c>
      <c r="AM38" s="759">
        <v>0</v>
      </c>
      <c r="AN38" s="759">
        <f>AR66</f>
        <v>167</v>
      </c>
      <c r="AQ38" s="761" t="s">
        <v>580</v>
      </c>
      <c r="AR38" s="761">
        <v>127</v>
      </c>
      <c r="AS38" s="761">
        <v>18870</v>
      </c>
      <c r="AU38" s="764" t="s">
        <v>606</v>
      </c>
      <c r="AV38" s="764">
        <v>107</v>
      </c>
      <c r="AW38" s="764">
        <v>15840</v>
      </c>
    </row>
    <row r="39" spans="1:49" ht="14.25" customHeight="1" x14ac:dyDescent="0.25">
      <c r="A39" s="21" t="s">
        <v>128</v>
      </c>
      <c r="B39" s="21" t="s">
        <v>94</v>
      </c>
      <c r="C39" s="22" t="s">
        <v>14</v>
      </c>
      <c r="D39" s="23">
        <v>23.653846153846153</v>
      </c>
      <c r="E39" s="24">
        <v>41.720643028846155</v>
      </c>
      <c r="F39" s="1152">
        <v>1</v>
      </c>
      <c r="G39" s="965">
        <v>1000</v>
      </c>
      <c r="H39" s="24" t="s">
        <v>45</v>
      </c>
      <c r="I39" s="25">
        <v>107</v>
      </c>
      <c r="J39" s="25">
        <f t="shared" si="25"/>
        <v>107</v>
      </c>
      <c r="K39" s="24">
        <f t="shared" si="21"/>
        <v>4.1720643028846156E-2</v>
      </c>
      <c r="L39" s="24">
        <f t="shared" si="22"/>
        <v>2.3653846153846154E-2</v>
      </c>
      <c r="M39" s="24" t="s">
        <v>45</v>
      </c>
      <c r="N39" s="24">
        <f t="shared" si="23"/>
        <v>4.4641088040865391</v>
      </c>
      <c r="O39" s="24">
        <f t="shared" si="24"/>
        <v>2.5309615384615385</v>
      </c>
      <c r="AJ39" s="759">
        <v>3</v>
      </c>
      <c r="AK39" s="759" t="s">
        <v>74</v>
      </c>
      <c r="AL39" s="759">
        <f>AS68</f>
        <v>31550</v>
      </c>
      <c r="AM39" s="759">
        <v>500</v>
      </c>
      <c r="AN39" s="759">
        <f>AR68</f>
        <v>228</v>
      </c>
      <c r="AQ39" s="761" t="s">
        <v>581</v>
      </c>
      <c r="AR39" s="761">
        <v>128</v>
      </c>
      <c r="AS39" s="761">
        <v>18580</v>
      </c>
      <c r="AU39" s="764" t="s">
        <v>824</v>
      </c>
      <c r="AV39" s="764">
        <v>185</v>
      </c>
      <c r="AW39" s="764">
        <v>26030</v>
      </c>
    </row>
    <row r="40" spans="1:49" ht="14.25" customHeight="1" x14ac:dyDescent="0.25">
      <c r="A40" s="21" t="s">
        <v>126</v>
      </c>
      <c r="B40" s="21" t="s">
        <v>94</v>
      </c>
      <c r="C40" s="22" t="s">
        <v>14</v>
      </c>
      <c r="D40" s="23">
        <v>147.43384615384613</v>
      </c>
      <c r="E40" s="24">
        <v>379.79568701197877</v>
      </c>
      <c r="F40" s="1152">
        <v>1</v>
      </c>
      <c r="G40" s="965">
        <v>1000</v>
      </c>
      <c r="H40" s="24" t="s">
        <v>45</v>
      </c>
      <c r="I40" s="25">
        <v>125</v>
      </c>
      <c r="J40" s="25">
        <f t="shared" si="25"/>
        <v>125</v>
      </c>
      <c r="K40" s="24">
        <f t="shared" si="21"/>
        <v>0.37979568701197874</v>
      </c>
      <c r="L40" s="24">
        <f t="shared" si="22"/>
        <v>0.14743384615384614</v>
      </c>
      <c r="M40" s="24" t="s">
        <v>45</v>
      </c>
      <c r="N40" s="24">
        <f t="shared" si="23"/>
        <v>47.474460876497346</v>
      </c>
      <c r="O40" s="24">
        <f t="shared" si="24"/>
        <v>18.429230769230767</v>
      </c>
      <c r="AJ40" s="759">
        <v>3</v>
      </c>
      <c r="AK40" s="759" t="s">
        <v>695</v>
      </c>
      <c r="AL40" s="759">
        <f>AS69</f>
        <v>31550</v>
      </c>
      <c r="AM40" s="759">
        <v>0</v>
      </c>
      <c r="AN40" s="759">
        <f>AR69</f>
        <v>228</v>
      </c>
      <c r="AQ40" s="761" t="s">
        <v>570</v>
      </c>
      <c r="AR40" s="761">
        <v>114</v>
      </c>
      <c r="AS40" s="761">
        <v>16480</v>
      </c>
      <c r="AU40" s="764" t="s">
        <v>614</v>
      </c>
      <c r="AV40" s="764">
        <v>176</v>
      </c>
      <c r="AW40" s="764">
        <v>24680</v>
      </c>
    </row>
    <row r="41" spans="1:49" ht="14.25" customHeight="1" x14ac:dyDescent="0.25">
      <c r="A41" s="21" t="s">
        <v>122</v>
      </c>
      <c r="B41" s="21" t="s">
        <v>94</v>
      </c>
      <c r="C41" s="22" t="s">
        <v>14</v>
      </c>
      <c r="D41" s="23">
        <v>33.595870445344133</v>
      </c>
      <c r="E41" s="24">
        <v>567.17115373043634</v>
      </c>
      <c r="F41" s="1152">
        <v>1</v>
      </c>
      <c r="G41" s="965">
        <v>1000</v>
      </c>
      <c r="H41" s="24" t="s">
        <v>45</v>
      </c>
      <c r="I41" s="25">
        <v>14</v>
      </c>
      <c r="J41" s="25">
        <f t="shared" si="25"/>
        <v>14</v>
      </c>
      <c r="K41" s="24">
        <f t="shared" si="21"/>
        <v>0.56717115373043636</v>
      </c>
      <c r="L41" s="24">
        <f t="shared" si="22"/>
        <v>3.359587044534413E-2</v>
      </c>
      <c r="M41" s="24" t="s">
        <v>45</v>
      </c>
      <c r="N41" s="24">
        <f t="shared" si="23"/>
        <v>7.9403961522261088</v>
      </c>
      <c r="O41" s="24">
        <f t="shared" si="24"/>
        <v>0.47034218623481783</v>
      </c>
      <c r="AJ41" s="759">
        <v>3</v>
      </c>
      <c r="AK41" s="759" t="s">
        <v>76</v>
      </c>
      <c r="AL41" s="759">
        <f>AS70</f>
        <v>13670</v>
      </c>
      <c r="AM41" s="759">
        <v>1000</v>
      </c>
      <c r="AN41" s="759">
        <f>AR70</f>
        <v>92</v>
      </c>
      <c r="AQ41" s="761" t="s">
        <v>559</v>
      </c>
      <c r="AR41" s="761">
        <v>14</v>
      </c>
      <c r="AS41" s="761">
        <v>2100</v>
      </c>
      <c r="AU41" s="764" t="s">
        <v>559</v>
      </c>
      <c r="AV41" s="764">
        <v>9</v>
      </c>
      <c r="AW41" s="764">
        <v>1350</v>
      </c>
    </row>
    <row r="42" spans="1:49" ht="14.25" customHeight="1" x14ac:dyDescent="0.25">
      <c r="A42" s="21" t="s">
        <v>120</v>
      </c>
      <c r="B42" s="21" t="s">
        <v>94</v>
      </c>
      <c r="C42" s="22" t="s">
        <v>14</v>
      </c>
      <c r="D42" s="23">
        <v>54.19384615384616</v>
      </c>
      <c r="E42" s="24">
        <v>90.81711132907607</v>
      </c>
      <c r="F42" s="1152">
        <v>1</v>
      </c>
      <c r="G42" s="965">
        <v>1000</v>
      </c>
      <c r="H42" s="24" t="s">
        <v>45</v>
      </c>
      <c r="I42" s="25">
        <v>15</v>
      </c>
      <c r="J42" s="25">
        <f t="shared" si="25"/>
        <v>15</v>
      </c>
      <c r="K42" s="24">
        <f t="shared" si="21"/>
        <v>9.0817111329076064E-2</v>
      </c>
      <c r="L42" s="24">
        <f t="shared" si="22"/>
        <v>5.4193846153846162E-2</v>
      </c>
      <c r="M42" s="24" t="s">
        <v>45</v>
      </c>
      <c r="N42" s="24">
        <f t="shared" si="23"/>
        <v>1.3622566699361409</v>
      </c>
      <c r="O42" s="24">
        <f t="shared" si="24"/>
        <v>0.81290769230769244</v>
      </c>
      <c r="AJ42" s="759">
        <v>3</v>
      </c>
      <c r="AK42" s="759" t="s">
        <v>77</v>
      </c>
      <c r="AL42" s="759">
        <f>AS72</f>
        <v>13040</v>
      </c>
      <c r="AM42" s="759">
        <v>1000</v>
      </c>
      <c r="AN42" s="759">
        <f>AR72</f>
        <v>88</v>
      </c>
      <c r="AQ42" s="761" t="s">
        <v>582</v>
      </c>
      <c r="AR42" s="761">
        <v>232</v>
      </c>
      <c r="AS42" s="761">
        <v>32700</v>
      </c>
      <c r="AU42" s="764" t="s">
        <v>615</v>
      </c>
      <c r="AV42" s="764">
        <v>116</v>
      </c>
      <c r="AW42" s="764">
        <v>16130</v>
      </c>
    </row>
    <row r="43" spans="1:49" ht="14.25" customHeight="1" x14ac:dyDescent="0.25">
      <c r="A43" s="21" t="s">
        <v>124</v>
      </c>
      <c r="B43" s="21" t="s">
        <v>94</v>
      </c>
      <c r="C43" s="22" t="s">
        <v>14</v>
      </c>
      <c r="D43" s="23">
        <v>51.862846153846156</v>
      </c>
      <c r="E43" s="24">
        <v>174.94073888451732</v>
      </c>
      <c r="F43" s="1152">
        <v>1</v>
      </c>
      <c r="G43" s="965">
        <v>1000</v>
      </c>
      <c r="H43" s="24" t="s">
        <v>45</v>
      </c>
      <c r="I43" s="25">
        <v>37</v>
      </c>
      <c r="J43" s="25">
        <f t="shared" si="25"/>
        <v>37</v>
      </c>
      <c r="K43" s="24">
        <f t="shared" si="21"/>
        <v>0.17494073888451731</v>
      </c>
      <c r="L43" s="24">
        <f t="shared" si="22"/>
        <v>5.1862846153846155E-2</v>
      </c>
      <c r="M43" s="24" t="s">
        <v>45</v>
      </c>
      <c r="N43" s="24">
        <f t="shared" si="23"/>
        <v>6.4728073387271401</v>
      </c>
      <c r="O43" s="24">
        <f t="shared" si="24"/>
        <v>1.9189253076923078</v>
      </c>
      <c r="AJ43" s="759">
        <v>3</v>
      </c>
      <c r="AK43" s="759" t="s">
        <v>78</v>
      </c>
      <c r="AL43" s="759">
        <f>AS76</f>
        <v>288</v>
      </c>
      <c r="AM43" s="759">
        <v>5</v>
      </c>
      <c r="AN43" s="759">
        <f>AR76</f>
        <v>288</v>
      </c>
      <c r="AQ43" s="761" t="s">
        <v>561</v>
      </c>
      <c r="AR43" s="761">
        <v>232</v>
      </c>
      <c r="AS43" s="761">
        <v>32700</v>
      </c>
      <c r="AU43" s="764" t="s">
        <v>616</v>
      </c>
      <c r="AV43" s="764">
        <v>101</v>
      </c>
      <c r="AW43" s="764">
        <v>13880</v>
      </c>
    </row>
    <row r="44" spans="1:49" ht="14.25" customHeight="1" x14ac:dyDescent="0.25">
      <c r="A44" s="21" t="s">
        <v>107</v>
      </c>
      <c r="B44" s="21" t="s">
        <v>94</v>
      </c>
      <c r="C44" s="22" t="s">
        <v>14</v>
      </c>
      <c r="D44" s="23">
        <v>185.14125982376763</v>
      </c>
      <c r="E44" s="24">
        <v>3209.3591552184707</v>
      </c>
      <c r="F44" s="1152">
        <v>1</v>
      </c>
      <c r="G44" s="965">
        <v>1000</v>
      </c>
      <c r="H44" s="24" t="s">
        <v>45</v>
      </c>
      <c r="I44" s="25">
        <v>8</v>
      </c>
      <c r="J44" s="25">
        <f t="shared" si="25"/>
        <v>8</v>
      </c>
      <c r="K44" s="24">
        <f t="shared" si="21"/>
        <v>3.2093591552184706</v>
      </c>
      <c r="L44" s="24">
        <f t="shared" si="22"/>
        <v>0.18514125982376764</v>
      </c>
      <c r="M44" s="24" t="s">
        <v>45</v>
      </c>
      <c r="N44" s="24">
        <f t="shared" si="23"/>
        <v>25.674873241747765</v>
      </c>
      <c r="O44" s="24">
        <f t="shared" si="24"/>
        <v>1.4811300785901411</v>
      </c>
      <c r="AJ44" s="759">
        <v>3</v>
      </c>
      <c r="AK44" s="759" t="s">
        <v>882</v>
      </c>
      <c r="AL44" s="759">
        <f>AR75</f>
        <v>172</v>
      </c>
      <c r="AM44" s="759">
        <v>5</v>
      </c>
      <c r="AN44" s="759">
        <f>AS75</f>
        <v>172</v>
      </c>
      <c r="AQ44" s="761" t="s">
        <v>876</v>
      </c>
      <c r="AR44" s="761">
        <v>99</v>
      </c>
      <c r="AS44" s="761">
        <v>14620</v>
      </c>
      <c r="AU44" s="764" t="s">
        <v>559</v>
      </c>
      <c r="AV44" s="764">
        <v>15</v>
      </c>
      <c r="AW44" s="764">
        <v>2250</v>
      </c>
    </row>
    <row r="45" spans="1:49" ht="14.25" customHeight="1" x14ac:dyDescent="0.25">
      <c r="A45" s="21" t="s">
        <v>105</v>
      </c>
      <c r="B45" s="21" t="s">
        <v>94</v>
      </c>
      <c r="C45" s="22" t="s">
        <v>14</v>
      </c>
      <c r="D45" s="23">
        <v>387.50224992277754</v>
      </c>
      <c r="E45" s="24">
        <v>3699.6709671683598</v>
      </c>
      <c r="F45" s="1152">
        <v>1</v>
      </c>
      <c r="G45" s="965">
        <v>1000</v>
      </c>
      <c r="H45" s="24" t="s">
        <v>45</v>
      </c>
      <c r="I45" s="25">
        <v>15</v>
      </c>
      <c r="J45" s="25">
        <f t="shared" si="25"/>
        <v>15</v>
      </c>
      <c r="K45" s="24">
        <f t="shared" si="21"/>
        <v>3.6996709671683599</v>
      </c>
      <c r="L45" s="24">
        <f t="shared" si="22"/>
        <v>0.38750224992277754</v>
      </c>
      <c r="M45" s="24" t="s">
        <v>45</v>
      </c>
      <c r="N45" s="24">
        <f t="shared" si="23"/>
        <v>55.495064507525399</v>
      </c>
      <c r="O45" s="24">
        <f t="shared" si="24"/>
        <v>5.8125337488416635</v>
      </c>
      <c r="AJ45" s="759">
        <v>3</v>
      </c>
      <c r="AK45" s="759" t="s">
        <v>81</v>
      </c>
      <c r="AL45" s="759">
        <f>AS74+AS51</f>
        <v>95</v>
      </c>
      <c r="AM45" s="759">
        <v>5</v>
      </c>
      <c r="AN45" s="759">
        <f>AR74+AR51</f>
        <v>95</v>
      </c>
      <c r="AQ45" s="761" t="s">
        <v>559</v>
      </c>
      <c r="AR45" s="761">
        <v>15</v>
      </c>
      <c r="AS45" s="761">
        <v>2250</v>
      </c>
      <c r="AU45" s="764" t="s">
        <v>617</v>
      </c>
      <c r="AV45" s="764">
        <v>92</v>
      </c>
      <c r="AW45" s="764">
        <v>12820</v>
      </c>
    </row>
    <row r="46" spans="1:49" ht="14.25" customHeight="1" x14ac:dyDescent="0.25">
      <c r="A46" s="21" t="s">
        <v>103</v>
      </c>
      <c r="B46" s="21" t="s">
        <v>94</v>
      </c>
      <c r="C46" s="22" t="s">
        <v>14</v>
      </c>
      <c r="D46" s="23">
        <v>51.862846153846156</v>
      </c>
      <c r="E46" s="24">
        <v>205.16364613726455</v>
      </c>
      <c r="F46" s="1152">
        <v>1</v>
      </c>
      <c r="G46" s="965">
        <v>1000</v>
      </c>
      <c r="H46" s="24" t="s">
        <v>45</v>
      </c>
      <c r="I46" s="25">
        <v>19</v>
      </c>
      <c r="J46" s="25">
        <f t="shared" si="25"/>
        <v>19</v>
      </c>
      <c r="K46" s="24">
        <f t="shared" si="21"/>
        <v>0.20516364613726454</v>
      </c>
      <c r="L46" s="24">
        <f t="shared" si="22"/>
        <v>5.1862846153846155E-2</v>
      </c>
      <c r="M46" s="24" t="s">
        <v>45</v>
      </c>
      <c r="N46" s="24">
        <f t="shared" si="23"/>
        <v>3.8981092766080261</v>
      </c>
      <c r="O46" s="24">
        <f t="shared" si="24"/>
        <v>0.9853940769230769</v>
      </c>
      <c r="AJ46" s="759">
        <v>3</v>
      </c>
      <c r="AK46" s="759" t="s">
        <v>83</v>
      </c>
      <c r="AL46" s="759">
        <f>AS65</f>
        <v>20200</v>
      </c>
      <c r="AM46" s="759">
        <v>0</v>
      </c>
      <c r="AN46" s="759">
        <f>AR65</f>
        <v>142</v>
      </c>
      <c r="AQ46" s="761" t="s">
        <v>877</v>
      </c>
      <c r="AR46" s="761">
        <v>84</v>
      </c>
      <c r="AS46" s="761">
        <v>12370</v>
      </c>
      <c r="AU46" s="764" t="s">
        <v>570</v>
      </c>
      <c r="AV46" s="764">
        <v>79</v>
      </c>
      <c r="AW46" s="764">
        <v>10870</v>
      </c>
    </row>
    <row r="47" spans="1:49" ht="14.25" customHeight="1" x14ac:dyDescent="0.25">
      <c r="A47" s="21" t="s">
        <v>108</v>
      </c>
      <c r="B47" s="21" t="s">
        <v>94</v>
      </c>
      <c r="C47" s="22" t="s">
        <v>14</v>
      </c>
      <c r="D47" s="23">
        <v>171.00042224922441</v>
      </c>
      <c r="E47" s="24">
        <v>606.76522920566094</v>
      </c>
      <c r="F47" s="1152">
        <v>1</v>
      </c>
      <c r="G47" s="965">
        <v>1000</v>
      </c>
      <c r="H47" s="24" t="s">
        <v>45</v>
      </c>
      <c r="I47" s="25">
        <v>26.5</v>
      </c>
      <c r="J47" s="25">
        <f t="shared" si="25"/>
        <v>26.5</v>
      </c>
      <c r="K47" s="24">
        <f t="shared" si="21"/>
        <v>0.60676522920566089</v>
      </c>
      <c r="L47" s="24">
        <f t="shared" si="22"/>
        <v>0.1710004222492244</v>
      </c>
      <c r="M47" s="24" t="s">
        <v>45</v>
      </c>
      <c r="N47" s="24">
        <f t="shared" si="23"/>
        <v>16.079278573950013</v>
      </c>
      <c r="O47" s="24">
        <f t="shared" si="24"/>
        <v>4.5315111896044469</v>
      </c>
      <c r="AH47" s="26"/>
      <c r="AJ47" s="759">
        <v>3</v>
      </c>
      <c r="AK47" s="759" t="s">
        <v>86</v>
      </c>
      <c r="AL47" s="759">
        <f>AS54</f>
        <v>20660</v>
      </c>
      <c r="AM47" s="759">
        <v>0</v>
      </c>
      <c r="AN47" s="759">
        <f>AR54</f>
        <v>137</v>
      </c>
      <c r="AQ47" s="761" t="s">
        <v>878</v>
      </c>
      <c r="AR47" s="761">
        <v>153</v>
      </c>
      <c r="AS47" s="761">
        <v>153</v>
      </c>
      <c r="AU47" s="764" t="s">
        <v>559</v>
      </c>
      <c r="AV47" s="764">
        <v>13</v>
      </c>
      <c r="AW47" s="764">
        <v>1950</v>
      </c>
    </row>
    <row r="48" spans="1:49" ht="16.5" customHeight="1" x14ac:dyDescent="0.25">
      <c r="A48" s="21" t="s">
        <v>131</v>
      </c>
      <c r="B48" s="21" t="s">
        <v>94</v>
      </c>
      <c r="C48" s="22" t="s">
        <v>14</v>
      </c>
      <c r="D48" s="23">
        <v>0</v>
      </c>
      <c r="E48" s="24">
        <v>22.065317139001358</v>
      </c>
      <c r="F48" s="1152">
        <v>1</v>
      </c>
      <c r="G48" s="965">
        <v>1000</v>
      </c>
      <c r="H48" s="24" t="s">
        <v>45</v>
      </c>
      <c r="I48" s="25">
        <v>10</v>
      </c>
      <c r="J48" s="25">
        <f t="shared" si="25"/>
        <v>10</v>
      </c>
      <c r="K48" s="24">
        <f t="shared" si="21"/>
        <v>2.206531713900136E-2</v>
      </c>
      <c r="L48" s="24">
        <f t="shared" si="22"/>
        <v>0</v>
      </c>
      <c r="M48" s="24" t="s">
        <v>45</v>
      </c>
      <c r="N48" s="24">
        <f t="shared" si="23"/>
        <v>0.22065317139001361</v>
      </c>
      <c r="O48" s="24">
        <f t="shared" si="24"/>
        <v>0</v>
      </c>
      <c r="AH48" s="26"/>
      <c r="AJ48" s="759">
        <v>3</v>
      </c>
      <c r="AK48" s="759" t="s">
        <v>89</v>
      </c>
      <c r="AL48" s="759">
        <f>AS53+AS59+AS61+AS64</f>
        <v>11550</v>
      </c>
      <c r="AM48" s="759">
        <v>0</v>
      </c>
      <c r="AN48" s="759">
        <f>AR53+AR59+AR61+AR64</f>
        <v>77</v>
      </c>
      <c r="AQ48" s="761" t="s">
        <v>879</v>
      </c>
      <c r="AR48" s="761">
        <v>135</v>
      </c>
      <c r="AS48" s="761">
        <v>135</v>
      </c>
      <c r="AU48" s="764" t="s">
        <v>618</v>
      </c>
      <c r="AV48" s="764">
        <v>333</v>
      </c>
      <c r="AW48" s="764">
        <v>103000</v>
      </c>
    </row>
    <row r="49" spans="1:49" ht="14.25" customHeight="1" x14ac:dyDescent="0.25">
      <c r="A49" s="21" t="s">
        <v>149</v>
      </c>
      <c r="B49" s="21" t="s">
        <v>94</v>
      </c>
      <c r="C49" s="22" t="s">
        <v>14</v>
      </c>
      <c r="D49" s="23">
        <v>0</v>
      </c>
      <c r="E49" s="24">
        <v>198.38147566719016</v>
      </c>
      <c r="F49" s="1152">
        <v>1</v>
      </c>
      <c r="G49" s="965">
        <v>1000</v>
      </c>
      <c r="H49" s="24" t="s">
        <v>45</v>
      </c>
      <c r="I49" s="25">
        <v>10</v>
      </c>
      <c r="J49" s="25">
        <f t="shared" si="25"/>
        <v>10</v>
      </c>
      <c r="K49" s="24">
        <f t="shared" si="21"/>
        <v>0.19838147566719017</v>
      </c>
      <c r="L49" s="24">
        <f t="shared" si="22"/>
        <v>0</v>
      </c>
      <c r="M49" s="24" t="s">
        <v>45</v>
      </c>
      <c r="N49" s="24">
        <f t="shared" si="23"/>
        <v>1.9838147566719018</v>
      </c>
      <c r="O49" s="24">
        <f t="shared" si="24"/>
        <v>0</v>
      </c>
      <c r="AH49" s="26"/>
      <c r="AJ49" s="763">
        <v>4</v>
      </c>
      <c r="AK49" s="763" t="s">
        <v>91</v>
      </c>
      <c r="AL49" s="763">
        <f>AW4</f>
        <v>24610</v>
      </c>
      <c r="AM49" s="763">
        <v>500</v>
      </c>
      <c r="AN49" s="763">
        <f>AV4</f>
        <v>169</v>
      </c>
      <c r="AU49" s="764" t="s">
        <v>619</v>
      </c>
      <c r="AV49" s="764">
        <v>79</v>
      </c>
      <c r="AW49" s="764">
        <v>11650</v>
      </c>
    </row>
    <row r="50" spans="1:49" ht="14.25" customHeight="1" x14ac:dyDescent="0.25">
      <c r="A50" s="21" t="s">
        <v>141</v>
      </c>
      <c r="B50" s="21" t="s">
        <v>94</v>
      </c>
      <c r="C50" s="22" t="s">
        <v>14</v>
      </c>
      <c r="D50" s="23">
        <v>17.53</v>
      </c>
      <c r="E50" s="24">
        <v>17.53</v>
      </c>
      <c r="F50" s="1152">
        <v>1</v>
      </c>
      <c r="G50" s="965">
        <v>34</v>
      </c>
      <c r="H50" s="24" t="s">
        <v>142</v>
      </c>
      <c r="I50" s="25">
        <v>8.5</v>
      </c>
      <c r="J50" s="25">
        <f t="shared" si="25"/>
        <v>249.99999999999997</v>
      </c>
      <c r="K50" s="24">
        <f t="shared" si="21"/>
        <v>0.51558823529411768</v>
      </c>
      <c r="L50" s="24">
        <f t="shared" si="22"/>
        <v>0.51558823529411768</v>
      </c>
      <c r="M50" s="24" t="s">
        <v>142</v>
      </c>
      <c r="N50" s="24">
        <f t="shared" si="23"/>
        <v>4.3825000000000003</v>
      </c>
      <c r="O50" s="24">
        <f t="shared" si="24"/>
        <v>4.3825000000000003</v>
      </c>
      <c r="AH50" s="27"/>
      <c r="AJ50" s="763">
        <v>4</v>
      </c>
      <c r="AK50" s="763" t="s">
        <v>92</v>
      </c>
      <c r="AL50" s="763">
        <f>AW4</f>
        <v>24610</v>
      </c>
      <c r="AM50" s="763">
        <v>500</v>
      </c>
      <c r="AN50" s="763">
        <f>AV4</f>
        <v>169</v>
      </c>
      <c r="AQ50" s="759" t="s">
        <v>935</v>
      </c>
      <c r="AR50" s="759">
        <v>77</v>
      </c>
      <c r="AS50" s="759">
        <v>77</v>
      </c>
      <c r="AU50" s="764" t="s">
        <v>558</v>
      </c>
      <c r="AV50" s="764">
        <v>79</v>
      </c>
      <c r="AW50" s="764">
        <v>11650</v>
      </c>
    </row>
    <row r="51" spans="1:49" ht="14.25" customHeight="1" x14ac:dyDescent="0.25">
      <c r="A51" s="21" t="s">
        <v>136</v>
      </c>
      <c r="B51" s="21" t="s">
        <v>94</v>
      </c>
      <c r="C51" s="22" t="s">
        <v>14</v>
      </c>
      <c r="D51" s="23">
        <v>0</v>
      </c>
      <c r="E51" s="24">
        <v>801.24</v>
      </c>
      <c r="F51" s="1152">
        <v>1</v>
      </c>
      <c r="G51" s="965">
        <v>2400</v>
      </c>
      <c r="H51" s="24" t="s">
        <v>713</v>
      </c>
      <c r="I51" s="25">
        <v>105</v>
      </c>
      <c r="J51" s="25">
        <f t="shared" si="25"/>
        <v>43.75</v>
      </c>
      <c r="K51" s="24">
        <f t="shared" si="21"/>
        <v>0.33384999999999998</v>
      </c>
      <c r="L51" s="24">
        <f t="shared" si="22"/>
        <v>0</v>
      </c>
      <c r="M51" s="24" t="s">
        <v>137</v>
      </c>
      <c r="N51" s="24">
        <f t="shared" si="23"/>
        <v>35.054249999999996</v>
      </c>
      <c r="O51" s="24">
        <f t="shared" si="24"/>
        <v>0</v>
      </c>
      <c r="Q51" s="1"/>
      <c r="AH51" s="27"/>
      <c r="AJ51" s="763">
        <v>4</v>
      </c>
      <c r="AK51" s="763" t="s">
        <v>96</v>
      </c>
      <c r="AL51" s="763">
        <f>AW7</f>
        <v>11700</v>
      </c>
      <c r="AM51" s="763">
        <v>0</v>
      </c>
      <c r="AN51" s="763">
        <f>AV7</f>
        <v>81</v>
      </c>
      <c r="AQ51" s="759" t="s">
        <v>583</v>
      </c>
      <c r="AR51" s="759">
        <v>45</v>
      </c>
      <c r="AS51" s="759">
        <v>45</v>
      </c>
      <c r="AU51" s="764" t="s">
        <v>620</v>
      </c>
      <c r="AV51" s="764">
        <v>110</v>
      </c>
      <c r="AW51" s="764">
        <v>16080</v>
      </c>
    </row>
    <row r="52" spans="1:49" ht="14.25" customHeight="1" x14ac:dyDescent="0.25">
      <c r="A52" s="21" t="s">
        <v>115</v>
      </c>
      <c r="B52" s="21" t="s">
        <v>94</v>
      </c>
      <c r="C52" s="22" t="s">
        <v>14</v>
      </c>
      <c r="D52" s="23">
        <v>0</v>
      </c>
      <c r="E52" s="24">
        <v>234.88091599190295</v>
      </c>
      <c r="F52" s="1152">
        <v>1</v>
      </c>
      <c r="G52" s="965">
        <v>10000</v>
      </c>
      <c r="H52" s="24" t="s">
        <v>116</v>
      </c>
      <c r="I52" s="25">
        <v>145</v>
      </c>
      <c r="J52" s="25">
        <f t="shared" si="25"/>
        <v>14.5</v>
      </c>
      <c r="K52" s="24">
        <f t="shared" si="21"/>
        <v>2.3488091599190294E-2</v>
      </c>
      <c r="L52" s="24">
        <f t="shared" si="22"/>
        <v>0</v>
      </c>
      <c r="M52" s="24" t="s">
        <v>26</v>
      </c>
      <c r="N52" s="24">
        <f t="shared" si="23"/>
        <v>3.4057732818825928</v>
      </c>
      <c r="O52" s="24">
        <f t="shared" si="24"/>
        <v>0</v>
      </c>
      <c r="Q52" s="1"/>
      <c r="AH52" s="27"/>
      <c r="AJ52" s="763">
        <v>4</v>
      </c>
      <c r="AK52" s="763" t="s">
        <v>98</v>
      </c>
      <c r="AL52" s="763">
        <f>AW10</f>
        <v>17500</v>
      </c>
      <c r="AM52" s="763">
        <v>0</v>
      </c>
      <c r="AN52" s="763">
        <f>AV10</f>
        <v>123</v>
      </c>
      <c r="AQ52" s="759" t="s">
        <v>584</v>
      </c>
      <c r="AR52" s="759">
        <v>157</v>
      </c>
      <c r="AS52" s="759">
        <v>23660</v>
      </c>
      <c r="AU52" s="764" t="s">
        <v>561</v>
      </c>
      <c r="AV52" s="764">
        <v>110</v>
      </c>
      <c r="AW52" s="764">
        <v>16080</v>
      </c>
    </row>
    <row r="53" spans="1:49" ht="14.25" customHeight="1" x14ac:dyDescent="0.25">
      <c r="A53" s="21" t="s">
        <v>724</v>
      </c>
      <c r="B53" s="21" t="s">
        <v>94</v>
      </c>
      <c r="C53" s="22" t="s">
        <v>14</v>
      </c>
      <c r="D53" s="23">
        <v>0</v>
      </c>
      <c r="E53" s="24">
        <v>91.783670191963438</v>
      </c>
      <c r="F53" s="1152">
        <v>1</v>
      </c>
      <c r="G53" s="965">
        <v>50</v>
      </c>
      <c r="H53" s="24" t="s">
        <v>133</v>
      </c>
      <c r="I53" s="25">
        <v>2.6</v>
      </c>
      <c r="J53" s="25">
        <f t="shared" si="25"/>
        <v>52</v>
      </c>
      <c r="K53" s="24">
        <f t="shared" si="21"/>
        <v>1.8356734038392688</v>
      </c>
      <c r="L53" s="24">
        <f t="shared" si="22"/>
        <v>0</v>
      </c>
      <c r="M53" s="24" t="s">
        <v>133</v>
      </c>
      <c r="N53" s="24">
        <f t="shared" si="23"/>
        <v>4.7727508499820992</v>
      </c>
      <c r="O53" s="24">
        <f t="shared" si="24"/>
        <v>0</v>
      </c>
      <c r="Q53" s="1"/>
      <c r="AJ53" s="763">
        <v>4</v>
      </c>
      <c r="AK53" s="763" t="s">
        <v>100</v>
      </c>
      <c r="AL53" s="763">
        <f>AW11</f>
        <v>17500</v>
      </c>
      <c r="AM53" s="763">
        <v>0</v>
      </c>
      <c r="AN53" s="763">
        <f>AV10</f>
        <v>123</v>
      </c>
      <c r="AQ53" s="759" t="s">
        <v>559</v>
      </c>
      <c r="AR53" s="759">
        <v>20</v>
      </c>
      <c r="AS53" s="759">
        <v>3000</v>
      </c>
      <c r="AU53" s="764" t="s">
        <v>854</v>
      </c>
      <c r="AV53" s="764">
        <v>108</v>
      </c>
      <c r="AW53" s="764">
        <v>15930</v>
      </c>
    </row>
    <row r="54" spans="1:49" ht="14.25" customHeight="1" x14ac:dyDescent="0.25">
      <c r="A54" s="21" t="s">
        <v>139</v>
      </c>
      <c r="B54" s="21" t="s">
        <v>94</v>
      </c>
      <c r="C54" s="22" t="s">
        <v>14</v>
      </c>
      <c r="D54" s="23">
        <v>440.98911586578015</v>
      </c>
      <c r="E54" s="24">
        <v>4197.8042858304898</v>
      </c>
      <c r="F54" s="1152">
        <v>1</v>
      </c>
      <c r="G54" s="965">
        <f>20*24*12</f>
        <v>5760</v>
      </c>
      <c r="H54" s="24" t="s">
        <v>26</v>
      </c>
      <c r="I54" s="25">
        <v>88</v>
      </c>
      <c r="J54" s="25">
        <f>I54/5.76</f>
        <v>15.277777777777779</v>
      </c>
      <c r="K54" s="24">
        <f t="shared" si="21"/>
        <v>0.72878546629001562</v>
      </c>
      <c r="L54" s="24">
        <f t="shared" si="22"/>
        <v>7.6560610393364606E-2</v>
      </c>
      <c r="M54" s="24" t="s">
        <v>26</v>
      </c>
      <c r="N54" s="24">
        <f t="shared" si="23"/>
        <v>64.133121033521377</v>
      </c>
      <c r="O54" s="24">
        <f t="shared" si="24"/>
        <v>6.737333714616085</v>
      </c>
      <c r="Q54" s="1"/>
      <c r="AJ54" s="763">
        <v>4</v>
      </c>
      <c r="AK54" s="763" t="s">
        <v>102</v>
      </c>
      <c r="AL54" s="763">
        <f>AW12</f>
        <v>13770</v>
      </c>
      <c r="AM54" s="763">
        <v>0</v>
      </c>
      <c r="AN54" s="763">
        <f>AV12</f>
        <v>92</v>
      </c>
      <c r="AQ54" s="759" t="s">
        <v>585</v>
      </c>
      <c r="AR54" s="759">
        <v>137</v>
      </c>
      <c r="AS54" s="759">
        <v>20660</v>
      </c>
      <c r="AU54" s="764" t="s">
        <v>559</v>
      </c>
      <c r="AV54" s="764">
        <v>21</v>
      </c>
      <c r="AW54" s="764">
        <v>3150</v>
      </c>
    </row>
    <row r="55" spans="1:49" ht="14.25" customHeight="1" x14ac:dyDescent="0.25">
      <c r="A55" s="21" t="s">
        <v>146</v>
      </c>
      <c r="B55" s="21" t="s">
        <v>94</v>
      </c>
      <c r="C55" s="22" t="s">
        <v>14</v>
      </c>
      <c r="D55" s="23">
        <v>0</v>
      </c>
      <c r="E55" s="24">
        <v>152.76923076923094</v>
      </c>
      <c r="F55" s="1152">
        <v>1</v>
      </c>
      <c r="G55" s="965">
        <v>1000</v>
      </c>
      <c r="H55" s="24" t="s">
        <v>45</v>
      </c>
      <c r="I55" s="25">
        <v>12</v>
      </c>
      <c r="J55" s="25">
        <f>I55/(G55/1000)</f>
        <v>12</v>
      </c>
      <c r="K55" s="24">
        <f t="shared" si="21"/>
        <v>0.15276923076923093</v>
      </c>
      <c r="L55" s="24">
        <f t="shared" si="22"/>
        <v>0</v>
      </c>
      <c r="M55" s="24" t="s">
        <v>45</v>
      </c>
      <c r="N55" s="24">
        <f t="shared" si="23"/>
        <v>1.8332307692307712</v>
      </c>
      <c r="O55" s="24">
        <f t="shared" si="24"/>
        <v>0</v>
      </c>
      <c r="Q55" s="1"/>
      <c r="AJ55" s="763">
        <v>4</v>
      </c>
      <c r="AK55" s="763" t="s">
        <v>104</v>
      </c>
      <c r="AL55" s="763">
        <f>AW15</f>
        <v>30010</v>
      </c>
      <c r="AM55" s="763">
        <v>500</v>
      </c>
      <c r="AN55" s="763">
        <f>AV15</f>
        <v>211</v>
      </c>
      <c r="AQ55" s="759" t="s">
        <v>586</v>
      </c>
      <c r="AR55" s="759">
        <v>105</v>
      </c>
      <c r="AS55" s="759">
        <v>14980</v>
      </c>
      <c r="AU55" s="764" t="s">
        <v>651</v>
      </c>
      <c r="AV55" s="764">
        <v>87</v>
      </c>
      <c r="AW55" s="764">
        <v>12780</v>
      </c>
    </row>
    <row r="56" spans="1:49" ht="14.25" customHeight="1" x14ac:dyDescent="0.25">
      <c r="A56" s="21" t="s">
        <v>110</v>
      </c>
      <c r="B56" s="21" t="s">
        <v>94</v>
      </c>
      <c r="C56" s="22" t="s">
        <v>14</v>
      </c>
      <c r="D56" s="23">
        <v>79.297526321622513</v>
      </c>
      <c r="E56" s="24">
        <v>453.19975837886744</v>
      </c>
      <c r="F56" s="1152">
        <v>1</v>
      </c>
      <c r="G56" s="965">
        <v>2724</v>
      </c>
      <c r="H56" s="24" t="s">
        <v>111</v>
      </c>
      <c r="I56" s="25">
        <v>175</v>
      </c>
      <c r="J56" s="25">
        <f>I56/(G56/1000)</f>
        <v>64.243759177679877</v>
      </c>
      <c r="K56" s="24">
        <f t="shared" si="21"/>
        <v>0.16637289220956955</v>
      </c>
      <c r="L56" s="24">
        <f t="shared" si="22"/>
        <v>2.9110692482240276E-2</v>
      </c>
      <c r="M56" s="24" t="s">
        <v>26</v>
      </c>
      <c r="N56" s="24">
        <f t="shared" si="23"/>
        <v>29.11525613667467</v>
      </c>
      <c r="O56" s="24">
        <f t="shared" si="24"/>
        <v>5.0943711843920481</v>
      </c>
      <c r="Q56" s="1"/>
      <c r="AJ56" s="763">
        <v>4</v>
      </c>
      <c r="AK56" s="763" t="s">
        <v>106</v>
      </c>
      <c r="AL56" s="763">
        <f>AW17</f>
        <v>12940</v>
      </c>
      <c r="AM56" s="763">
        <v>0</v>
      </c>
      <c r="AN56" s="763">
        <f>AV17</f>
        <v>86</v>
      </c>
      <c r="AQ56" s="759" t="s">
        <v>561</v>
      </c>
      <c r="AR56" s="759">
        <v>105</v>
      </c>
      <c r="AS56" s="759">
        <v>14980</v>
      </c>
      <c r="AU56" s="764" t="s">
        <v>855</v>
      </c>
      <c r="AV56" s="764">
        <v>172</v>
      </c>
      <c r="AW56" s="764">
        <v>172</v>
      </c>
    </row>
    <row r="57" spans="1:49" ht="14.25" customHeight="1" x14ac:dyDescent="0.25">
      <c r="A57" s="21" t="s">
        <v>113</v>
      </c>
      <c r="B57" s="21" t="s">
        <v>94</v>
      </c>
      <c r="C57" s="22" t="s">
        <v>14</v>
      </c>
      <c r="D57" s="23">
        <v>0</v>
      </c>
      <c r="E57" s="24">
        <v>211.03591308691318</v>
      </c>
      <c r="F57" s="1152">
        <v>1</v>
      </c>
      <c r="G57" s="965">
        <v>1000</v>
      </c>
      <c r="H57" s="24" t="s">
        <v>45</v>
      </c>
      <c r="I57" s="25">
        <v>20</v>
      </c>
      <c r="J57" s="25">
        <f>I57/(G57/1000)</f>
        <v>20</v>
      </c>
      <c r="K57" s="24">
        <f t="shared" si="21"/>
        <v>0.21103591308691319</v>
      </c>
      <c r="L57" s="24">
        <f t="shared" si="22"/>
        <v>0</v>
      </c>
      <c r="M57" s="24" t="s">
        <v>45</v>
      </c>
      <c r="N57" s="24">
        <f t="shared" si="23"/>
        <v>4.2207182617382637</v>
      </c>
      <c r="O57" s="24">
        <f t="shared" si="24"/>
        <v>0</v>
      </c>
      <c r="Q57" s="1"/>
      <c r="AJ57" s="763">
        <v>4</v>
      </c>
      <c r="AK57" s="763" t="s">
        <v>825</v>
      </c>
      <c r="AL57" s="763">
        <f>AW19</f>
        <v>32030</v>
      </c>
      <c r="AM57" s="763">
        <v>500</v>
      </c>
      <c r="AN57" s="763">
        <f>AV19</f>
        <v>229</v>
      </c>
      <c r="AQ57" s="759" t="s">
        <v>587</v>
      </c>
      <c r="AR57" s="759">
        <v>206</v>
      </c>
      <c r="AS57" s="759">
        <v>27680</v>
      </c>
      <c r="AU57" s="764" t="s">
        <v>621</v>
      </c>
      <c r="AV57" s="764">
        <v>41</v>
      </c>
      <c r="AW57" s="764">
        <v>41</v>
      </c>
    </row>
    <row r="58" spans="1:49" ht="14.25" customHeight="1" x14ac:dyDescent="0.25">
      <c r="A58" s="21" t="s">
        <v>93</v>
      </c>
      <c r="B58" s="21" t="s">
        <v>94</v>
      </c>
      <c r="C58" s="22" t="s">
        <v>14</v>
      </c>
      <c r="D58" s="23">
        <v>1568.095888978298</v>
      </c>
      <c r="E58" s="24">
        <v>7456.4997532161951</v>
      </c>
      <c r="F58" s="1152">
        <v>1</v>
      </c>
      <c r="G58" s="965">
        <v>50000</v>
      </c>
      <c r="H58" s="24" t="s">
        <v>95</v>
      </c>
      <c r="I58" s="25">
        <v>37</v>
      </c>
      <c r="J58" s="25">
        <f>I58/(G58/1000)</f>
        <v>0.74</v>
      </c>
      <c r="K58" s="24">
        <f t="shared" si="21"/>
        <v>0.14912999506432389</v>
      </c>
      <c r="L58" s="24">
        <f t="shared" si="22"/>
        <v>3.1361917779565963E-2</v>
      </c>
      <c r="M58" s="24" t="s">
        <v>45</v>
      </c>
      <c r="N58" s="24">
        <f t="shared" si="23"/>
        <v>5.5178098173799839</v>
      </c>
      <c r="O58" s="24">
        <f t="shared" si="24"/>
        <v>1.1603909578439406</v>
      </c>
      <c r="AJ58" s="763">
        <v>4</v>
      </c>
      <c r="AK58" s="763" t="s">
        <v>109</v>
      </c>
      <c r="AL58" s="763">
        <f>AW20</f>
        <v>32030</v>
      </c>
      <c r="AM58" s="763">
        <v>500</v>
      </c>
      <c r="AN58" s="763">
        <f>AV20</f>
        <v>229</v>
      </c>
      <c r="AQ58" s="759" t="s">
        <v>570</v>
      </c>
      <c r="AR58" s="759">
        <v>192</v>
      </c>
      <c r="AS58" s="759">
        <v>25580</v>
      </c>
    </row>
    <row r="59" spans="1:49" ht="14.25" customHeight="1" x14ac:dyDescent="0.25">
      <c r="A59" s="21" t="s">
        <v>129</v>
      </c>
      <c r="B59" s="21" t="s">
        <v>94</v>
      </c>
      <c r="C59" s="22" t="s">
        <v>14</v>
      </c>
      <c r="D59" s="23">
        <v>3.7869230769230806</v>
      </c>
      <c r="E59" s="24">
        <v>36.144396079413454</v>
      </c>
      <c r="F59" s="1152">
        <v>1</v>
      </c>
      <c r="G59" s="965">
        <v>1000</v>
      </c>
      <c r="H59" s="24" t="s">
        <v>45</v>
      </c>
      <c r="I59" s="25">
        <v>31.5</v>
      </c>
      <c r="J59" s="25">
        <f>I59</f>
        <v>31.5</v>
      </c>
      <c r="K59" s="24">
        <f t="shared" si="21"/>
        <v>3.6144396079413457E-2</v>
      </c>
      <c r="L59" s="24">
        <f t="shared" si="22"/>
        <v>3.7869230769230805E-3</v>
      </c>
      <c r="M59" s="24" t="s">
        <v>45</v>
      </c>
      <c r="N59" s="24">
        <f t="shared" si="23"/>
        <v>1.1385484765015239</v>
      </c>
      <c r="O59" s="24">
        <f t="shared" si="24"/>
        <v>0.11928807692307704</v>
      </c>
      <c r="AJ59" s="763">
        <v>4</v>
      </c>
      <c r="AK59" s="763" t="s">
        <v>475</v>
      </c>
      <c r="AL59" s="763">
        <f>AW21</f>
        <v>19150</v>
      </c>
      <c r="AM59" s="763">
        <v>500</v>
      </c>
      <c r="AN59" s="763">
        <f>AV21</f>
        <v>130</v>
      </c>
      <c r="AQ59" s="759" t="s">
        <v>559</v>
      </c>
      <c r="AR59" s="759">
        <v>14</v>
      </c>
      <c r="AS59" s="759">
        <v>2100</v>
      </c>
      <c r="AU59" s="765" t="s">
        <v>717</v>
      </c>
      <c r="AV59" s="765">
        <v>99</v>
      </c>
      <c r="AW59" s="765">
        <v>99</v>
      </c>
    </row>
    <row r="60" spans="1:49" ht="14.25" customHeight="1" x14ac:dyDescent="0.25">
      <c r="A60" s="21" t="s">
        <v>118</v>
      </c>
      <c r="B60" s="21" t="s">
        <v>94</v>
      </c>
      <c r="C60" s="22" t="s">
        <v>14</v>
      </c>
      <c r="D60" s="23">
        <v>0</v>
      </c>
      <c r="E60" s="24">
        <v>217.63662032203391</v>
      </c>
      <c r="F60" s="1152">
        <v>1</v>
      </c>
      <c r="G60" s="965">
        <v>1000</v>
      </c>
      <c r="H60" s="24" t="s">
        <v>45</v>
      </c>
      <c r="I60" s="25">
        <v>15</v>
      </c>
      <c r="J60" s="25">
        <f>I60/(G60/1000)</f>
        <v>15</v>
      </c>
      <c r="K60" s="24">
        <f t="shared" si="21"/>
        <v>0.2176366203220339</v>
      </c>
      <c r="L60" s="24">
        <f t="shared" si="22"/>
        <v>0</v>
      </c>
      <c r="M60" s="24" t="s">
        <v>45</v>
      </c>
      <c r="N60" s="24">
        <f t="shared" si="23"/>
        <v>3.2645493048305085</v>
      </c>
      <c r="O60" s="24">
        <f t="shared" si="24"/>
        <v>0</v>
      </c>
      <c r="AJ60" s="763">
        <v>4</v>
      </c>
      <c r="AK60" s="763" t="s">
        <v>112</v>
      </c>
      <c r="AL60" s="763">
        <f>AW23</f>
        <v>17580</v>
      </c>
      <c r="AM60" s="763">
        <v>500</v>
      </c>
      <c r="AN60" s="763">
        <f>AV23</f>
        <v>131</v>
      </c>
      <c r="AQ60" s="759" t="s">
        <v>588</v>
      </c>
      <c r="AR60" s="759">
        <v>182</v>
      </c>
      <c r="AS60" s="759">
        <v>27950</v>
      </c>
      <c r="AU60" s="765" t="s">
        <v>644</v>
      </c>
      <c r="AV60" s="765">
        <v>52</v>
      </c>
      <c r="AW60" s="765">
        <v>52</v>
      </c>
    </row>
    <row r="61" spans="1:49" ht="14.25" customHeight="1" x14ac:dyDescent="0.25">
      <c r="A61" s="21" t="s">
        <v>893</v>
      </c>
      <c r="B61" s="21" t="s">
        <v>94</v>
      </c>
      <c r="C61" s="22" t="s">
        <v>14</v>
      </c>
      <c r="D61" s="23">
        <v>0</v>
      </c>
      <c r="E61" s="24">
        <v>284.625</v>
      </c>
      <c r="F61" s="1152">
        <v>1</v>
      </c>
      <c r="G61" s="965">
        <v>1000</v>
      </c>
      <c r="H61" s="24" t="s">
        <v>45</v>
      </c>
      <c r="I61" s="25">
        <v>42</v>
      </c>
      <c r="J61" s="25">
        <f>I61/(G61/1000)</f>
        <v>42</v>
      </c>
      <c r="K61" s="24">
        <f t="shared" si="21"/>
        <v>0.28462500000000002</v>
      </c>
      <c r="L61" s="24">
        <f t="shared" si="22"/>
        <v>0</v>
      </c>
      <c r="M61" s="24"/>
      <c r="N61" s="24">
        <f t="shared" si="23"/>
        <v>11.95425</v>
      </c>
      <c r="O61" s="24">
        <f t="shared" si="24"/>
        <v>0</v>
      </c>
      <c r="AJ61" s="763">
        <v>4</v>
      </c>
      <c r="AK61" s="763" t="s">
        <v>114</v>
      </c>
      <c r="AL61" s="763">
        <f>AW24</f>
        <v>17580</v>
      </c>
      <c r="AM61" s="763">
        <v>500</v>
      </c>
      <c r="AN61" s="763">
        <f>AV24</f>
        <v>131</v>
      </c>
      <c r="AQ61" s="759" t="s">
        <v>559</v>
      </c>
      <c r="AR61" s="759">
        <v>17</v>
      </c>
      <c r="AS61" s="759">
        <v>2550</v>
      </c>
      <c r="AU61" s="765" t="s">
        <v>645</v>
      </c>
      <c r="AV61" s="765">
        <v>169</v>
      </c>
      <c r="AW61" s="765">
        <v>24890</v>
      </c>
    </row>
    <row r="62" spans="1:49" ht="14.25" customHeight="1" x14ac:dyDescent="0.25">
      <c r="A62" s="21" t="s">
        <v>101</v>
      </c>
      <c r="B62" s="21" t="s">
        <v>94</v>
      </c>
      <c r="C62" s="22" t="s">
        <v>14</v>
      </c>
      <c r="D62" s="23">
        <v>65.550326351865962</v>
      </c>
      <c r="E62" s="24">
        <v>383.4182637331416</v>
      </c>
      <c r="F62" s="1152">
        <v>1</v>
      </c>
      <c r="G62" s="965">
        <v>1000</v>
      </c>
      <c r="H62" s="24" t="s">
        <v>45</v>
      </c>
      <c r="I62" s="25">
        <v>47</v>
      </c>
      <c r="J62" s="25">
        <f>I62/(G62/1000)</f>
        <v>47</v>
      </c>
      <c r="K62" s="24">
        <f t="shared" si="21"/>
        <v>0.38341826373314158</v>
      </c>
      <c r="L62" s="24">
        <f t="shared" si="22"/>
        <v>6.5550326351865959E-2</v>
      </c>
      <c r="M62" s="24" t="s">
        <v>45</v>
      </c>
      <c r="N62" s="24">
        <f t="shared" si="23"/>
        <v>18.020658395457655</v>
      </c>
      <c r="O62" s="24">
        <f t="shared" si="24"/>
        <v>3.0808653385377003</v>
      </c>
      <c r="AJ62" s="763">
        <v>4</v>
      </c>
      <c r="AK62" s="763" t="s">
        <v>117</v>
      </c>
      <c r="AL62" s="763">
        <f>AW25+AW3</f>
        <v>103</v>
      </c>
      <c r="AM62" s="763">
        <v>5</v>
      </c>
      <c r="AN62" s="763">
        <f>AV25+AV3</f>
        <v>103</v>
      </c>
      <c r="AQ62" s="759" t="s">
        <v>568</v>
      </c>
      <c r="AR62" s="759">
        <v>165</v>
      </c>
      <c r="AS62" s="759">
        <v>25400</v>
      </c>
      <c r="AU62" s="765" t="s">
        <v>559</v>
      </c>
      <c r="AV62" s="765">
        <v>24</v>
      </c>
      <c r="AW62" s="765">
        <v>3600</v>
      </c>
    </row>
    <row r="63" spans="1:49" ht="14.25" customHeight="1" x14ac:dyDescent="0.25">
      <c r="AJ63" s="763">
        <v>4</v>
      </c>
      <c r="AK63" s="763" t="s">
        <v>898</v>
      </c>
      <c r="AL63" s="763">
        <f>AV27</f>
        <v>152</v>
      </c>
      <c r="AM63" s="763">
        <v>5</v>
      </c>
      <c r="AN63" s="763">
        <f>AW27</f>
        <v>152</v>
      </c>
      <c r="AQ63" s="759" t="s">
        <v>834</v>
      </c>
      <c r="AR63" s="759">
        <v>168</v>
      </c>
      <c r="AS63" s="759">
        <v>24100</v>
      </c>
      <c r="AU63" s="765" t="s">
        <v>646</v>
      </c>
      <c r="AV63" s="765">
        <v>145</v>
      </c>
      <c r="AW63" s="765">
        <v>21290</v>
      </c>
    </row>
    <row r="64" spans="1:49" ht="14.25" customHeight="1" x14ac:dyDescent="0.25">
      <c r="A64" s="47" t="s">
        <v>215</v>
      </c>
      <c r="B64" s="47" t="s">
        <v>213</v>
      </c>
      <c r="C64" s="48" t="s">
        <v>14</v>
      </c>
      <c r="D64" s="49">
        <v>0</v>
      </c>
      <c r="E64" s="50">
        <v>9.5961664948453613</v>
      </c>
      <c r="F64" s="51">
        <v>1</v>
      </c>
      <c r="G64" s="52">
        <v>100</v>
      </c>
      <c r="H64" s="52" t="s">
        <v>66</v>
      </c>
      <c r="I64" s="917">
        <v>4</v>
      </c>
      <c r="J64" s="917">
        <f>I64/0.1</f>
        <v>40</v>
      </c>
      <c r="K64" s="52">
        <f>(E64/F64)/G64</f>
        <v>9.5961664948453609E-2</v>
      </c>
      <c r="L64" s="52">
        <f>(D64/F64)/G64</f>
        <v>0</v>
      </c>
      <c r="M64" s="52" t="s">
        <v>42</v>
      </c>
      <c r="N64" s="52">
        <f>K64*I64</f>
        <v>0.38384665979381444</v>
      </c>
      <c r="O64" s="52">
        <f>L64*I64</f>
        <v>0</v>
      </c>
      <c r="AJ64" s="763">
        <v>4</v>
      </c>
      <c r="AK64" s="763" t="s">
        <v>899</v>
      </c>
      <c r="AL64" s="763">
        <f>AW26</f>
        <v>23190</v>
      </c>
      <c r="AM64" s="763">
        <v>1500</v>
      </c>
      <c r="AN64" s="763">
        <f>AV26</f>
        <v>157</v>
      </c>
      <c r="AQ64" s="759" t="s">
        <v>559</v>
      </c>
      <c r="AR64" s="759">
        <v>26</v>
      </c>
      <c r="AS64" s="759">
        <v>3900</v>
      </c>
      <c r="AU64" s="765" t="s">
        <v>647</v>
      </c>
      <c r="AV64" s="765">
        <v>254</v>
      </c>
      <c r="AW64" s="765">
        <v>36690</v>
      </c>
    </row>
    <row r="65" spans="1:49" ht="14.25" customHeight="1" x14ac:dyDescent="0.25">
      <c r="A65" s="47" t="s">
        <v>217</v>
      </c>
      <c r="B65" s="47" t="s">
        <v>213</v>
      </c>
      <c r="C65" s="48" t="s">
        <v>14</v>
      </c>
      <c r="D65" s="49">
        <v>0</v>
      </c>
      <c r="E65" s="50">
        <v>79.665096807953987</v>
      </c>
      <c r="F65" s="51">
        <v>1</v>
      </c>
      <c r="G65" s="52">
        <v>10000</v>
      </c>
      <c r="H65" s="52" t="s">
        <v>764</v>
      </c>
      <c r="I65" s="917">
        <v>60</v>
      </c>
      <c r="J65" s="917">
        <f>I65/20</f>
        <v>3</v>
      </c>
      <c r="K65" s="52">
        <f>(E65/F65)/G65</f>
        <v>7.9665096807953993E-3</v>
      </c>
      <c r="L65" s="52">
        <f>(D65/F65)/G65</f>
        <v>0</v>
      </c>
      <c r="M65" s="52" t="s">
        <v>766</v>
      </c>
      <c r="N65" s="52">
        <f>K65*I65</f>
        <v>0.47799058084772394</v>
      </c>
      <c r="O65" s="52">
        <f>L65*I65</f>
        <v>0</v>
      </c>
      <c r="AJ65" s="763">
        <v>4</v>
      </c>
      <c r="AK65" s="763" t="s">
        <v>900</v>
      </c>
      <c r="AL65" s="763">
        <f>AW26</f>
        <v>23190</v>
      </c>
      <c r="AM65" s="763">
        <v>1000</v>
      </c>
      <c r="AN65" s="763">
        <f>AV26</f>
        <v>157</v>
      </c>
      <c r="AQ65" s="759" t="s">
        <v>589</v>
      </c>
      <c r="AR65" s="759">
        <v>142</v>
      </c>
      <c r="AS65" s="759">
        <v>20200</v>
      </c>
      <c r="AU65" s="765" t="s">
        <v>570</v>
      </c>
      <c r="AV65" s="765">
        <v>238</v>
      </c>
      <c r="AW65" s="765">
        <v>34290</v>
      </c>
    </row>
    <row r="66" spans="1:49" ht="14.25" customHeight="1" x14ac:dyDescent="0.25">
      <c r="A66" s="47" t="s">
        <v>214</v>
      </c>
      <c r="B66" s="47" t="s">
        <v>213</v>
      </c>
      <c r="C66" s="48" t="s">
        <v>14</v>
      </c>
      <c r="D66" s="49">
        <v>61.515803167420827</v>
      </c>
      <c r="E66" s="50">
        <v>290.93873434702385</v>
      </c>
      <c r="F66" s="51">
        <v>1</v>
      </c>
      <c r="G66" s="52">
        <v>100</v>
      </c>
      <c r="H66" s="52" t="s">
        <v>731</v>
      </c>
      <c r="I66" s="917">
        <v>3.5</v>
      </c>
      <c r="J66" s="917">
        <f>I66/(G66/1000)</f>
        <v>35</v>
      </c>
      <c r="K66" s="52">
        <f>(E66/F66)/G66</f>
        <v>2.9093873434702386</v>
      </c>
      <c r="L66" s="52">
        <f>(D66/F66)/G66</f>
        <v>0.61515803167420824</v>
      </c>
      <c r="M66" s="52" t="s">
        <v>765</v>
      </c>
      <c r="N66" s="52">
        <f>K66*I66</f>
        <v>10.182855702145835</v>
      </c>
      <c r="O66" s="52">
        <f>L66*I66</f>
        <v>2.1530531108597288</v>
      </c>
      <c r="AJ66" s="763">
        <v>4</v>
      </c>
      <c r="AK66" s="763" t="s">
        <v>892</v>
      </c>
      <c r="AL66" s="763">
        <f>AW26</f>
        <v>23190</v>
      </c>
      <c r="AM66" s="763">
        <v>1000</v>
      </c>
      <c r="AN66" s="763">
        <f>AV26</f>
        <v>157</v>
      </c>
      <c r="AQ66" s="759" t="s">
        <v>590</v>
      </c>
      <c r="AR66" s="759">
        <v>167</v>
      </c>
      <c r="AS66" s="759">
        <v>25320</v>
      </c>
      <c r="AU66" s="765" t="s">
        <v>559</v>
      </c>
      <c r="AV66" s="765">
        <v>16</v>
      </c>
      <c r="AW66" s="765">
        <v>2400</v>
      </c>
    </row>
    <row r="67" spans="1:49" ht="14.25" customHeight="1" x14ac:dyDescent="0.25">
      <c r="A67" s="47" t="s">
        <v>216</v>
      </c>
      <c r="B67" s="47" t="s">
        <v>213</v>
      </c>
      <c r="C67" s="48" t="s">
        <v>14</v>
      </c>
      <c r="D67" s="49">
        <v>0</v>
      </c>
      <c r="E67" s="50">
        <v>216.23453608247419</v>
      </c>
      <c r="F67" s="51">
        <v>1</v>
      </c>
      <c r="G67" s="52">
        <v>1000</v>
      </c>
      <c r="H67" s="52" t="s">
        <v>45</v>
      </c>
      <c r="I67" s="917">
        <v>5</v>
      </c>
      <c r="J67" s="917">
        <f>I67/1</f>
        <v>5</v>
      </c>
      <c r="K67" s="52">
        <f>(E67/F67)/G67</f>
        <v>0.2162345360824742</v>
      </c>
      <c r="L67" s="52">
        <f>(D67/F67)/G67</f>
        <v>0</v>
      </c>
      <c r="M67" s="52" t="s">
        <v>45</v>
      </c>
      <c r="N67" s="52">
        <f>K67*I67</f>
        <v>1.0811726804123709</v>
      </c>
      <c r="O67" s="52">
        <f>L67*I67</f>
        <v>0</v>
      </c>
      <c r="AJ67" s="763">
        <v>4</v>
      </c>
      <c r="AK67" s="763" t="s">
        <v>119</v>
      </c>
      <c r="AL67" s="763">
        <f>AW6</f>
        <v>20110</v>
      </c>
      <c r="AM67" s="763">
        <v>0</v>
      </c>
      <c r="AN67" s="763">
        <f>AV6</f>
        <v>139</v>
      </c>
      <c r="AQ67" s="759" t="s">
        <v>570</v>
      </c>
      <c r="AR67" s="759">
        <v>167</v>
      </c>
      <c r="AS67" s="759">
        <v>25320</v>
      </c>
      <c r="AU67" s="765" t="s">
        <v>648</v>
      </c>
      <c r="AV67" s="765">
        <v>136</v>
      </c>
      <c r="AW67" s="765">
        <v>20040</v>
      </c>
    </row>
    <row r="68" spans="1:49" ht="14.25" customHeight="1" x14ac:dyDescent="0.25">
      <c r="A68" s="47" t="s">
        <v>888</v>
      </c>
      <c r="B68" s="47" t="s">
        <v>213</v>
      </c>
      <c r="C68" s="48" t="s">
        <v>14</v>
      </c>
      <c r="D68" s="49">
        <v>0</v>
      </c>
      <c r="E68" s="50">
        <v>170</v>
      </c>
      <c r="F68" s="51">
        <v>1</v>
      </c>
      <c r="G68" s="52">
        <v>1000</v>
      </c>
      <c r="H68" s="52" t="s">
        <v>227</v>
      </c>
      <c r="I68" s="917">
        <v>10</v>
      </c>
      <c r="J68" s="917">
        <f>I68/(G68/1000)</f>
        <v>10</v>
      </c>
      <c r="K68" s="52">
        <f t="shared" ref="K68" si="26">(E68/F68)/G68</f>
        <v>0.17</v>
      </c>
      <c r="L68" s="52">
        <f t="shared" ref="L68" si="27">(D68/F68)/G68</f>
        <v>0</v>
      </c>
      <c r="M68" s="52" t="s">
        <v>227</v>
      </c>
      <c r="N68" s="52">
        <f t="shared" ref="N68" si="28">K68*I68</f>
        <v>1.7000000000000002</v>
      </c>
      <c r="O68" s="52">
        <f t="shared" ref="O68" si="29">L68*I68</f>
        <v>0</v>
      </c>
      <c r="AJ68" s="763">
        <v>4</v>
      </c>
      <c r="AK68" s="763" t="s">
        <v>121</v>
      </c>
      <c r="AL68" s="763">
        <f>AW5+AW9+AW13</f>
        <v>10500</v>
      </c>
      <c r="AM68" s="763">
        <v>0</v>
      </c>
      <c r="AN68" s="763">
        <f>AV5+AV9+AV13</f>
        <v>70</v>
      </c>
      <c r="AQ68" s="759" t="s">
        <v>591</v>
      </c>
      <c r="AR68" s="759">
        <v>228</v>
      </c>
      <c r="AS68" s="759">
        <v>31550</v>
      </c>
      <c r="AU68" s="765" t="s">
        <v>559</v>
      </c>
      <c r="AV68" s="765">
        <v>15</v>
      </c>
      <c r="AW68" s="765">
        <v>2250</v>
      </c>
    </row>
    <row r="69" spans="1:49" ht="14.25" customHeight="1" x14ac:dyDescent="0.25">
      <c r="A69" s="47" t="s">
        <v>837</v>
      </c>
      <c r="B69" s="47" t="s">
        <v>213</v>
      </c>
      <c r="C69" s="48" t="s">
        <v>14</v>
      </c>
      <c r="D69" s="49">
        <v>172.25132918552038</v>
      </c>
      <c r="E69" s="50">
        <v>386.8099307852674</v>
      </c>
      <c r="F69" s="51">
        <v>1</v>
      </c>
      <c r="G69" s="52">
        <v>100</v>
      </c>
      <c r="H69" s="52" t="s">
        <v>731</v>
      </c>
      <c r="I69" s="917">
        <v>2.25</v>
      </c>
      <c r="J69" s="917">
        <f>I69/(G69/1000)</f>
        <v>22.5</v>
      </c>
      <c r="K69" s="52">
        <f>(E69/F69)/G69</f>
        <v>3.868099307852674</v>
      </c>
      <c r="L69" s="52">
        <f>(D69/F69)/G69</f>
        <v>1.7225132918552037</v>
      </c>
      <c r="M69" s="52" t="s">
        <v>765</v>
      </c>
      <c r="N69" s="52">
        <f>K69*I69</f>
        <v>8.7032234426685164</v>
      </c>
      <c r="O69" s="52">
        <f>L69*I69</f>
        <v>3.8756549066742085</v>
      </c>
      <c r="AJ69" s="763">
        <v>4</v>
      </c>
      <c r="AK69" s="763" t="s">
        <v>902</v>
      </c>
      <c r="AL69" s="763">
        <f>AW55</f>
        <v>12780</v>
      </c>
      <c r="AM69" s="763">
        <v>0</v>
      </c>
      <c r="AN69" s="763">
        <f>AV55</f>
        <v>87</v>
      </c>
      <c r="AQ69" s="759" t="s">
        <v>592</v>
      </c>
      <c r="AR69" s="759">
        <v>228</v>
      </c>
      <c r="AS69" s="759">
        <v>31550</v>
      </c>
      <c r="AU69" s="765" t="s">
        <v>649</v>
      </c>
      <c r="AV69" s="765">
        <v>121</v>
      </c>
      <c r="AW69" s="765">
        <v>17790</v>
      </c>
    </row>
    <row r="70" spans="1:49" ht="14.25" customHeight="1" x14ac:dyDescent="0.25">
      <c r="AJ70" s="764">
        <v>5</v>
      </c>
      <c r="AK70" s="764" t="s">
        <v>123</v>
      </c>
      <c r="AL70" s="764">
        <f>AW31</f>
        <v>13610</v>
      </c>
      <c r="AM70" s="764">
        <v>1000</v>
      </c>
      <c r="AN70" s="764">
        <f>AV31</f>
        <v>92</v>
      </c>
      <c r="AQ70" s="759" t="s">
        <v>593</v>
      </c>
      <c r="AR70" s="759">
        <v>92</v>
      </c>
      <c r="AS70" s="759">
        <v>13670</v>
      </c>
      <c r="AU70" s="765" t="s">
        <v>650</v>
      </c>
      <c r="AV70" s="765">
        <v>104</v>
      </c>
      <c r="AW70" s="765">
        <v>14490</v>
      </c>
    </row>
    <row r="71" spans="1:49" ht="14.25" customHeight="1" x14ac:dyDescent="0.25">
      <c r="A71" s="945" t="s">
        <v>478</v>
      </c>
      <c r="B71" s="945" t="s">
        <v>479</v>
      </c>
      <c r="C71" s="946" t="s">
        <v>14</v>
      </c>
      <c r="D71" s="947">
        <v>0</v>
      </c>
      <c r="E71" s="948">
        <v>2082.5</v>
      </c>
      <c r="F71" s="949">
        <v>1</v>
      </c>
      <c r="G71" s="950">
        <f>12*400</f>
        <v>4800</v>
      </c>
      <c r="H71" s="950" t="s">
        <v>734</v>
      </c>
      <c r="I71" s="951">
        <v>80</v>
      </c>
      <c r="J71" s="951">
        <f t="shared" ref="J71:J77" si="30">I71/(G71/1000)</f>
        <v>16.666666666666668</v>
      </c>
      <c r="K71" s="950">
        <v>5.3362865497076024</v>
      </c>
      <c r="L71" s="950">
        <v>0</v>
      </c>
      <c r="M71" s="950" t="s">
        <v>45</v>
      </c>
      <c r="N71" s="950">
        <v>0</v>
      </c>
      <c r="O71" s="950">
        <v>0</v>
      </c>
      <c r="AJ71" s="764">
        <v>5</v>
      </c>
      <c r="AK71" s="764" t="s">
        <v>125</v>
      </c>
      <c r="AL71" s="764">
        <f>AW34</f>
        <v>31050</v>
      </c>
      <c r="AM71" s="764">
        <v>1000</v>
      </c>
      <c r="AN71" s="764">
        <f>AV34</f>
        <v>214</v>
      </c>
      <c r="AQ71" s="759" t="s">
        <v>561</v>
      </c>
      <c r="AR71" s="759">
        <v>92</v>
      </c>
      <c r="AS71" s="759">
        <v>13670</v>
      </c>
      <c r="AU71" s="765" t="s">
        <v>559</v>
      </c>
      <c r="AV71" s="765">
        <v>15</v>
      </c>
      <c r="AW71" s="765">
        <v>2250</v>
      </c>
    </row>
    <row r="72" spans="1:49" ht="14.25" customHeight="1" x14ac:dyDescent="0.25">
      <c r="A72" s="945" t="s">
        <v>699</v>
      </c>
      <c r="B72" s="945" t="s">
        <v>479</v>
      </c>
      <c r="C72" s="946" t="s">
        <v>14</v>
      </c>
      <c r="D72" s="947">
        <v>0</v>
      </c>
      <c r="E72" s="948">
        <v>8101.8144329896895</v>
      </c>
      <c r="F72" s="949">
        <v>1</v>
      </c>
      <c r="G72" s="950">
        <f>20*400</f>
        <v>8000</v>
      </c>
      <c r="H72" s="950" t="s">
        <v>25</v>
      </c>
      <c r="I72" s="951">
        <v>33</v>
      </c>
      <c r="J72" s="951">
        <f t="shared" si="30"/>
        <v>4.125</v>
      </c>
      <c r="K72" s="950">
        <v>1.4916494845360828</v>
      </c>
      <c r="L72" s="950">
        <v>0</v>
      </c>
      <c r="M72" s="950" t="s">
        <v>26</v>
      </c>
      <c r="N72" s="950">
        <v>49.224432989690733</v>
      </c>
      <c r="O72" s="950">
        <v>0</v>
      </c>
      <c r="AJ72" s="764">
        <v>5</v>
      </c>
      <c r="AK72" s="764" t="s">
        <v>127</v>
      </c>
      <c r="AL72" s="764">
        <f>AW42</f>
        <v>16130</v>
      </c>
      <c r="AM72" s="764">
        <v>1000</v>
      </c>
      <c r="AN72" s="764">
        <f>AV42</f>
        <v>116</v>
      </c>
      <c r="AQ72" s="759" t="s">
        <v>573</v>
      </c>
      <c r="AR72" s="759">
        <v>88</v>
      </c>
      <c r="AS72" s="759">
        <v>13040</v>
      </c>
      <c r="AU72" s="765" t="s">
        <v>651</v>
      </c>
      <c r="AV72" s="765">
        <v>89</v>
      </c>
      <c r="AW72" s="765">
        <v>12240</v>
      </c>
    </row>
    <row r="73" spans="1:49" ht="14.25" customHeight="1" x14ac:dyDescent="0.25">
      <c r="A73" s="945" t="s">
        <v>700</v>
      </c>
      <c r="B73" s="945" t="s">
        <v>479</v>
      </c>
      <c r="C73" s="946" t="s">
        <v>14</v>
      </c>
      <c r="D73" s="947">
        <v>8958.8987854251009</v>
      </c>
      <c r="E73" s="948">
        <v>8958.8987854251009</v>
      </c>
      <c r="F73" s="949">
        <v>1</v>
      </c>
      <c r="G73" s="950">
        <f>20*400</f>
        <v>8000</v>
      </c>
      <c r="H73" s="950" t="s">
        <v>25</v>
      </c>
      <c r="I73" s="951">
        <v>130</v>
      </c>
      <c r="J73" s="951">
        <f t="shared" si="30"/>
        <v>16.25</v>
      </c>
      <c r="K73" s="950">
        <v>1.4117287449392715</v>
      </c>
      <c r="L73" s="950">
        <v>0</v>
      </c>
      <c r="M73" s="950" t="s">
        <v>26</v>
      </c>
      <c r="N73" s="950">
        <v>22.940592105263161</v>
      </c>
      <c r="O73" s="950">
        <v>0</v>
      </c>
      <c r="AJ73" s="764">
        <v>5</v>
      </c>
      <c r="AK73" s="764" t="s">
        <v>826</v>
      </c>
      <c r="AL73" s="764">
        <f>AW39</f>
        <v>26030</v>
      </c>
      <c r="AM73" s="764">
        <v>1000</v>
      </c>
      <c r="AN73" s="764">
        <f>AV39</f>
        <v>185</v>
      </c>
      <c r="AQ73" s="759" t="s">
        <v>561</v>
      </c>
      <c r="AR73" s="759">
        <v>88</v>
      </c>
      <c r="AS73" s="759">
        <v>13040</v>
      </c>
      <c r="AU73" s="765" t="s">
        <v>652</v>
      </c>
      <c r="AV73" s="765">
        <v>255</v>
      </c>
      <c r="AW73" s="765">
        <v>35270</v>
      </c>
    </row>
    <row r="74" spans="1:49" ht="14.25" customHeight="1" x14ac:dyDescent="0.25">
      <c r="A74" s="945" t="s">
        <v>696</v>
      </c>
      <c r="B74" s="945" t="s">
        <v>479</v>
      </c>
      <c r="C74" s="946" t="s">
        <v>14</v>
      </c>
      <c r="D74" s="947">
        <v>357</v>
      </c>
      <c r="E74" s="948">
        <v>357</v>
      </c>
      <c r="F74" s="949">
        <v>1</v>
      </c>
      <c r="G74" s="950">
        <v>1000</v>
      </c>
      <c r="H74" s="950" t="s">
        <v>227</v>
      </c>
      <c r="I74" s="951">
        <v>8</v>
      </c>
      <c r="J74" s="951">
        <f t="shared" si="30"/>
        <v>8</v>
      </c>
      <c r="K74" s="950">
        <v>1.4117287449392715</v>
      </c>
      <c r="L74" s="950">
        <v>0</v>
      </c>
      <c r="M74" s="950" t="s">
        <v>26</v>
      </c>
      <c r="N74" s="950">
        <v>22.940592105263161</v>
      </c>
      <c r="O74" s="950">
        <v>0</v>
      </c>
      <c r="AJ74" s="764">
        <v>5</v>
      </c>
      <c r="AK74" s="764" t="s">
        <v>130</v>
      </c>
      <c r="AL74" s="764">
        <f>AW45</f>
        <v>12820</v>
      </c>
      <c r="AM74" s="764">
        <v>1000</v>
      </c>
      <c r="AN74" s="764">
        <f>AV45</f>
        <v>92</v>
      </c>
      <c r="AQ74" s="759" t="s">
        <v>594</v>
      </c>
      <c r="AR74" s="759">
        <v>50</v>
      </c>
      <c r="AS74" s="759">
        <v>50</v>
      </c>
      <c r="AU74" s="765" t="s">
        <v>559</v>
      </c>
      <c r="AV74" s="765">
        <v>18</v>
      </c>
      <c r="AW74" s="765">
        <v>2700</v>
      </c>
    </row>
    <row r="75" spans="1:49" ht="14.25" customHeight="1" x14ac:dyDescent="0.25">
      <c r="A75" s="945" t="s">
        <v>526</v>
      </c>
      <c r="B75" s="945" t="s">
        <v>479</v>
      </c>
      <c r="C75" s="946" t="s">
        <v>14</v>
      </c>
      <c r="D75" s="947">
        <v>0</v>
      </c>
      <c r="E75" s="948">
        <v>894.26159999999993</v>
      </c>
      <c r="F75" s="949">
        <v>1</v>
      </c>
      <c r="G75" s="950">
        <f>24*400</f>
        <v>9600</v>
      </c>
      <c r="H75" s="950" t="s">
        <v>735</v>
      </c>
      <c r="I75" s="951">
        <v>80</v>
      </c>
      <c r="J75" s="951">
        <f t="shared" si="30"/>
        <v>8.3333333333333339</v>
      </c>
      <c r="K75" s="950">
        <v>1.4117287449392715</v>
      </c>
      <c r="L75" s="950">
        <v>0</v>
      </c>
      <c r="M75" s="950" t="s">
        <v>26</v>
      </c>
      <c r="N75" s="950">
        <v>22.940592105263161</v>
      </c>
      <c r="O75" s="950">
        <v>0</v>
      </c>
      <c r="AJ75" s="764">
        <v>5</v>
      </c>
      <c r="AK75" s="764" t="s">
        <v>132</v>
      </c>
      <c r="AL75" s="764">
        <f>AW37</f>
        <v>15840</v>
      </c>
      <c r="AM75" s="764">
        <v>1000</v>
      </c>
      <c r="AN75" s="764">
        <f>AV37</f>
        <v>107</v>
      </c>
      <c r="AQ75" s="759" t="s">
        <v>880</v>
      </c>
      <c r="AR75" s="759">
        <v>172</v>
      </c>
      <c r="AS75" s="759">
        <v>172</v>
      </c>
      <c r="AU75" s="765" t="s">
        <v>566</v>
      </c>
      <c r="AV75" s="765">
        <v>237</v>
      </c>
      <c r="AW75" s="765">
        <v>32570</v>
      </c>
    </row>
    <row r="76" spans="1:49" ht="14.25" customHeight="1" x14ac:dyDescent="0.25">
      <c r="A76" s="945" t="s">
        <v>525</v>
      </c>
      <c r="B76" s="945" t="s">
        <v>479</v>
      </c>
      <c r="C76" s="946" t="s">
        <v>14</v>
      </c>
      <c r="D76" s="947">
        <v>2225.9903949166946</v>
      </c>
      <c r="E76" s="948">
        <v>8187.902894916695</v>
      </c>
      <c r="F76" s="949">
        <v>1</v>
      </c>
      <c r="G76" s="950">
        <f>2125*6</f>
        <v>12750</v>
      </c>
      <c r="H76" s="950" t="s">
        <v>218</v>
      </c>
      <c r="I76" s="951">
        <v>130</v>
      </c>
      <c r="J76" s="951">
        <f t="shared" si="30"/>
        <v>10.196078431372548</v>
      </c>
      <c r="K76" s="950">
        <v>1.4117287449392715</v>
      </c>
      <c r="L76" s="950">
        <v>0</v>
      </c>
      <c r="M76" s="950" t="s">
        <v>26</v>
      </c>
      <c r="N76" s="950">
        <v>22.940592105263161</v>
      </c>
      <c r="O76" s="950">
        <v>0</v>
      </c>
      <c r="AJ76" s="764">
        <v>5</v>
      </c>
      <c r="AK76" s="764" t="s">
        <v>134</v>
      </c>
      <c r="AL76" s="764">
        <f>AW49</f>
        <v>11650</v>
      </c>
      <c r="AM76" s="764">
        <v>0</v>
      </c>
      <c r="AN76" s="764">
        <f>AV49</f>
        <v>79</v>
      </c>
      <c r="AQ76" s="759" t="s">
        <v>656</v>
      </c>
      <c r="AR76" s="759">
        <v>288</v>
      </c>
      <c r="AS76" s="759">
        <v>288</v>
      </c>
      <c r="AU76" s="765" t="s">
        <v>653</v>
      </c>
      <c r="AV76" s="765">
        <v>136</v>
      </c>
      <c r="AW76" s="765">
        <v>20590</v>
      </c>
    </row>
    <row r="77" spans="1:49" ht="14.25" customHeight="1" x14ac:dyDescent="0.25">
      <c r="A77" s="945" t="s">
        <v>219</v>
      </c>
      <c r="B77" s="945" t="s">
        <v>479</v>
      </c>
      <c r="C77" s="946" t="s">
        <v>14</v>
      </c>
      <c r="D77" s="947">
        <v>0</v>
      </c>
      <c r="E77" s="948">
        <v>4779.2150706436423</v>
      </c>
      <c r="F77" s="949">
        <v>1</v>
      </c>
      <c r="G77" s="950">
        <f>24*400</f>
        <v>9600</v>
      </c>
      <c r="H77" s="950" t="s">
        <v>735</v>
      </c>
      <c r="I77" s="951">
        <v>69</v>
      </c>
      <c r="J77" s="951">
        <f t="shared" si="30"/>
        <v>7.1875</v>
      </c>
      <c r="K77" s="950">
        <v>1.4117287449392715</v>
      </c>
      <c r="L77" s="950">
        <v>0</v>
      </c>
      <c r="M77" s="950" t="s">
        <v>26</v>
      </c>
      <c r="N77" s="950">
        <v>22.940592105263161</v>
      </c>
      <c r="O77" s="950">
        <v>0</v>
      </c>
      <c r="AJ77" s="764">
        <v>5</v>
      </c>
      <c r="AK77" s="764" t="s">
        <v>138</v>
      </c>
      <c r="AL77" s="764">
        <f>AW48</f>
        <v>103000</v>
      </c>
      <c r="AM77" s="764">
        <v>1000</v>
      </c>
      <c r="AN77" s="764">
        <f>AV48</f>
        <v>333</v>
      </c>
      <c r="AU77" s="765" t="s">
        <v>570</v>
      </c>
      <c r="AV77" s="765">
        <v>136</v>
      </c>
      <c r="AW77" s="765">
        <v>20590</v>
      </c>
    </row>
    <row r="78" spans="1:49" ht="14.25" customHeight="1" x14ac:dyDescent="0.25">
      <c r="AJ78" s="764">
        <v>5</v>
      </c>
      <c r="AK78" s="764" t="s">
        <v>140</v>
      </c>
      <c r="AL78" s="764">
        <f>AW48</f>
        <v>103000</v>
      </c>
      <c r="AM78" s="764">
        <v>0</v>
      </c>
      <c r="AN78" s="764">
        <f>AV48</f>
        <v>333</v>
      </c>
      <c r="AU78" s="765" t="s">
        <v>593</v>
      </c>
      <c r="AV78" s="765">
        <v>79</v>
      </c>
      <c r="AW78" s="765">
        <v>10770</v>
      </c>
    </row>
    <row r="79" spans="1:49" ht="14.25" customHeight="1" x14ac:dyDescent="0.25">
      <c r="A79" s="28" t="s">
        <v>176</v>
      </c>
      <c r="B79" s="28" t="s">
        <v>177</v>
      </c>
      <c r="C79" s="29" t="s">
        <v>14</v>
      </c>
      <c r="D79" s="30">
        <v>0</v>
      </c>
      <c r="E79" s="31">
        <v>3087.1787052000004</v>
      </c>
      <c r="F79" s="32">
        <v>1</v>
      </c>
      <c r="G79" s="33">
        <v>1000</v>
      </c>
      <c r="H79" s="33" t="s">
        <v>45</v>
      </c>
      <c r="I79" s="923">
        <v>39</v>
      </c>
      <c r="J79" s="923">
        <f>I79/(G79/1000)</f>
        <v>39</v>
      </c>
      <c r="K79" s="33">
        <f>(E79/F79)/G79</f>
        <v>3.0871787052000004</v>
      </c>
      <c r="L79" s="33">
        <f>(D79/F79)/G79</f>
        <v>0</v>
      </c>
      <c r="M79" s="33" t="s">
        <v>45</v>
      </c>
      <c r="N79" s="33">
        <f>K79*I79</f>
        <v>120.39996950280002</v>
      </c>
      <c r="O79" s="33">
        <f>L79*I79</f>
        <v>0</v>
      </c>
      <c r="AJ79" s="764">
        <v>5</v>
      </c>
      <c r="AK79" s="764" t="s">
        <v>859</v>
      </c>
      <c r="AL79" s="764">
        <f>AW56</f>
        <v>172</v>
      </c>
      <c r="AM79" s="764">
        <v>5</v>
      </c>
      <c r="AN79" s="764">
        <f>AV56</f>
        <v>172</v>
      </c>
      <c r="AU79" s="765" t="s">
        <v>561</v>
      </c>
      <c r="AV79" s="765">
        <v>79</v>
      </c>
      <c r="AW79" s="765">
        <v>10770</v>
      </c>
    </row>
    <row r="80" spans="1:49" ht="14.25" customHeight="1" x14ac:dyDescent="0.25">
      <c r="A80" s="28" t="s">
        <v>178</v>
      </c>
      <c r="B80" s="28" t="s">
        <v>177</v>
      </c>
      <c r="C80" s="29" t="s">
        <v>14</v>
      </c>
      <c r="D80" s="30">
        <v>0</v>
      </c>
      <c r="E80" s="31">
        <v>2225.6960980748577</v>
      </c>
      <c r="F80" s="32">
        <v>1</v>
      </c>
      <c r="G80" s="33">
        <v>1000</v>
      </c>
      <c r="H80" s="33" t="s">
        <v>45</v>
      </c>
      <c r="I80" s="923">
        <v>40</v>
      </c>
      <c r="J80" s="923">
        <f>I80/(G80/1000)</f>
        <v>40</v>
      </c>
      <c r="K80" s="33">
        <f>(E80/F80)/G80</f>
        <v>2.2256960980748577</v>
      </c>
      <c r="L80" s="33">
        <f>(D80/F80)/G80</f>
        <v>0</v>
      </c>
      <c r="M80" s="33" t="s">
        <v>45</v>
      </c>
      <c r="N80" s="33">
        <f>K80*I80</f>
        <v>89.027843922994307</v>
      </c>
      <c r="O80" s="33">
        <f>L80*I80</f>
        <v>0</v>
      </c>
      <c r="AJ80" s="764">
        <v>5</v>
      </c>
      <c r="AK80" s="764" t="s">
        <v>853</v>
      </c>
      <c r="AL80" s="764">
        <f>AW53</f>
        <v>15930</v>
      </c>
      <c r="AM80" s="764">
        <v>1000</v>
      </c>
      <c r="AN80" s="764">
        <f>AV53</f>
        <v>108</v>
      </c>
      <c r="AU80" s="765" t="s">
        <v>654</v>
      </c>
      <c r="AV80" s="765">
        <v>130</v>
      </c>
      <c r="AW80" s="765">
        <v>18600</v>
      </c>
    </row>
    <row r="81" spans="1:49" ht="14.25" customHeight="1" x14ac:dyDescent="0.25">
      <c r="A81" s="28" t="s">
        <v>993</v>
      </c>
      <c r="B81" s="28" t="s">
        <v>177</v>
      </c>
      <c r="C81" s="29" t="s">
        <v>14</v>
      </c>
      <c r="D81" s="30">
        <v>0</v>
      </c>
      <c r="E81" s="31">
        <v>228</v>
      </c>
      <c r="F81" s="32">
        <v>1</v>
      </c>
      <c r="G81" s="33">
        <v>1000</v>
      </c>
      <c r="H81" s="33" t="s">
        <v>227</v>
      </c>
      <c r="I81" s="923">
        <v>40</v>
      </c>
      <c r="J81" s="923">
        <f>I81/(G81/1000)</f>
        <v>40</v>
      </c>
      <c r="K81" s="33">
        <f t="shared" ref="K81:K83" si="31">(E81/F81)/G81</f>
        <v>0.22800000000000001</v>
      </c>
      <c r="L81" s="33">
        <f t="shared" ref="L81:L83" si="32">(D81/F81)/G81</f>
        <v>0</v>
      </c>
      <c r="M81" s="33" t="s">
        <v>45</v>
      </c>
      <c r="N81" s="33">
        <f t="shared" ref="N81:N83" si="33">K81*I81</f>
        <v>9.120000000000001</v>
      </c>
      <c r="O81" s="33">
        <f t="shared" ref="O81:O83" si="34">L81*I81</f>
        <v>0</v>
      </c>
      <c r="AJ81" s="764">
        <v>5</v>
      </c>
      <c r="AK81" s="764" t="s">
        <v>143</v>
      </c>
      <c r="AL81" s="764">
        <f>AW51</f>
        <v>16080</v>
      </c>
      <c r="AM81" s="764">
        <v>500</v>
      </c>
      <c r="AN81" s="764">
        <f>AV51</f>
        <v>110</v>
      </c>
      <c r="AU81" s="765" t="s">
        <v>561</v>
      </c>
      <c r="AV81" s="765">
        <v>130</v>
      </c>
      <c r="AW81" s="765">
        <v>18600</v>
      </c>
    </row>
    <row r="82" spans="1:49" ht="14.25" customHeight="1" x14ac:dyDescent="0.25">
      <c r="A82" s="28" t="s">
        <v>697</v>
      </c>
      <c r="B82" s="28" t="s">
        <v>177</v>
      </c>
      <c r="C82" s="29" t="s">
        <v>14</v>
      </c>
      <c r="D82" s="30">
        <v>4.6499999999999995</v>
      </c>
      <c r="E82" s="31">
        <v>4.6499999999999995</v>
      </c>
      <c r="F82" s="32">
        <v>1</v>
      </c>
      <c r="G82" s="33">
        <v>1000</v>
      </c>
      <c r="H82" s="33" t="s">
        <v>227</v>
      </c>
      <c r="I82" s="923">
        <v>13</v>
      </c>
      <c r="J82" s="923">
        <f>I82/(G82/1000)</f>
        <v>13</v>
      </c>
      <c r="K82" s="33">
        <f t="shared" si="31"/>
        <v>4.6499999999999996E-3</v>
      </c>
      <c r="L82" s="33">
        <f t="shared" si="32"/>
        <v>4.6499999999999996E-3</v>
      </c>
      <c r="M82" s="33" t="s">
        <v>45</v>
      </c>
      <c r="N82" s="33">
        <f t="shared" si="33"/>
        <v>6.0449999999999997E-2</v>
      </c>
      <c r="O82" s="33">
        <f t="shared" si="34"/>
        <v>6.0449999999999997E-2</v>
      </c>
      <c r="AJ82" s="764">
        <v>5</v>
      </c>
      <c r="AK82" s="764" t="s">
        <v>145</v>
      </c>
      <c r="AL82" s="764">
        <f>AW57+AW30</f>
        <v>97</v>
      </c>
      <c r="AM82" s="764">
        <v>5</v>
      </c>
      <c r="AN82" s="764">
        <f>AV57+AV30</f>
        <v>97</v>
      </c>
      <c r="AU82" s="765" t="s">
        <v>655</v>
      </c>
      <c r="AV82" s="765">
        <v>58</v>
      </c>
      <c r="AW82" s="765">
        <v>58</v>
      </c>
    </row>
    <row r="83" spans="1:49" ht="14.25" customHeight="1" x14ac:dyDescent="0.25">
      <c r="A83" s="28" t="s">
        <v>701</v>
      </c>
      <c r="B83" s="28" t="s">
        <v>177</v>
      </c>
      <c r="C83" s="29" t="s">
        <v>14</v>
      </c>
      <c r="D83" s="30">
        <v>0</v>
      </c>
      <c r="E83" s="31">
        <v>228</v>
      </c>
      <c r="F83" s="32">
        <v>1</v>
      </c>
      <c r="G83" s="33">
        <v>1000</v>
      </c>
      <c r="H83" s="33" t="s">
        <v>227</v>
      </c>
      <c r="I83" s="923">
        <v>160</v>
      </c>
      <c r="J83" s="923">
        <f>I83/(G83/1000)</f>
        <v>160</v>
      </c>
      <c r="K83" s="33">
        <f t="shared" si="31"/>
        <v>0.22800000000000001</v>
      </c>
      <c r="L83" s="33">
        <f t="shared" si="32"/>
        <v>0</v>
      </c>
      <c r="M83" s="33" t="s">
        <v>45</v>
      </c>
      <c r="N83" s="33">
        <f t="shared" si="33"/>
        <v>36.480000000000004</v>
      </c>
      <c r="O83" s="33">
        <f t="shared" si="34"/>
        <v>0</v>
      </c>
      <c r="AJ83" s="764">
        <v>5</v>
      </c>
      <c r="AK83" s="764" t="s">
        <v>521</v>
      </c>
      <c r="AL83" s="764">
        <f>AW50</f>
        <v>11650</v>
      </c>
      <c r="AM83" s="764">
        <v>0</v>
      </c>
      <c r="AN83" s="764">
        <f>AV50</f>
        <v>79</v>
      </c>
      <c r="AU83" s="765" t="s">
        <v>847</v>
      </c>
      <c r="AV83" s="765">
        <v>198</v>
      </c>
      <c r="AW83" s="765">
        <v>198</v>
      </c>
    </row>
    <row r="84" spans="1:49" ht="14.25" customHeight="1" x14ac:dyDescent="0.25">
      <c r="A84" s="28" t="s">
        <v>184</v>
      </c>
      <c r="B84" s="28" t="s">
        <v>177</v>
      </c>
      <c r="C84" s="29" t="s">
        <v>14</v>
      </c>
      <c r="D84" s="30">
        <v>375</v>
      </c>
      <c r="E84" s="31">
        <v>949.25</v>
      </c>
      <c r="F84" s="32">
        <v>1</v>
      </c>
      <c r="G84" s="33">
        <v>1000</v>
      </c>
      <c r="H84" s="33" t="s">
        <v>45</v>
      </c>
      <c r="I84" s="923">
        <v>17.5</v>
      </c>
      <c r="J84" s="923">
        <f>I84</f>
        <v>17.5</v>
      </c>
      <c r="K84" s="33">
        <f>(E84/F84)/G84</f>
        <v>0.94925000000000004</v>
      </c>
      <c r="L84" s="33">
        <f>(D84/F84)/G84</f>
        <v>0.375</v>
      </c>
      <c r="M84" s="33" t="s">
        <v>45</v>
      </c>
      <c r="N84" s="33">
        <f>K84*I84</f>
        <v>16.611875000000001</v>
      </c>
      <c r="O84" s="33">
        <f>L84*I84</f>
        <v>6.5625</v>
      </c>
      <c r="AJ84" s="764">
        <v>5</v>
      </c>
      <c r="AK84" s="764" t="s">
        <v>147</v>
      </c>
      <c r="AL84" s="764">
        <f>AW33+AW36+AW41+AW44+AW47+AW54</f>
        <v>13950</v>
      </c>
      <c r="AM84" s="764">
        <v>0</v>
      </c>
      <c r="AN84" s="764">
        <f>AV33+AV36+AV41+AV44+AV47+AV54</f>
        <v>93</v>
      </c>
    </row>
    <row r="85" spans="1:49" ht="14.25" customHeight="1" x14ac:dyDescent="0.25">
      <c r="B85" s="9"/>
      <c r="C85" s="10"/>
      <c r="D85" s="11"/>
      <c r="E85" s="12">
        <v>84.396768535990304</v>
      </c>
      <c r="F85" s="1153"/>
      <c r="G85" s="966"/>
      <c r="H85" s="912"/>
      <c r="I85" s="913"/>
      <c r="J85" s="913"/>
      <c r="K85" s="13"/>
      <c r="L85" s="13"/>
      <c r="M85" s="13"/>
      <c r="N85" s="13"/>
      <c r="O85" s="13"/>
      <c r="AJ85" s="764">
        <v>5</v>
      </c>
      <c r="AK85" s="764" t="s">
        <v>540</v>
      </c>
      <c r="AL85" s="764">
        <f>AW72</f>
        <v>12240</v>
      </c>
      <c r="AM85" s="764">
        <v>500</v>
      </c>
      <c r="AN85" s="764">
        <f>AV72</f>
        <v>89</v>
      </c>
    </row>
    <row r="86" spans="1:49" ht="14.25" customHeight="1" x14ac:dyDescent="0.25">
      <c r="A86" s="34" t="s">
        <v>181</v>
      </c>
      <c r="B86" s="34" t="s">
        <v>180</v>
      </c>
      <c r="C86" s="35" t="s">
        <v>14</v>
      </c>
      <c r="D86" s="36">
        <v>0</v>
      </c>
      <c r="E86" s="37">
        <v>399.66204178425494</v>
      </c>
      <c r="F86" s="38">
        <v>1</v>
      </c>
      <c r="G86" s="39">
        <v>20000</v>
      </c>
      <c r="H86" s="39" t="s">
        <v>182</v>
      </c>
      <c r="I86" s="921">
        <v>130</v>
      </c>
      <c r="J86" s="921">
        <f>I86/20</f>
        <v>6.5</v>
      </c>
      <c r="K86" s="40">
        <f>(E86/F86)/G86</f>
        <v>1.9983102089212747E-2</v>
      </c>
      <c r="L86" s="40">
        <f>(D86/F86)/G86</f>
        <v>0</v>
      </c>
      <c r="M86" s="39" t="s">
        <v>45</v>
      </c>
      <c r="N86" s="40">
        <f>K86*I86</f>
        <v>2.5978032715976571</v>
      </c>
      <c r="O86" s="40">
        <f>L86*I86</f>
        <v>0</v>
      </c>
      <c r="AJ86" s="764">
        <v>5</v>
      </c>
      <c r="AK86" s="764" t="s">
        <v>541</v>
      </c>
      <c r="AL86" s="764">
        <f>AW63</f>
        <v>21290</v>
      </c>
      <c r="AM86" s="764">
        <v>500</v>
      </c>
      <c r="AN86" s="764">
        <f>AV63</f>
        <v>145</v>
      </c>
    </row>
    <row r="87" spans="1:49" ht="14.25" customHeight="1" x14ac:dyDescent="0.25">
      <c r="A87" s="34" t="s">
        <v>183</v>
      </c>
      <c r="B87" s="34" t="s">
        <v>180</v>
      </c>
      <c r="C87" s="35" t="s">
        <v>14</v>
      </c>
      <c r="D87" s="36">
        <v>855.77677224736078</v>
      </c>
      <c r="E87" s="37">
        <v>4179.9977466864566</v>
      </c>
      <c r="F87" s="38">
        <v>1</v>
      </c>
      <c r="G87" s="39">
        <f>4*2000</f>
        <v>8000</v>
      </c>
      <c r="H87" s="39" t="s">
        <v>743</v>
      </c>
      <c r="I87" s="921">
        <v>136</v>
      </c>
      <c r="J87" s="921">
        <f>I87/(G87/1000)</f>
        <v>17</v>
      </c>
      <c r="K87" s="39">
        <f>(E87/F87)/G87</f>
        <v>0.52249971833580711</v>
      </c>
      <c r="L87" s="39">
        <f>(D87/F87)/G87</f>
        <v>0.1069720965309201</v>
      </c>
      <c r="M87" s="39" t="s">
        <v>45</v>
      </c>
      <c r="N87" s="39">
        <f>K87*I87</f>
        <v>71.059961693669763</v>
      </c>
      <c r="O87" s="39">
        <f>L87*I87</f>
        <v>14.548205128205133</v>
      </c>
      <c r="AJ87" s="765">
        <v>6</v>
      </c>
      <c r="AK87" s="765" t="s">
        <v>148</v>
      </c>
      <c r="AL87" s="765">
        <f>AW61</f>
        <v>24890</v>
      </c>
      <c r="AM87" s="765">
        <v>500</v>
      </c>
      <c r="AN87" s="765">
        <f>AV61</f>
        <v>169</v>
      </c>
    </row>
    <row r="88" spans="1:49" ht="14.25" customHeight="1" x14ac:dyDescent="0.25">
      <c r="A88" s="34" t="s">
        <v>179</v>
      </c>
      <c r="B88" s="34" t="s">
        <v>180</v>
      </c>
      <c r="C88" s="35" t="s">
        <v>14</v>
      </c>
      <c r="D88" s="36">
        <v>56.803846153846209</v>
      </c>
      <c r="E88" s="37">
        <v>96.458477237048754</v>
      </c>
      <c r="F88" s="38">
        <v>1</v>
      </c>
      <c r="G88" s="39">
        <v>10000</v>
      </c>
      <c r="H88" s="39" t="s">
        <v>744</v>
      </c>
      <c r="I88" s="921">
        <v>27</v>
      </c>
      <c r="J88" s="921">
        <f>I88/(G88/1000)</f>
        <v>2.7</v>
      </c>
      <c r="K88" s="40">
        <f>(E88/F88)/G88</f>
        <v>9.6458477237048746E-3</v>
      </c>
      <c r="L88" s="40">
        <f>(D88/F88)/G88</f>
        <v>5.680384615384621E-3</v>
      </c>
      <c r="M88" s="39" t="s">
        <v>45</v>
      </c>
      <c r="N88" s="40">
        <f>K88*I88</f>
        <v>0.26043788854003164</v>
      </c>
      <c r="O88" s="40">
        <f>L88*I88</f>
        <v>0.15337038461538477</v>
      </c>
      <c r="AJ88" s="765">
        <v>6</v>
      </c>
      <c r="AK88" s="765" t="s">
        <v>150</v>
      </c>
      <c r="AL88" s="765">
        <f>AW64</f>
        <v>36690</v>
      </c>
      <c r="AM88" s="765">
        <v>500</v>
      </c>
      <c r="AN88" s="765">
        <f>AV64</f>
        <v>254</v>
      </c>
    </row>
    <row r="89" spans="1:49" ht="14.25" customHeight="1" x14ac:dyDescent="0.25">
      <c r="B89" s="9"/>
      <c r="C89" s="10"/>
      <c r="D89" s="11"/>
      <c r="E89" s="12"/>
      <c r="F89" s="1153"/>
      <c r="G89" s="966"/>
      <c r="H89" s="912"/>
      <c r="I89" s="913"/>
      <c r="J89" s="913"/>
      <c r="K89" s="13"/>
      <c r="L89" s="13"/>
      <c r="M89" s="13"/>
      <c r="N89" s="13"/>
      <c r="O89" s="13"/>
      <c r="AJ89" s="765">
        <v>6</v>
      </c>
      <c r="AK89" s="765" t="s">
        <v>151</v>
      </c>
      <c r="AL89" s="765">
        <f>AW67</f>
        <v>20040</v>
      </c>
      <c r="AM89" s="765">
        <v>0</v>
      </c>
      <c r="AN89" s="765">
        <f>AV67</f>
        <v>136</v>
      </c>
    </row>
    <row r="90" spans="1:49" ht="14.25" customHeight="1" x14ac:dyDescent="0.25">
      <c r="A90" s="41" t="s">
        <v>838</v>
      </c>
      <c r="B90" s="41" t="s">
        <v>808</v>
      </c>
      <c r="C90" s="42" t="s">
        <v>230</v>
      </c>
      <c r="D90" s="43">
        <v>123</v>
      </c>
      <c r="E90" s="44">
        <v>325</v>
      </c>
      <c r="F90" s="45">
        <v>1</v>
      </c>
      <c r="G90" s="46">
        <v>1</v>
      </c>
      <c r="H90" s="42" t="s">
        <v>230</v>
      </c>
      <c r="I90" s="922">
        <v>0.5</v>
      </c>
      <c r="J90" s="922">
        <f>I90</f>
        <v>0.5</v>
      </c>
      <c r="K90" s="46">
        <f>(E90/F90)/G90</f>
        <v>325</v>
      </c>
      <c r="L90" s="46">
        <f>(D90/F90)/G90</f>
        <v>123</v>
      </c>
      <c r="M90" s="42" t="s">
        <v>230</v>
      </c>
      <c r="N90" s="46">
        <f>K90*I90</f>
        <v>162.5</v>
      </c>
      <c r="O90" s="46">
        <f>L90*I90</f>
        <v>61.5</v>
      </c>
      <c r="AJ90" s="765">
        <v>6</v>
      </c>
      <c r="AK90" s="765" t="s">
        <v>155</v>
      </c>
      <c r="AL90" s="765">
        <f>AW70</f>
        <v>14490</v>
      </c>
      <c r="AM90" s="765">
        <v>500</v>
      </c>
      <c r="AN90" s="765">
        <f>AV70</f>
        <v>104</v>
      </c>
    </row>
    <row r="91" spans="1:49" ht="14.25" customHeight="1" x14ac:dyDescent="0.25">
      <c r="A91" s="41" t="s">
        <v>839</v>
      </c>
      <c r="B91" s="41" t="s">
        <v>808</v>
      </c>
      <c r="C91" s="42" t="s">
        <v>230</v>
      </c>
      <c r="D91" s="43">
        <v>0</v>
      </c>
      <c r="E91" s="44">
        <v>211</v>
      </c>
      <c r="F91" s="45">
        <v>1</v>
      </c>
      <c r="G91" s="46">
        <v>1</v>
      </c>
      <c r="H91" s="42" t="s">
        <v>230</v>
      </c>
      <c r="I91" s="922">
        <v>1</v>
      </c>
      <c r="J91" s="922">
        <f t="shared" ref="J91:J92" si="35">I91</f>
        <v>1</v>
      </c>
      <c r="K91" s="46">
        <f>(E91/F91)/G91</f>
        <v>211</v>
      </c>
      <c r="L91" s="46">
        <f>(D91/F91)/G91</f>
        <v>0</v>
      </c>
      <c r="M91" s="42" t="s">
        <v>230</v>
      </c>
      <c r="N91" s="46">
        <f>K91*I91</f>
        <v>211</v>
      </c>
      <c r="O91" s="46">
        <f>L91*I91</f>
        <v>0</v>
      </c>
      <c r="AJ91" s="765">
        <v>6</v>
      </c>
      <c r="AK91" s="765" t="s">
        <v>158</v>
      </c>
      <c r="AL91" s="765">
        <f>AW73</f>
        <v>35270</v>
      </c>
      <c r="AM91" s="765">
        <v>1000</v>
      </c>
      <c r="AN91" s="765">
        <f>AV73</f>
        <v>255</v>
      </c>
    </row>
    <row r="92" spans="1:49" ht="14.25" customHeight="1" x14ac:dyDescent="0.25">
      <c r="A92" s="41" t="s">
        <v>805</v>
      </c>
      <c r="B92" s="41" t="s">
        <v>808</v>
      </c>
      <c r="C92" s="42" t="s">
        <v>230</v>
      </c>
      <c r="D92" s="43">
        <v>184</v>
      </c>
      <c r="E92" s="44">
        <v>1203</v>
      </c>
      <c r="F92" s="45">
        <v>1</v>
      </c>
      <c r="G92" s="46">
        <v>1</v>
      </c>
      <c r="H92" s="42" t="s">
        <v>230</v>
      </c>
      <c r="I92" s="922">
        <v>0.6</v>
      </c>
      <c r="J92" s="922">
        <f t="shared" si="35"/>
        <v>0.6</v>
      </c>
      <c r="K92" s="46">
        <f>(E92/F92)/G92</f>
        <v>1203</v>
      </c>
      <c r="L92" s="46">
        <f>(D92/F92)/G92</f>
        <v>184</v>
      </c>
      <c r="M92" s="42" t="s">
        <v>230</v>
      </c>
      <c r="N92" s="46">
        <f>K92*I92</f>
        <v>721.8</v>
      </c>
      <c r="O92" s="46">
        <f>L92*I92</f>
        <v>110.39999999999999</v>
      </c>
      <c r="AJ92" s="765">
        <v>6</v>
      </c>
      <c r="AK92" s="765" t="s">
        <v>162</v>
      </c>
      <c r="AL92" s="765">
        <f>AW76</f>
        <v>20590</v>
      </c>
      <c r="AM92" s="765">
        <v>1000</v>
      </c>
      <c r="AN92" s="765">
        <f>AV76</f>
        <v>136</v>
      </c>
    </row>
    <row r="93" spans="1:49" ht="14.25" customHeight="1" x14ac:dyDescent="0.25">
      <c r="AJ93" s="765">
        <v>6</v>
      </c>
      <c r="AK93" s="765" t="s">
        <v>165</v>
      </c>
      <c r="AL93" s="765">
        <f>AW82+AW60</f>
        <v>110</v>
      </c>
      <c r="AM93" s="765">
        <v>5</v>
      </c>
      <c r="AN93" s="765">
        <f>AV82+AV60</f>
        <v>110</v>
      </c>
    </row>
    <row r="94" spans="1:49" ht="14.25" customHeight="1" x14ac:dyDescent="0.25">
      <c r="A94" s="41" t="s">
        <v>188</v>
      </c>
      <c r="B94" s="41" t="s">
        <v>186</v>
      </c>
      <c r="C94" s="42" t="s">
        <v>14</v>
      </c>
      <c r="D94" s="43">
        <v>0</v>
      </c>
      <c r="E94" s="44">
        <v>3955.7680578</v>
      </c>
      <c r="F94" s="45">
        <v>1</v>
      </c>
      <c r="G94" s="46">
        <v>12000</v>
      </c>
      <c r="H94" s="46" t="s">
        <v>746</v>
      </c>
      <c r="I94" s="922">
        <v>102</v>
      </c>
      <c r="J94" s="922">
        <f>I94/(G94/1000)</f>
        <v>8.5</v>
      </c>
      <c r="K94" s="46">
        <f>(E94/F94)/G94</f>
        <v>0.32964733814999997</v>
      </c>
      <c r="L94" s="46">
        <f>(D94/F94)/G94</f>
        <v>0</v>
      </c>
      <c r="M94" s="46" t="s">
        <v>45</v>
      </c>
      <c r="N94" s="46">
        <f>K94*I94</f>
        <v>33.624028491299995</v>
      </c>
      <c r="O94" s="46">
        <f>L94*I94</f>
        <v>0</v>
      </c>
      <c r="AJ94" s="765">
        <v>6</v>
      </c>
      <c r="AK94" s="765" t="s">
        <v>846</v>
      </c>
      <c r="AL94" s="765">
        <f>AV83</f>
        <v>198</v>
      </c>
      <c r="AM94" s="765">
        <v>2</v>
      </c>
      <c r="AN94" s="765">
        <f>AW83</f>
        <v>198</v>
      </c>
    </row>
    <row r="95" spans="1:49" ht="14.25" customHeight="1" x14ac:dyDescent="0.25">
      <c r="A95" s="41" t="s">
        <v>187</v>
      </c>
      <c r="B95" s="41" t="s">
        <v>186</v>
      </c>
      <c r="C95" s="42" t="s">
        <v>14</v>
      </c>
      <c r="D95" s="43">
        <v>1577.1719268476627</v>
      </c>
      <c r="E95" s="44">
        <v>6791.2645096310462</v>
      </c>
      <c r="F95" s="1160">
        <v>0.9</v>
      </c>
      <c r="G95" s="46">
        <v>25000</v>
      </c>
      <c r="H95" s="46" t="s">
        <v>227</v>
      </c>
      <c r="I95" s="922">
        <v>58</v>
      </c>
      <c r="J95" s="922">
        <f>I95/(G95/1000)</f>
        <v>2.3199999999999998</v>
      </c>
      <c r="K95" s="46">
        <f>(E95/F95)/G95</f>
        <v>0.3018339782058243</v>
      </c>
      <c r="L95" s="46">
        <f>(D95/F95)/G95</f>
        <v>7.0096530082118344E-2</v>
      </c>
      <c r="M95" s="46" t="s">
        <v>45</v>
      </c>
      <c r="N95" s="46">
        <f>K95*I95</f>
        <v>17.506370735937811</v>
      </c>
      <c r="O95" s="46">
        <f>L95*I95</f>
        <v>4.0655987447628643</v>
      </c>
      <c r="AJ95" s="765">
        <v>6</v>
      </c>
      <c r="AK95" s="765" t="s">
        <v>170</v>
      </c>
      <c r="AL95" s="765">
        <f>AW78</f>
        <v>10770</v>
      </c>
      <c r="AM95" s="765">
        <v>1000</v>
      </c>
      <c r="AN95" s="765">
        <f>AV78</f>
        <v>79</v>
      </c>
    </row>
    <row r="96" spans="1:49" ht="14.25" customHeight="1" x14ac:dyDescent="0.25">
      <c r="A96" s="41" t="s">
        <v>185</v>
      </c>
      <c r="B96" s="41" t="s">
        <v>186</v>
      </c>
      <c r="C96" s="42" t="s">
        <v>14</v>
      </c>
      <c r="D96" s="43">
        <v>0</v>
      </c>
      <c r="E96" s="44">
        <v>4898.1880553063156</v>
      </c>
      <c r="F96" s="45">
        <v>1</v>
      </c>
      <c r="G96" s="46">
        <f>1*10000</f>
        <v>10000</v>
      </c>
      <c r="H96" s="46" t="s">
        <v>745</v>
      </c>
      <c r="I96" s="922">
        <f>17</f>
        <v>17</v>
      </c>
      <c r="J96" s="922">
        <f>I96/(G96/1000)</f>
        <v>1.7</v>
      </c>
      <c r="K96" s="46">
        <f>(E96/F96)/G96</f>
        <v>0.48981880553063156</v>
      </c>
      <c r="L96" s="46">
        <f>(D96/F96)/G96</f>
        <v>0</v>
      </c>
      <c r="M96" s="46" t="s">
        <v>45</v>
      </c>
      <c r="N96" s="46">
        <f>K96*I96</f>
        <v>8.3269196940207362</v>
      </c>
      <c r="O96" s="46">
        <f>L96*I96</f>
        <v>0</v>
      </c>
      <c r="AJ96" s="765">
        <v>6</v>
      </c>
      <c r="AK96" s="765" t="s">
        <v>167</v>
      </c>
      <c r="AL96" s="765">
        <f>AW80</f>
        <v>18600</v>
      </c>
      <c r="AM96" s="765">
        <v>500</v>
      </c>
      <c r="AN96" s="765">
        <f>AV80</f>
        <v>130</v>
      </c>
    </row>
    <row r="97" spans="1:40" ht="14.25" customHeight="1" x14ac:dyDescent="0.25">
      <c r="AJ97" s="765">
        <v>6</v>
      </c>
      <c r="AK97" s="765" t="s">
        <v>522</v>
      </c>
      <c r="AL97" s="765">
        <f>AW69</f>
        <v>17790</v>
      </c>
      <c r="AM97" s="765">
        <v>0</v>
      </c>
      <c r="AN97" s="765">
        <f>AV69</f>
        <v>121</v>
      </c>
    </row>
    <row r="98" spans="1:40" ht="14.25" customHeight="1" x14ac:dyDescent="0.25">
      <c r="A98" s="15" t="s">
        <v>90</v>
      </c>
      <c r="B98" s="15" t="s">
        <v>80</v>
      </c>
      <c r="C98" s="16" t="s">
        <v>14</v>
      </c>
      <c r="D98" s="17">
        <v>0</v>
      </c>
      <c r="E98" s="18">
        <v>26.54949443298969</v>
      </c>
      <c r="F98" s="1154">
        <v>1</v>
      </c>
      <c r="G98" s="967">
        <v>100</v>
      </c>
      <c r="H98" s="18" t="s">
        <v>763</v>
      </c>
      <c r="I98" s="19">
        <v>3.04</v>
      </c>
      <c r="J98" s="19">
        <f>I98/1</f>
        <v>3.04</v>
      </c>
      <c r="K98" s="18">
        <f>(E98/F98)/G98</f>
        <v>0.2654949443298969</v>
      </c>
      <c r="L98" s="18">
        <f>(D98/F98)/G98</f>
        <v>0</v>
      </c>
      <c r="M98" s="18" t="s">
        <v>14</v>
      </c>
      <c r="N98" s="18">
        <f>K98*I98</f>
        <v>0.80710463076288663</v>
      </c>
      <c r="O98" s="18">
        <f>L98*I98</f>
        <v>0</v>
      </c>
      <c r="AJ98" s="765">
        <v>6</v>
      </c>
      <c r="AK98" s="765" t="s">
        <v>171</v>
      </c>
      <c r="AL98" s="765">
        <f>AW62+AW66+AW68+AW71+AW74</f>
        <v>13200</v>
      </c>
      <c r="AM98" s="765">
        <v>0</v>
      </c>
      <c r="AN98" s="765">
        <f>AV62+AV66+AV68+AV71+AV74</f>
        <v>88</v>
      </c>
    </row>
    <row r="99" spans="1:40" ht="14.25" customHeight="1" x14ac:dyDescent="0.25">
      <c r="A99" s="15" t="s">
        <v>87</v>
      </c>
      <c r="B99" s="15" t="s">
        <v>80</v>
      </c>
      <c r="C99" s="16" t="s">
        <v>14</v>
      </c>
      <c r="D99" s="17">
        <v>0</v>
      </c>
      <c r="E99" s="18">
        <v>24.528443509615393</v>
      </c>
      <c r="F99" s="1154">
        <v>1</v>
      </c>
      <c r="G99" s="967">
        <v>200</v>
      </c>
      <c r="H99" s="18" t="s">
        <v>88</v>
      </c>
      <c r="I99" s="19">
        <v>4</v>
      </c>
      <c r="J99" s="19">
        <f>I99/0.2</f>
        <v>20</v>
      </c>
      <c r="K99" s="18">
        <f>(E99/F99)/G99</f>
        <v>0.12264221754807697</v>
      </c>
      <c r="L99" s="577">
        <f>(D99/F99)/G99</f>
        <v>0</v>
      </c>
      <c r="M99" s="18" t="s">
        <v>42</v>
      </c>
      <c r="N99" s="18">
        <f>K99*I99</f>
        <v>0.49056887019230788</v>
      </c>
      <c r="O99" s="18">
        <f>L99*I99</f>
        <v>0</v>
      </c>
    </row>
    <row r="100" spans="1:40" ht="14.25" customHeight="1" x14ac:dyDescent="0.25">
      <c r="A100" s="15" t="s">
        <v>84</v>
      </c>
      <c r="B100" s="15" t="s">
        <v>80</v>
      </c>
      <c r="C100" s="16" t="s">
        <v>14</v>
      </c>
      <c r="D100" s="17">
        <v>0</v>
      </c>
      <c r="E100" s="18">
        <v>19.045499738356888</v>
      </c>
      <c r="F100" s="1154">
        <v>1</v>
      </c>
      <c r="G100" s="967">
        <v>142</v>
      </c>
      <c r="H100" s="18" t="s">
        <v>85</v>
      </c>
      <c r="I100" s="19">
        <v>20</v>
      </c>
      <c r="J100" s="19">
        <f>I100/0.142</f>
        <v>140.84507042253523</v>
      </c>
      <c r="K100" s="18">
        <f>(E100/F100)/G100</f>
        <v>0.13412323759406258</v>
      </c>
      <c r="L100" s="577">
        <f>(D100/F100)/G100</f>
        <v>0</v>
      </c>
      <c r="M100" s="18" t="s">
        <v>42</v>
      </c>
      <c r="N100" s="18">
        <f>K100*I100</f>
        <v>2.6824647518812519</v>
      </c>
      <c r="O100" s="18">
        <f>L100*I100</f>
        <v>0</v>
      </c>
    </row>
    <row r="101" spans="1:40" ht="14.25" customHeight="1" x14ac:dyDescent="0.25">
      <c r="A101" s="15" t="s">
        <v>82</v>
      </c>
      <c r="B101" s="15" t="s">
        <v>80</v>
      </c>
      <c r="C101" s="16" t="s">
        <v>14</v>
      </c>
      <c r="D101" s="17">
        <v>17.53</v>
      </c>
      <c r="E101" s="18">
        <v>73.294148510727396</v>
      </c>
      <c r="F101" s="1154">
        <v>1</v>
      </c>
      <c r="G101" s="967">
        <v>142</v>
      </c>
      <c r="H101" s="18" t="s">
        <v>85</v>
      </c>
      <c r="I101" s="19">
        <v>21</v>
      </c>
      <c r="J101" s="914">
        <f>I101/(G101/1000)</f>
        <v>147.88732394366198</v>
      </c>
      <c r="K101" s="18">
        <f>(E101/F101)/G101</f>
        <v>0.51615597542765768</v>
      </c>
      <c r="L101" s="577">
        <f>(D101/F101)/G101</f>
        <v>0.12345070422535212</v>
      </c>
      <c r="M101" s="18" t="s">
        <v>42</v>
      </c>
      <c r="N101" s="18">
        <f>K101*I101</f>
        <v>10.839275483980812</v>
      </c>
      <c r="O101" s="18">
        <f>L101*I101</f>
        <v>2.5924647887323946</v>
      </c>
    </row>
    <row r="102" spans="1:40" ht="14.25" customHeight="1" x14ac:dyDescent="0.25">
      <c r="A102" s="15" t="s">
        <v>79</v>
      </c>
      <c r="B102" s="15" t="s">
        <v>80</v>
      </c>
      <c r="C102" s="16" t="s">
        <v>14</v>
      </c>
      <c r="D102" s="17">
        <v>0</v>
      </c>
      <c r="E102" s="18">
        <v>8.8461320425606154</v>
      </c>
      <c r="F102" s="1154">
        <v>1</v>
      </c>
      <c r="G102" s="967">
        <v>1000</v>
      </c>
      <c r="H102" s="18" t="s">
        <v>45</v>
      </c>
      <c r="I102" s="19">
        <v>7</v>
      </c>
      <c r="J102" s="19">
        <f>I102*(G102/1000)</f>
        <v>7</v>
      </c>
      <c r="K102" s="18">
        <f>(E102/F102)/G102</f>
        <v>8.8461320425606161E-3</v>
      </c>
      <c r="L102" s="577">
        <f>(D102/F102)/G102</f>
        <v>0</v>
      </c>
      <c r="M102" s="18" t="s">
        <v>45</v>
      </c>
      <c r="N102" s="18">
        <f>K102*I102</f>
        <v>6.1922924297924314E-2</v>
      </c>
      <c r="O102" s="18">
        <f>L102*I102</f>
        <v>0</v>
      </c>
    </row>
    <row r="103" spans="1:40" ht="14.25" customHeight="1" x14ac:dyDescent="0.25"/>
    <row r="104" spans="1:40" ht="14.25" customHeight="1" x14ac:dyDescent="0.25">
      <c r="A104" s="624" t="s">
        <v>509</v>
      </c>
      <c r="B104" s="624" t="s">
        <v>524</v>
      </c>
      <c r="C104" s="624" t="s">
        <v>14</v>
      </c>
      <c r="D104" s="694">
        <v>0</v>
      </c>
      <c r="E104" s="625">
        <v>6534.7368421052633</v>
      </c>
      <c r="F104" s="920">
        <v>1</v>
      </c>
      <c r="G104" s="918">
        <f>24*400</f>
        <v>9600</v>
      </c>
      <c r="H104" s="918" t="s">
        <v>738</v>
      </c>
      <c r="I104" s="919">
        <v>98</v>
      </c>
      <c r="J104" s="919">
        <f t="shared" ref="J104:J109" si="36">I104/(G104/1000)</f>
        <v>10.208333333333334</v>
      </c>
      <c r="K104" s="986">
        <f>(E104/F104)/G104</f>
        <v>0.68070175438596492</v>
      </c>
      <c r="L104" s="986">
        <f>(D104/F104)/G104</f>
        <v>0</v>
      </c>
      <c r="M104" s="984" t="s">
        <v>26</v>
      </c>
      <c r="N104" s="985">
        <f>K104*I104</f>
        <v>66.708771929824564</v>
      </c>
      <c r="O104" s="985">
        <f>L104*I104</f>
        <v>0</v>
      </c>
    </row>
    <row r="105" spans="1:40" ht="14.25" customHeight="1" x14ac:dyDescent="0.25">
      <c r="A105" s="624" t="s">
        <v>408</v>
      </c>
      <c r="B105" s="624" t="s">
        <v>524</v>
      </c>
      <c r="C105" s="624" t="s">
        <v>14</v>
      </c>
      <c r="D105" s="694">
        <v>0</v>
      </c>
      <c r="E105" s="625">
        <v>3705.6</v>
      </c>
      <c r="F105" s="920">
        <v>1</v>
      </c>
      <c r="G105" s="918">
        <f>24*450</f>
        <v>10800</v>
      </c>
      <c r="H105" s="918" t="s">
        <v>737</v>
      </c>
      <c r="I105" s="919">
        <v>90</v>
      </c>
      <c r="J105" s="919">
        <f t="shared" si="36"/>
        <v>8.3333333333333321</v>
      </c>
      <c r="K105" s="986">
        <f t="shared" ref="K105:K109" si="37">(E105/F105)/G105</f>
        <v>0.34311111111111109</v>
      </c>
      <c r="L105" s="986">
        <f t="shared" ref="L105:L109" si="38">(D105/F105)/G105</f>
        <v>0</v>
      </c>
      <c r="M105" s="984" t="s">
        <v>26</v>
      </c>
      <c r="N105" s="985">
        <f t="shared" ref="N105:N109" si="39">K105*I105</f>
        <v>30.88</v>
      </c>
      <c r="O105" s="985">
        <f t="shared" ref="O105:O109" si="40">L105*I105</f>
        <v>0</v>
      </c>
    </row>
    <row r="106" spans="1:40" ht="14.25" customHeight="1" x14ac:dyDescent="0.25">
      <c r="A106" s="624" t="s">
        <v>450</v>
      </c>
      <c r="B106" s="624" t="s">
        <v>524</v>
      </c>
      <c r="C106" s="624" t="s">
        <v>14</v>
      </c>
      <c r="D106" s="694">
        <v>0</v>
      </c>
      <c r="E106" s="625">
        <v>7131.500252454417</v>
      </c>
      <c r="F106" s="920">
        <v>1</v>
      </c>
      <c r="G106" s="918">
        <f>12*454</f>
        <v>5448</v>
      </c>
      <c r="H106" s="918" t="s">
        <v>736</v>
      </c>
      <c r="I106" s="919">
        <v>165</v>
      </c>
      <c r="J106" s="919">
        <f t="shared" si="36"/>
        <v>30.2863436123348</v>
      </c>
      <c r="K106" s="986">
        <f t="shared" si="37"/>
        <v>1.3090125279835567</v>
      </c>
      <c r="L106" s="986">
        <f t="shared" si="38"/>
        <v>0</v>
      </c>
      <c r="M106" s="984" t="s">
        <v>26</v>
      </c>
      <c r="N106" s="985">
        <f t="shared" si="39"/>
        <v>215.98706711728687</v>
      </c>
      <c r="O106" s="985">
        <f t="shared" si="40"/>
        <v>0</v>
      </c>
    </row>
    <row r="107" spans="1:40" ht="14.25" customHeight="1" x14ac:dyDescent="0.25">
      <c r="A107" s="624" t="s">
        <v>515</v>
      </c>
      <c r="B107" s="624" t="s">
        <v>524</v>
      </c>
      <c r="C107" s="624" t="s">
        <v>14</v>
      </c>
      <c r="D107" s="694">
        <v>0</v>
      </c>
      <c r="E107" s="625">
        <v>7173.0612244897957</v>
      </c>
      <c r="F107" s="920">
        <v>1</v>
      </c>
      <c r="G107" s="918">
        <f>450*24</f>
        <v>10800</v>
      </c>
      <c r="H107" s="918" t="s">
        <v>737</v>
      </c>
      <c r="I107" s="919">
        <v>95</v>
      </c>
      <c r="J107" s="919">
        <f t="shared" si="36"/>
        <v>8.7962962962962958</v>
      </c>
      <c r="K107" s="986">
        <f t="shared" si="37"/>
        <v>0.66417233560090705</v>
      </c>
      <c r="L107" s="986">
        <f t="shared" si="38"/>
        <v>0</v>
      </c>
      <c r="M107" s="984" t="s">
        <v>26</v>
      </c>
      <c r="N107" s="985">
        <f t="shared" si="39"/>
        <v>63.096371882086167</v>
      </c>
      <c r="O107" s="985">
        <f t="shared" si="40"/>
        <v>0</v>
      </c>
    </row>
    <row r="108" spans="1:40" ht="14.25" customHeight="1" x14ac:dyDescent="0.25">
      <c r="A108" s="624" t="s">
        <v>514</v>
      </c>
      <c r="B108" s="624" t="s">
        <v>524</v>
      </c>
      <c r="C108" s="624" t="s">
        <v>14</v>
      </c>
      <c r="D108" s="694">
        <v>0</v>
      </c>
      <c r="E108" s="625">
        <v>3873.9393939393944</v>
      </c>
      <c r="F108" s="920">
        <v>1</v>
      </c>
      <c r="G108" s="918">
        <f>24*450</f>
        <v>10800</v>
      </c>
      <c r="H108" s="918" t="s">
        <v>737</v>
      </c>
      <c r="I108" s="919">
        <f>100</f>
        <v>100</v>
      </c>
      <c r="J108" s="919">
        <f t="shared" si="36"/>
        <v>9.2592592592592595</v>
      </c>
      <c r="K108" s="986">
        <f t="shared" si="37"/>
        <v>0.35869809203142539</v>
      </c>
      <c r="L108" s="986">
        <f>(D108/F108)/G108</f>
        <v>0</v>
      </c>
      <c r="M108" s="984" t="s">
        <v>26</v>
      </c>
      <c r="N108" s="985">
        <f t="shared" si="39"/>
        <v>35.869809203142538</v>
      </c>
      <c r="O108" s="985">
        <f t="shared" si="40"/>
        <v>0</v>
      </c>
    </row>
    <row r="109" spans="1:40" ht="14.25" customHeight="1" x14ac:dyDescent="0.25">
      <c r="A109" s="624" t="s">
        <v>517</v>
      </c>
      <c r="B109" s="624" t="s">
        <v>524</v>
      </c>
      <c r="C109" s="624" t="s">
        <v>14</v>
      </c>
      <c r="D109" s="694">
        <v>2425.5</v>
      </c>
      <c r="E109" s="625">
        <v>12044.509900990099</v>
      </c>
      <c r="F109" s="920">
        <v>1</v>
      </c>
      <c r="G109" s="918">
        <f>24*450</f>
        <v>10800</v>
      </c>
      <c r="H109" s="918" t="s">
        <v>737</v>
      </c>
      <c r="I109" s="919">
        <v>98</v>
      </c>
      <c r="J109" s="919">
        <f t="shared" si="36"/>
        <v>9.0740740740740726</v>
      </c>
      <c r="K109" s="986">
        <f t="shared" si="37"/>
        <v>1.115232398239824</v>
      </c>
      <c r="L109" s="986">
        <f t="shared" si="38"/>
        <v>0.22458333333333333</v>
      </c>
      <c r="M109" s="984" t="s">
        <v>26</v>
      </c>
      <c r="N109" s="985">
        <f t="shared" si="39"/>
        <v>109.29277502750276</v>
      </c>
      <c r="O109" s="985">
        <f t="shared" si="40"/>
        <v>22.009166666666665</v>
      </c>
    </row>
    <row r="110" spans="1:40" ht="14.25" customHeight="1" x14ac:dyDescent="0.25">
      <c r="A110" s="624" t="s">
        <v>890</v>
      </c>
      <c r="B110" s="624" t="s">
        <v>524</v>
      </c>
      <c r="C110" s="624" t="s">
        <v>14</v>
      </c>
      <c r="D110" s="694">
        <v>0</v>
      </c>
      <c r="E110" s="625">
        <v>10000</v>
      </c>
      <c r="F110" s="920">
        <v>1</v>
      </c>
      <c r="G110" s="918">
        <v>400</v>
      </c>
      <c r="H110" s="918"/>
      <c r="I110" s="919">
        <v>15</v>
      </c>
      <c r="J110" s="919">
        <f t="shared" ref="J110" si="41">I110/(G110/1000)</f>
        <v>37.5</v>
      </c>
      <c r="K110" s="986">
        <f t="shared" ref="K110" si="42">(E110/F110)/G110</f>
        <v>25</v>
      </c>
      <c r="L110" s="986">
        <f t="shared" ref="L110" si="43">(D110/F110)/G110</f>
        <v>0</v>
      </c>
      <c r="M110" s="984"/>
      <c r="N110" s="985">
        <f t="shared" ref="N110" si="44">K110*I110</f>
        <v>375</v>
      </c>
      <c r="O110" s="985">
        <f t="shared" ref="O110" si="45">L110*I110</f>
        <v>0</v>
      </c>
    </row>
    <row r="111" spans="1:40" ht="14.25" customHeight="1" x14ac:dyDescent="0.25"/>
    <row r="112" spans="1:40" ht="14.25" customHeight="1" x14ac:dyDescent="0.25">
      <c r="A112" s="961" t="s">
        <v>730</v>
      </c>
      <c r="B112" s="961" t="s">
        <v>13</v>
      </c>
      <c r="C112" s="962" t="s">
        <v>14</v>
      </c>
      <c r="D112" s="998">
        <v>0</v>
      </c>
      <c r="E112" s="999">
        <v>15.513431250000002</v>
      </c>
      <c r="F112" s="1155">
        <v>0.52</v>
      </c>
      <c r="G112" s="1000">
        <v>100</v>
      </c>
      <c r="H112" s="999" t="s">
        <v>66</v>
      </c>
      <c r="I112" s="1001">
        <v>10</v>
      </c>
      <c r="J112" s="1001">
        <f t="shared" ref="J112:J130" si="46">I112/(G112/1000)</f>
        <v>100</v>
      </c>
      <c r="K112" s="999">
        <f>(E112/F112)/G112</f>
        <v>0.2983352163461539</v>
      </c>
      <c r="L112" s="1002">
        <f>(D112/F112)/G112</f>
        <v>0</v>
      </c>
      <c r="M112" s="999" t="s">
        <v>42</v>
      </c>
      <c r="N112" s="999">
        <f t="shared" ref="N112:N125" si="47">K112*I112</f>
        <v>2.983352163461539</v>
      </c>
      <c r="O112" s="999">
        <f t="shared" ref="O112:O125" si="48">L112*I112</f>
        <v>0</v>
      </c>
    </row>
    <row r="113" spans="1:15" ht="14.25" customHeight="1" x14ac:dyDescent="0.25">
      <c r="A113" s="1003" t="s">
        <v>19</v>
      </c>
      <c r="B113" s="1003" t="s">
        <v>13</v>
      </c>
      <c r="C113" s="1004" t="s">
        <v>14</v>
      </c>
      <c r="D113" s="1005">
        <v>5454</v>
      </c>
      <c r="E113" s="1006">
        <v>43671.630408759484</v>
      </c>
      <c r="F113" s="1450">
        <v>0.8</v>
      </c>
      <c r="G113" s="1007">
        <v>1000</v>
      </c>
      <c r="H113" s="1006" t="s">
        <v>15</v>
      </c>
      <c r="I113" s="1008">
        <v>2.6</v>
      </c>
      <c r="J113" s="1008">
        <f t="shared" si="46"/>
        <v>2.6</v>
      </c>
      <c r="K113" s="1006">
        <f>(E113/F113)/G113</f>
        <v>54.589538010949347</v>
      </c>
      <c r="L113" s="1002">
        <f t="shared" ref="L113:L144" si="49">(D113/F113)/G113</f>
        <v>6.8174999999999999</v>
      </c>
      <c r="M113" s="1006" t="s">
        <v>15</v>
      </c>
      <c r="N113" s="1006">
        <f t="shared" si="47"/>
        <v>141.93279882846832</v>
      </c>
      <c r="O113" s="1006">
        <f t="shared" si="48"/>
        <v>17.7255</v>
      </c>
    </row>
    <row r="114" spans="1:15" ht="14.25" customHeight="1" x14ac:dyDescent="0.25">
      <c r="A114" s="1003" t="s">
        <v>50</v>
      </c>
      <c r="B114" s="1003" t="s">
        <v>13</v>
      </c>
      <c r="C114" s="1004" t="s">
        <v>14</v>
      </c>
      <c r="D114" s="1005">
        <v>936</v>
      </c>
      <c r="E114" s="1006">
        <v>5988</v>
      </c>
      <c r="F114" s="1156">
        <v>0.75</v>
      </c>
      <c r="G114" s="1007">
        <v>1000</v>
      </c>
      <c r="H114" s="1006" t="s">
        <v>45</v>
      </c>
      <c r="I114" s="1008">
        <v>20</v>
      </c>
      <c r="J114" s="1008">
        <f t="shared" si="46"/>
        <v>20</v>
      </c>
      <c r="K114" s="1006">
        <f>(E114/F114)/G114</f>
        <v>7.984</v>
      </c>
      <c r="L114" s="1002">
        <f t="shared" si="49"/>
        <v>1.248</v>
      </c>
      <c r="M114" s="1006" t="s">
        <v>45</v>
      </c>
      <c r="N114" s="1006">
        <f t="shared" si="47"/>
        <v>159.68</v>
      </c>
      <c r="O114" s="1006">
        <f t="shared" si="48"/>
        <v>24.96</v>
      </c>
    </row>
    <row r="115" spans="1:15" ht="14.25" customHeight="1" x14ac:dyDescent="0.25">
      <c r="A115" s="961" t="s">
        <v>60</v>
      </c>
      <c r="B115" s="961" t="s">
        <v>13</v>
      </c>
      <c r="C115" s="962" t="s">
        <v>14</v>
      </c>
      <c r="D115" s="998">
        <v>150.90856144437979</v>
      </c>
      <c r="E115" s="999">
        <v>1726.6135484708193</v>
      </c>
      <c r="F115" s="1155">
        <v>0.94</v>
      </c>
      <c r="G115" s="1000">
        <v>825</v>
      </c>
      <c r="H115" s="999" t="s">
        <v>62</v>
      </c>
      <c r="I115" s="1001">
        <v>3</v>
      </c>
      <c r="J115" s="1001">
        <f t="shared" si="46"/>
        <v>3.6363636363636367</v>
      </c>
      <c r="K115" s="999">
        <f>(E115/F115)/G115</f>
        <v>2.2264520289759115</v>
      </c>
      <c r="L115" s="1002">
        <f>(D115/F115)/G115</f>
        <v>0.19459517916747879</v>
      </c>
      <c r="M115" s="999" t="s">
        <v>42</v>
      </c>
      <c r="N115" s="999">
        <f t="shared" si="47"/>
        <v>6.6793560869277346</v>
      </c>
      <c r="O115" s="999">
        <f t="shared" si="48"/>
        <v>0.58378553750243634</v>
      </c>
    </row>
    <row r="116" spans="1:15" ht="14.25" customHeight="1" x14ac:dyDescent="0.25">
      <c r="A116" s="961" t="s">
        <v>863</v>
      </c>
      <c r="B116" s="961" t="s">
        <v>13</v>
      </c>
      <c r="C116" s="962" t="s">
        <v>14</v>
      </c>
      <c r="D116" s="998">
        <v>1840</v>
      </c>
      <c r="E116" s="999">
        <v>1840</v>
      </c>
      <c r="F116" s="1155">
        <v>0.81</v>
      </c>
      <c r="G116" s="1000">
        <v>1000</v>
      </c>
      <c r="H116" s="999" t="s">
        <v>15</v>
      </c>
      <c r="I116" s="1001">
        <v>3</v>
      </c>
      <c r="J116" s="1001">
        <f t="shared" si="46"/>
        <v>3</v>
      </c>
      <c r="K116" s="999">
        <f>(E116/F116)/G116</f>
        <v>2.2716049382716048</v>
      </c>
      <c r="L116" s="1002">
        <f>(D116/F116)/G116</f>
        <v>2.2716049382716048</v>
      </c>
      <c r="M116" s="999" t="s">
        <v>227</v>
      </c>
      <c r="N116" s="999">
        <f t="shared" si="47"/>
        <v>6.8148148148148149</v>
      </c>
      <c r="O116" s="999">
        <f t="shared" si="48"/>
        <v>6.8148148148148149</v>
      </c>
    </row>
    <row r="117" spans="1:15" ht="14.25" customHeight="1" x14ac:dyDescent="0.25">
      <c r="A117" s="961" t="s">
        <v>686</v>
      </c>
      <c r="B117" s="961" t="s">
        <v>13</v>
      </c>
      <c r="C117" s="962" t="s">
        <v>14</v>
      </c>
      <c r="D117" s="998">
        <v>210.27000000000004</v>
      </c>
      <c r="E117" s="999">
        <v>849.0200000000001</v>
      </c>
      <c r="F117" s="1155">
        <v>0.65</v>
      </c>
      <c r="G117" s="1000">
        <v>1000</v>
      </c>
      <c r="H117" s="999" t="s">
        <v>45</v>
      </c>
      <c r="I117" s="1001">
        <v>45</v>
      </c>
      <c r="J117" s="1001">
        <f t="shared" si="46"/>
        <v>45</v>
      </c>
      <c r="K117" s="999">
        <f>(E117/F117)</f>
        <v>1306.1846153846154</v>
      </c>
      <c r="L117" s="1002">
        <f t="shared" si="49"/>
        <v>0.32349230769230775</v>
      </c>
      <c r="M117" s="999" t="s">
        <v>15</v>
      </c>
      <c r="N117" s="999">
        <f t="shared" si="47"/>
        <v>58778.307692307695</v>
      </c>
      <c r="O117" s="999">
        <f t="shared" si="48"/>
        <v>14.557153846153849</v>
      </c>
    </row>
    <row r="118" spans="1:15" ht="14.25" customHeight="1" x14ac:dyDescent="0.25">
      <c r="A118" s="961" t="s">
        <v>75</v>
      </c>
      <c r="B118" s="961" t="s">
        <v>13</v>
      </c>
      <c r="C118" s="962" t="s">
        <v>14</v>
      </c>
      <c r="D118" s="998">
        <v>0</v>
      </c>
      <c r="E118" s="999">
        <v>60.011437246963602</v>
      </c>
      <c r="F118" s="1155">
        <v>0.6</v>
      </c>
      <c r="G118" s="1000">
        <v>100</v>
      </c>
      <c r="H118" s="999" t="s">
        <v>66</v>
      </c>
      <c r="I118" s="1001">
        <v>9</v>
      </c>
      <c r="J118" s="1001">
        <f t="shared" si="46"/>
        <v>90</v>
      </c>
      <c r="K118" s="999">
        <f t="shared" ref="K118:K125" si="50">(E118/F118)/G118</f>
        <v>1.0001906207827267</v>
      </c>
      <c r="L118" s="1002">
        <f t="shared" si="49"/>
        <v>0</v>
      </c>
      <c r="M118" s="999" t="s">
        <v>42</v>
      </c>
      <c r="N118" s="999">
        <f t="shared" si="47"/>
        <v>9.00171558704454</v>
      </c>
      <c r="O118" s="999">
        <f t="shared" si="48"/>
        <v>0</v>
      </c>
    </row>
    <row r="119" spans="1:15" ht="14.25" customHeight="1" x14ac:dyDescent="0.25">
      <c r="A119" s="961" t="s">
        <v>70</v>
      </c>
      <c r="B119" s="961" t="s">
        <v>13</v>
      </c>
      <c r="C119" s="962" t="s">
        <v>14</v>
      </c>
      <c r="D119" s="998">
        <v>0</v>
      </c>
      <c r="E119" s="999">
        <v>408.03750000000002</v>
      </c>
      <c r="F119" s="1155">
        <v>0.71</v>
      </c>
      <c r="G119" s="1000">
        <v>1000</v>
      </c>
      <c r="H119" s="999" t="s">
        <v>71</v>
      </c>
      <c r="I119" s="1001">
        <v>3</v>
      </c>
      <c r="J119" s="1001">
        <f t="shared" si="46"/>
        <v>3</v>
      </c>
      <c r="K119" s="999">
        <f t="shared" si="50"/>
        <v>0.57470070422535213</v>
      </c>
      <c r="L119" s="1002">
        <f t="shared" si="49"/>
        <v>0</v>
      </c>
      <c r="M119" s="999" t="s">
        <v>42</v>
      </c>
      <c r="N119" s="999">
        <f t="shared" si="47"/>
        <v>1.7241021126760563</v>
      </c>
      <c r="O119" s="999">
        <f t="shared" si="48"/>
        <v>0</v>
      </c>
    </row>
    <row r="120" spans="1:15" ht="14.25" customHeight="1" x14ac:dyDescent="0.25">
      <c r="A120" s="1003" t="s">
        <v>23</v>
      </c>
      <c r="B120" s="1003" t="s">
        <v>13</v>
      </c>
      <c r="C120" s="1004" t="s">
        <v>14</v>
      </c>
      <c r="D120" s="1005">
        <v>0</v>
      </c>
      <c r="E120" s="1006">
        <v>12660</v>
      </c>
      <c r="F120" s="1156">
        <v>0.82</v>
      </c>
      <c r="G120" s="1007">
        <v>1000</v>
      </c>
      <c r="H120" s="1006" t="s">
        <v>15</v>
      </c>
      <c r="I120" s="1008">
        <v>3</v>
      </c>
      <c r="J120" s="1008">
        <f t="shared" si="46"/>
        <v>3</v>
      </c>
      <c r="K120" s="1006">
        <f t="shared" si="50"/>
        <v>15.439024390243903</v>
      </c>
      <c r="L120" s="1002">
        <f t="shared" si="49"/>
        <v>0</v>
      </c>
      <c r="M120" s="1006" t="s">
        <v>15</v>
      </c>
      <c r="N120" s="1006">
        <f t="shared" si="47"/>
        <v>46.31707317073171</v>
      </c>
      <c r="O120" s="1006">
        <f t="shared" si="48"/>
        <v>0</v>
      </c>
    </row>
    <row r="121" spans="1:15" ht="14.25" customHeight="1" x14ac:dyDescent="0.25">
      <c r="A121" s="1003" t="s">
        <v>752</v>
      </c>
      <c r="B121" s="1003" t="s">
        <v>13</v>
      </c>
      <c r="C121" s="1004" t="s">
        <v>14</v>
      </c>
      <c r="D121" s="1005">
        <v>0</v>
      </c>
      <c r="E121" s="1006">
        <v>1673.7142857142858</v>
      </c>
      <c r="F121" s="1156">
        <v>1</v>
      </c>
      <c r="G121" s="1007">
        <v>125</v>
      </c>
      <c r="H121" s="1006" t="s">
        <v>753</v>
      </c>
      <c r="I121" s="1008">
        <v>10</v>
      </c>
      <c r="J121" s="1008">
        <f t="shared" si="46"/>
        <v>80</v>
      </c>
      <c r="K121" s="1006">
        <f t="shared" si="50"/>
        <v>13.389714285714286</v>
      </c>
      <c r="L121" s="1002">
        <f>(D121/F121)/G121</f>
        <v>0</v>
      </c>
      <c r="M121" s="1006" t="s">
        <v>37</v>
      </c>
      <c r="N121" s="1006">
        <f t="shared" si="47"/>
        <v>133.89714285714285</v>
      </c>
      <c r="O121" s="1006">
        <f t="shared" si="48"/>
        <v>0</v>
      </c>
    </row>
    <row r="122" spans="1:15" ht="14.25" customHeight="1" x14ac:dyDescent="0.25">
      <c r="A122" s="1003" t="s">
        <v>728</v>
      </c>
      <c r="B122" s="1003" t="s">
        <v>13</v>
      </c>
      <c r="C122" s="1004" t="s">
        <v>14</v>
      </c>
      <c r="D122" s="1005">
        <v>118.26923076923077</v>
      </c>
      <c r="E122" s="1006">
        <v>2268.7638326585707</v>
      </c>
      <c r="F122" s="1156">
        <v>1</v>
      </c>
      <c r="G122" s="1007">
        <v>135</v>
      </c>
      <c r="H122" s="1006" t="s">
        <v>52</v>
      </c>
      <c r="I122" s="1008">
        <v>5.5</v>
      </c>
      <c r="J122" s="1008">
        <f t="shared" si="46"/>
        <v>40.74074074074074</v>
      </c>
      <c r="K122" s="1006">
        <f t="shared" si="50"/>
        <v>16.805658019693116</v>
      </c>
      <c r="L122" s="1002">
        <f t="shared" si="49"/>
        <v>0.87606837606837606</v>
      </c>
      <c r="M122" s="1006" t="s">
        <v>37</v>
      </c>
      <c r="N122" s="1006">
        <f t="shared" si="47"/>
        <v>92.431119108312132</v>
      </c>
      <c r="O122" s="1006">
        <f t="shared" si="48"/>
        <v>4.8183760683760681</v>
      </c>
    </row>
    <row r="123" spans="1:15" ht="14.25" customHeight="1" x14ac:dyDescent="0.25">
      <c r="A123" s="961" t="s">
        <v>729</v>
      </c>
      <c r="B123" s="961" t="s">
        <v>13</v>
      </c>
      <c r="C123" s="962" t="s">
        <v>14</v>
      </c>
      <c r="D123" s="998">
        <v>45.421684214415016</v>
      </c>
      <c r="E123" s="999">
        <v>45.421684214415016</v>
      </c>
      <c r="F123" s="1157">
        <v>0.5</v>
      </c>
      <c r="G123" s="1000">
        <v>100</v>
      </c>
      <c r="H123" s="999" t="s">
        <v>66</v>
      </c>
      <c r="I123" s="1001">
        <v>9</v>
      </c>
      <c r="J123" s="1001">
        <f t="shared" si="46"/>
        <v>90</v>
      </c>
      <c r="K123" s="999">
        <f t="shared" si="50"/>
        <v>0.90843368428830029</v>
      </c>
      <c r="L123" s="1002">
        <f>(D123/F123)/G123</f>
        <v>0.90843368428830029</v>
      </c>
      <c r="M123" s="999" t="s">
        <v>42</v>
      </c>
      <c r="N123" s="999">
        <f t="shared" si="47"/>
        <v>8.1759031585947035</v>
      </c>
      <c r="O123" s="999">
        <f t="shared" si="48"/>
        <v>8.1759031585947035</v>
      </c>
    </row>
    <row r="124" spans="1:15" ht="14.25" customHeight="1" x14ac:dyDescent="0.25">
      <c r="A124" s="1003" t="s">
        <v>727</v>
      </c>
      <c r="B124" s="1003" t="s">
        <v>13</v>
      </c>
      <c r="C124" s="1004" t="s">
        <v>14</v>
      </c>
      <c r="D124" s="1005">
        <v>2694.2608382948329</v>
      </c>
      <c r="E124" s="1006">
        <v>14354.635547678143</v>
      </c>
      <c r="F124" s="1156">
        <v>1</v>
      </c>
      <c r="G124" s="1007">
        <v>1000</v>
      </c>
      <c r="H124" s="1006" t="s">
        <v>45</v>
      </c>
      <c r="I124" s="1008">
        <v>10.5</v>
      </c>
      <c r="J124" s="1008">
        <f t="shared" si="46"/>
        <v>10.5</v>
      </c>
      <c r="K124" s="1006">
        <f t="shared" si="50"/>
        <v>14.354635547678143</v>
      </c>
      <c r="L124" s="1002">
        <f t="shared" si="49"/>
        <v>2.694260838294833</v>
      </c>
      <c r="M124" s="1006" t="s">
        <v>45</v>
      </c>
      <c r="N124" s="1006">
        <f t="shared" si="47"/>
        <v>150.72367325062049</v>
      </c>
      <c r="O124" s="1006">
        <f t="shared" si="48"/>
        <v>28.289738802095748</v>
      </c>
    </row>
    <row r="125" spans="1:15" ht="14.25" customHeight="1" x14ac:dyDescent="0.25">
      <c r="A125" s="1009" t="s">
        <v>54</v>
      </c>
      <c r="B125" s="1009" t="s">
        <v>13</v>
      </c>
      <c r="C125" s="1010" t="s">
        <v>14</v>
      </c>
      <c r="D125" s="1011">
        <v>1040.4573943819726</v>
      </c>
      <c r="E125" s="1012">
        <v>4087.5347361600666</v>
      </c>
      <c r="F125" s="1158">
        <v>0.87</v>
      </c>
      <c r="G125" s="1013">
        <v>1000</v>
      </c>
      <c r="H125" s="1012" t="s">
        <v>45</v>
      </c>
      <c r="I125" s="1014">
        <v>7</v>
      </c>
      <c r="J125" s="1014">
        <f t="shared" si="46"/>
        <v>7</v>
      </c>
      <c r="K125" s="1012">
        <f t="shared" si="50"/>
        <v>4.6983157886897313</v>
      </c>
      <c r="L125" s="1002">
        <f t="shared" si="49"/>
        <v>1.1959280395195087</v>
      </c>
      <c r="M125" s="1012" t="s">
        <v>45</v>
      </c>
      <c r="N125" s="1012">
        <f t="shared" si="47"/>
        <v>32.888210520828117</v>
      </c>
      <c r="O125" s="1012">
        <f t="shared" si="48"/>
        <v>8.3714962766365613</v>
      </c>
    </row>
    <row r="126" spans="1:15" ht="14.25" customHeight="1" x14ac:dyDescent="0.25">
      <c r="A126" s="1003" t="s">
        <v>533</v>
      </c>
      <c r="B126" s="1003" t="s">
        <v>13</v>
      </c>
      <c r="C126" s="1004" t="s">
        <v>14</v>
      </c>
      <c r="D126" s="1005">
        <v>0</v>
      </c>
      <c r="E126" s="1006">
        <v>191.4</v>
      </c>
      <c r="F126" s="1156">
        <v>0.56999999999999995</v>
      </c>
      <c r="G126" s="1007">
        <v>1000</v>
      </c>
      <c r="H126" s="1006" t="s">
        <v>45</v>
      </c>
      <c r="I126" s="1008">
        <v>5</v>
      </c>
      <c r="J126" s="1008">
        <f t="shared" si="46"/>
        <v>5</v>
      </c>
      <c r="K126" s="1006"/>
      <c r="L126" s="1002">
        <f t="shared" si="49"/>
        <v>0</v>
      </c>
      <c r="M126" s="1012" t="s">
        <v>45</v>
      </c>
      <c r="N126" s="1006"/>
      <c r="O126" s="1006"/>
    </row>
    <row r="127" spans="1:15" ht="14.25" customHeight="1" x14ac:dyDescent="0.25">
      <c r="A127" s="1003" t="s">
        <v>32</v>
      </c>
      <c r="B127" s="1003" t="s">
        <v>13</v>
      </c>
      <c r="C127" s="1004" t="s">
        <v>14</v>
      </c>
      <c r="D127" s="1005">
        <v>3410.9267834973116</v>
      </c>
      <c r="E127" s="1006">
        <v>14600.513365914892</v>
      </c>
      <c r="F127" s="1156">
        <v>0.69</v>
      </c>
      <c r="G127" s="1007">
        <v>1000</v>
      </c>
      <c r="H127" s="1006" t="s">
        <v>15</v>
      </c>
      <c r="I127" s="1008">
        <v>4</v>
      </c>
      <c r="J127" s="1008">
        <f t="shared" si="46"/>
        <v>4</v>
      </c>
      <c r="K127" s="1006">
        <f t="shared" ref="K127:K138" si="51">(E127/F127)/G127</f>
        <v>21.160164298427382</v>
      </c>
      <c r="L127" s="1002">
        <f t="shared" si="49"/>
        <v>4.9433721499961036</v>
      </c>
      <c r="M127" s="1006" t="s">
        <v>15</v>
      </c>
      <c r="N127" s="1006">
        <f t="shared" ref="N127:N138" si="52">K127*I127</f>
        <v>84.640657193709529</v>
      </c>
      <c r="O127" s="1006">
        <f t="shared" ref="O127:O146" si="53">L127*I127</f>
        <v>19.773488599984415</v>
      </c>
    </row>
    <row r="128" spans="1:15" ht="14.25" customHeight="1" x14ac:dyDescent="0.25">
      <c r="A128" s="1003" t="s">
        <v>34</v>
      </c>
      <c r="B128" s="1003" t="s">
        <v>13</v>
      </c>
      <c r="C128" s="1004" t="s">
        <v>14</v>
      </c>
      <c r="D128" s="1005">
        <v>147.36990950226249</v>
      </c>
      <c r="E128" s="1006">
        <v>712.01746837196424</v>
      </c>
      <c r="F128" s="1156">
        <v>0.86</v>
      </c>
      <c r="G128" s="1007">
        <v>1000</v>
      </c>
      <c r="H128" s="1006" t="s">
        <v>15</v>
      </c>
      <c r="I128" s="1008">
        <v>14</v>
      </c>
      <c r="J128" s="1008">
        <f t="shared" si="46"/>
        <v>14</v>
      </c>
      <c r="K128" s="1015">
        <f t="shared" si="51"/>
        <v>0.82792728880460964</v>
      </c>
      <c r="L128" s="1002">
        <f t="shared" si="49"/>
        <v>0.17136035988635173</v>
      </c>
      <c r="M128" s="1006" t="s">
        <v>15</v>
      </c>
      <c r="N128" s="1006">
        <f t="shared" si="52"/>
        <v>11.590982043264535</v>
      </c>
      <c r="O128" s="1006">
        <f t="shared" si="53"/>
        <v>2.3990450384089241</v>
      </c>
    </row>
    <row r="129" spans="1:24" ht="13.5" customHeight="1" x14ac:dyDescent="0.25">
      <c r="A129" s="1003" t="s">
        <v>40</v>
      </c>
      <c r="B129" s="1003" t="s">
        <v>13</v>
      </c>
      <c r="C129" s="1004" t="s">
        <v>14</v>
      </c>
      <c r="D129" s="1005">
        <v>0</v>
      </c>
      <c r="E129" s="1006">
        <v>1712.8205128205136</v>
      </c>
      <c r="F129" s="1156">
        <v>0.84</v>
      </c>
      <c r="G129" s="1007">
        <v>1350</v>
      </c>
      <c r="H129" s="1006" t="s">
        <v>41</v>
      </c>
      <c r="I129" s="1008">
        <v>4</v>
      </c>
      <c r="J129" s="1008">
        <f t="shared" si="46"/>
        <v>2.9629629629629628</v>
      </c>
      <c r="K129" s="1006">
        <f t="shared" si="51"/>
        <v>1.5104237326459555</v>
      </c>
      <c r="L129" s="1002">
        <f t="shared" si="49"/>
        <v>0</v>
      </c>
      <c r="M129" s="1006" t="s">
        <v>42</v>
      </c>
      <c r="N129" s="1006">
        <f t="shared" si="52"/>
        <v>6.0416949305838221</v>
      </c>
      <c r="O129" s="1006">
        <f t="shared" si="53"/>
        <v>0</v>
      </c>
    </row>
    <row r="130" spans="1:24" ht="14.25" customHeight="1" x14ac:dyDescent="0.25">
      <c r="A130" s="1003" t="s">
        <v>992</v>
      </c>
      <c r="B130" s="1003" t="s">
        <v>13</v>
      </c>
      <c r="C130" s="1004" t="s">
        <v>14</v>
      </c>
      <c r="D130" s="1005">
        <v>3070</v>
      </c>
      <c r="E130" s="1006">
        <v>11590</v>
      </c>
      <c r="F130" s="1450">
        <v>0.5</v>
      </c>
      <c r="G130" s="1007">
        <v>1000</v>
      </c>
      <c r="H130" s="1006" t="s">
        <v>45</v>
      </c>
      <c r="I130" s="1008">
        <v>8.5</v>
      </c>
      <c r="J130" s="1008">
        <f t="shared" si="46"/>
        <v>8.5</v>
      </c>
      <c r="K130" s="1006">
        <f t="shared" si="51"/>
        <v>23.18</v>
      </c>
      <c r="L130" s="1002">
        <f t="shared" si="49"/>
        <v>6.14</v>
      </c>
      <c r="M130" s="1006" t="s">
        <v>45</v>
      </c>
      <c r="N130" s="1006">
        <f t="shared" si="52"/>
        <v>197.03</v>
      </c>
      <c r="O130" s="1006">
        <f t="shared" si="53"/>
        <v>52.19</v>
      </c>
    </row>
    <row r="131" spans="1:24" ht="14.25" customHeight="1" x14ac:dyDescent="0.25">
      <c r="A131" s="1009" t="s">
        <v>758</v>
      </c>
      <c r="B131" s="1009" t="s">
        <v>13</v>
      </c>
      <c r="C131" s="1010" t="s">
        <v>14</v>
      </c>
      <c r="D131" s="1011">
        <v>0</v>
      </c>
      <c r="E131" s="1012">
        <v>19.414050235478815</v>
      </c>
      <c r="F131" s="1158">
        <v>0.85</v>
      </c>
      <c r="G131" s="1013">
        <v>1000</v>
      </c>
      <c r="H131" s="1012" t="s">
        <v>45</v>
      </c>
      <c r="I131" s="1014">
        <v>30</v>
      </c>
      <c r="J131" s="1014">
        <f>I131</f>
        <v>30</v>
      </c>
      <c r="K131" s="1012">
        <f t="shared" si="51"/>
        <v>2.2840059100563314E-2</v>
      </c>
      <c r="L131" s="1002">
        <f t="shared" si="49"/>
        <v>0</v>
      </c>
      <c r="M131" s="1012" t="s">
        <v>45</v>
      </c>
      <c r="N131" s="1012">
        <f t="shared" si="52"/>
        <v>0.68520177301689944</v>
      </c>
      <c r="O131" s="1012">
        <f t="shared" si="53"/>
        <v>0</v>
      </c>
    </row>
    <row r="132" spans="1:24" x14ac:dyDescent="0.25">
      <c r="A132" s="1009" t="s">
        <v>757</v>
      </c>
      <c r="B132" s="1009" t="s">
        <v>13</v>
      </c>
      <c r="C132" s="1010" t="s">
        <v>14</v>
      </c>
      <c r="D132" s="1011">
        <v>0</v>
      </c>
      <c r="E132" s="1012">
        <v>38.828100470957629</v>
      </c>
      <c r="F132" s="1158">
        <v>0.9</v>
      </c>
      <c r="G132" s="1013">
        <v>1000</v>
      </c>
      <c r="H132" s="1012" t="s">
        <v>45</v>
      </c>
      <c r="I132" s="1014">
        <v>30</v>
      </c>
      <c r="J132" s="1014">
        <f>I132</f>
        <v>30</v>
      </c>
      <c r="K132" s="1012">
        <f t="shared" si="51"/>
        <v>4.3142333856619586E-2</v>
      </c>
      <c r="L132" s="1254">
        <f t="shared" si="49"/>
        <v>0</v>
      </c>
      <c r="M132" s="1012" t="s">
        <v>45</v>
      </c>
      <c r="N132" s="1012">
        <f t="shared" si="52"/>
        <v>1.2942700156985876</v>
      </c>
      <c r="O132" s="1012">
        <f t="shared" si="53"/>
        <v>0</v>
      </c>
    </row>
    <row r="133" spans="1:24" ht="14.25" customHeight="1" x14ac:dyDescent="0.25">
      <c r="A133" s="961" t="s">
        <v>68</v>
      </c>
      <c r="B133" s="961" t="s">
        <v>13</v>
      </c>
      <c r="C133" s="962" t="s">
        <v>14</v>
      </c>
      <c r="D133" s="998">
        <v>0</v>
      </c>
      <c r="E133" s="999">
        <v>338.75555525203981</v>
      </c>
      <c r="F133" s="1155">
        <v>0.43</v>
      </c>
      <c r="G133" s="1000">
        <v>900</v>
      </c>
      <c r="H133" s="999" t="s">
        <v>69</v>
      </c>
      <c r="I133" s="1001">
        <v>3</v>
      </c>
      <c r="J133" s="1001">
        <f t="shared" ref="J133:J139" si="54">I133/(G133/1000)</f>
        <v>3.333333333333333</v>
      </c>
      <c r="K133" s="999">
        <f t="shared" si="51"/>
        <v>0.87533735207245422</v>
      </c>
      <c r="L133" s="1002">
        <f t="shared" si="49"/>
        <v>0</v>
      </c>
      <c r="M133" s="999" t="s">
        <v>42</v>
      </c>
      <c r="N133" s="999">
        <f t="shared" si="52"/>
        <v>2.6260120562173626</v>
      </c>
      <c r="O133" s="999">
        <f t="shared" si="53"/>
        <v>0</v>
      </c>
    </row>
    <row r="134" spans="1:24" x14ac:dyDescent="0.25">
      <c r="A134" s="1003" t="s">
        <v>754</v>
      </c>
      <c r="B134" s="1003" t="s">
        <v>13</v>
      </c>
      <c r="C134" s="1004" t="s">
        <v>14</v>
      </c>
      <c r="D134" s="1005">
        <v>0</v>
      </c>
      <c r="E134" s="1006">
        <v>5686.630772821607</v>
      </c>
      <c r="F134" s="1156">
        <v>1</v>
      </c>
      <c r="G134" s="1007">
        <v>250</v>
      </c>
      <c r="H134" s="1006" t="s">
        <v>36</v>
      </c>
      <c r="I134" s="1008">
        <v>5.5</v>
      </c>
      <c r="J134" s="1008">
        <f t="shared" si="54"/>
        <v>22</v>
      </c>
      <c r="K134" s="1006">
        <f t="shared" si="51"/>
        <v>22.746523091286427</v>
      </c>
      <c r="L134" s="1002">
        <f>(D134/F134)/G134</f>
        <v>0</v>
      </c>
      <c r="M134" s="1006" t="s">
        <v>37</v>
      </c>
      <c r="N134" s="1006">
        <f t="shared" si="52"/>
        <v>125.10587700207535</v>
      </c>
      <c r="O134" s="1006">
        <f t="shared" si="53"/>
        <v>0</v>
      </c>
    </row>
    <row r="135" spans="1:24" x14ac:dyDescent="0.25">
      <c r="A135" s="1003" t="s">
        <v>12</v>
      </c>
      <c r="B135" s="1003" t="s">
        <v>13</v>
      </c>
      <c r="C135" s="1004" t="s">
        <v>14</v>
      </c>
      <c r="D135" s="1005">
        <v>9489.5745118857394</v>
      </c>
      <c r="E135" s="1006">
        <v>95033.112581043228</v>
      </c>
      <c r="F135" s="1156">
        <v>0.9</v>
      </c>
      <c r="G135" s="1007">
        <v>1000</v>
      </c>
      <c r="H135" s="1006" t="s">
        <v>15</v>
      </c>
      <c r="I135" s="1008">
        <v>3</v>
      </c>
      <c r="J135" s="1008">
        <f t="shared" si="54"/>
        <v>3</v>
      </c>
      <c r="K135" s="1006">
        <f t="shared" si="51"/>
        <v>105.59234731227026</v>
      </c>
      <c r="L135" s="1002">
        <f t="shared" si="49"/>
        <v>10.543971679873044</v>
      </c>
      <c r="M135" s="1006" t="s">
        <v>15</v>
      </c>
      <c r="N135" s="1006">
        <f t="shared" si="52"/>
        <v>316.7770419368108</v>
      </c>
      <c r="O135" s="1006">
        <f t="shared" si="53"/>
        <v>31.63191503961913</v>
      </c>
    </row>
    <row r="136" spans="1:24" x14ac:dyDescent="0.25">
      <c r="A136" s="1003" t="s">
        <v>49</v>
      </c>
      <c r="B136" s="1003" t="s">
        <v>13</v>
      </c>
      <c r="C136" s="1004" t="s">
        <v>14</v>
      </c>
      <c r="D136" s="1005">
        <v>0</v>
      </c>
      <c r="E136" s="1006">
        <v>3247.0000000000005</v>
      </c>
      <c r="F136" s="1159">
        <v>0.5</v>
      </c>
      <c r="G136" s="1007">
        <v>1000</v>
      </c>
      <c r="H136" s="1006" t="s">
        <v>45</v>
      </c>
      <c r="I136" s="1008">
        <v>4.5</v>
      </c>
      <c r="J136" s="1008">
        <f t="shared" si="54"/>
        <v>4.5</v>
      </c>
      <c r="K136" s="1006">
        <f t="shared" si="51"/>
        <v>6.4940000000000007</v>
      </c>
      <c r="L136" s="1002">
        <f t="shared" si="49"/>
        <v>0</v>
      </c>
      <c r="M136" s="1006" t="s">
        <v>45</v>
      </c>
      <c r="N136" s="1006">
        <f t="shared" si="52"/>
        <v>29.223000000000003</v>
      </c>
      <c r="O136" s="1006">
        <f t="shared" si="53"/>
        <v>0</v>
      </c>
    </row>
    <row r="137" spans="1:24" x14ac:dyDescent="0.25">
      <c r="A137" s="1003" t="s">
        <v>21</v>
      </c>
      <c r="B137" s="1003" t="s">
        <v>13</v>
      </c>
      <c r="C137" s="1004" t="s">
        <v>14</v>
      </c>
      <c r="D137" s="1005">
        <v>53170.869565217392</v>
      </c>
      <c r="E137" s="1006">
        <v>137890.40931658054</v>
      </c>
      <c r="F137" s="1156">
        <v>0.9</v>
      </c>
      <c r="G137" s="1007">
        <v>1000</v>
      </c>
      <c r="H137" s="1006" t="s">
        <v>15</v>
      </c>
      <c r="I137" s="1008">
        <v>2.2999999999999998</v>
      </c>
      <c r="J137" s="1008">
        <f t="shared" si="54"/>
        <v>2.2999999999999998</v>
      </c>
      <c r="K137" s="1006">
        <f t="shared" si="51"/>
        <v>153.21156590731172</v>
      </c>
      <c r="L137" s="1002">
        <f t="shared" si="49"/>
        <v>59.078743961352657</v>
      </c>
      <c r="M137" s="1006" t="s">
        <v>15</v>
      </c>
      <c r="N137" s="1006">
        <f t="shared" si="52"/>
        <v>352.38660158681694</v>
      </c>
      <c r="O137" s="1006">
        <f t="shared" si="53"/>
        <v>135.8811111111111</v>
      </c>
    </row>
    <row r="138" spans="1:24" x14ac:dyDescent="0.25">
      <c r="A138" s="1003" t="s">
        <v>28</v>
      </c>
      <c r="B138" s="1003" t="s">
        <v>13</v>
      </c>
      <c r="C138" s="1004" t="s">
        <v>14</v>
      </c>
      <c r="D138" s="1005">
        <v>2213.3844758050027</v>
      </c>
      <c r="E138" s="1006">
        <v>12108.027827453352</v>
      </c>
      <c r="F138" s="1156">
        <v>0.73</v>
      </c>
      <c r="G138" s="1007">
        <v>1000</v>
      </c>
      <c r="H138" s="1006" t="s">
        <v>15</v>
      </c>
      <c r="I138" s="1008">
        <v>8.5</v>
      </c>
      <c r="J138" s="1008">
        <f t="shared" si="54"/>
        <v>8.5</v>
      </c>
      <c r="K138" s="1006">
        <f t="shared" si="51"/>
        <v>16.586339489662127</v>
      </c>
      <c r="L138" s="1002">
        <f t="shared" si="49"/>
        <v>3.032033528500004</v>
      </c>
      <c r="M138" s="1006" t="s">
        <v>15</v>
      </c>
      <c r="N138" s="1006">
        <f t="shared" si="52"/>
        <v>140.98388566212807</v>
      </c>
      <c r="O138" s="1006">
        <f t="shared" si="53"/>
        <v>25.772284992250032</v>
      </c>
    </row>
    <row r="139" spans="1:24" x14ac:dyDescent="0.25">
      <c r="A139" s="1003" t="s">
        <v>480</v>
      </c>
      <c r="B139" s="1003" t="s">
        <v>13</v>
      </c>
      <c r="C139" s="1004" t="s">
        <v>14</v>
      </c>
      <c r="D139" s="1005">
        <v>0</v>
      </c>
      <c r="E139" s="1006">
        <v>2011</v>
      </c>
      <c r="F139" s="1159">
        <v>0.88</v>
      </c>
      <c r="G139" s="1007">
        <v>1000</v>
      </c>
      <c r="H139" s="1006" t="s">
        <v>45</v>
      </c>
      <c r="I139" s="1008">
        <v>3</v>
      </c>
      <c r="J139" s="1008">
        <f t="shared" si="54"/>
        <v>3</v>
      </c>
      <c r="K139" s="1006"/>
      <c r="L139" s="1002">
        <f>(D139/F139)/G139</f>
        <v>0</v>
      </c>
      <c r="M139" s="1006" t="s">
        <v>15</v>
      </c>
      <c r="N139" s="1006"/>
      <c r="O139" s="1006">
        <f t="shared" si="53"/>
        <v>0</v>
      </c>
    </row>
    <row r="140" spans="1:24" x14ac:dyDescent="0.25">
      <c r="A140" s="1003" t="s">
        <v>845</v>
      </c>
      <c r="B140" s="1003" t="s">
        <v>13</v>
      </c>
      <c r="C140" s="1004" t="s">
        <v>14</v>
      </c>
      <c r="D140" s="1005">
        <v>4600</v>
      </c>
      <c r="E140" s="1006">
        <v>20475</v>
      </c>
      <c r="F140" s="1159">
        <v>0.66</v>
      </c>
      <c r="G140" s="1007">
        <v>1000</v>
      </c>
      <c r="H140" s="1006" t="s">
        <v>15</v>
      </c>
      <c r="I140" s="1008">
        <v>3.5</v>
      </c>
      <c r="J140" s="1008">
        <f>I140/(G140/1000)</f>
        <v>3.5</v>
      </c>
      <c r="K140" s="1006">
        <f t="shared" ref="K140" si="55">(E140/F140)/G140</f>
        <v>31.022727272727273</v>
      </c>
      <c r="L140" s="1002">
        <f t="shared" ref="L140" si="56">(D140/F140)/G140</f>
        <v>6.9696969696969688</v>
      </c>
      <c r="M140" s="1006" t="s">
        <v>45</v>
      </c>
      <c r="N140" s="1006">
        <f t="shared" ref="N140" si="57">K140*I140</f>
        <v>108.57954545454545</v>
      </c>
      <c r="O140" s="1006">
        <f t="shared" si="53"/>
        <v>24.393939393939391</v>
      </c>
    </row>
    <row r="141" spans="1:24" x14ac:dyDescent="0.25">
      <c r="A141" s="961" t="s">
        <v>756</v>
      </c>
      <c r="B141" s="961" t="s">
        <v>13</v>
      </c>
      <c r="C141" s="962" t="s">
        <v>14</v>
      </c>
      <c r="D141" s="998">
        <v>45.421684214415016</v>
      </c>
      <c r="E141" s="999">
        <v>66.746498647404707</v>
      </c>
      <c r="F141" s="1157">
        <v>0.74</v>
      </c>
      <c r="G141" s="1000">
        <v>100</v>
      </c>
      <c r="H141" s="999" t="s">
        <v>66</v>
      </c>
      <c r="I141" s="1001">
        <v>10</v>
      </c>
      <c r="J141" s="1001">
        <f>I141/0.1</f>
        <v>100</v>
      </c>
      <c r="K141" s="999">
        <f>(E141/F141)/G141</f>
        <v>0.90197971145141498</v>
      </c>
      <c r="L141" s="1002">
        <f t="shared" si="49"/>
        <v>0.61380654343804075</v>
      </c>
      <c r="M141" s="999" t="s">
        <v>42</v>
      </c>
      <c r="N141" s="999">
        <f>K141*I141</f>
        <v>9.0197971145141498</v>
      </c>
      <c r="O141" s="999">
        <f t="shared" si="53"/>
        <v>6.1380654343804073</v>
      </c>
    </row>
    <row r="142" spans="1:24" x14ac:dyDescent="0.25">
      <c r="A142" s="1003" t="s">
        <v>17</v>
      </c>
      <c r="B142" s="1003" t="s">
        <v>13</v>
      </c>
      <c r="C142" s="1004" t="s">
        <v>14</v>
      </c>
      <c r="D142" s="1005">
        <v>13961.620755038872</v>
      </c>
      <c r="E142" s="1006">
        <v>98623.144631728792</v>
      </c>
      <c r="F142" s="1156">
        <v>0.98</v>
      </c>
      <c r="G142" s="1007">
        <v>1000</v>
      </c>
      <c r="H142" s="1006" t="s">
        <v>15</v>
      </c>
      <c r="I142" s="1008">
        <v>3.5</v>
      </c>
      <c r="J142" s="1008">
        <f>I142/(G142/1000)</f>
        <v>3.5</v>
      </c>
      <c r="K142" s="1006">
        <f>(E142/F142)/G142</f>
        <v>100.63586186911101</v>
      </c>
      <c r="L142" s="1002">
        <f t="shared" si="49"/>
        <v>14.246551790855992</v>
      </c>
      <c r="M142" s="1006" t="s">
        <v>15</v>
      </c>
      <c r="N142" s="1006">
        <f>K142*I142</f>
        <v>352.22551654188851</v>
      </c>
      <c r="O142" s="1006">
        <f t="shared" si="53"/>
        <v>49.862931267995975</v>
      </c>
    </row>
    <row r="143" spans="1:24" x14ac:dyDescent="0.25">
      <c r="A143" s="1003" t="s">
        <v>30</v>
      </c>
      <c r="B143" s="1003" t="s">
        <v>13</v>
      </c>
      <c r="C143" s="1004" t="s">
        <v>14</v>
      </c>
      <c r="D143" s="1005">
        <v>2213.3844758050027</v>
      </c>
      <c r="E143" s="1006">
        <v>10620.345135145662</v>
      </c>
      <c r="F143" s="1156">
        <v>0.71</v>
      </c>
      <c r="G143" s="1007">
        <v>1000</v>
      </c>
      <c r="H143" s="1006" t="s">
        <v>15</v>
      </c>
      <c r="I143" s="1008">
        <v>8.5</v>
      </c>
      <c r="J143" s="1008">
        <f>I143/(G143/1000)</f>
        <v>8.5</v>
      </c>
      <c r="K143" s="1006">
        <f>(E143/F143)/G143</f>
        <v>14.958232584712201</v>
      </c>
      <c r="L143" s="1002">
        <f t="shared" si="49"/>
        <v>3.1174429236690182</v>
      </c>
      <c r="M143" s="1006" t="s">
        <v>15</v>
      </c>
      <c r="N143" s="1006">
        <f>K143*I143</f>
        <v>127.1449769700537</v>
      </c>
      <c r="O143" s="1006">
        <f t="shared" si="53"/>
        <v>26.498264851186654</v>
      </c>
      <c r="X143" s="371"/>
    </row>
    <row r="144" spans="1:24" x14ac:dyDescent="0.25">
      <c r="A144" s="1354" t="s">
        <v>64</v>
      </c>
      <c r="B144" s="1354" t="s">
        <v>13</v>
      </c>
      <c r="C144" s="1355" t="s">
        <v>14</v>
      </c>
      <c r="D144" s="1356">
        <v>0</v>
      </c>
      <c r="E144" s="1006">
        <v>22</v>
      </c>
      <c r="F144" s="1156">
        <v>0.65</v>
      </c>
      <c r="G144" s="1007">
        <v>905</v>
      </c>
      <c r="H144" s="1006" t="s">
        <v>750</v>
      </c>
      <c r="I144" s="1008">
        <v>3.5</v>
      </c>
      <c r="J144" s="1008">
        <v>3.5</v>
      </c>
      <c r="K144" s="1006">
        <f>(E144/F144)/G144</f>
        <v>3.7399065023374416E-2</v>
      </c>
      <c r="L144" s="1002">
        <f t="shared" si="49"/>
        <v>0</v>
      </c>
      <c r="M144" s="1006" t="s">
        <v>42</v>
      </c>
      <c r="N144" s="1006">
        <f t="shared" ref="N144" si="58">K144*I144</f>
        <v>0.13089672758181045</v>
      </c>
      <c r="O144" s="1006">
        <f>L144*I144</f>
        <v>0</v>
      </c>
    </row>
    <row r="145" spans="1:16" x14ac:dyDescent="0.25">
      <c r="A145" s="1354" t="s">
        <v>894</v>
      </c>
      <c r="B145" s="1354" t="s">
        <v>13</v>
      </c>
      <c r="C145" s="1355" t="s">
        <v>14</v>
      </c>
      <c r="D145" s="1356">
        <v>0</v>
      </c>
      <c r="E145" s="1006">
        <v>3133.7737407101577</v>
      </c>
      <c r="F145" s="1450">
        <v>0.8</v>
      </c>
      <c r="G145" s="1007">
        <v>1000</v>
      </c>
      <c r="H145" s="1006" t="s">
        <v>45</v>
      </c>
      <c r="I145" s="1008">
        <v>3</v>
      </c>
      <c r="J145" s="1008">
        <f t="shared" ref="J145" si="59">I145/(G145/1000)</f>
        <v>3</v>
      </c>
      <c r="K145" s="1006"/>
      <c r="L145" s="1002">
        <f>(D145/F145)/G145</f>
        <v>0</v>
      </c>
      <c r="M145" s="1006" t="s">
        <v>15</v>
      </c>
      <c r="N145" s="1006"/>
      <c r="O145" s="1006">
        <f t="shared" ref="O145" si="60">L145*I145</f>
        <v>0</v>
      </c>
    </row>
    <row r="146" spans="1:16" x14ac:dyDescent="0.25">
      <c r="A146" s="1003" t="s">
        <v>47</v>
      </c>
      <c r="B146" s="1003" t="s">
        <v>13</v>
      </c>
      <c r="C146" s="1004" t="s">
        <v>14</v>
      </c>
      <c r="D146" s="1005">
        <v>5265</v>
      </c>
      <c r="E146" s="1006">
        <v>36861.3901791639</v>
      </c>
      <c r="F146" s="1159">
        <v>0.78</v>
      </c>
      <c r="G146" s="1007">
        <v>1000</v>
      </c>
      <c r="H146" s="1006" t="s">
        <v>45</v>
      </c>
      <c r="I146" s="1008">
        <v>3.7</v>
      </c>
      <c r="J146" s="1008">
        <f>I146/(G146/1000)</f>
        <v>3.7</v>
      </c>
      <c r="K146" s="1006">
        <f>(E146/F146)/G146</f>
        <v>47.258192537389618</v>
      </c>
      <c r="L146" s="1002">
        <f>(D146/F146)/G146</f>
        <v>6.75</v>
      </c>
      <c r="M146" s="1006" t="s">
        <v>45</v>
      </c>
      <c r="N146" s="1006">
        <f>K146*I146</f>
        <v>174.85531238834159</v>
      </c>
      <c r="O146" s="1006">
        <f t="shared" si="53"/>
        <v>24.975000000000001</v>
      </c>
    </row>
    <row r="147" spans="1:16" x14ac:dyDescent="0.25">
      <c r="B147" s="9"/>
      <c r="C147" s="10"/>
      <c r="D147" s="11"/>
      <c r="E147" s="12"/>
      <c r="F147" s="1153"/>
      <c r="G147" s="966"/>
      <c r="H147" s="912"/>
      <c r="I147" s="913"/>
      <c r="J147" s="913"/>
      <c r="K147" s="13"/>
      <c r="L147" s="13"/>
      <c r="M147" s="13"/>
      <c r="N147" s="13"/>
      <c r="O147" s="13"/>
    </row>
    <row r="148" spans="1:16" x14ac:dyDescent="0.25">
      <c r="A148" s="54" t="s">
        <v>220</v>
      </c>
      <c r="B148" s="54" t="s">
        <v>221</v>
      </c>
      <c r="C148" s="55" t="s">
        <v>14</v>
      </c>
      <c r="D148" s="56">
        <v>140457.44212269635</v>
      </c>
      <c r="E148" s="57">
        <v>939510.9719133263</v>
      </c>
      <c r="F148" s="1252">
        <v>0.86</v>
      </c>
      <c r="G148" s="58">
        <v>10000</v>
      </c>
      <c r="H148" s="58" t="s">
        <v>116</v>
      </c>
      <c r="I148" s="969">
        <v>171</v>
      </c>
      <c r="J148" s="58">
        <f t="shared" ref="J148:J154" si="61">I148/(G148/1000)</f>
        <v>17.100000000000001</v>
      </c>
      <c r="K148" s="58">
        <f t="shared" ref="K148:K154" si="62">(E148/F148)/G148</f>
        <v>109.24546185038679</v>
      </c>
      <c r="L148" s="58">
        <f t="shared" ref="L148:L154" si="63">(D148/F148)/G148</f>
        <v>16.332260711941434</v>
      </c>
      <c r="M148" s="58" t="s">
        <v>26</v>
      </c>
      <c r="N148" s="58">
        <f t="shared" ref="N148:N154" si="64">K148*I148</f>
        <v>18680.973976416142</v>
      </c>
      <c r="O148" s="58">
        <f t="shared" ref="O148:O154" si="65">L148*I148</f>
        <v>2792.8165817419849</v>
      </c>
      <c r="P148" s="4">
        <v>0.55000000000000004</v>
      </c>
    </row>
    <row r="149" spans="1:16" x14ac:dyDescent="0.25">
      <c r="A149" s="54" t="s">
        <v>860</v>
      </c>
      <c r="B149" s="54" t="s">
        <v>221</v>
      </c>
      <c r="C149" s="55" t="s">
        <v>14</v>
      </c>
      <c r="D149" s="56">
        <v>20674.157303370786</v>
      </c>
      <c r="E149" s="57">
        <v>75056.179775280892</v>
      </c>
      <c r="F149" s="1252">
        <v>0.95</v>
      </c>
      <c r="G149" s="58">
        <v>10000</v>
      </c>
      <c r="H149" s="58" t="s">
        <v>116</v>
      </c>
      <c r="I149" s="969">
        <v>171</v>
      </c>
      <c r="J149" s="58">
        <f t="shared" ref="J149" si="66">I149/(G149/1000)</f>
        <v>17.100000000000001</v>
      </c>
      <c r="K149" s="58">
        <f t="shared" ref="K149" si="67">(E149/F149)/G149</f>
        <v>7.9006505026611471</v>
      </c>
      <c r="L149" s="58">
        <f t="shared" ref="L149" si="68">(D149/F149)/G149</f>
        <v>2.1762270845653462</v>
      </c>
      <c r="M149" s="58" t="s">
        <v>26</v>
      </c>
      <c r="N149" s="58">
        <f t="shared" ref="N149" si="69">K149*I149</f>
        <v>1351.0112359550562</v>
      </c>
      <c r="O149" s="58">
        <f t="shared" ref="O149" si="70">L149*I149</f>
        <v>372.13483146067421</v>
      </c>
      <c r="P149" s="4">
        <v>0.45</v>
      </c>
    </row>
    <row r="150" spans="1:16" x14ac:dyDescent="0.25">
      <c r="A150" s="54" t="s">
        <v>225</v>
      </c>
      <c r="B150" s="801" t="s">
        <v>221</v>
      </c>
      <c r="C150" s="55" t="s">
        <v>14</v>
      </c>
      <c r="D150" s="56">
        <v>45018.518518518518</v>
      </c>
      <c r="E150" s="57">
        <v>313759.25925925921</v>
      </c>
      <c r="F150" s="1252">
        <v>0.47</v>
      </c>
      <c r="G150" s="58">
        <v>10000</v>
      </c>
      <c r="H150" s="58" t="s">
        <v>116</v>
      </c>
      <c r="I150" s="969">
        <v>120</v>
      </c>
      <c r="J150" s="58">
        <f t="shared" si="61"/>
        <v>12</v>
      </c>
      <c r="K150" s="58">
        <f>(E150/F150)/G150</f>
        <v>66.757289204097717</v>
      </c>
      <c r="L150" s="802">
        <f t="shared" si="63"/>
        <v>9.5784081954294731</v>
      </c>
      <c r="M150" s="802" t="s">
        <v>26</v>
      </c>
      <c r="N150" s="58">
        <f t="shared" si="64"/>
        <v>8010.8747044917263</v>
      </c>
      <c r="O150" s="58">
        <f t="shared" si="65"/>
        <v>1149.4089834515369</v>
      </c>
    </row>
    <row r="151" spans="1:16" x14ac:dyDescent="0.25">
      <c r="A151" s="54" t="s">
        <v>223</v>
      </c>
      <c r="B151" s="54" t="s">
        <v>221</v>
      </c>
      <c r="C151" s="55" t="s">
        <v>14</v>
      </c>
      <c r="D151" s="56">
        <v>106802.19780219777</v>
      </c>
      <c r="E151" s="57">
        <v>375938.0939555724</v>
      </c>
      <c r="F151" s="1252">
        <v>0.55000000000000004</v>
      </c>
      <c r="G151" s="58">
        <v>18000</v>
      </c>
      <c r="H151" s="58" t="s">
        <v>224</v>
      </c>
      <c r="I151" s="969">
        <f>470*P148</f>
        <v>258.5</v>
      </c>
      <c r="J151" s="58">
        <f t="shared" si="61"/>
        <v>14.361111111111111</v>
      </c>
      <c r="K151" s="58">
        <f t="shared" si="62"/>
        <v>37.97354484399721</v>
      </c>
      <c r="L151" s="58">
        <f t="shared" si="63"/>
        <v>10.788100788100785</v>
      </c>
      <c r="M151" s="58" t="s">
        <v>26</v>
      </c>
      <c r="N151" s="58">
        <f>K151*I151</f>
        <v>9816.1613421732782</v>
      </c>
      <c r="O151" s="58">
        <f t="shared" si="65"/>
        <v>2788.7240537240527</v>
      </c>
    </row>
    <row r="152" spans="1:16" x14ac:dyDescent="0.25">
      <c r="A152" s="54" t="s">
        <v>226</v>
      </c>
      <c r="B152" s="54" t="s">
        <v>221</v>
      </c>
      <c r="C152" s="55" t="s">
        <v>14</v>
      </c>
      <c r="D152" s="56">
        <v>0</v>
      </c>
      <c r="E152" s="57">
        <v>235197.01580729615</v>
      </c>
      <c r="F152" s="1252">
        <v>0.99</v>
      </c>
      <c r="G152" s="58">
        <v>18000</v>
      </c>
      <c r="H152" s="58" t="s">
        <v>224</v>
      </c>
      <c r="I152" s="969">
        <f>470*P149</f>
        <v>211.5</v>
      </c>
      <c r="J152" s="58">
        <f t="shared" si="61"/>
        <v>11.75</v>
      </c>
      <c r="K152" s="59">
        <f>((E152/F152)/G152)-(K151*(1-F151)*F152)</f>
        <v>-3.718728492462251</v>
      </c>
      <c r="L152" s="58">
        <f>(D152/F152)/G152</f>
        <v>0</v>
      </c>
      <c r="M152" s="58" t="s">
        <v>45</v>
      </c>
      <c r="N152" s="58">
        <f>K152*I152</f>
        <v>-786.51107615576609</v>
      </c>
      <c r="O152" s="58">
        <f>L152*I152</f>
        <v>0</v>
      </c>
    </row>
    <row r="153" spans="1:16" x14ac:dyDescent="0.25">
      <c r="A153" s="54" t="s">
        <v>222</v>
      </c>
      <c r="B153" s="54" t="s">
        <v>221</v>
      </c>
      <c r="C153" s="55" t="s">
        <v>14</v>
      </c>
      <c r="D153" s="56">
        <v>0</v>
      </c>
      <c r="E153" s="57">
        <v>3680</v>
      </c>
      <c r="F153" s="1252">
        <v>1</v>
      </c>
      <c r="G153" s="58">
        <v>1000</v>
      </c>
      <c r="H153" s="58" t="s">
        <v>45</v>
      </c>
      <c r="I153" s="969">
        <v>30</v>
      </c>
      <c r="J153" s="58">
        <f t="shared" si="61"/>
        <v>30</v>
      </c>
      <c r="K153" s="59">
        <f t="shared" si="62"/>
        <v>3.68</v>
      </c>
      <c r="L153" s="59">
        <f t="shared" si="63"/>
        <v>0</v>
      </c>
      <c r="M153" s="58" t="s">
        <v>45</v>
      </c>
      <c r="N153" s="58">
        <f t="shared" si="64"/>
        <v>110.4</v>
      </c>
      <c r="O153" s="58">
        <f t="shared" si="65"/>
        <v>0</v>
      </c>
    </row>
    <row r="154" spans="1:16" x14ac:dyDescent="0.25">
      <c r="A154" s="54" t="s">
        <v>487</v>
      </c>
      <c r="B154" s="54" t="s">
        <v>221</v>
      </c>
      <c r="C154" s="55" t="s">
        <v>14</v>
      </c>
      <c r="D154" s="56">
        <v>0</v>
      </c>
      <c r="E154" s="57">
        <v>64200</v>
      </c>
      <c r="F154" s="1252">
        <v>0.97</v>
      </c>
      <c r="G154" s="58">
        <v>1000</v>
      </c>
      <c r="H154" s="58" t="s">
        <v>45</v>
      </c>
      <c r="I154" s="969">
        <v>37.82</v>
      </c>
      <c r="J154" s="58">
        <f t="shared" si="61"/>
        <v>37.82</v>
      </c>
      <c r="K154" s="58">
        <f t="shared" si="62"/>
        <v>66.185567010309285</v>
      </c>
      <c r="L154" s="58">
        <f t="shared" si="63"/>
        <v>0</v>
      </c>
      <c r="M154" s="58" t="s">
        <v>45</v>
      </c>
      <c r="N154" s="58">
        <f t="shared" si="64"/>
        <v>2503.1381443298974</v>
      </c>
      <c r="O154" s="58">
        <f t="shared" si="65"/>
        <v>0</v>
      </c>
    </row>
    <row r="162" spans="24:27" x14ac:dyDescent="0.25">
      <c r="AA162" s="574"/>
    </row>
    <row r="163" spans="24:27" x14ac:dyDescent="0.25">
      <c r="Z163" s="572"/>
      <c r="AA163" s="574"/>
    </row>
    <row r="164" spans="24:27" x14ac:dyDescent="0.25">
      <c r="Z164" s="572"/>
      <c r="AA164" s="574"/>
    </row>
    <row r="165" spans="24:27" x14ac:dyDescent="0.25">
      <c r="Z165" s="572"/>
      <c r="AA165" s="574"/>
    </row>
    <row r="166" spans="24:27" x14ac:dyDescent="0.25">
      <c r="Z166" s="572"/>
      <c r="AA166" s="574"/>
    </row>
    <row r="167" spans="24:27" x14ac:dyDescent="0.25">
      <c r="Y167" s="572"/>
      <c r="Z167" s="574"/>
      <c r="AA167" s="574"/>
    </row>
    <row r="168" spans="24:27" x14ac:dyDescent="0.25">
      <c r="Y168" s="572"/>
      <c r="Z168" s="574"/>
      <c r="AA168" s="574"/>
    </row>
    <row r="169" spans="24:27" x14ac:dyDescent="0.25">
      <c r="Y169" s="572"/>
      <c r="Z169" s="574"/>
      <c r="AA169" s="574"/>
    </row>
    <row r="170" spans="24:27" x14ac:dyDescent="0.25">
      <c r="Y170" s="572"/>
      <c r="Z170" s="574"/>
      <c r="AA170" s="574"/>
    </row>
    <row r="171" spans="24:27" x14ac:dyDescent="0.25">
      <c r="Y171" s="572"/>
      <c r="Z171" s="574"/>
      <c r="AA171" s="574"/>
    </row>
    <row r="172" spans="24:27" x14ac:dyDescent="0.25">
      <c r="Y172" s="572"/>
      <c r="Z172" s="574"/>
      <c r="AA172" s="574"/>
    </row>
    <row r="173" spans="24:27" x14ac:dyDescent="0.25">
      <c r="Y173" s="572"/>
      <c r="Z173" s="574"/>
      <c r="AA173" s="574"/>
    </row>
    <row r="174" spans="24:27" x14ac:dyDescent="0.25">
      <c r="Y174" s="572"/>
      <c r="Z174" s="574"/>
      <c r="AA174" s="574"/>
    </row>
    <row r="175" spans="24:27" x14ac:dyDescent="0.25">
      <c r="Y175" s="572"/>
      <c r="Z175" s="574"/>
      <c r="AA175" s="574"/>
    </row>
    <row r="176" spans="24:27" x14ac:dyDescent="0.25">
      <c r="X176" s="572"/>
      <c r="Y176" s="572"/>
      <c r="Z176" s="574"/>
    </row>
    <row r="177" spans="21:32" x14ac:dyDescent="0.25">
      <c r="X177" s="572"/>
      <c r="Y177" s="572"/>
      <c r="Z177" s="574"/>
    </row>
    <row r="178" spans="21:32" x14ac:dyDescent="0.25">
      <c r="X178" s="572"/>
      <c r="Y178" s="572"/>
      <c r="Z178" s="574"/>
    </row>
    <row r="179" spans="21:32" x14ac:dyDescent="0.25">
      <c r="X179" s="572"/>
      <c r="Y179" s="572"/>
      <c r="Z179" s="574"/>
    </row>
    <row r="180" spans="21:32" x14ac:dyDescent="0.25">
      <c r="X180" s="572"/>
      <c r="Y180" s="572"/>
      <c r="Z180" s="574"/>
      <c r="AF180" s="572"/>
    </row>
    <row r="181" spans="21:32" x14ac:dyDescent="0.25">
      <c r="U181" s="1627"/>
      <c r="V181" s="1627"/>
      <c r="W181" s="871"/>
      <c r="X181" s="572"/>
      <c r="AF181" s="572"/>
    </row>
    <row r="182" spans="21:32" x14ac:dyDescent="0.25">
      <c r="U182" s="872"/>
      <c r="V182" s="873"/>
      <c r="W182" s="771"/>
      <c r="X182" s="572"/>
      <c r="AB182" s="572"/>
      <c r="AF182" s="572"/>
    </row>
    <row r="183" spans="21:32" x14ac:dyDescent="0.25">
      <c r="U183" s="872"/>
      <c r="V183" s="873"/>
      <c r="W183" s="771"/>
      <c r="X183" s="572"/>
      <c r="AB183" s="572"/>
      <c r="AF183" s="572"/>
    </row>
    <row r="184" spans="21:32" x14ac:dyDescent="0.25">
      <c r="U184" s="872"/>
      <c r="V184" s="873"/>
      <c r="W184" s="771"/>
      <c r="X184" s="572"/>
      <c r="AB184" s="572"/>
      <c r="AF184" s="572"/>
    </row>
    <row r="185" spans="21:32" x14ac:dyDescent="0.25">
      <c r="U185" s="872"/>
      <c r="V185" s="873"/>
      <c r="W185" s="771"/>
      <c r="X185" s="572"/>
      <c r="AB185" s="572"/>
      <c r="AF185" s="572"/>
    </row>
    <row r="186" spans="21:32" x14ac:dyDescent="0.25">
      <c r="U186" s="872"/>
      <c r="V186" s="873"/>
      <c r="W186" s="771"/>
      <c r="X186" s="572"/>
      <c r="AB186" s="572"/>
      <c r="AF186" s="572"/>
    </row>
    <row r="187" spans="21:32" x14ac:dyDescent="0.25">
      <c r="U187" s="771"/>
      <c r="V187" s="771"/>
      <c r="W187" s="771"/>
      <c r="X187" s="572"/>
      <c r="AB187" s="572"/>
      <c r="AF187" s="572"/>
    </row>
    <row r="188" spans="21:32" x14ac:dyDescent="0.25">
      <c r="U188" s="1627"/>
      <c r="V188" s="1627"/>
      <c r="W188" s="871"/>
      <c r="X188" s="572"/>
      <c r="AB188" s="572"/>
      <c r="AF188" s="572"/>
    </row>
    <row r="189" spans="21:32" x14ac:dyDescent="0.25">
      <c r="U189" s="872"/>
      <c r="V189" s="873"/>
      <c r="W189" s="771"/>
      <c r="X189" s="572"/>
      <c r="AB189" s="572"/>
    </row>
    <row r="190" spans="21:32" x14ac:dyDescent="0.25">
      <c r="U190" s="872"/>
      <c r="V190" s="873"/>
      <c r="W190" s="771"/>
      <c r="X190" s="572"/>
      <c r="AB190" s="572"/>
    </row>
    <row r="191" spans="21:32" x14ac:dyDescent="0.25">
      <c r="U191" s="872"/>
      <c r="V191" s="873"/>
      <c r="W191" s="771"/>
      <c r="X191" s="572"/>
      <c r="AB191" s="572"/>
    </row>
    <row r="192" spans="21:32" x14ac:dyDescent="0.25">
      <c r="U192" s="771"/>
      <c r="V192" s="771"/>
      <c r="W192" s="771"/>
      <c r="X192" s="572"/>
      <c r="AC192" s="768"/>
      <c r="AD192" s="768"/>
      <c r="AE192" s="769"/>
      <c r="AF192" s="770"/>
    </row>
    <row r="193" spans="21:32" x14ac:dyDescent="0.25">
      <c r="U193" s="1627"/>
      <c r="V193" s="1627"/>
      <c r="W193" s="871"/>
      <c r="AC193" s="768"/>
      <c r="AD193" s="768"/>
      <c r="AE193" s="769"/>
      <c r="AF193" s="770"/>
    </row>
    <row r="194" spans="21:32" x14ac:dyDescent="0.25">
      <c r="U194" s="872"/>
      <c r="V194" s="873"/>
      <c r="W194" s="771"/>
      <c r="AC194" s="768"/>
      <c r="AD194" s="768"/>
      <c r="AE194" s="769"/>
      <c r="AF194" s="770"/>
    </row>
    <row r="195" spans="21:32" x14ac:dyDescent="0.25">
      <c r="AC195" s="768"/>
      <c r="AD195" s="768"/>
      <c r="AE195" s="769"/>
      <c r="AF195" s="770"/>
    </row>
    <row r="197" spans="21:32" x14ac:dyDescent="0.25">
      <c r="U197" s="1627"/>
      <c r="V197" s="1622"/>
      <c r="W197" s="871"/>
    </row>
    <row r="198" spans="21:32" x14ac:dyDescent="0.25">
      <c r="U198" s="872"/>
      <c r="V198" s="873"/>
      <c r="W198" s="771"/>
      <c r="AC198" s="572"/>
    </row>
    <row r="199" spans="21:32" x14ac:dyDescent="0.25">
      <c r="U199" s="872"/>
      <c r="V199" s="873"/>
      <c r="W199" s="771"/>
      <c r="X199" s="754"/>
      <c r="AC199" s="572"/>
      <c r="AF199" s="754"/>
    </row>
    <row r="200" spans="21:32" x14ac:dyDescent="0.25">
      <c r="U200" s="872"/>
      <c r="V200" s="873"/>
      <c r="W200" s="771"/>
      <c r="X200" s="754"/>
      <c r="AC200" s="572"/>
      <c r="AF200" s="754"/>
    </row>
    <row r="201" spans="21:32" x14ac:dyDescent="0.25">
      <c r="U201" s="872"/>
      <c r="V201" s="873"/>
      <c r="W201" s="771"/>
      <c r="X201" s="754"/>
      <c r="AC201" s="572"/>
      <c r="AF201" s="754"/>
    </row>
    <row r="202" spans="21:32" x14ac:dyDescent="0.25">
      <c r="U202" s="771"/>
      <c r="V202" s="771"/>
      <c r="W202" s="771"/>
      <c r="X202" s="754"/>
      <c r="AC202" s="572"/>
      <c r="AF202" s="754"/>
    </row>
    <row r="203" spans="21:32" x14ac:dyDescent="0.25">
      <c r="U203" s="1627"/>
      <c r="V203" s="1622"/>
      <c r="W203" s="871"/>
      <c r="X203" s="754"/>
      <c r="AC203" s="572"/>
      <c r="AF203" s="754"/>
    </row>
    <row r="204" spans="21:32" x14ac:dyDescent="0.25">
      <c r="U204" s="872"/>
      <c r="V204" s="873"/>
      <c r="W204" s="771"/>
      <c r="X204" s="754"/>
      <c r="AC204" s="572"/>
      <c r="AF204" s="754"/>
    </row>
    <row r="205" spans="21:32" x14ac:dyDescent="0.25">
      <c r="U205" s="872"/>
      <c r="V205" s="873"/>
      <c r="W205" s="771"/>
      <c r="X205" s="754"/>
      <c r="AC205" s="572"/>
      <c r="AF205" s="754"/>
    </row>
    <row r="206" spans="21:32" x14ac:dyDescent="0.25">
      <c r="U206" s="771"/>
      <c r="V206" s="771"/>
      <c r="W206" s="771"/>
      <c r="X206" s="754"/>
      <c r="AC206" s="572"/>
      <c r="AF206" s="754"/>
    </row>
    <row r="207" spans="21:32" x14ac:dyDescent="0.25">
      <c r="U207" s="1627"/>
      <c r="V207" s="1622"/>
      <c r="W207" s="871"/>
      <c r="X207" s="754"/>
      <c r="AB207" s="754"/>
      <c r="AF207" s="754"/>
    </row>
    <row r="208" spans="21:32" x14ac:dyDescent="0.25">
      <c r="U208" s="872"/>
      <c r="V208" s="873"/>
      <c r="W208" s="771"/>
      <c r="X208" s="754"/>
      <c r="AB208" s="754"/>
      <c r="AF208" s="754"/>
    </row>
    <row r="209" spans="21:36" x14ac:dyDescent="0.25">
      <c r="U209" s="771"/>
      <c r="V209" s="771"/>
      <c r="W209" s="771"/>
      <c r="X209" s="754"/>
      <c r="AB209" s="754"/>
      <c r="AF209" s="754"/>
    </row>
    <row r="210" spans="21:36" x14ac:dyDescent="0.25">
      <c r="U210" s="1627"/>
      <c r="V210" s="1622"/>
      <c r="W210" s="871"/>
      <c r="X210" s="754"/>
      <c r="AB210" s="754"/>
      <c r="AF210" s="754"/>
    </row>
    <row r="211" spans="21:36" x14ac:dyDescent="0.25">
      <c r="U211" s="872"/>
      <c r="V211" s="873"/>
      <c r="W211" s="771"/>
      <c r="X211" s="754"/>
      <c r="AB211" s="754"/>
      <c r="AF211" s="754"/>
    </row>
    <row r="212" spans="21:36" x14ac:dyDescent="0.25">
      <c r="X212" s="754"/>
      <c r="AB212" s="754"/>
      <c r="AF212" s="754"/>
      <c r="AJ212" s="754"/>
    </row>
    <row r="213" spans="21:36" x14ac:dyDescent="0.25">
      <c r="U213" s="1627"/>
      <c r="V213" s="1622"/>
      <c r="W213" s="871"/>
      <c r="X213" s="754"/>
      <c r="AB213" s="754"/>
      <c r="AF213" s="754"/>
      <c r="AG213" s="754"/>
      <c r="AH213" s="754"/>
      <c r="AI213" s="754"/>
      <c r="AJ213" s="754"/>
    </row>
    <row r="214" spans="21:36" x14ac:dyDescent="0.25">
      <c r="U214" s="872"/>
      <c r="V214" s="874"/>
      <c r="W214" s="771"/>
      <c r="X214" s="754"/>
      <c r="AB214" s="572"/>
      <c r="AC214" s="754"/>
      <c r="AD214" s="754"/>
      <c r="AE214" s="754"/>
      <c r="AF214" s="754"/>
      <c r="AG214" s="754"/>
      <c r="AH214" s="754"/>
      <c r="AI214" s="754"/>
      <c r="AJ214" s="754"/>
    </row>
    <row r="215" spans="21:36" x14ac:dyDescent="0.25">
      <c r="U215" s="872"/>
      <c r="V215" s="874"/>
      <c r="W215" s="771"/>
      <c r="X215" s="754"/>
      <c r="AB215" s="572"/>
      <c r="AC215" s="754"/>
      <c r="AD215" s="754"/>
      <c r="AE215" s="754"/>
      <c r="AF215" s="754"/>
      <c r="AG215" s="754"/>
      <c r="AH215" s="754"/>
      <c r="AI215" s="754"/>
      <c r="AJ215" s="754"/>
    </row>
    <row r="216" spans="21:36" x14ac:dyDescent="0.25">
      <c r="U216" s="872"/>
      <c r="V216" s="874"/>
      <c r="W216" s="771"/>
      <c r="X216" s="754"/>
      <c r="AB216" s="572"/>
      <c r="AC216" s="754"/>
      <c r="AD216" s="754"/>
      <c r="AE216" s="754"/>
      <c r="AF216" s="754"/>
      <c r="AG216" s="754"/>
      <c r="AH216" s="754"/>
      <c r="AI216" s="754"/>
      <c r="AJ216" s="754"/>
    </row>
    <row r="217" spans="21:36" x14ac:dyDescent="0.25">
      <c r="U217" s="872"/>
      <c r="V217" s="874"/>
      <c r="W217" s="771"/>
      <c r="X217" s="754"/>
      <c r="AB217" s="572"/>
      <c r="AC217" s="754"/>
      <c r="AD217" s="754"/>
      <c r="AE217" s="754"/>
      <c r="AF217" s="754"/>
      <c r="AG217" s="754"/>
      <c r="AH217" s="754"/>
      <c r="AI217" s="754"/>
      <c r="AJ217" s="754"/>
    </row>
    <row r="218" spans="21:36" x14ac:dyDescent="0.25">
      <c r="U218" s="872"/>
      <c r="V218" s="874"/>
      <c r="W218" s="771"/>
      <c r="AB218" s="572"/>
      <c r="AJ218" s="754"/>
    </row>
    <row r="219" spans="21:36" x14ac:dyDescent="0.25">
      <c r="U219" s="872"/>
      <c r="V219" s="874"/>
      <c r="W219" s="771"/>
      <c r="AB219" s="572"/>
      <c r="AJ219" s="754"/>
    </row>
    <row r="220" spans="21:36" x14ac:dyDescent="0.25">
      <c r="U220" s="872"/>
      <c r="V220" s="874"/>
      <c r="W220" s="771"/>
      <c r="AB220" s="572"/>
      <c r="AJ220" s="754"/>
    </row>
    <row r="221" spans="21:36" x14ac:dyDescent="0.25">
      <c r="U221" s="771"/>
      <c r="V221" s="771"/>
      <c r="W221" s="771"/>
      <c r="AB221" s="572"/>
      <c r="AJ221" s="754"/>
    </row>
    <row r="222" spans="21:36" x14ac:dyDescent="0.25">
      <c r="U222" s="1627"/>
      <c r="V222" s="1622"/>
      <c r="W222" s="871"/>
      <c r="AB222" s="572"/>
      <c r="AJ222" s="754"/>
    </row>
    <row r="223" spans="21:36" x14ac:dyDescent="0.25">
      <c r="U223" s="872"/>
      <c r="V223" s="874"/>
      <c r="W223" s="771"/>
      <c r="AB223" s="572"/>
      <c r="AJ223" s="754"/>
    </row>
    <row r="224" spans="21:36" x14ac:dyDescent="0.25">
      <c r="U224" s="872"/>
      <c r="V224" s="874"/>
      <c r="W224" s="771"/>
      <c r="AB224" s="572"/>
      <c r="AJ224" s="754"/>
    </row>
    <row r="225" spans="21:40" x14ac:dyDescent="0.25">
      <c r="U225" s="872"/>
      <c r="V225" s="874"/>
      <c r="W225" s="771"/>
      <c r="AB225" s="572"/>
      <c r="AJ225" s="754"/>
    </row>
    <row r="226" spans="21:40" x14ac:dyDescent="0.25">
      <c r="U226" s="771"/>
      <c r="V226" s="771"/>
      <c r="W226" s="771"/>
      <c r="AB226" s="572"/>
      <c r="AJ226" s="754"/>
    </row>
    <row r="227" spans="21:40" x14ac:dyDescent="0.25">
      <c r="U227" s="1627"/>
      <c r="V227" s="1622"/>
      <c r="W227" s="871"/>
      <c r="AJ227" s="754"/>
    </row>
    <row r="228" spans="21:40" x14ac:dyDescent="0.25">
      <c r="U228" s="872"/>
      <c r="V228" s="874"/>
      <c r="W228" s="771"/>
      <c r="AJ228" s="754"/>
      <c r="AL228" s="754"/>
      <c r="AM228" s="754"/>
      <c r="AN228" s="754"/>
    </row>
    <row r="229" spans="21:40" x14ac:dyDescent="0.25">
      <c r="U229" s="771"/>
      <c r="V229" s="771"/>
      <c r="W229" s="771"/>
      <c r="AJ229" s="754"/>
      <c r="AK229" s="754"/>
      <c r="AL229" s="754"/>
      <c r="AM229" s="754"/>
      <c r="AN229" s="754"/>
    </row>
    <row r="230" spans="21:40" x14ac:dyDescent="0.25">
      <c r="U230" s="1627"/>
      <c r="V230" s="1622"/>
      <c r="W230" s="871"/>
      <c r="AJ230" s="754"/>
      <c r="AK230" s="754"/>
    </row>
    <row r="231" spans="21:40" x14ac:dyDescent="0.25">
      <c r="U231" s="872"/>
      <c r="V231" s="874"/>
      <c r="W231" s="771"/>
    </row>
    <row r="234" spans="21:40" x14ac:dyDescent="0.25">
      <c r="U234" s="1627"/>
      <c r="V234" s="1622"/>
      <c r="W234" s="871"/>
      <c r="AB234" s="572"/>
    </row>
    <row r="235" spans="21:40" x14ac:dyDescent="0.25">
      <c r="U235" s="872"/>
      <c r="V235" s="874"/>
      <c r="W235" s="771"/>
      <c r="AA235" s="572"/>
      <c r="AB235" s="572"/>
    </row>
    <row r="236" spans="21:40" x14ac:dyDescent="0.25">
      <c r="U236" s="872"/>
      <c r="V236" s="874"/>
      <c r="W236" s="771"/>
      <c r="AA236" s="572"/>
      <c r="AB236" s="572"/>
    </row>
    <row r="237" spans="21:40" x14ac:dyDescent="0.25">
      <c r="U237" s="872"/>
      <c r="V237" s="874"/>
      <c r="W237" s="771"/>
      <c r="AA237" s="572"/>
      <c r="AB237" s="572"/>
    </row>
    <row r="238" spans="21:40" x14ac:dyDescent="0.25">
      <c r="U238" s="872"/>
      <c r="V238" s="874"/>
      <c r="W238" s="771"/>
      <c r="AA238" s="572"/>
      <c r="AB238" s="572"/>
    </row>
    <row r="239" spans="21:40" x14ac:dyDescent="0.25">
      <c r="U239" s="872"/>
      <c r="V239" s="874"/>
      <c r="W239" s="771"/>
      <c r="AA239" s="572"/>
      <c r="AB239" s="572"/>
    </row>
    <row r="240" spans="21:40" x14ac:dyDescent="0.25">
      <c r="U240" s="872"/>
      <c r="V240" s="874"/>
      <c r="W240" s="771"/>
      <c r="AA240" s="572"/>
      <c r="AB240" s="572"/>
    </row>
    <row r="241" spans="21:31" x14ac:dyDescent="0.25">
      <c r="U241" s="872"/>
      <c r="V241" s="873"/>
      <c r="W241" s="771"/>
      <c r="AA241" s="572"/>
      <c r="AB241" s="572"/>
    </row>
    <row r="242" spans="21:31" x14ac:dyDescent="0.25">
      <c r="U242" s="771"/>
      <c r="V242" s="771"/>
      <c r="W242" s="771"/>
      <c r="AC242" s="572"/>
    </row>
    <row r="243" spans="21:31" x14ac:dyDescent="0.25">
      <c r="U243" s="1627"/>
      <c r="V243" s="1622"/>
      <c r="W243" s="871"/>
      <c r="AC243" s="572"/>
    </row>
    <row r="244" spans="21:31" x14ac:dyDescent="0.25">
      <c r="U244" s="872"/>
      <c r="V244" s="874"/>
      <c r="W244" s="771"/>
      <c r="AC244" s="572"/>
    </row>
    <row r="245" spans="21:31" x14ac:dyDescent="0.25">
      <c r="U245" s="771"/>
      <c r="V245" s="771"/>
      <c r="W245" s="771"/>
      <c r="AC245" s="572"/>
    </row>
    <row r="246" spans="21:31" x14ac:dyDescent="0.25">
      <c r="U246" s="1627"/>
      <c r="V246" s="1622"/>
      <c r="W246" s="871"/>
      <c r="AC246" s="572"/>
    </row>
    <row r="247" spans="21:31" x14ac:dyDescent="0.25">
      <c r="U247" s="872"/>
      <c r="V247" s="874"/>
      <c r="W247" s="771"/>
    </row>
    <row r="248" spans="21:31" x14ac:dyDescent="0.25">
      <c r="U248" s="872"/>
      <c r="V248" s="874"/>
      <c r="W248" s="771"/>
    </row>
    <row r="249" spans="21:31" x14ac:dyDescent="0.25">
      <c r="U249" s="872"/>
      <c r="V249" s="874"/>
      <c r="W249" s="771"/>
    </row>
    <row r="252" spans="21:31" x14ac:dyDescent="0.25">
      <c r="U252" s="1629"/>
      <c r="V252" s="1629"/>
      <c r="W252" s="1"/>
    </row>
    <row r="253" spans="21:31" x14ac:dyDescent="0.25">
      <c r="U253" s="1"/>
      <c r="V253" s="874"/>
      <c r="W253" s="1"/>
      <c r="AA253" s="572"/>
    </row>
    <row r="254" spans="21:31" x14ac:dyDescent="0.25">
      <c r="U254" s="1"/>
      <c r="V254" s="874"/>
      <c r="W254" s="1"/>
      <c r="AA254" s="572"/>
      <c r="AC254" s="572"/>
      <c r="AE254" s="572"/>
    </row>
    <row r="255" spans="21:31" x14ac:dyDescent="0.25">
      <c r="U255" s="1"/>
      <c r="V255" s="874"/>
      <c r="W255" s="1"/>
      <c r="AA255" s="572"/>
      <c r="AB255" s="572"/>
      <c r="AC255" s="572"/>
      <c r="AE255" s="572"/>
    </row>
    <row r="256" spans="21:31" x14ac:dyDescent="0.25">
      <c r="U256" s="1"/>
      <c r="V256" s="874"/>
      <c r="W256" s="1"/>
      <c r="AA256" s="572"/>
      <c r="AE256" s="572"/>
    </row>
    <row r="257" spans="21:31" x14ac:dyDescent="0.25">
      <c r="U257" s="2"/>
      <c r="V257" s="2"/>
      <c r="W257" s="1"/>
      <c r="AA257" s="572"/>
      <c r="AE257" s="572"/>
    </row>
    <row r="258" spans="21:31" x14ac:dyDescent="0.25">
      <c r="U258" s="1"/>
      <c r="V258" s="874"/>
      <c r="W258" s="1"/>
      <c r="AA258" s="572"/>
      <c r="AE258" s="572"/>
    </row>
    <row r="259" spans="21:31" x14ac:dyDescent="0.25">
      <c r="U259" s="875"/>
      <c r="V259" s="2"/>
      <c r="W259" s="1"/>
      <c r="AA259" s="572"/>
      <c r="AE259" s="572"/>
    </row>
    <row r="260" spans="21:31" x14ac:dyDescent="0.25">
      <c r="U260" s="1"/>
      <c r="V260" s="874"/>
      <c r="W260" s="1"/>
      <c r="AA260" s="572"/>
      <c r="AE260" s="572"/>
    </row>
    <row r="261" spans="21:31" x14ac:dyDescent="0.25">
      <c r="U261" s="1"/>
      <c r="V261" s="874"/>
      <c r="W261" s="1"/>
      <c r="AA261" s="572"/>
      <c r="AE261" s="572"/>
    </row>
    <row r="262" spans="21:31" x14ac:dyDescent="0.25">
      <c r="U262" s="1"/>
      <c r="V262" s="874"/>
      <c r="W262" s="1"/>
      <c r="AA262" s="572"/>
      <c r="AE262" s="572"/>
    </row>
    <row r="263" spans="21:31" x14ac:dyDescent="0.25">
      <c r="U263" s="1"/>
      <c r="V263" s="874"/>
      <c r="W263" s="1"/>
      <c r="AA263" s="572"/>
      <c r="AE263" s="572"/>
    </row>
    <row r="264" spans="21:31" x14ac:dyDescent="0.25">
      <c r="U264" s="1"/>
      <c r="V264" s="874"/>
      <c r="W264" s="1"/>
      <c r="AE264" s="572"/>
    </row>
    <row r="265" spans="21:31" x14ac:dyDescent="0.25">
      <c r="U265" s="1629"/>
      <c r="V265" s="1629"/>
      <c r="W265" s="1"/>
    </row>
    <row r="266" spans="21:31" x14ac:dyDescent="0.25">
      <c r="U266" s="1"/>
      <c r="V266" s="874"/>
      <c r="W266" s="1"/>
    </row>
    <row r="271" spans="21:31" x14ac:dyDescent="0.25">
      <c r="U271" s="1627"/>
      <c r="V271" s="1628"/>
      <c r="W271" s="871"/>
      <c r="AB271" s="572"/>
    </row>
    <row r="272" spans="21:31" x14ac:dyDescent="0.25">
      <c r="U272" s="872"/>
      <c r="V272" s="874"/>
      <c r="W272" s="876"/>
      <c r="AB272" s="572"/>
      <c r="AC272" s="572"/>
    </row>
    <row r="273" spans="21:29" x14ac:dyDescent="0.25">
      <c r="U273" s="872"/>
      <c r="V273" s="874"/>
      <c r="W273" s="876"/>
      <c r="AB273" s="572"/>
      <c r="AC273" s="572"/>
    </row>
    <row r="274" spans="21:29" x14ac:dyDescent="0.25">
      <c r="U274" s="872"/>
      <c r="V274" s="874"/>
      <c r="W274" s="876"/>
      <c r="AB274" s="572"/>
      <c r="AC274" s="572"/>
    </row>
    <row r="275" spans="21:29" x14ac:dyDescent="0.25">
      <c r="U275" s="872"/>
      <c r="V275" s="874"/>
      <c r="W275" s="876"/>
      <c r="AB275" s="572"/>
      <c r="AC275" s="572"/>
    </row>
    <row r="276" spans="21:29" x14ac:dyDescent="0.25">
      <c r="U276" s="872"/>
      <c r="V276" s="874"/>
      <c r="W276" s="876"/>
      <c r="AB276" s="572"/>
      <c r="AC276" s="572"/>
    </row>
    <row r="277" spans="21:29" x14ac:dyDescent="0.25">
      <c r="U277" s="872"/>
      <c r="V277" s="873"/>
      <c r="W277" s="876"/>
      <c r="AB277" s="572"/>
      <c r="AC277" s="572"/>
    </row>
    <row r="278" spans="21:29" x14ac:dyDescent="0.25">
      <c r="U278" s="876"/>
      <c r="V278" s="876"/>
      <c r="W278" s="876"/>
      <c r="AB278" s="572"/>
      <c r="AC278" s="572"/>
    </row>
    <row r="279" spans="21:29" x14ac:dyDescent="0.25">
      <c r="U279" s="1627"/>
      <c r="V279" s="1628"/>
      <c r="W279" s="871"/>
      <c r="AB279" s="572"/>
      <c r="AC279" s="572"/>
    </row>
    <row r="280" spans="21:29" x14ac:dyDescent="0.25">
      <c r="U280" s="872"/>
      <c r="V280" s="874"/>
      <c r="W280" s="876"/>
      <c r="AC280" s="572"/>
    </row>
    <row r="281" spans="21:29" x14ac:dyDescent="0.25">
      <c r="U281" s="872"/>
      <c r="V281" s="874"/>
      <c r="W281" s="876"/>
    </row>
    <row r="282" spans="21:29" x14ac:dyDescent="0.25">
      <c r="U282" s="876"/>
      <c r="V282" s="876"/>
      <c r="W282" s="876"/>
    </row>
    <row r="283" spans="21:29" x14ac:dyDescent="0.25">
      <c r="U283" s="1627"/>
      <c r="V283" s="1628"/>
      <c r="W283" s="871"/>
    </row>
    <row r="284" spans="21:29" x14ac:dyDescent="0.25">
      <c r="U284" s="872"/>
      <c r="V284" s="874"/>
      <c r="W284" s="876"/>
    </row>
    <row r="285" spans="21:29" x14ac:dyDescent="0.25">
      <c r="U285" s="876"/>
      <c r="V285" s="876"/>
      <c r="W285" s="876"/>
    </row>
    <row r="286" spans="21:29" x14ac:dyDescent="0.25">
      <c r="U286" s="1627"/>
      <c r="V286" s="1628"/>
      <c r="W286" s="871"/>
    </row>
    <row r="287" spans="21:29" x14ac:dyDescent="0.25">
      <c r="U287" s="872"/>
      <c r="V287" s="874"/>
      <c r="W287" s="876"/>
    </row>
    <row r="294" spans="24:24" x14ac:dyDescent="0.25">
      <c r="X294" s="572"/>
    </row>
    <row r="295" spans="24:24" x14ac:dyDescent="0.25">
      <c r="X295" s="572"/>
    </row>
    <row r="296" spans="24:24" x14ac:dyDescent="0.25">
      <c r="X296" s="572"/>
    </row>
    <row r="297" spans="24:24" x14ac:dyDescent="0.25">
      <c r="X297" s="572"/>
    </row>
    <row r="298" spans="24:24" x14ac:dyDescent="0.25">
      <c r="X298" s="572"/>
    </row>
    <row r="299" spans="24:24" x14ac:dyDescent="0.25">
      <c r="X299" s="572"/>
    </row>
    <row r="300" spans="24:24" x14ac:dyDescent="0.25">
      <c r="X300" s="572"/>
    </row>
    <row r="301" spans="24:24" x14ac:dyDescent="0.25">
      <c r="X301" s="572"/>
    </row>
    <row r="302" spans="24:24" x14ac:dyDescent="0.25">
      <c r="X302" s="572"/>
    </row>
  </sheetData>
  <autoFilter ref="A1:O306" xr:uid="{00000000-0001-0000-0000-000000000000}"/>
  <mergeCells count="20">
    <mergeCell ref="U181:V181"/>
    <mergeCell ref="U203:V203"/>
    <mergeCell ref="U213:V213"/>
    <mergeCell ref="U210:V210"/>
    <mergeCell ref="U188:V188"/>
    <mergeCell ref="U197:V197"/>
    <mergeCell ref="U193:V193"/>
    <mergeCell ref="U207:V207"/>
    <mergeCell ref="U283:V283"/>
    <mergeCell ref="U286:V286"/>
    <mergeCell ref="U271:V271"/>
    <mergeCell ref="U227:V227"/>
    <mergeCell ref="U222:V222"/>
    <mergeCell ref="U230:V230"/>
    <mergeCell ref="U243:V243"/>
    <mergeCell ref="U246:V246"/>
    <mergeCell ref="U252:V252"/>
    <mergeCell ref="U265:V265"/>
    <mergeCell ref="U279:V279"/>
    <mergeCell ref="U234:V234"/>
  </mergeCells>
  <pageMargins left="0.7" right="0.7" top="0.75" bottom="0.75"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7030A0"/>
  </sheetPr>
  <dimension ref="A1:AM113"/>
  <sheetViews>
    <sheetView zoomScale="40" zoomScaleNormal="40" workbookViewId="0">
      <selection activeCell="W10" sqref="W10"/>
    </sheetView>
  </sheetViews>
  <sheetFormatPr defaultColWidth="8.625" defaultRowHeight="14.25" x14ac:dyDescent="0.2"/>
  <cols>
    <col min="1" max="1" width="46.5" style="325" customWidth="1"/>
    <col min="2" max="2" width="14.875" style="325" bestFit="1" customWidth="1"/>
    <col min="3" max="3" width="10.125" style="325" customWidth="1"/>
    <col min="4" max="4" width="17.875" style="325" customWidth="1"/>
    <col min="5" max="5" width="13.75" style="325" customWidth="1"/>
    <col min="6" max="6" width="10.875" style="325" customWidth="1"/>
    <col min="7" max="7" width="25.125" style="114" customWidth="1"/>
    <col min="8" max="8" width="23.625" style="114" customWidth="1"/>
    <col min="9" max="9" width="14.625" style="114" customWidth="1"/>
    <col min="10" max="10" width="20.75" style="114" customWidth="1"/>
    <col min="11" max="11" width="18.875" style="114" customWidth="1"/>
    <col min="12" max="12" width="16.625" style="114" bestFit="1" customWidth="1"/>
    <col min="13" max="13" width="15.75" style="114" bestFit="1" customWidth="1"/>
    <col min="14" max="14" width="18.25" style="114" bestFit="1" customWidth="1"/>
    <col min="15" max="15" width="16.125" style="114" bestFit="1" customWidth="1"/>
    <col min="16" max="16" width="5.25" style="325" customWidth="1"/>
    <col min="17" max="17" width="6.375" style="325" bestFit="1" customWidth="1"/>
    <col min="18" max="18" width="6.625" style="325" customWidth="1"/>
    <col min="19" max="23" width="8.625" style="325"/>
    <col min="24" max="35" width="2" style="325" customWidth="1"/>
    <col min="36" max="36" width="4.125" style="325" bestFit="1" customWidth="1"/>
    <col min="37" max="37" width="27.625" style="325" bestFit="1" customWidth="1"/>
    <col min="38" max="38" width="11.125" style="325" customWidth="1"/>
    <col min="39" max="16384" width="8.625" style="325"/>
  </cols>
  <sheetData>
    <row r="1" spans="1:39" ht="39.75" customHeight="1" x14ac:dyDescent="0.2">
      <c r="A1" s="60" t="s">
        <v>0</v>
      </c>
      <c r="B1" s="60" t="s">
        <v>1</v>
      </c>
      <c r="C1" s="60" t="s">
        <v>2</v>
      </c>
      <c r="D1" s="60" t="s">
        <v>3</v>
      </c>
      <c r="E1" s="61" t="s">
        <v>5</v>
      </c>
      <c r="F1" s="60" t="s">
        <v>6</v>
      </c>
      <c r="G1" s="910" t="s">
        <v>709</v>
      </c>
      <c r="H1" s="911" t="s">
        <v>710</v>
      </c>
      <c r="I1" s="910" t="s">
        <v>711</v>
      </c>
      <c r="J1" s="910" t="s">
        <v>712</v>
      </c>
      <c r="K1" s="60" t="s">
        <v>8</v>
      </c>
      <c r="L1" s="60" t="s">
        <v>9</v>
      </c>
      <c r="M1" s="60" t="s">
        <v>7</v>
      </c>
      <c r="N1" s="60" t="s">
        <v>10</v>
      </c>
      <c r="O1" s="60" t="s">
        <v>11</v>
      </c>
      <c r="Q1" s="8" t="s">
        <v>4</v>
      </c>
      <c r="R1" s="8">
        <v>3</v>
      </c>
    </row>
    <row r="2" spans="1:39" ht="23.25" x14ac:dyDescent="0.2">
      <c r="A2" s="1351"/>
      <c r="B2" s="1351"/>
      <c r="C2" s="1351"/>
      <c r="D2" s="1351"/>
      <c r="E2" s="1351"/>
      <c r="F2" s="1259"/>
      <c r="G2" s="1259"/>
      <c r="H2" s="1259"/>
      <c r="I2" s="1259"/>
      <c r="J2" s="1259"/>
      <c r="K2" s="1259"/>
      <c r="L2" s="1337"/>
      <c r="M2" s="1337"/>
      <c r="N2" s="957"/>
      <c r="O2" s="957"/>
      <c r="AJ2" s="1275"/>
      <c r="AK2" s="1275"/>
      <c r="AL2" s="1298"/>
      <c r="AM2" s="1298"/>
    </row>
    <row r="3" spans="1:39" ht="14.25" customHeight="1" x14ac:dyDescent="0.2">
      <c r="A3" s="1276" t="s">
        <v>152</v>
      </c>
      <c r="B3" s="1276" t="s">
        <v>153</v>
      </c>
      <c r="C3" s="1277" t="s">
        <v>14</v>
      </c>
      <c r="D3" s="1278">
        <v>0</v>
      </c>
      <c r="E3" s="1279">
        <v>1421.8608577450671</v>
      </c>
      <c r="F3" s="1276">
        <v>1</v>
      </c>
      <c r="G3" s="1280">
        <v>25000</v>
      </c>
      <c r="H3" s="1280" t="s">
        <v>154</v>
      </c>
      <c r="I3" s="1280">
        <v>750</v>
      </c>
      <c r="J3" s="1281">
        <f>I3/(G3/1000)</f>
        <v>30</v>
      </c>
      <c r="K3" s="1338">
        <f t="shared" ref="K3:K10" si="0">(E3/F3)/G3</f>
        <v>5.6874434309802685E-2</v>
      </c>
      <c r="L3" s="1338">
        <f t="shared" ref="L3:L10" si="1">(D3/F3)/G3</f>
        <v>0</v>
      </c>
      <c r="M3" s="1277" t="s">
        <v>15</v>
      </c>
      <c r="N3" s="1277">
        <f t="shared" ref="N3:N10" si="2">K3*I3</f>
        <v>42.655825732352014</v>
      </c>
      <c r="O3" s="1277">
        <f t="shared" ref="O3:O10" si="3">L3*I3</f>
        <v>0</v>
      </c>
      <c r="AJ3" s="1282">
        <v>1</v>
      </c>
      <c r="AK3" s="1282" t="s">
        <v>16</v>
      </c>
    </row>
    <row r="4" spans="1:39" ht="14.25" customHeight="1" x14ac:dyDescent="0.2">
      <c r="A4" s="1276" t="s">
        <v>174</v>
      </c>
      <c r="B4" s="1276" t="s">
        <v>153</v>
      </c>
      <c r="C4" s="1277" t="s">
        <v>160</v>
      </c>
      <c r="D4" s="1278">
        <v>0</v>
      </c>
      <c r="E4" s="1279">
        <v>437.6792698826597</v>
      </c>
      <c r="F4" s="1276">
        <v>1</v>
      </c>
      <c r="G4" s="1280">
        <v>9600</v>
      </c>
      <c r="H4" s="1280" t="s">
        <v>175</v>
      </c>
      <c r="I4" s="1280">
        <v>95</v>
      </c>
      <c r="J4" s="1281">
        <f>I4/(G4/1000)</f>
        <v>9.8958333333333339</v>
      </c>
      <c r="K4" s="1338">
        <f t="shared" si="0"/>
        <v>4.5591590612777053E-2</v>
      </c>
      <c r="L4" s="1338">
        <f t="shared" si="1"/>
        <v>0</v>
      </c>
      <c r="M4" s="1277" t="s">
        <v>15</v>
      </c>
      <c r="N4" s="1277">
        <f t="shared" si="2"/>
        <v>4.3312011082138202</v>
      </c>
      <c r="O4" s="1277">
        <f t="shared" si="3"/>
        <v>0</v>
      </c>
      <c r="AJ4" s="1282">
        <v>1</v>
      </c>
      <c r="AK4" s="1282" t="s">
        <v>22</v>
      </c>
    </row>
    <row r="5" spans="1:39" ht="14.25" customHeight="1" x14ac:dyDescent="0.2">
      <c r="A5" s="1276" t="s">
        <v>166</v>
      </c>
      <c r="B5" s="1276" t="s">
        <v>153</v>
      </c>
      <c r="C5" s="1277" t="s">
        <v>160</v>
      </c>
      <c r="D5" s="1278">
        <v>0</v>
      </c>
      <c r="E5" s="1279">
        <v>1386.8965517241379</v>
      </c>
      <c r="F5" s="1276">
        <v>1</v>
      </c>
      <c r="G5" s="1280">
        <v>12000</v>
      </c>
      <c r="H5" s="1280" t="s">
        <v>161</v>
      </c>
      <c r="I5" s="1280">
        <v>152</v>
      </c>
      <c r="J5" s="1281">
        <f>I5/(G5/1000)</f>
        <v>12.666666666666666</v>
      </c>
      <c r="K5" s="1338">
        <f t="shared" si="0"/>
        <v>0.11557471264367816</v>
      </c>
      <c r="L5" s="1338">
        <f t="shared" si="1"/>
        <v>0</v>
      </c>
      <c r="M5" s="1277" t="s">
        <v>15</v>
      </c>
      <c r="N5" s="1277">
        <f t="shared" si="2"/>
        <v>17.567356321839082</v>
      </c>
      <c r="O5" s="1277">
        <f t="shared" si="3"/>
        <v>0</v>
      </c>
      <c r="AJ5" s="1282">
        <v>1</v>
      </c>
      <c r="AK5" s="1282" t="s">
        <v>27</v>
      </c>
    </row>
    <row r="6" spans="1:39" ht="14.25" customHeight="1" x14ac:dyDescent="0.2">
      <c r="A6" s="1283" t="s">
        <v>229</v>
      </c>
      <c r="B6" s="1283" t="s">
        <v>153</v>
      </c>
      <c r="C6" s="1284" t="s">
        <v>230</v>
      </c>
      <c r="D6" s="1285">
        <v>23.86516853932584</v>
      </c>
      <c r="E6" s="1286">
        <v>189.82584269662922</v>
      </c>
      <c r="F6" s="1287">
        <v>1</v>
      </c>
      <c r="G6" s="1280">
        <f>360</f>
        <v>360</v>
      </c>
      <c r="H6" s="1280" t="s">
        <v>751</v>
      </c>
      <c r="I6" s="1280">
        <v>156</v>
      </c>
      <c r="J6" s="1281">
        <f>I6/(G6)</f>
        <v>0.43333333333333335</v>
      </c>
      <c r="K6" s="1338">
        <f t="shared" si="0"/>
        <v>0.52729400749063671</v>
      </c>
      <c r="L6" s="1338">
        <f t="shared" si="1"/>
        <v>6.6292134831460667E-2</v>
      </c>
      <c r="M6" s="1339" t="s">
        <v>26</v>
      </c>
      <c r="N6" s="1277">
        <f t="shared" si="2"/>
        <v>82.257865168539325</v>
      </c>
      <c r="O6" s="1277">
        <f t="shared" si="3"/>
        <v>10.341573033707864</v>
      </c>
      <c r="AJ6" s="1282">
        <v>1</v>
      </c>
      <c r="AK6" s="1282" t="s">
        <v>29</v>
      </c>
    </row>
    <row r="7" spans="1:39" ht="14.25" customHeight="1" x14ac:dyDescent="0.2">
      <c r="A7" s="1276" t="s">
        <v>990</v>
      </c>
      <c r="B7" s="1276" t="s">
        <v>153</v>
      </c>
      <c r="C7" s="1277" t="s">
        <v>14</v>
      </c>
      <c r="D7" s="1278">
        <v>0</v>
      </c>
      <c r="E7" s="1279">
        <v>552.17647058823525</v>
      </c>
      <c r="F7" s="1276">
        <v>1</v>
      </c>
      <c r="G7" s="1280">
        <v>5000</v>
      </c>
      <c r="H7" s="1280" t="s">
        <v>15</v>
      </c>
      <c r="I7" s="1280">
        <v>56.52</v>
      </c>
      <c r="J7" s="1281">
        <f>I7/(G7/1000)</f>
        <v>11.304</v>
      </c>
      <c r="K7" s="1338">
        <f t="shared" si="0"/>
        <v>0.11043529411764705</v>
      </c>
      <c r="L7" s="1338">
        <f t="shared" si="1"/>
        <v>0</v>
      </c>
      <c r="M7" s="1277" t="s">
        <v>15</v>
      </c>
      <c r="N7" s="1277">
        <f t="shared" si="2"/>
        <v>6.2418028235294116</v>
      </c>
      <c r="O7" s="1277">
        <f t="shared" si="3"/>
        <v>0</v>
      </c>
      <c r="AJ7" s="1282">
        <v>1</v>
      </c>
      <c r="AK7" s="1282" t="s">
        <v>866</v>
      </c>
    </row>
    <row r="8" spans="1:39" ht="14.25" customHeight="1" x14ac:dyDescent="0.2">
      <c r="A8" s="1276" t="s">
        <v>172</v>
      </c>
      <c r="B8" s="1276" t="s">
        <v>153</v>
      </c>
      <c r="C8" s="1277" t="s">
        <v>14</v>
      </c>
      <c r="D8" s="1278">
        <v>0</v>
      </c>
      <c r="E8" s="1279">
        <v>346.72413793103448</v>
      </c>
      <c r="F8" s="1276">
        <v>1</v>
      </c>
      <c r="G8" s="1280">
        <v>9200</v>
      </c>
      <c r="H8" s="1280" t="s">
        <v>173</v>
      </c>
      <c r="I8" s="1280">
        <v>165</v>
      </c>
      <c r="J8" s="1281">
        <f>I8/(G8/1000)</f>
        <v>17.934782608695652</v>
      </c>
      <c r="K8" s="1338">
        <f t="shared" si="0"/>
        <v>3.7687406296851571E-2</v>
      </c>
      <c r="L8" s="1338">
        <f t="shared" si="1"/>
        <v>0</v>
      </c>
      <c r="M8" s="1277" t="s">
        <v>15</v>
      </c>
      <c r="N8" s="1277">
        <f t="shared" si="2"/>
        <v>6.2184220389805089</v>
      </c>
      <c r="O8" s="1277">
        <f t="shared" si="3"/>
        <v>0</v>
      </c>
      <c r="AJ8" s="1282">
        <v>2</v>
      </c>
      <c r="AK8" s="1282" t="s">
        <v>43</v>
      </c>
    </row>
    <row r="9" spans="1:39" ht="14.25" customHeight="1" x14ac:dyDescent="0.2">
      <c r="A9" s="1276" t="s">
        <v>726</v>
      </c>
      <c r="B9" s="1276" t="s">
        <v>153</v>
      </c>
      <c r="C9" s="1277" t="s">
        <v>14</v>
      </c>
      <c r="D9" s="1278">
        <v>0</v>
      </c>
      <c r="E9" s="1279">
        <v>157.76470588235293</v>
      </c>
      <c r="F9" s="1276">
        <v>1</v>
      </c>
      <c r="G9" s="1280">
        <v>2724</v>
      </c>
      <c r="H9" s="1280" t="s">
        <v>715</v>
      </c>
      <c r="I9" s="1280">
        <v>185</v>
      </c>
      <c r="J9" s="1281">
        <f>I9/(G9/1000)</f>
        <v>67.91483113069016</v>
      </c>
      <c r="K9" s="1338">
        <f t="shared" si="0"/>
        <v>5.7916558693962158E-2</v>
      </c>
      <c r="L9" s="1338">
        <f t="shared" si="1"/>
        <v>0</v>
      </c>
      <c r="M9" s="1277" t="s">
        <v>15</v>
      </c>
      <c r="N9" s="1277">
        <f t="shared" si="2"/>
        <v>10.714563358383</v>
      </c>
      <c r="O9" s="1277">
        <f t="shared" si="3"/>
        <v>0</v>
      </c>
      <c r="AJ9" s="1282">
        <v>2</v>
      </c>
      <c r="AK9" s="1282" t="s">
        <v>820</v>
      </c>
    </row>
    <row r="10" spans="1:39" ht="14.25" customHeight="1" x14ac:dyDescent="0.2">
      <c r="A10" s="1276" t="s">
        <v>163</v>
      </c>
      <c r="B10" s="1276" t="s">
        <v>153</v>
      </c>
      <c r="C10" s="1277" t="s">
        <v>14</v>
      </c>
      <c r="D10" s="1278">
        <v>902.21642764015633</v>
      </c>
      <c r="E10" s="1279">
        <v>6522.8545272670053</v>
      </c>
      <c r="F10" s="1276">
        <v>1</v>
      </c>
      <c r="G10" s="1280">
        <v>10000</v>
      </c>
      <c r="H10" s="1280" t="s">
        <v>164</v>
      </c>
      <c r="I10" s="1280">
        <v>66.959999999999994</v>
      </c>
      <c r="J10" s="1281">
        <f>I10/(G10/1000)</f>
        <v>6.6959999999999997</v>
      </c>
      <c r="K10" s="1338">
        <f t="shared" si="0"/>
        <v>0.65228545272670058</v>
      </c>
      <c r="L10" s="1338">
        <f t="shared" si="1"/>
        <v>9.0221642764015633E-2</v>
      </c>
      <c r="M10" s="1277" t="s">
        <v>15</v>
      </c>
      <c r="N10" s="1277">
        <f t="shared" si="2"/>
        <v>43.677033914579866</v>
      </c>
      <c r="O10" s="1277">
        <f t="shared" si="3"/>
        <v>6.0412411994784865</v>
      </c>
      <c r="AJ10" s="1282">
        <v>2</v>
      </c>
      <c r="AK10" s="1282" t="s">
        <v>46</v>
      </c>
    </row>
    <row r="11" spans="1:39" ht="14.25" customHeight="1" x14ac:dyDescent="0.2">
      <c r="A11" s="957"/>
      <c r="B11" s="957"/>
      <c r="C11" s="957"/>
      <c r="D11" s="957"/>
      <c r="E11" s="958"/>
      <c r="F11" s="957"/>
      <c r="G11" s="959"/>
      <c r="H11" s="960"/>
      <c r="I11" s="959"/>
      <c r="J11" s="959"/>
      <c r="K11" s="957"/>
      <c r="L11" s="957"/>
      <c r="M11" s="957"/>
      <c r="N11" s="957"/>
      <c r="O11" s="957"/>
      <c r="AJ11" s="1282">
        <v>2</v>
      </c>
      <c r="AK11" s="1282" t="s">
        <v>48</v>
      </c>
    </row>
    <row r="12" spans="1:39" ht="14.25" customHeight="1" x14ac:dyDescent="0.2">
      <c r="A12" s="1288" t="s">
        <v>189</v>
      </c>
      <c r="B12" s="1288" t="s">
        <v>190</v>
      </c>
      <c r="C12" s="1289" t="s">
        <v>160</v>
      </c>
      <c r="D12" s="1290">
        <v>0</v>
      </c>
      <c r="E12" s="1291">
        <v>1890.8232717577605</v>
      </c>
      <c r="F12" s="1288">
        <v>1</v>
      </c>
      <c r="G12" s="1292">
        <f>3790*4</f>
        <v>15160</v>
      </c>
      <c r="H12" s="1292" t="s">
        <v>191</v>
      </c>
      <c r="I12" s="1292">
        <v>265</v>
      </c>
      <c r="J12" s="1293">
        <f t="shared" ref="J12:J20" si="4">I12/(G12/1000)</f>
        <v>17.480211081794195</v>
      </c>
      <c r="K12" s="1340">
        <f t="shared" ref="K12:K20" si="5">(E12/F12)/G12</f>
        <v>0.12472449022148815</v>
      </c>
      <c r="L12" s="1340">
        <f t="shared" ref="L12:L20" si="6">(D12/F12)/G12</f>
        <v>0</v>
      </c>
      <c r="M12" s="1289" t="s">
        <v>15</v>
      </c>
      <c r="N12" s="1289">
        <f t="shared" ref="N12:N20" si="7">K12*I12</f>
        <v>33.05198990869436</v>
      </c>
      <c r="O12" s="1289">
        <f t="shared" ref="O12:O20" si="8">L12*I12</f>
        <v>0</v>
      </c>
      <c r="AJ12" s="1282">
        <v>2</v>
      </c>
      <c r="AK12" s="1282" t="s">
        <v>53</v>
      </c>
    </row>
    <row r="13" spans="1:39" ht="14.25" customHeight="1" x14ac:dyDescent="0.2">
      <c r="A13" s="1288" t="s">
        <v>212</v>
      </c>
      <c r="B13" s="1288" t="s">
        <v>190</v>
      </c>
      <c r="C13" s="1289" t="s">
        <v>160</v>
      </c>
      <c r="D13" s="1290">
        <v>5829.415731412173</v>
      </c>
      <c r="E13" s="1291">
        <v>33656.503096250337</v>
      </c>
      <c r="F13" s="1288">
        <v>1</v>
      </c>
      <c r="G13" s="1292">
        <v>12000</v>
      </c>
      <c r="H13" s="1292" t="s">
        <v>732</v>
      </c>
      <c r="I13" s="1292">
        <v>60</v>
      </c>
      <c r="J13" s="1293">
        <f t="shared" si="4"/>
        <v>5</v>
      </c>
      <c r="K13" s="1340">
        <f t="shared" si="5"/>
        <v>2.8047085913541947</v>
      </c>
      <c r="L13" s="1340">
        <f t="shared" si="6"/>
        <v>0.48578464428434776</v>
      </c>
      <c r="M13" s="1289" t="s">
        <v>26</v>
      </c>
      <c r="N13" s="1289">
        <f t="shared" si="7"/>
        <v>168.28251548125169</v>
      </c>
      <c r="O13" s="1289">
        <f t="shared" si="8"/>
        <v>29.147078657060867</v>
      </c>
      <c r="AJ13" s="1282">
        <v>2</v>
      </c>
      <c r="AK13" s="1282" t="s">
        <v>874</v>
      </c>
    </row>
    <row r="14" spans="1:39" ht="14.25" customHeight="1" x14ac:dyDescent="0.2">
      <c r="A14" s="1288" t="s">
        <v>202</v>
      </c>
      <c r="B14" s="1288" t="s">
        <v>190</v>
      </c>
      <c r="C14" s="1289" t="s">
        <v>14</v>
      </c>
      <c r="D14" s="1290">
        <v>1253.7908496732027</v>
      </c>
      <c r="E14" s="1291">
        <v>10139.156427305681</v>
      </c>
      <c r="F14" s="1288">
        <v>1</v>
      </c>
      <c r="G14" s="1292">
        <f>3780*4</f>
        <v>15120</v>
      </c>
      <c r="H14" s="1292" t="s">
        <v>741</v>
      </c>
      <c r="I14" s="1292">
        <v>170</v>
      </c>
      <c r="J14" s="1293">
        <f t="shared" si="4"/>
        <v>11.243386243386244</v>
      </c>
      <c r="K14" s="1340">
        <f t="shared" si="5"/>
        <v>0.67057912879005832</v>
      </c>
      <c r="L14" s="1340">
        <f t="shared" si="6"/>
        <v>8.2922675242936686E-2</v>
      </c>
      <c r="M14" s="1289" t="s">
        <v>15</v>
      </c>
      <c r="N14" s="1289">
        <f t="shared" si="7"/>
        <v>113.99845189430991</v>
      </c>
      <c r="O14" s="1289">
        <f t="shared" si="8"/>
        <v>14.096854791299236</v>
      </c>
      <c r="AJ14" s="1282">
        <v>2</v>
      </c>
      <c r="AK14" s="1282" t="s">
        <v>875</v>
      </c>
    </row>
    <row r="15" spans="1:39" ht="14.25" customHeight="1" x14ac:dyDescent="0.2">
      <c r="A15" s="1288" t="s">
        <v>192</v>
      </c>
      <c r="B15" s="1288" t="s">
        <v>190</v>
      </c>
      <c r="C15" s="1289" t="s">
        <v>160</v>
      </c>
      <c r="D15" s="1290">
        <v>0</v>
      </c>
      <c r="E15" s="1291">
        <v>33.627762711864413</v>
      </c>
      <c r="F15" s="1288">
        <v>1</v>
      </c>
      <c r="G15" s="1292">
        <f>355*6</f>
        <v>2130</v>
      </c>
      <c r="H15" s="1292" t="s">
        <v>739</v>
      </c>
      <c r="I15" s="1292">
        <v>125</v>
      </c>
      <c r="J15" s="1293">
        <f t="shared" si="4"/>
        <v>58.685446009389672</v>
      </c>
      <c r="K15" s="1340">
        <f t="shared" si="5"/>
        <v>1.5787682024349489E-2</v>
      </c>
      <c r="L15" s="1340">
        <f t="shared" si="6"/>
        <v>0</v>
      </c>
      <c r="M15" s="1289" t="s">
        <v>15</v>
      </c>
      <c r="N15" s="1289">
        <f t="shared" si="7"/>
        <v>1.973460253043686</v>
      </c>
      <c r="O15" s="1289">
        <f t="shared" si="8"/>
        <v>0</v>
      </c>
      <c r="AJ15" s="1282">
        <v>3</v>
      </c>
      <c r="AK15" s="1282" t="s">
        <v>58</v>
      </c>
    </row>
    <row r="16" spans="1:39" ht="14.25" customHeight="1" x14ac:dyDescent="0.2">
      <c r="A16" s="1288" t="s">
        <v>208</v>
      </c>
      <c r="B16" s="1294" t="s">
        <v>190</v>
      </c>
      <c r="C16" s="1289" t="s">
        <v>160</v>
      </c>
      <c r="D16" s="1290">
        <v>1394.8279196494277</v>
      </c>
      <c r="E16" s="1291">
        <v>8270.4369944456485</v>
      </c>
      <c r="F16" s="1288">
        <v>1</v>
      </c>
      <c r="G16" s="1292">
        <f>3700*4.5</f>
        <v>16650</v>
      </c>
      <c r="H16" s="1292" t="s">
        <v>733</v>
      </c>
      <c r="I16" s="1292">
        <v>36</v>
      </c>
      <c r="J16" s="1293">
        <f t="shared" si="4"/>
        <v>2.1621621621621623</v>
      </c>
      <c r="K16" s="1340">
        <f t="shared" si="5"/>
        <v>0.49672294260934824</v>
      </c>
      <c r="L16" s="1340">
        <f t="shared" si="6"/>
        <v>8.3773448627593255E-2</v>
      </c>
      <c r="M16" s="1289" t="s">
        <v>15</v>
      </c>
      <c r="N16" s="1289">
        <f t="shared" si="7"/>
        <v>17.882025933936536</v>
      </c>
      <c r="O16" s="1289">
        <f t="shared" si="8"/>
        <v>3.0158441505933573</v>
      </c>
      <c r="AJ16" s="1282">
        <v>3</v>
      </c>
      <c r="AK16" s="1282" t="s">
        <v>59</v>
      </c>
    </row>
    <row r="17" spans="1:37" ht="14.25" customHeight="1" x14ac:dyDescent="0.2">
      <c r="A17" s="1295" t="s">
        <v>698</v>
      </c>
      <c r="B17" s="1295" t="s">
        <v>190</v>
      </c>
      <c r="C17" s="1296" t="s">
        <v>14</v>
      </c>
      <c r="D17" s="926">
        <v>0</v>
      </c>
      <c r="E17" s="1297">
        <v>2869.4915254237289</v>
      </c>
      <c r="F17" s="1288">
        <v>1</v>
      </c>
      <c r="G17" s="1292">
        <f>24*400</f>
        <v>9600</v>
      </c>
      <c r="H17" s="1292" t="s">
        <v>157</v>
      </c>
      <c r="I17" s="1292">
        <v>78.260000000000005</v>
      </c>
      <c r="J17" s="1293">
        <f t="shared" si="4"/>
        <v>8.1520833333333336</v>
      </c>
      <c r="K17" s="1340">
        <f t="shared" si="5"/>
        <v>0.29890536723163841</v>
      </c>
      <c r="L17" s="1340">
        <f t="shared" si="6"/>
        <v>0</v>
      </c>
      <c r="M17" s="1289" t="s">
        <v>26</v>
      </c>
      <c r="N17" s="1289">
        <f t="shared" si="7"/>
        <v>23.392334039548022</v>
      </c>
      <c r="O17" s="1289">
        <f t="shared" si="8"/>
        <v>0</v>
      </c>
      <c r="AJ17" s="1282">
        <v>3</v>
      </c>
      <c r="AK17" s="1282" t="s">
        <v>65</v>
      </c>
    </row>
    <row r="18" spans="1:37" ht="14.25" customHeight="1" x14ac:dyDescent="0.25">
      <c r="A18" s="924" t="s">
        <v>193</v>
      </c>
      <c r="B18" s="924" t="s">
        <v>190</v>
      </c>
      <c r="C18" s="925" t="s">
        <v>160</v>
      </c>
      <c r="D18" s="926">
        <v>0</v>
      </c>
      <c r="E18" s="927">
        <v>1236</v>
      </c>
      <c r="F18" s="1288">
        <v>1</v>
      </c>
      <c r="G18" s="972">
        <f>259*12</f>
        <v>3108</v>
      </c>
      <c r="H18" s="929" t="s">
        <v>740</v>
      </c>
      <c r="I18" s="930">
        <v>115</v>
      </c>
      <c r="J18" s="930">
        <f t="shared" si="4"/>
        <v>37.001287001286997</v>
      </c>
      <c r="K18" s="929">
        <f t="shared" si="5"/>
        <v>0.39768339768339767</v>
      </c>
      <c r="L18" s="929">
        <f t="shared" si="6"/>
        <v>0</v>
      </c>
      <c r="M18" s="929" t="s">
        <v>26</v>
      </c>
      <c r="N18" s="929">
        <f t="shared" si="7"/>
        <v>45.733590733590731</v>
      </c>
      <c r="O18" s="929">
        <f t="shared" si="8"/>
        <v>0</v>
      </c>
      <c r="AJ18" s="1282">
        <v>3</v>
      </c>
      <c r="AK18" s="1282" t="s">
        <v>67</v>
      </c>
    </row>
    <row r="19" spans="1:37" ht="14.25" customHeight="1" x14ac:dyDescent="0.25">
      <c r="A19" s="924" t="s">
        <v>196</v>
      </c>
      <c r="B19" s="924" t="s">
        <v>190</v>
      </c>
      <c r="C19" s="925" t="s">
        <v>160</v>
      </c>
      <c r="D19" s="926">
        <v>0</v>
      </c>
      <c r="E19" s="927">
        <v>1030</v>
      </c>
      <c r="F19" s="1288">
        <v>1</v>
      </c>
      <c r="G19" s="972">
        <f>600*12</f>
        <v>7200</v>
      </c>
      <c r="H19" s="929" t="s">
        <v>197</v>
      </c>
      <c r="I19" s="930">
        <v>107</v>
      </c>
      <c r="J19" s="930">
        <f t="shared" si="4"/>
        <v>14.861111111111111</v>
      </c>
      <c r="K19" s="929">
        <f t="shared" si="5"/>
        <v>0.14305555555555555</v>
      </c>
      <c r="L19" s="929">
        <f t="shared" si="6"/>
        <v>0</v>
      </c>
      <c r="M19" s="929" t="s">
        <v>26</v>
      </c>
      <c r="N19" s="929">
        <f t="shared" si="7"/>
        <v>15.306944444444444</v>
      </c>
      <c r="O19" s="929">
        <f t="shared" si="8"/>
        <v>0</v>
      </c>
      <c r="AJ19" s="1282">
        <v>3</v>
      </c>
      <c r="AK19" s="1282" t="s">
        <v>832</v>
      </c>
    </row>
    <row r="20" spans="1:37" ht="14.25" customHeight="1" x14ac:dyDescent="0.2">
      <c r="A20" s="1288" t="s">
        <v>486</v>
      </c>
      <c r="B20" s="1288" t="s">
        <v>190</v>
      </c>
      <c r="C20" s="1289" t="s">
        <v>14</v>
      </c>
      <c r="D20" s="1290">
        <v>298.31460674157302</v>
      </c>
      <c r="E20" s="1291">
        <v>696.06741573033696</v>
      </c>
      <c r="F20" s="1288">
        <v>1</v>
      </c>
      <c r="G20" s="1292">
        <f>295*12</f>
        <v>3540</v>
      </c>
      <c r="H20" s="1292" t="s">
        <v>742</v>
      </c>
      <c r="I20" s="1292">
        <v>125</v>
      </c>
      <c r="J20" s="1293">
        <f t="shared" si="4"/>
        <v>35.310734463276837</v>
      </c>
      <c r="K20" s="1340">
        <f t="shared" si="5"/>
        <v>0.19662921348314605</v>
      </c>
      <c r="L20" s="1340">
        <f t="shared" si="6"/>
        <v>8.4269662921348312E-2</v>
      </c>
      <c r="M20" s="1289" t="s">
        <v>15</v>
      </c>
      <c r="N20" s="1289">
        <f t="shared" si="7"/>
        <v>24.578651685393258</v>
      </c>
      <c r="O20" s="1289">
        <f t="shared" si="8"/>
        <v>10.533707865168539</v>
      </c>
      <c r="AJ20" s="1282">
        <v>3</v>
      </c>
      <c r="AK20" s="1282" t="s">
        <v>78</v>
      </c>
    </row>
    <row r="21" spans="1:37" ht="14.25" customHeight="1" x14ac:dyDescent="0.2">
      <c r="A21" s="1301"/>
      <c r="B21" s="1301"/>
      <c r="C21" s="1259"/>
      <c r="D21" s="1299"/>
      <c r="E21" s="1300"/>
      <c r="F21" s="1301"/>
      <c r="G21" s="241"/>
      <c r="H21" s="241"/>
      <c r="I21" s="241"/>
      <c r="J21" s="1363"/>
      <c r="K21" s="1341"/>
      <c r="L21" s="1341"/>
      <c r="M21" s="1259"/>
      <c r="N21" s="1259"/>
      <c r="O21" s="1259"/>
      <c r="AJ21" s="1282">
        <v>3</v>
      </c>
      <c r="AK21" s="1282" t="s">
        <v>882</v>
      </c>
    </row>
    <row r="22" spans="1:37" ht="14.25" customHeight="1" x14ac:dyDescent="0.25">
      <c r="A22" s="938" t="s">
        <v>203</v>
      </c>
      <c r="B22" s="938" t="s">
        <v>204</v>
      </c>
      <c r="C22" s="939" t="s">
        <v>160</v>
      </c>
      <c r="D22" s="940">
        <v>0</v>
      </c>
      <c r="E22" s="941">
        <v>2060</v>
      </c>
      <c r="F22" s="942">
        <v>1</v>
      </c>
      <c r="G22" s="943">
        <v>1000</v>
      </c>
      <c r="H22" s="943" t="s">
        <v>205</v>
      </c>
      <c r="I22" s="944">
        <v>0</v>
      </c>
      <c r="J22" s="968">
        <f t="shared" ref="J22" si="9">I22/(G22/1000)</f>
        <v>0</v>
      </c>
      <c r="K22" s="943">
        <f t="shared" ref="K22" si="10">(E22/F22)/G22</f>
        <v>2.06</v>
      </c>
      <c r="L22" s="943">
        <f t="shared" ref="L22" si="11">(D22/F22)/G22</f>
        <v>0</v>
      </c>
      <c r="M22" s="943" t="s">
        <v>205</v>
      </c>
      <c r="N22" s="943">
        <f t="shared" ref="N22" si="12">K22*I22</f>
        <v>0</v>
      </c>
      <c r="O22" s="943">
        <f t="shared" ref="O22" si="13">L22*I22</f>
        <v>0</v>
      </c>
      <c r="AJ22" s="1282">
        <v>3</v>
      </c>
      <c r="AK22" s="1282" t="s">
        <v>81</v>
      </c>
    </row>
    <row r="23" spans="1:37" ht="14.25" customHeight="1" x14ac:dyDescent="0.25">
      <c r="A23" s="938" t="s">
        <v>868</v>
      </c>
      <c r="B23" s="938" t="s">
        <v>204</v>
      </c>
      <c r="C23" s="939" t="s">
        <v>160</v>
      </c>
      <c r="D23" s="940">
        <v>397.752808988764</v>
      </c>
      <c r="E23" s="941">
        <v>3726.2921348314608</v>
      </c>
      <c r="F23" s="942">
        <v>1</v>
      </c>
      <c r="G23" s="943">
        <v>1000</v>
      </c>
      <c r="H23" s="943" t="s">
        <v>205</v>
      </c>
      <c r="I23" s="944">
        <v>0</v>
      </c>
      <c r="J23" s="968">
        <f t="shared" ref="J23" si="14">I23/(G23/1000)</f>
        <v>0</v>
      </c>
      <c r="K23" s="943">
        <f t="shared" ref="K23" si="15">(E23/F23)/G23</f>
        <v>3.7262921348314606</v>
      </c>
      <c r="L23" s="943">
        <f t="shared" ref="L23" si="16">(D23/F23)/G23</f>
        <v>0.39775280898876403</v>
      </c>
      <c r="M23" s="943" t="s">
        <v>205</v>
      </c>
      <c r="N23" s="943">
        <f t="shared" ref="N23" si="17">K23*I23</f>
        <v>0</v>
      </c>
      <c r="O23" s="943">
        <f t="shared" ref="O23" si="18">L23*I23</f>
        <v>0</v>
      </c>
      <c r="AJ23" s="1282">
        <v>4</v>
      </c>
      <c r="AK23" s="1282" t="s">
        <v>91</v>
      </c>
    </row>
    <row r="24" spans="1:37" ht="14.25" customHeight="1" x14ac:dyDescent="0.2">
      <c r="A24" s="1298"/>
      <c r="B24" s="1298"/>
      <c r="C24" s="241"/>
      <c r="D24" s="1299"/>
      <c r="E24" s="1300"/>
      <c r="F24" s="1301"/>
      <c r="G24" s="1259"/>
      <c r="H24" s="1259"/>
      <c r="I24" s="1259"/>
      <c r="J24" s="1259"/>
      <c r="K24" s="1341"/>
      <c r="L24" s="1341"/>
      <c r="M24" s="1259"/>
      <c r="N24" s="1259"/>
      <c r="O24" s="1259"/>
      <c r="AJ24" s="1282">
        <v>4</v>
      </c>
      <c r="AK24" s="1282" t="s">
        <v>96</v>
      </c>
    </row>
    <row r="25" spans="1:37" ht="14.25" customHeight="1" x14ac:dyDescent="0.2">
      <c r="A25" s="1302" t="s">
        <v>725</v>
      </c>
      <c r="B25" s="1302" t="s">
        <v>94</v>
      </c>
      <c r="C25" s="1303" t="s">
        <v>14</v>
      </c>
      <c r="D25" s="1304">
        <v>377.32095490716171</v>
      </c>
      <c r="E25" s="1305">
        <v>1121.7374005305039</v>
      </c>
      <c r="F25" s="1302">
        <v>1</v>
      </c>
      <c r="G25" s="1306">
        <v>2400</v>
      </c>
      <c r="H25" s="1306" t="s">
        <v>45</v>
      </c>
      <c r="I25" s="1306">
        <v>104</v>
      </c>
      <c r="J25" s="1306">
        <f t="shared" ref="J25:J45" si="19">I25/(G25/1000)</f>
        <v>43.333333333333336</v>
      </c>
      <c r="K25" s="1342">
        <f t="shared" ref="K25:K45" si="20">(E25/F25)/G25</f>
        <v>0.46739058355437663</v>
      </c>
      <c r="L25" s="1342">
        <f t="shared" ref="L25:L45" si="21">(D25/F25)/G25</f>
        <v>0.1572170645446507</v>
      </c>
      <c r="M25" s="1303" t="s">
        <v>15</v>
      </c>
      <c r="N25" s="1303">
        <f t="shared" ref="N25:N45" si="22">K25*I25</f>
        <v>48.608620689655169</v>
      </c>
      <c r="O25" s="1303">
        <f t="shared" ref="O25:O45" si="23">L25*I25</f>
        <v>16.350574712643674</v>
      </c>
      <c r="AJ25" s="1282">
        <v>4</v>
      </c>
      <c r="AK25" s="1282" t="s">
        <v>104</v>
      </c>
    </row>
    <row r="26" spans="1:37" ht="14.25" customHeight="1" x14ac:dyDescent="0.2">
      <c r="A26" s="1302" t="s">
        <v>99</v>
      </c>
      <c r="B26" s="1302" t="s">
        <v>94</v>
      </c>
      <c r="C26" s="1303" t="s">
        <v>14</v>
      </c>
      <c r="D26" s="1304">
        <v>220.65405386545203</v>
      </c>
      <c r="E26" s="1305">
        <v>929.15607812719986</v>
      </c>
      <c r="F26" s="1302">
        <v>1</v>
      </c>
      <c r="G26" s="1306">
        <v>1000</v>
      </c>
      <c r="H26" s="1306" t="s">
        <v>45</v>
      </c>
      <c r="I26" s="1306">
        <v>31</v>
      </c>
      <c r="J26" s="1306">
        <f t="shared" si="19"/>
        <v>31</v>
      </c>
      <c r="K26" s="1342">
        <f t="shared" si="20"/>
        <v>0.92915607812719991</v>
      </c>
      <c r="L26" s="1342">
        <f t="shared" si="21"/>
        <v>0.22065405386545203</v>
      </c>
      <c r="M26" s="1303" t="s">
        <v>15</v>
      </c>
      <c r="N26" s="1303">
        <f t="shared" si="22"/>
        <v>28.803838421943198</v>
      </c>
      <c r="O26" s="1303">
        <f t="shared" si="23"/>
        <v>6.8402756698290128</v>
      </c>
      <c r="AJ26" s="1282">
        <v>4</v>
      </c>
      <c r="AK26" s="1282" t="s">
        <v>825</v>
      </c>
    </row>
    <row r="27" spans="1:37" ht="14.25" customHeight="1" x14ac:dyDescent="0.2">
      <c r="A27" s="1302" t="s">
        <v>97</v>
      </c>
      <c r="B27" s="1302" t="s">
        <v>94</v>
      </c>
      <c r="C27" s="1303" t="s">
        <v>14</v>
      </c>
      <c r="D27" s="1304">
        <v>0</v>
      </c>
      <c r="E27" s="1305">
        <v>73.83620689655173</v>
      </c>
      <c r="F27" s="1302">
        <v>1</v>
      </c>
      <c r="G27" s="1306">
        <v>1000</v>
      </c>
      <c r="H27" s="1306" t="s">
        <v>45</v>
      </c>
      <c r="I27" s="1306">
        <v>38</v>
      </c>
      <c r="J27" s="1306">
        <f t="shared" si="19"/>
        <v>38</v>
      </c>
      <c r="K27" s="1342">
        <f t="shared" si="20"/>
        <v>7.3836206896551723E-2</v>
      </c>
      <c r="L27" s="1342">
        <f t="shared" si="21"/>
        <v>0</v>
      </c>
      <c r="M27" s="1303" t="s">
        <v>15</v>
      </c>
      <c r="N27" s="1303">
        <f t="shared" si="22"/>
        <v>2.8057758620689657</v>
      </c>
      <c r="O27" s="1303">
        <f t="shared" si="23"/>
        <v>0</v>
      </c>
      <c r="AJ27" s="1282">
        <v>4</v>
      </c>
      <c r="AK27" s="1282" t="s">
        <v>475</v>
      </c>
    </row>
    <row r="28" spans="1:37" ht="14.25" customHeight="1" x14ac:dyDescent="0.2">
      <c r="A28" s="1302" t="s">
        <v>128</v>
      </c>
      <c r="B28" s="1302" t="s">
        <v>94</v>
      </c>
      <c r="C28" s="1303" t="s">
        <v>14</v>
      </c>
      <c r="D28" s="1304">
        <v>0</v>
      </c>
      <c r="E28" s="1305">
        <v>41.664759699680793</v>
      </c>
      <c r="F28" s="1302">
        <v>1</v>
      </c>
      <c r="G28" s="1306">
        <v>1000</v>
      </c>
      <c r="H28" s="1306" t="s">
        <v>45</v>
      </c>
      <c r="I28" s="1306">
        <v>107</v>
      </c>
      <c r="J28" s="1306">
        <f t="shared" si="19"/>
        <v>107</v>
      </c>
      <c r="K28" s="1342">
        <f t="shared" si="20"/>
        <v>4.1664759699680795E-2</v>
      </c>
      <c r="L28" s="1342">
        <f t="shared" si="21"/>
        <v>0</v>
      </c>
      <c r="M28" s="1303" t="s">
        <v>15</v>
      </c>
      <c r="N28" s="1303">
        <f t="shared" si="22"/>
        <v>4.4581292878658454</v>
      </c>
      <c r="O28" s="1303">
        <f t="shared" si="23"/>
        <v>0</v>
      </c>
      <c r="AJ28" s="1282">
        <v>4</v>
      </c>
      <c r="AK28" s="1282" t="s">
        <v>117</v>
      </c>
    </row>
    <row r="29" spans="1:37" ht="14.25" customHeight="1" x14ac:dyDescent="0.2">
      <c r="A29" s="1302" t="s">
        <v>126</v>
      </c>
      <c r="B29" s="1302" t="s">
        <v>94</v>
      </c>
      <c r="C29" s="1303" t="s">
        <v>14</v>
      </c>
      <c r="D29" s="1304">
        <v>36.088657105606252</v>
      </c>
      <c r="E29" s="1305">
        <v>77.862301173402869</v>
      </c>
      <c r="F29" s="1302">
        <v>1</v>
      </c>
      <c r="G29" s="1306">
        <v>1000</v>
      </c>
      <c r="H29" s="1306" t="s">
        <v>45</v>
      </c>
      <c r="I29" s="1306">
        <v>125</v>
      </c>
      <c r="J29" s="1306">
        <f t="shared" si="19"/>
        <v>125</v>
      </c>
      <c r="K29" s="1342">
        <f t="shared" si="20"/>
        <v>7.786230117340287E-2</v>
      </c>
      <c r="L29" s="1342">
        <f t="shared" si="21"/>
        <v>3.6088657105606249E-2</v>
      </c>
      <c r="M29" s="1303" t="s">
        <v>15</v>
      </c>
      <c r="N29" s="1303">
        <f t="shared" si="22"/>
        <v>9.7327876466753587</v>
      </c>
      <c r="O29" s="1303">
        <f t="shared" si="23"/>
        <v>4.5110821382007815</v>
      </c>
      <c r="AJ29" s="1282">
        <v>4</v>
      </c>
      <c r="AK29" s="1282" t="s">
        <v>898</v>
      </c>
    </row>
    <row r="30" spans="1:37" ht="14.25" customHeight="1" x14ac:dyDescent="0.2">
      <c r="A30" s="1302" t="s">
        <v>122</v>
      </c>
      <c r="B30" s="1302" t="s">
        <v>94</v>
      </c>
      <c r="C30" s="1303" t="s">
        <v>14</v>
      </c>
      <c r="D30" s="1304">
        <v>31.316261514341587</v>
      </c>
      <c r="E30" s="1305">
        <v>56.111818880704035</v>
      </c>
      <c r="F30" s="1302">
        <v>1</v>
      </c>
      <c r="G30" s="1306">
        <v>1000</v>
      </c>
      <c r="H30" s="1306" t="s">
        <v>45</v>
      </c>
      <c r="I30" s="1306">
        <v>14</v>
      </c>
      <c r="J30" s="1306">
        <f t="shared" si="19"/>
        <v>14</v>
      </c>
      <c r="K30" s="1342">
        <f t="shared" si="20"/>
        <v>5.6111818880704038E-2</v>
      </c>
      <c r="L30" s="1342">
        <f t="shared" si="21"/>
        <v>3.1316261514341588E-2</v>
      </c>
      <c r="M30" s="1303" t="s">
        <v>15</v>
      </c>
      <c r="N30" s="1303">
        <f t="shared" si="22"/>
        <v>0.78556546432985652</v>
      </c>
      <c r="O30" s="1303">
        <f t="shared" si="23"/>
        <v>0.43842766120078225</v>
      </c>
      <c r="AJ30" s="1282">
        <v>4</v>
      </c>
      <c r="AK30" s="1282" t="s">
        <v>899</v>
      </c>
    </row>
    <row r="31" spans="1:37" ht="14.25" customHeight="1" x14ac:dyDescent="0.2">
      <c r="A31" s="1302" t="s">
        <v>124</v>
      </c>
      <c r="B31" s="1302" t="s">
        <v>94</v>
      </c>
      <c r="C31" s="1303" t="s">
        <v>14</v>
      </c>
      <c r="D31" s="1304">
        <v>0</v>
      </c>
      <c r="E31" s="1305">
        <v>47.740547588005199</v>
      </c>
      <c r="F31" s="1302">
        <v>1</v>
      </c>
      <c r="G31" s="1306">
        <v>1000</v>
      </c>
      <c r="H31" s="1306" t="s">
        <v>45</v>
      </c>
      <c r="I31" s="1306">
        <v>37</v>
      </c>
      <c r="J31" s="1306">
        <f t="shared" si="19"/>
        <v>37</v>
      </c>
      <c r="K31" s="1342">
        <f t="shared" si="20"/>
        <v>4.7740547588005201E-2</v>
      </c>
      <c r="L31" s="1342">
        <f t="shared" si="21"/>
        <v>0</v>
      </c>
      <c r="M31" s="1303" t="s">
        <v>15</v>
      </c>
      <c r="N31" s="1303">
        <f t="shared" si="22"/>
        <v>1.7664002607561924</v>
      </c>
      <c r="O31" s="1303">
        <f t="shared" si="23"/>
        <v>0</v>
      </c>
      <c r="AJ31" s="1282">
        <v>5</v>
      </c>
      <c r="AK31" s="1282" t="s">
        <v>123</v>
      </c>
    </row>
    <row r="32" spans="1:37" ht="14.25" customHeight="1" x14ac:dyDescent="0.2">
      <c r="A32" s="1302" t="s">
        <v>107</v>
      </c>
      <c r="B32" s="1302" t="s">
        <v>94</v>
      </c>
      <c r="C32" s="1303" t="s">
        <v>14</v>
      </c>
      <c r="D32" s="1304">
        <v>330.92459825149479</v>
      </c>
      <c r="E32" s="1305">
        <v>1923.9064238820301</v>
      </c>
      <c r="F32" s="1302">
        <v>1</v>
      </c>
      <c r="G32" s="1306">
        <v>1000</v>
      </c>
      <c r="H32" s="1306" t="s">
        <v>45</v>
      </c>
      <c r="I32" s="1306">
        <v>8</v>
      </c>
      <c r="J32" s="1306">
        <f t="shared" si="19"/>
        <v>8</v>
      </c>
      <c r="K32" s="1342">
        <f t="shared" si="20"/>
        <v>1.92390642388203</v>
      </c>
      <c r="L32" s="1342">
        <f t="shared" si="21"/>
        <v>0.33092459825149478</v>
      </c>
      <c r="M32" s="1303" t="s">
        <v>15</v>
      </c>
      <c r="N32" s="1303">
        <f t="shared" si="22"/>
        <v>15.39125139105624</v>
      </c>
      <c r="O32" s="1303">
        <f t="shared" si="23"/>
        <v>2.6473967860119583</v>
      </c>
      <c r="AJ32" s="1282">
        <v>5</v>
      </c>
      <c r="AK32" s="1282" t="s">
        <v>125</v>
      </c>
    </row>
    <row r="33" spans="1:37" ht="14.25" customHeight="1" x14ac:dyDescent="0.2">
      <c r="A33" s="1302" t="s">
        <v>105</v>
      </c>
      <c r="B33" s="1302" t="s">
        <v>94</v>
      </c>
      <c r="C33" s="1303" t="s">
        <v>14</v>
      </c>
      <c r="D33" s="1304">
        <v>583.43261088079498</v>
      </c>
      <c r="E33" s="1305">
        <v>2856.2583969166849</v>
      </c>
      <c r="F33" s="1302">
        <v>1</v>
      </c>
      <c r="G33" s="1306">
        <v>1000</v>
      </c>
      <c r="H33" s="1306" t="s">
        <v>45</v>
      </c>
      <c r="I33" s="1306">
        <v>15</v>
      </c>
      <c r="J33" s="1306">
        <f t="shared" si="19"/>
        <v>15</v>
      </c>
      <c r="K33" s="1342">
        <f t="shared" si="20"/>
        <v>2.8562583969166848</v>
      </c>
      <c r="L33" s="1342">
        <f t="shared" si="21"/>
        <v>0.58343261088079501</v>
      </c>
      <c r="M33" s="1303" t="s">
        <v>15</v>
      </c>
      <c r="N33" s="1303">
        <f t="shared" si="22"/>
        <v>42.84387595375027</v>
      </c>
      <c r="O33" s="1303">
        <f t="shared" si="23"/>
        <v>8.7514891632119252</v>
      </c>
      <c r="AJ33" s="1282">
        <v>5</v>
      </c>
      <c r="AK33" s="1282" t="s">
        <v>127</v>
      </c>
    </row>
    <row r="34" spans="1:37" ht="14.25" customHeight="1" x14ac:dyDescent="0.2">
      <c r="A34" s="1302" t="s">
        <v>108</v>
      </c>
      <c r="B34" s="1302" t="s">
        <v>94</v>
      </c>
      <c r="C34" s="1303" t="s">
        <v>14</v>
      </c>
      <c r="D34" s="1304">
        <v>0</v>
      </c>
      <c r="E34" s="1305">
        <v>290.28683181225551</v>
      </c>
      <c r="F34" s="1302">
        <v>1</v>
      </c>
      <c r="G34" s="1306">
        <v>1000</v>
      </c>
      <c r="H34" s="1306" t="s">
        <v>45</v>
      </c>
      <c r="I34" s="1306">
        <v>26.5</v>
      </c>
      <c r="J34" s="1306">
        <f t="shared" si="19"/>
        <v>26.5</v>
      </c>
      <c r="K34" s="1342">
        <f t="shared" si="20"/>
        <v>0.29028683181225551</v>
      </c>
      <c r="L34" s="1342">
        <f t="shared" si="21"/>
        <v>0</v>
      </c>
      <c r="M34" s="1303" t="s">
        <v>15</v>
      </c>
      <c r="N34" s="1303">
        <f t="shared" si="22"/>
        <v>7.6926010430247711</v>
      </c>
      <c r="O34" s="1303">
        <f t="shared" si="23"/>
        <v>0</v>
      </c>
      <c r="AJ34" s="1282">
        <v>5</v>
      </c>
      <c r="AK34" s="1282" t="s">
        <v>826</v>
      </c>
    </row>
    <row r="35" spans="1:37" ht="14.25" customHeight="1" x14ac:dyDescent="0.2">
      <c r="A35" s="1302" t="s">
        <v>149</v>
      </c>
      <c r="B35" s="1302" t="s">
        <v>94</v>
      </c>
      <c r="C35" s="1303" t="s">
        <v>14</v>
      </c>
      <c r="D35" s="1304">
        <v>407.42452239740106</v>
      </c>
      <c r="E35" s="1305">
        <v>2486.8069025124432</v>
      </c>
      <c r="F35" s="1302">
        <v>1</v>
      </c>
      <c r="G35" s="1306">
        <v>1000</v>
      </c>
      <c r="H35" s="1306" t="s">
        <v>45</v>
      </c>
      <c r="I35" s="1306">
        <v>10</v>
      </c>
      <c r="J35" s="1306">
        <f t="shared" si="19"/>
        <v>10</v>
      </c>
      <c r="K35" s="1342">
        <f t="shared" si="20"/>
        <v>2.4868069025124431</v>
      </c>
      <c r="L35" s="1342">
        <f t="shared" si="21"/>
        <v>0.40742452239740107</v>
      </c>
      <c r="M35" s="1303" t="s">
        <v>15</v>
      </c>
      <c r="N35" s="1303">
        <f t="shared" si="22"/>
        <v>24.868069025124431</v>
      </c>
      <c r="O35" s="1303">
        <f t="shared" si="23"/>
        <v>4.0742452239740103</v>
      </c>
      <c r="AJ35" s="1282">
        <v>5</v>
      </c>
      <c r="AK35" s="1282" t="s">
        <v>130</v>
      </c>
    </row>
    <row r="36" spans="1:37" ht="14.25" customHeight="1" x14ac:dyDescent="0.2">
      <c r="A36" s="1302" t="s">
        <v>144</v>
      </c>
      <c r="B36" s="1302" t="s">
        <v>94</v>
      </c>
      <c r="C36" s="1303" t="s">
        <v>14</v>
      </c>
      <c r="D36" s="1304">
        <v>188.66047745358085</v>
      </c>
      <c r="E36" s="1305">
        <v>560.86870026525196</v>
      </c>
      <c r="F36" s="1307">
        <v>1</v>
      </c>
      <c r="G36" s="1306">
        <v>1000</v>
      </c>
      <c r="H36" s="1306" t="s">
        <v>15</v>
      </c>
      <c r="I36" s="1306">
        <v>18</v>
      </c>
      <c r="J36" s="1306">
        <f t="shared" si="19"/>
        <v>18</v>
      </c>
      <c r="K36" s="1342">
        <f t="shared" si="20"/>
        <v>0.56086870026525193</v>
      </c>
      <c r="L36" s="1342">
        <f t="shared" si="21"/>
        <v>0.18866047745358086</v>
      </c>
      <c r="M36" s="1303" t="s">
        <v>15</v>
      </c>
      <c r="N36" s="1303">
        <f t="shared" si="22"/>
        <v>10.095636604774535</v>
      </c>
      <c r="O36" s="1303">
        <f t="shared" si="23"/>
        <v>3.3958885941644557</v>
      </c>
      <c r="AJ36" s="1282">
        <v>5</v>
      </c>
      <c r="AK36" s="1282" t="s">
        <v>132</v>
      </c>
    </row>
    <row r="37" spans="1:37" ht="14.25" customHeight="1" x14ac:dyDescent="0.2">
      <c r="A37" s="1302" t="s">
        <v>141</v>
      </c>
      <c r="B37" s="1302" t="s">
        <v>94</v>
      </c>
      <c r="C37" s="1303" t="s">
        <v>14</v>
      </c>
      <c r="D37" s="1304">
        <v>0</v>
      </c>
      <c r="E37" s="1305">
        <v>3.9441176470588237</v>
      </c>
      <c r="F37" s="1307">
        <v>1</v>
      </c>
      <c r="G37" s="1306">
        <v>34</v>
      </c>
      <c r="H37" s="1306" t="s">
        <v>142</v>
      </c>
      <c r="I37" s="1306">
        <v>8.5</v>
      </c>
      <c r="J37" s="1306">
        <f t="shared" si="19"/>
        <v>249.99999999999997</v>
      </c>
      <c r="K37" s="1342">
        <f t="shared" si="20"/>
        <v>0.11600346020761246</v>
      </c>
      <c r="L37" s="1342">
        <f t="shared" si="21"/>
        <v>0</v>
      </c>
      <c r="M37" s="1303" t="s">
        <v>15</v>
      </c>
      <c r="N37" s="1303">
        <f t="shared" si="22"/>
        <v>0.98602941176470593</v>
      </c>
      <c r="O37" s="1303">
        <f t="shared" si="23"/>
        <v>0</v>
      </c>
      <c r="AJ37" s="1282">
        <v>5</v>
      </c>
      <c r="AK37" s="1282" t="s">
        <v>859</v>
      </c>
    </row>
    <row r="38" spans="1:37" ht="14.25" customHeight="1" x14ac:dyDescent="0.2">
      <c r="A38" s="1302" t="s">
        <v>724</v>
      </c>
      <c r="B38" s="1302" t="s">
        <v>94</v>
      </c>
      <c r="C38" s="1303" t="s">
        <v>14</v>
      </c>
      <c r="D38" s="1304">
        <v>36.088657105606252</v>
      </c>
      <c r="E38" s="1305">
        <v>56.975479139504557</v>
      </c>
      <c r="F38" s="1307">
        <v>1</v>
      </c>
      <c r="G38" s="1306">
        <v>50</v>
      </c>
      <c r="H38" s="1306" t="s">
        <v>133</v>
      </c>
      <c r="I38" s="1306">
        <v>2.6</v>
      </c>
      <c r="J38" s="1306">
        <f t="shared" si="19"/>
        <v>52</v>
      </c>
      <c r="K38" s="1342">
        <f t="shared" si="20"/>
        <v>1.1395095827900912</v>
      </c>
      <c r="L38" s="1342">
        <f t="shared" si="21"/>
        <v>0.72177314211212507</v>
      </c>
      <c r="M38" s="1303" t="s">
        <v>15</v>
      </c>
      <c r="N38" s="1303">
        <f t="shared" si="22"/>
        <v>2.962724915254237</v>
      </c>
      <c r="O38" s="1303">
        <f t="shared" si="23"/>
        <v>1.8766101694915251</v>
      </c>
      <c r="AJ38" s="1282">
        <v>5</v>
      </c>
      <c r="AK38" s="1282" t="s">
        <v>853</v>
      </c>
    </row>
    <row r="39" spans="1:37" ht="14.25" customHeight="1" x14ac:dyDescent="0.2">
      <c r="A39" s="1302" t="s">
        <v>110</v>
      </c>
      <c r="B39" s="1302" t="s">
        <v>94</v>
      </c>
      <c r="C39" s="1303" t="s">
        <v>14</v>
      </c>
      <c r="D39" s="1304">
        <v>143.3614926574763</v>
      </c>
      <c r="E39" s="1305">
        <v>376.54444106500102</v>
      </c>
      <c r="F39" s="1302">
        <v>1</v>
      </c>
      <c r="G39" s="1306">
        <v>2724</v>
      </c>
      <c r="H39" s="1306" t="s">
        <v>111</v>
      </c>
      <c r="I39" s="1306">
        <v>175</v>
      </c>
      <c r="J39" s="1306">
        <f t="shared" si="19"/>
        <v>64.243759177679877</v>
      </c>
      <c r="K39" s="1342">
        <f t="shared" si="20"/>
        <v>0.13823217366556573</v>
      </c>
      <c r="L39" s="1342">
        <f t="shared" si="21"/>
        <v>5.262903548365503E-2</v>
      </c>
      <c r="M39" s="1303" t="s">
        <v>15</v>
      </c>
      <c r="N39" s="1303">
        <f t="shared" si="22"/>
        <v>24.190630391474002</v>
      </c>
      <c r="O39" s="1303">
        <f t="shared" si="23"/>
        <v>9.2100812096396307</v>
      </c>
      <c r="AJ39" s="1282">
        <v>6</v>
      </c>
      <c r="AK39" s="1282" t="s">
        <v>148</v>
      </c>
    </row>
    <row r="40" spans="1:37" ht="14.25" customHeight="1" x14ac:dyDescent="0.2">
      <c r="A40" s="1302" t="s">
        <v>113</v>
      </c>
      <c r="B40" s="1302" t="s">
        <v>94</v>
      </c>
      <c r="C40" s="1303" t="s">
        <v>14</v>
      </c>
      <c r="D40" s="1304">
        <v>91.621724781616692</v>
      </c>
      <c r="E40" s="1305">
        <v>260.69586417378497</v>
      </c>
      <c r="F40" s="1302">
        <v>1</v>
      </c>
      <c r="G40" s="1306">
        <v>1000</v>
      </c>
      <c r="H40" s="1306" t="s">
        <v>45</v>
      </c>
      <c r="I40" s="1306">
        <v>20</v>
      </c>
      <c r="J40" s="1306">
        <f t="shared" si="19"/>
        <v>20</v>
      </c>
      <c r="K40" s="1342">
        <f t="shared" si="20"/>
        <v>0.26069586417378499</v>
      </c>
      <c r="L40" s="1342">
        <f t="shared" si="21"/>
        <v>9.162172478161669E-2</v>
      </c>
      <c r="M40" s="1303" t="s">
        <v>15</v>
      </c>
      <c r="N40" s="1303">
        <f t="shared" si="22"/>
        <v>5.2139172834757002</v>
      </c>
      <c r="O40" s="1303">
        <f t="shared" si="23"/>
        <v>1.8324344956323337</v>
      </c>
      <c r="AJ40" s="1282">
        <v>6</v>
      </c>
      <c r="AK40" s="1282" t="s">
        <v>150</v>
      </c>
    </row>
    <row r="41" spans="1:37" ht="14.25" customHeight="1" x14ac:dyDescent="0.2">
      <c r="A41" s="1302" t="s">
        <v>93</v>
      </c>
      <c r="B41" s="1302" t="s">
        <v>94</v>
      </c>
      <c r="C41" s="1303" t="s">
        <v>14</v>
      </c>
      <c r="D41" s="1304">
        <v>277.00156413512582</v>
      </c>
      <c r="E41" s="1305">
        <v>1889.3395439498281</v>
      </c>
      <c r="F41" s="1302">
        <v>1</v>
      </c>
      <c r="G41" s="1306">
        <v>50000</v>
      </c>
      <c r="H41" s="1306" t="s">
        <v>95</v>
      </c>
      <c r="I41" s="1306">
        <v>37</v>
      </c>
      <c r="J41" s="1306">
        <f t="shared" si="19"/>
        <v>0.74</v>
      </c>
      <c r="K41" s="1342">
        <f t="shared" si="20"/>
        <v>3.7786790878996564E-2</v>
      </c>
      <c r="L41" s="1342">
        <f t="shared" si="21"/>
        <v>5.5400312827025167E-3</v>
      </c>
      <c r="M41" s="1303" t="s">
        <v>15</v>
      </c>
      <c r="N41" s="1303">
        <f t="shared" si="22"/>
        <v>1.3981112625228729</v>
      </c>
      <c r="O41" s="1303">
        <f t="shared" si="23"/>
        <v>0.20498115745999312</v>
      </c>
      <c r="AJ41" s="1282">
        <v>6</v>
      </c>
      <c r="AK41" s="1282" t="s">
        <v>151</v>
      </c>
    </row>
    <row r="42" spans="1:37" ht="14.25" customHeight="1" x14ac:dyDescent="0.2">
      <c r="A42" s="1308" t="s">
        <v>146</v>
      </c>
      <c r="B42" s="1308" t="s">
        <v>94</v>
      </c>
      <c r="C42" s="1309" t="s">
        <v>14</v>
      </c>
      <c r="D42" s="1310">
        <v>218.76404494382021</v>
      </c>
      <c r="E42" s="1311">
        <v>764.60674157303367</v>
      </c>
      <c r="F42" s="1302">
        <v>1</v>
      </c>
      <c r="G42" s="1306">
        <v>1000</v>
      </c>
      <c r="H42" s="1306" t="s">
        <v>45</v>
      </c>
      <c r="I42" s="1306">
        <v>12</v>
      </c>
      <c r="J42" s="1306">
        <f>I42/(G42/1000)</f>
        <v>12</v>
      </c>
      <c r="K42" s="1342">
        <f t="shared" si="20"/>
        <v>0.76460674157303365</v>
      </c>
      <c r="L42" s="1342">
        <f t="shared" si="21"/>
        <v>0.21876404494382021</v>
      </c>
      <c r="M42" s="1303" t="s">
        <v>45</v>
      </c>
      <c r="N42" s="1303">
        <f t="shared" si="22"/>
        <v>9.1752808988764034</v>
      </c>
      <c r="O42" s="1303">
        <f t="shared" si="23"/>
        <v>2.6251685393258426</v>
      </c>
      <c r="AJ42" s="1282">
        <v>6</v>
      </c>
      <c r="AK42" s="1282" t="s">
        <v>155</v>
      </c>
    </row>
    <row r="43" spans="1:37" ht="14.25" customHeight="1" x14ac:dyDescent="0.2">
      <c r="A43" s="1308" t="s">
        <v>850</v>
      </c>
      <c r="B43" s="1308" t="s">
        <v>94</v>
      </c>
      <c r="C43" s="1309" t="s">
        <v>14</v>
      </c>
      <c r="D43" s="1310">
        <v>198.876404494382</v>
      </c>
      <c r="E43" s="1311">
        <v>666.06741573033707</v>
      </c>
      <c r="F43" s="1302">
        <v>1</v>
      </c>
      <c r="G43" s="1350">
        <v>454</v>
      </c>
      <c r="H43" s="1306" t="s">
        <v>945</v>
      </c>
      <c r="I43" s="1350">
        <v>44</v>
      </c>
      <c r="J43" s="1350">
        <f>I43/(G43/1000)</f>
        <v>96.916299559471369</v>
      </c>
      <c r="K43" s="1342">
        <f t="shared" si="20"/>
        <v>1.4671088452210068</v>
      </c>
      <c r="L43" s="1342">
        <f t="shared" si="21"/>
        <v>0.43805375439291189</v>
      </c>
      <c r="M43" s="1303" t="s">
        <v>26</v>
      </c>
      <c r="N43" s="1303">
        <f t="shared" si="22"/>
        <v>64.552789189724294</v>
      </c>
      <c r="O43" s="1303">
        <f t="shared" si="23"/>
        <v>19.274365193288123</v>
      </c>
      <c r="AJ43" s="1282">
        <v>6</v>
      </c>
      <c r="AK43" s="1282" t="s">
        <v>158</v>
      </c>
    </row>
    <row r="44" spans="1:37" ht="14.25" customHeight="1" x14ac:dyDescent="0.2">
      <c r="A44" s="1302" t="s">
        <v>118</v>
      </c>
      <c r="B44" s="1302" t="s">
        <v>94</v>
      </c>
      <c r="C44" s="1303" t="s">
        <v>14</v>
      </c>
      <c r="D44" s="1304">
        <v>260.83779166479337</v>
      </c>
      <c r="E44" s="1305">
        <v>739.57871004360925</v>
      </c>
      <c r="F44" s="1302">
        <v>1</v>
      </c>
      <c r="G44" s="1306">
        <v>1000</v>
      </c>
      <c r="H44" s="1306" t="s">
        <v>45</v>
      </c>
      <c r="I44" s="1306">
        <v>15</v>
      </c>
      <c r="J44" s="1306">
        <f t="shared" si="19"/>
        <v>15</v>
      </c>
      <c r="K44" s="1342">
        <f t="shared" si="20"/>
        <v>0.7395787100436092</v>
      </c>
      <c r="L44" s="1342">
        <f t="shared" si="21"/>
        <v>0.26083779166479337</v>
      </c>
      <c r="M44" s="1303" t="s">
        <v>15</v>
      </c>
      <c r="N44" s="1303">
        <f t="shared" si="22"/>
        <v>11.093680650654138</v>
      </c>
      <c r="O44" s="1303">
        <f t="shared" si="23"/>
        <v>3.9125668749719007</v>
      </c>
      <c r="AJ44" s="1282">
        <v>6</v>
      </c>
      <c r="AK44" s="1282" t="s">
        <v>846</v>
      </c>
    </row>
    <row r="45" spans="1:37" ht="14.25" customHeight="1" x14ac:dyDescent="0.2">
      <c r="A45" s="1302" t="s">
        <v>101</v>
      </c>
      <c r="B45" s="1302" t="s">
        <v>94</v>
      </c>
      <c r="C45" s="1303" t="s">
        <v>14</v>
      </c>
      <c r="D45" s="1304">
        <v>0</v>
      </c>
      <c r="E45" s="1305">
        <v>189.01436287804546</v>
      </c>
      <c r="F45" s="1302">
        <v>1</v>
      </c>
      <c r="G45" s="1306">
        <v>1000</v>
      </c>
      <c r="H45" s="1306" t="s">
        <v>45</v>
      </c>
      <c r="I45" s="1306">
        <v>47</v>
      </c>
      <c r="J45" s="1306">
        <f t="shared" si="19"/>
        <v>47</v>
      </c>
      <c r="K45" s="1342">
        <f t="shared" si="20"/>
        <v>0.18901436287804546</v>
      </c>
      <c r="L45" s="1342">
        <f t="shared" si="21"/>
        <v>0</v>
      </c>
      <c r="M45" s="1303" t="s">
        <v>15</v>
      </c>
      <c r="N45" s="1303">
        <f t="shared" si="22"/>
        <v>8.8836750552681369</v>
      </c>
      <c r="O45" s="1303">
        <f t="shared" si="23"/>
        <v>0</v>
      </c>
    </row>
    <row r="46" spans="1:37" ht="14.25" customHeight="1" x14ac:dyDescent="0.2">
      <c r="G46" s="1343"/>
      <c r="H46" s="1343"/>
      <c r="I46" s="1343"/>
      <c r="J46" s="1343"/>
    </row>
    <row r="47" spans="1:37" ht="14.25" customHeight="1" x14ac:dyDescent="0.2">
      <c r="A47" s="1312" t="s">
        <v>214</v>
      </c>
      <c r="B47" s="1313" t="s">
        <v>213</v>
      </c>
      <c r="C47" s="1314" t="s">
        <v>14</v>
      </c>
      <c r="D47" s="1315">
        <v>7.2177314211212504</v>
      </c>
      <c r="E47" s="1316">
        <v>149.19195059119718</v>
      </c>
      <c r="F47" s="1312">
        <v>1</v>
      </c>
      <c r="G47" s="1317">
        <v>100</v>
      </c>
      <c r="H47" s="1317" t="s">
        <v>731</v>
      </c>
      <c r="I47" s="1317">
        <v>3.5</v>
      </c>
      <c r="J47" s="1317">
        <f>I47/(G47/1000)</f>
        <v>35</v>
      </c>
      <c r="K47" s="1344">
        <f>(E47/F47)/G47</f>
        <v>1.4919195059119719</v>
      </c>
      <c r="L47" s="1344">
        <f>(D47/F47)/G47</f>
        <v>7.2177314211212498E-2</v>
      </c>
      <c r="M47" s="1314" t="s">
        <v>15</v>
      </c>
      <c r="N47" s="1314">
        <f>K47*I47</f>
        <v>5.2217182706919019</v>
      </c>
      <c r="O47" s="1314">
        <f>L47*I47</f>
        <v>0.25262059973924372</v>
      </c>
    </row>
    <row r="48" spans="1:37" ht="15" x14ac:dyDescent="0.2">
      <c r="A48" s="1318" t="s">
        <v>837</v>
      </c>
      <c r="B48" s="1313" t="s">
        <v>213</v>
      </c>
      <c r="C48" s="1314" t="s">
        <v>14</v>
      </c>
      <c r="D48" s="1315">
        <v>17.72847920325945</v>
      </c>
      <c r="E48" s="1316">
        <v>104.53298819934811</v>
      </c>
      <c r="F48" s="1312">
        <v>1</v>
      </c>
      <c r="G48" s="1317">
        <v>100</v>
      </c>
      <c r="H48" s="1317" t="s">
        <v>731</v>
      </c>
      <c r="I48" s="1317">
        <v>2.25</v>
      </c>
      <c r="J48" s="1317">
        <f>I48/(G48/1000)</f>
        <v>22.5</v>
      </c>
      <c r="K48" s="1344">
        <f>(E48/F48)/G48</f>
        <v>1.0453298819934811</v>
      </c>
      <c r="L48" s="1344">
        <f>(D48/F48)/G48</f>
        <v>0.17728479203259451</v>
      </c>
      <c r="M48" s="1314" t="s">
        <v>15</v>
      </c>
      <c r="N48" s="1314">
        <f>K48*I48</f>
        <v>2.3519922344853326</v>
      </c>
      <c r="O48" s="1314">
        <f>L48*I48</f>
        <v>0.39889078207333761</v>
      </c>
    </row>
    <row r="49" spans="1:15" ht="14.25" customHeight="1" x14ac:dyDescent="0.2"/>
    <row r="50" spans="1:15" ht="14.25" customHeight="1" x14ac:dyDescent="0.25">
      <c r="A50" s="41" t="s">
        <v>187</v>
      </c>
      <c r="B50" s="41" t="s">
        <v>186</v>
      </c>
      <c r="C50" s="42" t="s">
        <v>14</v>
      </c>
      <c r="D50" s="43">
        <v>0</v>
      </c>
      <c r="E50" s="44">
        <v>1030</v>
      </c>
      <c r="F50" s="1572">
        <v>0.9</v>
      </c>
      <c r="G50" s="1573">
        <v>25000</v>
      </c>
      <c r="H50" s="1573" t="s">
        <v>227</v>
      </c>
      <c r="I50" s="1574">
        <v>58</v>
      </c>
      <c r="J50" s="1574">
        <f>I50/(G50/1000)</f>
        <v>2.3199999999999998</v>
      </c>
      <c r="K50" s="1573">
        <f>(E50/F50)/G50</f>
        <v>4.5777777777777771E-2</v>
      </c>
      <c r="L50" s="1573">
        <f>(D50/F50)/G50</f>
        <v>0</v>
      </c>
      <c r="M50" s="46" t="s">
        <v>45</v>
      </c>
      <c r="N50" s="46">
        <f>K50*I50</f>
        <v>2.6551111111111108</v>
      </c>
      <c r="O50" s="46">
        <f>L50*I50</f>
        <v>0</v>
      </c>
    </row>
    <row r="51" spans="1:15" ht="14.25" customHeight="1" x14ac:dyDescent="0.2">
      <c r="A51" s="1288" t="s">
        <v>188</v>
      </c>
      <c r="B51" s="1294" t="s">
        <v>186</v>
      </c>
      <c r="C51" s="1289" t="s">
        <v>14</v>
      </c>
      <c r="D51" s="1290">
        <v>1193.2584269662921</v>
      </c>
      <c r="E51" s="1291">
        <v>11369.662921348314</v>
      </c>
      <c r="F51" s="1288">
        <v>1</v>
      </c>
      <c r="G51" s="1292">
        <v>12000</v>
      </c>
      <c r="H51" s="1292" t="s">
        <v>746</v>
      </c>
      <c r="I51" s="1292">
        <v>102</v>
      </c>
      <c r="J51" s="1292">
        <f>I51/(G51/1000)</f>
        <v>8.5</v>
      </c>
      <c r="K51" s="1340">
        <f>(E51/F51)/G51</f>
        <v>0.94747191011235954</v>
      </c>
      <c r="L51" s="1340">
        <f>(D51/F51)/G51</f>
        <v>9.9438202247191007E-2</v>
      </c>
      <c r="M51" s="1289" t="s">
        <v>15</v>
      </c>
      <c r="N51" s="1289">
        <f>K51*I51</f>
        <v>96.642134831460666</v>
      </c>
      <c r="O51" s="1289">
        <f>L51*I51</f>
        <v>10.142696629213482</v>
      </c>
    </row>
    <row r="52" spans="1:15" ht="14.25" customHeight="1" x14ac:dyDescent="0.2"/>
    <row r="53" spans="1:15" ht="14.25" customHeight="1" x14ac:dyDescent="0.2">
      <c r="A53" s="1319" t="s">
        <v>181</v>
      </c>
      <c r="B53" s="1319" t="s">
        <v>180</v>
      </c>
      <c r="C53" s="1320" t="s">
        <v>14</v>
      </c>
      <c r="D53" s="1321">
        <v>0</v>
      </c>
      <c r="E53" s="1322">
        <v>397.752808988764</v>
      </c>
      <c r="F53" s="1323">
        <v>1</v>
      </c>
      <c r="G53" s="1321">
        <v>20000</v>
      </c>
      <c r="H53" s="1321" t="s">
        <v>182</v>
      </c>
      <c r="I53" s="1321">
        <v>130</v>
      </c>
      <c r="J53" s="1321">
        <f>I53/20</f>
        <v>6.5</v>
      </c>
      <c r="K53" s="1345">
        <f>(E53/F53)/G53</f>
        <v>1.98876404494382E-2</v>
      </c>
      <c r="L53" s="1345">
        <f>(D53/F53)/G53</f>
        <v>0</v>
      </c>
      <c r="M53" s="1320" t="s">
        <v>45</v>
      </c>
      <c r="N53" s="1320">
        <f>K53*I53</f>
        <v>2.5853932584269659</v>
      </c>
      <c r="O53" s="1320">
        <f>L53*I53</f>
        <v>0</v>
      </c>
    </row>
    <row r="54" spans="1:15" ht="14.25" customHeight="1" x14ac:dyDescent="0.2">
      <c r="A54" s="1319" t="s">
        <v>183</v>
      </c>
      <c r="B54" s="1319" t="s">
        <v>180</v>
      </c>
      <c r="C54" s="1320" t="s">
        <v>14</v>
      </c>
      <c r="D54" s="1321">
        <v>0</v>
      </c>
      <c r="E54" s="1322">
        <v>157.03389830508473</v>
      </c>
      <c r="F54" s="1323">
        <v>1</v>
      </c>
      <c r="G54" s="1321">
        <f>4*2000</f>
        <v>8000</v>
      </c>
      <c r="H54" s="1321" t="s">
        <v>743</v>
      </c>
      <c r="I54" s="1321">
        <v>136</v>
      </c>
      <c r="J54" s="1321">
        <f>I54/(G54/1000)</f>
        <v>17</v>
      </c>
      <c r="K54" s="1345">
        <f>(E54/F54)/G54</f>
        <v>1.9629237288135593E-2</v>
      </c>
      <c r="L54" s="1345">
        <f>(D54/F54)/G54</f>
        <v>0</v>
      </c>
      <c r="M54" s="1320" t="s">
        <v>15</v>
      </c>
      <c r="N54" s="1320">
        <f>K54*I54</f>
        <v>2.6695762711864406</v>
      </c>
      <c r="O54" s="1320">
        <f>L54*I54</f>
        <v>0</v>
      </c>
    </row>
    <row r="55" spans="1:15" ht="14.25" customHeight="1" x14ac:dyDescent="0.2"/>
    <row r="56" spans="1:15" ht="14.25" customHeight="1" x14ac:dyDescent="0.2">
      <c r="A56" s="1324" t="s">
        <v>79</v>
      </c>
      <c r="B56" s="1324" t="s">
        <v>80</v>
      </c>
      <c r="C56" s="1325" t="s">
        <v>14</v>
      </c>
      <c r="D56" s="1326">
        <v>0</v>
      </c>
      <c r="E56" s="1327">
        <v>47.110169491525426</v>
      </c>
      <c r="F56" s="1324">
        <v>1</v>
      </c>
      <c r="G56" s="1325">
        <v>1000</v>
      </c>
      <c r="H56" s="1325" t="s">
        <v>45</v>
      </c>
      <c r="I56" s="1325">
        <v>7</v>
      </c>
      <c r="J56" s="1325">
        <f>I56*(G56/1000)</f>
        <v>7</v>
      </c>
      <c r="K56" s="1346">
        <f>(E56/F56)/G56</f>
        <v>4.7110169491525425E-2</v>
      </c>
      <c r="L56" s="1346">
        <f>(D56/F56)/G56</f>
        <v>0</v>
      </c>
      <c r="M56" s="1325" t="s">
        <v>15</v>
      </c>
      <c r="N56" s="1325">
        <f>K56*I56</f>
        <v>0.32977118644067799</v>
      </c>
      <c r="O56" s="1325">
        <f>L56*I56</f>
        <v>0</v>
      </c>
    </row>
    <row r="57" spans="1:15" ht="14.25" customHeight="1" x14ac:dyDescent="0.2">
      <c r="A57" s="1324" t="s">
        <v>82</v>
      </c>
      <c r="B57" s="1324" t="s">
        <v>80</v>
      </c>
      <c r="C57" s="1325" t="s">
        <v>14</v>
      </c>
      <c r="D57" s="1326">
        <v>0</v>
      </c>
      <c r="E57" s="1327">
        <v>103.37078651685394</v>
      </c>
      <c r="F57" s="1324">
        <v>1</v>
      </c>
      <c r="G57" s="1325">
        <v>142</v>
      </c>
      <c r="H57" s="1325" t="s">
        <v>85</v>
      </c>
      <c r="I57" s="1325">
        <v>21</v>
      </c>
      <c r="J57" s="1325">
        <f>I57/(G57/1000)</f>
        <v>147.88732394366198</v>
      </c>
      <c r="K57" s="1346">
        <f>(E57/F57)/G57</f>
        <v>0.72796328532995735</v>
      </c>
      <c r="L57" s="1346">
        <f>(D57/F57)/G57</f>
        <v>0</v>
      </c>
      <c r="M57" s="1325" t="s">
        <v>42</v>
      </c>
      <c r="N57" s="1325">
        <f>K57*I57</f>
        <v>15.287228991929105</v>
      </c>
      <c r="O57" s="1325">
        <f>L57*I57</f>
        <v>0</v>
      </c>
    </row>
    <row r="58" spans="1:15" ht="14.25" customHeight="1" x14ac:dyDescent="0.25">
      <c r="A58" s="1"/>
      <c r="B58" s="1"/>
      <c r="C58" s="2"/>
      <c r="D58" s="1358"/>
      <c r="E58" s="1359"/>
      <c r="F58" s="1360"/>
      <c r="G58" s="53"/>
      <c r="H58" s="1359"/>
      <c r="I58" s="1361"/>
      <c r="J58" s="1362"/>
      <c r="K58" s="1359"/>
      <c r="L58" s="974"/>
      <c r="M58" s="1359"/>
      <c r="N58" s="1359"/>
      <c r="O58" s="1359"/>
    </row>
    <row r="59" spans="1:15" ht="14.25" customHeight="1" x14ac:dyDescent="0.2">
      <c r="A59" s="1328" t="s">
        <v>222</v>
      </c>
      <c r="B59" s="1328" t="s">
        <v>221</v>
      </c>
      <c r="C59" s="1329" t="s">
        <v>14</v>
      </c>
      <c r="D59" s="56">
        <v>0</v>
      </c>
      <c r="E59" s="1330">
        <v>3658.9887640449442</v>
      </c>
      <c r="F59" s="1331">
        <v>1</v>
      </c>
      <c r="G59" s="58">
        <v>1000</v>
      </c>
      <c r="H59" s="58" t="s">
        <v>45</v>
      </c>
      <c r="I59" s="59">
        <v>30</v>
      </c>
      <c r="J59" s="58">
        <f t="shared" ref="J59" si="24">I59/(G59/1000)</f>
        <v>30</v>
      </c>
      <c r="K59" s="59">
        <f t="shared" ref="K59" si="25">(E59/F59)/G59</f>
        <v>3.6589887640449441</v>
      </c>
      <c r="L59" s="59">
        <f t="shared" ref="L59" si="26">(D59/F59)/G59</f>
        <v>0</v>
      </c>
      <c r="M59" s="58" t="s">
        <v>45</v>
      </c>
      <c r="N59" s="58">
        <f t="shared" ref="N59" si="27">K59*I59</f>
        <v>109.76966292134833</v>
      </c>
      <c r="O59" s="58">
        <f t="shared" ref="O59" si="28">L59*I59</f>
        <v>0</v>
      </c>
    </row>
    <row r="60" spans="1:15" ht="14.25" customHeight="1" x14ac:dyDescent="0.2">
      <c r="G60" s="1343"/>
      <c r="H60" s="1343"/>
      <c r="I60" s="1343"/>
      <c r="J60" s="1343"/>
    </row>
    <row r="61" spans="1:15" ht="14.25" customHeight="1" x14ac:dyDescent="0.2">
      <c r="A61" s="1332" t="s">
        <v>730</v>
      </c>
      <c r="B61" s="1332" t="s">
        <v>13</v>
      </c>
      <c r="C61" s="1333" t="s">
        <v>14</v>
      </c>
      <c r="D61" s="1334">
        <v>0</v>
      </c>
      <c r="E61" s="1335">
        <v>15.703389830508474</v>
      </c>
      <c r="F61" s="1332">
        <v>0.52</v>
      </c>
      <c r="G61" s="1336">
        <v>100</v>
      </c>
      <c r="H61" s="1336" t="s">
        <v>66</v>
      </c>
      <c r="I61" s="1336">
        <v>10</v>
      </c>
      <c r="J61" s="1336">
        <f t="shared" ref="J61:J75" si="29">I61/(G61/1000)</f>
        <v>100</v>
      </c>
      <c r="K61" s="1347">
        <f>(E61/F61)/G61</f>
        <v>0.30198826597131684</v>
      </c>
      <c r="L61" s="1348">
        <f>(D61/F61)/G61</f>
        <v>0</v>
      </c>
      <c r="M61" s="1333" t="s">
        <v>42</v>
      </c>
      <c r="N61" s="1333">
        <f>K61*I61</f>
        <v>3.0198826597131685</v>
      </c>
      <c r="O61" s="1333">
        <v>0</v>
      </c>
    </row>
    <row r="62" spans="1:15" ht="15" x14ac:dyDescent="0.2">
      <c r="A62" s="1332" t="s">
        <v>60</v>
      </c>
      <c r="B62" s="1332" t="s">
        <v>13</v>
      </c>
      <c r="C62" s="1333" t="s">
        <v>14</v>
      </c>
      <c r="D62" s="1334">
        <v>0</v>
      </c>
      <c r="E62" s="1335">
        <v>34.672413793103452</v>
      </c>
      <c r="F62" s="1332">
        <v>0.94</v>
      </c>
      <c r="G62" s="1336">
        <v>825</v>
      </c>
      <c r="H62" s="1336" t="s">
        <v>62</v>
      </c>
      <c r="I62" s="1336">
        <v>3</v>
      </c>
      <c r="J62" s="1336">
        <v>3.6363636363636367</v>
      </c>
      <c r="K62" s="1347">
        <f>(E62/F62)/G62</f>
        <v>4.4709753440494458E-2</v>
      </c>
      <c r="L62" s="1348">
        <f t="shared" ref="L62:L76" si="30">(D62/F62)/G62</f>
        <v>0</v>
      </c>
      <c r="M62" s="1333" t="s">
        <v>42</v>
      </c>
      <c r="N62" s="1333">
        <f>K62*I62</f>
        <v>0.13412926032148337</v>
      </c>
      <c r="O62" s="1333">
        <f>L62*I62</f>
        <v>0</v>
      </c>
    </row>
    <row r="63" spans="1:15" ht="15" x14ac:dyDescent="0.2">
      <c r="A63" s="1332" t="s">
        <v>75</v>
      </c>
      <c r="B63" s="1332" t="s">
        <v>13</v>
      </c>
      <c r="C63" s="1333" t="s">
        <v>14</v>
      </c>
      <c r="D63" s="1334">
        <v>0</v>
      </c>
      <c r="E63" s="1335">
        <v>24.328552803129067</v>
      </c>
      <c r="F63" s="1332">
        <v>1</v>
      </c>
      <c r="G63" s="1336">
        <v>100</v>
      </c>
      <c r="H63" s="1336" t="s">
        <v>66</v>
      </c>
      <c r="I63" s="1336">
        <v>9</v>
      </c>
      <c r="J63" s="1336">
        <f t="shared" si="29"/>
        <v>90</v>
      </c>
      <c r="K63" s="1347">
        <v>2.2718383311603644E-2</v>
      </c>
      <c r="L63" s="1348">
        <f t="shared" si="30"/>
        <v>0</v>
      </c>
      <c r="M63" s="1333" t="s">
        <v>42</v>
      </c>
      <c r="N63" s="1333">
        <f t="shared" ref="N63:N75" si="31">K63*I63</f>
        <v>0.20446544980443279</v>
      </c>
      <c r="O63" s="1333">
        <v>0</v>
      </c>
    </row>
    <row r="64" spans="1:15" ht="15" x14ac:dyDescent="0.2">
      <c r="A64" s="1332" t="s">
        <v>728</v>
      </c>
      <c r="B64" s="1332" t="s">
        <v>13</v>
      </c>
      <c r="C64" s="1333" t="s">
        <v>14</v>
      </c>
      <c r="D64" s="1334">
        <v>0</v>
      </c>
      <c r="E64" s="1335">
        <v>173.36206896551724</v>
      </c>
      <c r="F64" s="1332">
        <v>1</v>
      </c>
      <c r="G64" s="1336">
        <v>135</v>
      </c>
      <c r="H64" s="1336" t="s">
        <v>52</v>
      </c>
      <c r="I64" s="1336">
        <v>5.5</v>
      </c>
      <c r="J64" s="1336">
        <f t="shared" si="29"/>
        <v>40.74074074074074</v>
      </c>
      <c r="K64" s="1347">
        <f t="shared" ref="K64:K75" si="32">(E64/F64)/G64</f>
        <v>1.2841634738186463</v>
      </c>
      <c r="L64" s="1348">
        <f t="shared" si="30"/>
        <v>0</v>
      </c>
      <c r="M64" s="1333" t="s">
        <v>37</v>
      </c>
      <c r="N64" s="1333">
        <f t="shared" si="31"/>
        <v>7.0628991060025541</v>
      </c>
      <c r="O64" s="1333">
        <f>L64*I64</f>
        <v>0</v>
      </c>
    </row>
    <row r="65" spans="1:15" ht="14.25" customHeight="1" x14ac:dyDescent="0.2">
      <c r="A65" s="1332" t="s">
        <v>991</v>
      </c>
      <c r="B65" s="1332" t="s">
        <v>13</v>
      </c>
      <c r="C65" s="1333" t="s">
        <v>14</v>
      </c>
      <c r="D65" s="1334">
        <v>0</v>
      </c>
      <c r="E65" s="1335">
        <v>15.703389830508474</v>
      </c>
      <c r="F65" s="1332">
        <v>0.7</v>
      </c>
      <c r="G65" s="1336">
        <v>100</v>
      </c>
      <c r="H65" s="1336" t="s">
        <v>66</v>
      </c>
      <c r="I65" s="1336">
        <v>9</v>
      </c>
      <c r="J65" s="1336">
        <f t="shared" si="29"/>
        <v>90</v>
      </c>
      <c r="K65" s="1347">
        <f t="shared" si="32"/>
        <v>0.22433414043583536</v>
      </c>
      <c r="L65" s="1348">
        <f t="shared" si="30"/>
        <v>0</v>
      </c>
      <c r="M65" s="1333" t="s">
        <v>42</v>
      </c>
      <c r="N65" s="1333">
        <f t="shared" si="31"/>
        <v>2.0190072639225183</v>
      </c>
      <c r="O65" s="1333">
        <v>0</v>
      </c>
    </row>
    <row r="66" spans="1:15" ht="14.25" customHeight="1" x14ac:dyDescent="0.2">
      <c r="A66" s="1332" t="s">
        <v>729</v>
      </c>
      <c r="B66" s="1332" t="s">
        <v>13</v>
      </c>
      <c r="C66" s="1333" t="s">
        <v>14</v>
      </c>
      <c r="D66" s="1334">
        <v>0</v>
      </c>
      <c r="E66" s="1335">
        <v>47.183250249252239</v>
      </c>
      <c r="F66" s="1332">
        <v>0.5</v>
      </c>
      <c r="G66" s="1336">
        <v>100</v>
      </c>
      <c r="H66" s="1336" t="s">
        <v>66</v>
      </c>
      <c r="I66" s="1336">
        <v>9</v>
      </c>
      <c r="J66" s="1336">
        <f t="shared" si="29"/>
        <v>90</v>
      </c>
      <c r="K66" s="1347">
        <f t="shared" si="32"/>
        <v>0.9436650049850448</v>
      </c>
      <c r="L66" s="1348">
        <f t="shared" si="30"/>
        <v>0</v>
      </c>
      <c r="M66" s="1333" t="s">
        <v>42</v>
      </c>
      <c r="N66" s="1333">
        <f t="shared" si="31"/>
        <v>8.492985044865403</v>
      </c>
      <c r="O66" s="1333">
        <v>0</v>
      </c>
    </row>
    <row r="67" spans="1:15" ht="14.25" customHeight="1" x14ac:dyDescent="0.2">
      <c r="A67" s="1332" t="s">
        <v>727</v>
      </c>
      <c r="B67" s="1332" t="s">
        <v>13</v>
      </c>
      <c r="C67" s="1333" t="s">
        <v>14</v>
      </c>
      <c r="D67" s="1334">
        <v>2125.9555700368123</v>
      </c>
      <c r="E67" s="1335">
        <v>15562.850056997295</v>
      </c>
      <c r="F67" s="1332">
        <v>1</v>
      </c>
      <c r="G67" s="1336">
        <v>1000</v>
      </c>
      <c r="H67" s="1336" t="s">
        <v>45</v>
      </c>
      <c r="I67" s="1336">
        <v>10.5</v>
      </c>
      <c r="J67" s="1336">
        <f t="shared" si="29"/>
        <v>10.5</v>
      </c>
      <c r="K67" s="1347">
        <f t="shared" si="32"/>
        <v>15.562850056997295</v>
      </c>
      <c r="L67" s="1348">
        <f>(D67/F67)/G67</f>
        <v>2.1259555700368122</v>
      </c>
      <c r="M67" s="1333" t="s">
        <v>45</v>
      </c>
      <c r="N67" s="1333">
        <f t="shared" si="31"/>
        <v>163.4099255984716</v>
      </c>
      <c r="O67" s="1333">
        <v>0</v>
      </c>
    </row>
    <row r="68" spans="1:15" ht="14.25" customHeight="1" x14ac:dyDescent="0.2">
      <c r="A68" s="1332" t="s">
        <v>54</v>
      </c>
      <c r="B68" s="1332" t="s">
        <v>13</v>
      </c>
      <c r="C68" s="1333" t="s">
        <v>14</v>
      </c>
      <c r="D68" s="1334">
        <v>1920.5326933676747</v>
      </c>
      <c r="E68" s="1335">
        <v>15267.596254060734</v>
      </c>
      <c r="F68" s="1332">
        <v>0.87</v>
      </c>
      <c r="G68" s="1336">
        <v>1000</v>
      </c>
      <c r="H68" s="1336" t="s">
        <v>15</v>
      </c>
      <c r="I68" s="1336">
        <v>7</v>
      </c>
      <c r="J68" s="1336">
        <f t="shared" si="29"/>
        <v>7</v>
      </c>
      <c r="K68" s="1347">
        <f t="shared" si="32"/>
        <v>17.548961211564063</v>
      </c>
      <c r="L68" s="1348">
        <f>(D68/F68)/G68</f>
        <v>2.2075088429513503</v>
      </c>
      <c r="M68" s="1333" t="s">
        <v>15</v>
      </c>
      <c r="N68" s="1333">
        <f t="shared" si="31"/>
        <v>122.84272848094844</v>
      </c>
      <c r="O68" s="1333">
        <v>0</v>
      </c>
    </row>
    <row r="69" spans="1:15" ht="14.25" customHeight="1" x14ac:dyDescent="0.2">
      <c r="A69" s="1332" t="s">
        <v>34</v>
      </c>
      <c r="B69" s="1332" t="s">
        <v>13</v>
      </c>
      <c r="C69" s="1333" t="s">
        <v>14</v>
      </c>
      <c r="D69" s="1334">
        <v>0</v>
      </c>
      <c r="E69" s="1335">
        <v>222.47704378148006</v>
      </c>
      <c r="F69" s="1332">
        <v>0.86</v>
      </c>
      <c r="G69" s="1336">
        <v>1000</v>
      </c>
      <c r="H69" s="1336" t="s">
        <v>15</v>
      </c>
      <c r="I69" s="1336">
        <v>14</v>
      </c>
      <c r="J69" s="1336">
        <f t="shared" si="29"/>
        <v>14</v>
      </c>
      <c r="K69" s="1347">
        <f t="shared" si="32"/>
        <v>0.25869423695520938</v>
      </c>
      <c r="L69" s="1348">
        <f t="shared" si="30"/>
        <v>0</v>
      </c>
      <c r="M69" s="1333" t="s">
        <v>15</v>
      </c>
      <c r="N69" s="1333">
        <f t="shared" si="31"/>
        <v>3.6217193173729312</v>
      </c>
      <c r="O69" s="1333">
        <f>L69*I69</f>
        <v>0</v>
      </c>
    </row>
    <row r="70" spans="1:15" ht="15" x14ac:dyDescent="0.2">
      <c r="A70" s="1332" t="s">
        <v>864</v>
      </c>
      <c r="B70" s="1332" t="s">
        <v>13</v>
      </c>
      <c r="C70" s="1333" t="s">
        <v>14</v>
      </c>
      <c r="D70" s="1334">
        <v>0</v>
      </c>
      <c r="E70" s="1335">
        <v>103.37078651685394</v>
      </c>
      <c r="F70" s="1332">
        <v>0.9</v>
      </c>
      <c r="G70" s="1336">
        <v>1000</v>
      </c>
      <c r="H70" s="1336" t="s">
        <v>45</v>
      </c>
      <c r="I70" s="1336">
        <v>4.5</v>
      </c>
      <c r="J70" s="1336">
        <f>I70/(G71/1000)</f>
        <v>18</v>
      </c>
      <c r="K70" s="1347">
        <f t="shared" si="32"/>
        <v>0.11485642946317104</v>
      </c>
      <c r="L70" s="1348">
        <f t="shared" si="30"/>
        <v>0</v>
      </c>
      <c r="M70" s="1333" t="s">
        <v>227</v>
      </c>
      <c r="N70" s="1333">
        <f t="shared" si="31"/>
        <v>0.5168539325842697</v>
      </c>
      <c r="O70" s="1333">
        <f t="shared" ref="O70" si="33">L70*I70</f>
        <v>0</v>
      </c>
    </row>
    <row r="71" spans="1:15" ht="15" x14ac:dyDescent="0.2">
      <c r="A71" s="1332" t="s">
        <v>754</v>
      </c>
      <c r="B71" s="1332" t="s">
        <v>13</v>
      </c>
      <c r="C71" s="1333" t="s">
        <v>14</v>
      </c>
      <c r="D71" s="1334">
        <v>0</v>
      </c>
      <c r="E71" s="1335">
        <v>4732.9411764705883</v>
      </c>
      <c r="F71" s="1332">
        <v>1</v>
      </c>
      <c r="G71" s="1336">
        <v>250</v>
      </c>
      <c r="H71" s="1336" t="s">
        <v>36</v>
      </c>
      <c r="I71" s="1336">
        <v>5.5</v>
      </c>
      <c r="J71" s="1336">
        <f t="shared" si="29"/>
        <v>22</v>
      </c>
      <c r="K71" s="1347">
        <f t="shared" si="32"/>
        <v>18.931764705882355</v>
      </c>
      <c r="L71" s="1348">
        <f>(D71/F71)/G71</f>
        <v>0</v>
      </c>
      <c r="M71" s="1333" t="s">
        <v>37</v>
      </c>
      <c r="N71" s="1333">
        <f t="shared" si="31"/>
        <v>104.12470588235296</v>
      </c>
      <c r="O71" s="1333">
        <f>L71*I71</f>
        <v>0</v>
      </c>
    </row>
    <row r="72" spans="1:15" ht="15" x14ac:dyDescent="0.2">
      <c r="A72" s="1332" t="s">
        <v>12</v>
      </c>
      <c r="B72" s="1332" t="s">
        <v>13</v>
      </c>
      <c r="C72" s="1333" t="s">
        <v>14</v>
      </c>
      <c r="D72" s="1334">
        <v>0</v>
      </c>
      <c r="E72" s="1335">
        <v>4795.6245869134173</v>
      </c>
      <c r="F72" s="1332">
        <v>0.9</v>
      </c>
      <c r="G72" s="1336">
        <v>1000</v>
      </c>
      <c r="H72" s="1336" t="s">
        <v>15</v>
      </c>
      <c r="I72" s="1336">
        <v>3</v>
      </c>
      <c r="J72" s="1336">
        <f t="shared" si="29"/>
        <v>3</v>
      </c>
      <c r="K72" s="1347">
        <f t="shared" si="32"/>
        <v>5.3284717632371299</v>
      </c>
      <c r="L72" s="1348">
        <f t="shared" si="30"/>
        <v>0</v>
      </c>
      <c r="M72" s="1333" t="s">
        <v>15</v>
      </c>
      <c r="N72" s="1333">
        <f t="shared" si="31"/>
        <v>15.985415289711391</v>
      </c>
      <c r="O72" s="1333">
        <f>L72*I72</f>
        <v>0</v>
      </c>
    </row>
    <row r="73" spans="1:15" ht="15" x14ac:dyDescent="0.2">
      <c r="A73" s="1332" t="s">
        <v>64</v>
      </c>
      <c r="B73" s="1332" t="s">
        <v>13</v>
      </c>
      <c r="C73" s="1333" t="s">
        <v>14</v>
      </c>
      <c r="D73" s="1334">
        <v>0</v>
      </c>
      <c r="E73" s="1335">
        <v>1351.2821888698641</v>
      </c>
      <c r="F73" s="1332">
        <v>0.65</v>
      </c>
      <c r="G73" s="1336">
        <v>905</v>
      </c>
      <c r="H73" s="1336" t="s">
        <v>750</v>
      </c>
      <c r="I73" s="1336">
        <v>3.5</v>
      </c>
      <c r="J73" s="1336">
        <v>3.5</v>
      </c>
      <c r="K73" s="1347">
        <f>(E73/F73)/G73</f>
        <v>2.2971222930214434</v>
      </c>
      <c r="L73" s="1348">
        <f t="shared" si="30"/>
        <v>0</v>
      </c>
      <c r="M73" s="1333" t="s">
        <v>42</v>
      </c>
      <c r="N73" s="1333">
        <f t="shared" si="31"/>
        <v>8.0399280255750512</v>
      </c>
      <c r="O73" s="1333">
        <f>L73*I73</f>
        <v>0</v>
      </c>
    </row>
    <row r="74" spans="1:15" ht="15" x14ac:dyDescent="0.2">
      <c r="A74" s="1332" t="s">
        <v>756</v>
      </c>
      <c r="B74" s="1332" t="s">
        <v>13</v>
      </c>
      <c r="C74" s="1333" t="s">
        <v>14</v>
      </c>
      <c r="D74" s="1334">
        <v>0</v>
      </c>
      <c r="E74" s="1335">
        <v>31.406779661016948</v>
      </c>
      <c r="F74" s="1332">
        <v>0.74</v>
      </c>
      <c r="G74" s="1336">
        <v>100</v>
      </c>
      <c r="H74" s="1336" t="s">
        <v>755</v>
      </c>
      <c r="I74" s="1336">
        <v>10</v>
      </c>
      <c r="J74" s="1336">
        <f t="shared" si="29"/>
        <v>100</v>
      </c>
      <c r="K74" s="1347">
        <f t="shared" si="32"/>
        <v>0.42441594136509386</v>
      </c>
      <c r="L74" s="1348">
        <f t="shared" si="30"/>
        <v>0</v>
      </c>
      <c r="M74" s="1333" t="s">
        <v>42</v>
      </c>
      <c r="N74" s="1333">
        <f t="shared" si="31"/>
        <v>4.2441594136509391</v>
      </c>
      <c r="O74" s="1333">
        <v>0</v>
      </c>
    </row>
    <row r="75" spans="1:15" ht="15" x14ac:dyDescent="0.2">
      <c r="A75" s="1332" t="s">
        <v>32</v>
      </c>
      <c r="B75" s="1332" t="s">
        <v>13</v>
      </c>
      <c r="C75" s="1333" t="s">
        <v>14</v>
      </c>
      <c r="D75" s="1334">
        <v>0</v>
      </c>
      <c r="E75" s="1335">
        <v>674.15730337078662</v>
      </c>
      <c r="F75" s="1332">
        <v>0.69</v>
      </c>
      <c r="G75" s="1336">
        <v>1000</v>
      </c>
      <c r="H75" s="1336" t="s">
        <v>15</v>
      </c>
      <c r="I75" s="1336">
        <v>4</v>
      </c>
      <c r="J75" s="1336">
        <f t="shared" si="29"/>
        <v>4</v>
      </c>
      <c r="K75" s="1347">
        <f t="shared" si="32"/>
        <v>0.97703957010258946</v>
      </c>
      <c r="L75" s="1348">
        <f t="shared" si="30"/>
        <v>0</v>
      </c>
      <c r="M75" s="1333" t="s">
        <v>15</v>
      </c>
      <c r="N75" s="1333">
        <f t="shared" si="31"/>
        <v>3.9081582804103578</v>
      </c>
      <c r="O75" s="1333">
        <f t="shared" ref="O75:O76" si="34">L75*I75</f>
        <v>0</v>
      </c>
    </row>
    <row r="76" spans="1:15" ht="15" x14ac:dyDescent="0.2">
      <c r="A76" s="1332" t="s">
        <v>30</v>
      </c>
      <c r="B76" s="1332" t="s">
        <v>13</v>
      </c>
      <c r="C76" s="1333" t="s">
        <v>14</v>
      </c>
      <c r="D76" s="1334">
        <v>0</v>
      </c>
      <c r="E76" s="1335">
        <v>674.15730337078662</v>
      </c>
      <c r="F76" s="1332">
        <v>0.71</v>
      </c>
      <c r="G76" s="1336">
        <v>1000</v>
      </c>
      <c r="H76" s="1336" t="s">
        <v>15</v>
      </c>
      <c r="I76" s="1336">
        <v>8.5</v>
      </c>
      <c r="J76" s="1336">
        <f>I76/(G76/1000)</f>
        <v>8.5</v>
      </c>
      <c r="K76" s="1347">
        <f>(E76/F76)/G76</f>
        <v>0.94951732869124883</v>
      </c>
      <c r="L76" s="1348">
        <f t="shared" si="30"/>
        <v>0</v>
      </c>
      <c r="M76" s="1333" t="s">
        <v>15</v>
      </c>
      <c r="N76" s="1333">
        <f>K76*I76</f>
        <v>8.0708972938756158</v>
      </c>
      <c r="O76" s="1333">
        <f t="shared" si="34"/>
        <v>0</v>
      </c>
    </row>
    <row r="77" spans="1:15" ht="15" x14ac:dyDescent="0.2">
      <c r="B77" s="1301"/>
      <c r="C77" s="1259"/>
      <c r="D77" s="1299"/>
      <c r="E77" s="1300"/>
      <c r="F77" s="1301"/>
      <c r="G77" s="241"/>
      <c r="H77" s="241"/>
      <c r="I77" s="241"/>
      <c r="J77" s="241"/>
      <c r="K77" s="1341"/>
      <c r="L77" s="1349"/>
      <c r="M77" s="1259"/>
      <c r="N77" s="1259"/>
      <c r="O77" s="1259"/>
    </row>
    <row r="78" spans="1:15" ht="15" x14ac:dyDescent="0.2">
      <c r="B78" s="1301"/>
      <c r="C78" s="1259"/>
      <c r="D78" s="1299"/>
      <c r="E78" s="1300"/>
      <c r="F78" s="1301"/>
      <c r="G78" s="241"/>
      <c r="H78" s="241"/>
      <c r="I78" s="241"/>
      <c r="J78" s="241"/>
      <c r="K78" s="1341"/>
      <c r="L78" s="1349"/>
      <c r="M78" s="1259"/>
      <c r="N78" s="1259"/>
      <c r="O78" s="1259"/>
    </row>
    <row r="79" spans="1:15" ht="15" x14ac:dyDescent="0.2">
      <c r="A79" s="1301"/>
      <c r="B79" s="1301"/>
      <c r="C79" s="1259"/>
      <c r="D79" s="1299"/>
      <c r="E79" s="1300"/>
      <c r="F79" s="1301"/>
      <c r="G79" s="241"/>
      <c r="H79" s="241"/>
      <c r="I79" s="241"/>
      <c r="J79" s="241"/>
      <c r="K79" s="1341"/>
      <c r="L79" s="1349"/>
      <c r="M79" s="1259"/>
      <c r="N79" s="1259"/>
      <c r="O79" s="1259"/>
    </row>
    <row r="80" spans="1:15" ht="15" x14ac:dyDescent="0.2">
      <c r="A80" s="1301"/>
      <c r="B80" s="1301"/>
      <c r="C80" s="1259"/>
      <c r="D80" s="1299"/>
      <c r="E80" s="1300"/>
      <c r="F80" s="1301"/>
      <c r="G80" s="241"/>
      <c r="H80" s="241"/>
      <c r="I80" s="241"/>
      <c r="J80" s="241"/>
      <c r="K80" s="1341"/>
      <c r="L80" s="1349"/>
      <c r="M80" s="1259"/>
      <c r="N80" s="1259"/>
      <c r="O80" s="1259"/>
    </row>
    <row r="81" spans="1:15" ht="15" x14ac:dyDescent="0.2">
      <c r="A81" s="1301"/>
      <c r="B81" s="1301"/>
      <c r="C81" s="1259"/>
      <c r="D81" s="1299"/>
      <c r="E81" s="1300"/>
      <c r="F81" s="1301"/>
      <c r="G81" s="241"/>
      <c r="H81" s="241"/>
      <c r="I81" s="241"/>
      <c r="J81" s="241"/>
      <c r="K81" s="1341"/>
      <c r="L81" s="1349"/>
      <c r="M81" s="1259"/>
      <c r="N81" s="1259"/>
      <c r="O81" s="1259"/>
    </row>
    <row r="82" spans="1:15" ht="15" x14ac:dyDescent="0.2">
      <c r="A82" s="1301"/>
      <c r="B82" s="1301"/>
      <c r="C82" s="1259"/>
      <c r="D82" s="1299"/>
      <c r="E82" s="1300"/>
      <c r="F82" s="1301"/>
      <c r="G82" s="241"/>
      <c r="H82" s="241"/>
      <c r="I82" s="241"/>
      <c r="J82" s="241"/>
      <c r="K82" s="1341"/>
      <c r="L82" s="1349"/>
      <c r="M82" s="1259"/>
      <c r="N82" s="1259"/>
      <c r="O82" s="1259"/>
    </row>
    <row r="83" spans="1:15" ht="15" x14ac:dyDescent="0.2">
      <c r="A83" s="1301"/>
      <c r="B83" s="1301"/>
      <c r="C83" s="1259"/>
      <c r="D83" s="1299"/>
      <c r="E83" s="1300"/>
      <c r="F83" s="1301"/>
      <c r="G83" s="241"/>
      <c r="H83" s="241"/>
      <c r="I83" s="241"/>
      <c r="J83" s="241"/>
      <c r="K83" s="1341"/>
      <c r="L83" s="1349"/>
      <c r="M83" s="1259"/>
      <c r="N83" s="1259"/>
      <c r="O83" s="1259"/>
    </row>
    <row r="84" spans="1:15" ht="15" x14ac:dyDescent="0.2">
      <c r="A84" s="1301"/>
      <c r="B84" s="1301"/>
      <c r="C84" s="1259"/>
      <c r="D84" s="1299"/>
      <c r="E84" s="1300"/>
      <c r="F84" s="1301"/>
      <c r="G84" s="241"/>
      <c r="H84" s="241"/>
      <c r="I84" s="241"/>
      <c r="J84" s="241"/>
      <c r="K84" s="1341"/>
      <c r="L84" s="1349"/>
      <c r="M84" s="1259"/>
      <c r="N84" s="1259"/>
      <c r="O84" s="1259"/>
    </row>
    <row r="85" spans="1:15" ht="15" x14ac:dyDescent="0.2">
      <c r="A85" s="1301"/>
      <c r="B85" s="1301"/>
      <c r="C85" s="1259"/>
      <c r="D85" s="1299"/>
      <c r="E85" s="1300"/>
      <c r="F85" s="1301"/>
      <c r="G85" s="241"/>
      <c r="H85" s="241"/>
      <c r="I85" s="241"/>
      <c r="J85" s="241"/>
      <c r="K85" s="1341"/>
      <c r="L85" s="1349"/>
      <c r="M85" s="1259"/>
      <c r="N85" s="1259"/>
      <c r="O85" s="1259"/>
    </row>
    <row r="86" spans="1:15" ht="15" x14ac:dyDescent="0.2">
      <c r="A86" s="1301"/>
      <c r="B86" s="1301"/>
      <c r="C86" s="1259"/>
      <c r="D86" s="1299"/>
      <c r="E86" s="1300"/>
      <c r="F86" s="1301"/>
      <c r="G86" s="241"/>
      <c r="H86" s="241"/>
      <c r="I86" s="241"/>
      <c r="J86" s="241"/>
      <c r="K86" s="1341"/>
      <c r="L86" s="1349"/>
      <c r="M86" s="1259"/>
      <c r="N86" s="1259"/>
      <c r="O86" s="1259"/>
    </row>
    <row r="87" spans="1:15" ht="15" x14ac:dyDescent="0.2">
      <c r="A87" s="1301"/>
      <c r="B87" s="1301"/>
      <c r="C87" s="1259"/>
      <c r="D87" s="1299"/>
      <c r="E87" s="1300"/>
      <c r="F87" s="1301"/>
      <c r="G87" s="241"/>
      <c r="H87" s="241"/>
      <c r="I87" s="241"/>
      <c r="J87" s="241"/>
      <c r="K87" s="1341"/>
      <c r="L87" s="1349"/>
      <c r="M87" s="1259"/>
      <c r="N87" s="1259"/>
      <c r="O87" s="1259"/>
    </row>
    <row r="88" spans="1:15" ht="15" x14ac:dyDescent="0.2">
      <c r="A88" s="1301"/>
      <c r="B88" s="1301"/>
      <c r="C88" s="1259"/>
      <c r="D88" s="1299"/>
      <c r="E88" s="1300"/>
      <c r="F88" s="1301"/>
      <c r="G88" s="241"/>
      <c r="H88" s="241"/>
      <c r="I88" s="241"/>
      <c r="J88" s="241"/>
      <c r="K88" s="1341"/>
      <c r="L88" s="1349"/>
      <c r="M88" s="1259"/>
      <c r="N88" s="1259"/>
      <c r="O88" s="1259"/>
    </row>
    <row r="89" spans="1:15" ht="15" x14ac:dyDescent="0.2">
      <c r="A89" s="1301"/>
      <c r="B89" s="1301"/>
      <c r="C89" s="1259"/>
      <c r="D89" s="1299"/>
      <c r="E89" s="1300"/>
      <c r="F89" s="1301"/>
      <c r="G89" s="241"/>
      <c r="H89" s="241"/>
      <c r="I89" s="241"/>
      <c r="J89" s="241"/>
      <c r="K89" s="1341"/>
      <c r="L89" s="1349"/>
      <c r="M89" s="1259"/>
      <c r="N89" s="1259"/>
      <c r="O89" s="1259"/>
    </row>
    <row r="90" spans="1:15" ht="15" x14ac:dyDescent="0.2">
      <c r="A90" s="1301"/>
      <c r="B90" s="1301"/>
      <c r="C90" s="1259"/>
      <c r="D90" s="1299"/>
      <c r="E90" s="1300"/>
      <c r="F90" s="1301"/>
      <c r="G90" s="241"/>
      <c r="H90" s="241"/>
      <c r="I90" s="241"/>
      <c r="J90" s="241"/>
      <c r="K90" s="1341"/>
      <c r="L90" s="1349"/>
      <c r="M90" s="1259"/>
      <c r="N90" s="1259"/>
      <c r="O90" s="1259"/>
    </row>
    <row r="91" spans="1:15" ht="15" x14ac:dyDescent="0.2">
      <c r="A91" s="1301"/>
      <c r="B91" s="1301"/>
      <c r="C91" s="1259"/>
      <c r="D91" s="1299"/>
      <c r="E91" s="1300"/>
      <c r="F91" s="1301"/>
      <c r="G91" s="241"/>
      <c r="H91" s="241"/>
      <c r="I91" s="241"/>
      <c r="J91" s="241"/>
      <c r="K91" s="1341"/>
      <c r="L91" s="1349"/>
      <c r="M91" s="1259"/>
      <c r="N91" s="1259"/>
      <c r="O91" s="1259"/>
    </row>
    <row r="92" spans="1:15" ht="15" x14ac:dyDescent="0.2">
      <c r="A92" s="1301"/>
      <c r="B92" s="1301"/>
      <c r="C92" s="1259"/>
      <c r="D92" s="1299"/>
      <c r="E92" s="1300"/>
      <c r="F92" s="1301"/>
      <c r="G92" s="241"/>
      <c r="H92" s="241"/>
      <c r="I92" s="241"/>
      <c r="J92" s="241"/>
      <c r="K92" s="1341"/>
      <c r="L92" s="1349"/>
      <c r="M92" s="1259"/>
      <c r="N92" s="1259"/>
      <c r="O92" s="1259"/>
    </row>
    <row r="93" spans="1:15" ht="15" x14ac:dyDescent="0.2">
      <c r="A93" s="1301"/>
      <c r="B93" s="1301"/>
      <c r="C93" s="1259"/>
      <c r="D93" s="1299"/>
      <c r="E93" s="1300"/>
      <c r="F93" s="1301"/>
      <c r="G93" s="241"/>
      <c r="H93" s="241"/>
      <c r="I93" s="241"/>
      <c r="J93" s="241"/>
      <c r="K93" s="1341"/>
      <c r="L93" s="1349"/>
      <c r="M93" s="1259"/>
      <c r="N93" s="1259"/>
      <c r="O93" s="1259"/>
    </row>
    <row r="94" spans="1:15" ht="15" x14ac:dyDescent="0.2">
      <c r="A94" s="1301"/>
      <c r="B94" s="1301"/>
      <c r="C94" s="1259"/>
      <c r="D94" s="1299"/>
      <c r="E94" s="1300"/>
      <c r="F94" s="1301"/>
      <c r="G94" s="241"/>
      <c r="H94" s="241"/>
      <c r="I94" s="241"/>
      <c r="J94" s="241"/>
      <c r="K94" s="1341"/>
      <c r="L94" s="1349"/>
      <c r="M94" s="1259"/>
      <c r="N94" s="1259"/>
      <c r="O94" s="1259"/>
    </row>
    <row r="95" spans="1:15" ht="15" x14ac:dyDescent="0.2">
      <c r="A95" s="1301"/>
      <c r="B95" s="1301"/>
      <c r="C95" s="1259"/>
      <c r="D95" s="1299"/>
      <c r="E95" s="1300"/>
      <c r="F95" s="1301"/>
      <c r="G95" s="241"/>
      <c r="H95" s="241"/>
      <c r="I95" s="241"/>
      <c r="J95" s="241"/>
      <c r="K95" s="1341"/>
      <c r="L95" s="1349"/>
      <c r="M95" s="1259"/>
      <c r="N95" s="1259"/>
      <c r="O95" s="1259"/>
    </row>
    <row r="96" spans="1:15" ht="15" x14ac:dyDescent="0.2">
      <c r="A96" s="1301"/>
      <c r="B96" s="1301"/>
      <c r="C96" s="1259"/>
      <c r="D96" s="1299"/>
      <c r="E96" s="1300"/>
      <c r="F96" s="1301"/>
      <c r="G96" s="241"/>
      <c r="H96" s="241"/>
      <c r="I96" s="241"/>
      <c r="J96" s="241"/>
      <c r="K96" s="1341"/>
      <c r="L96" s="1349"/>
      <c r="M96" s="1259"/>
      <c r="N96" s="1259"/>
      <c r="O96" s="1259"/>
    </row>
    <row r="97" spans="1:15" ht="15" x14ac:dyDescent="0.2">
      <c r="A97" s="1301"/>
      <c r="B97" s="1301"/>
      <c r="C97" s="1259"/>
      <c r="D97" s="1299"/>
      <c r="E97" s="1300"/>
      <c r="F97" s="1301"/>
      <c r="G97" s="241"/>
      <c r="H97" s="241"/>
      <c r="I97" s="241"/>
      <c r="J97" s="241"/>
      <c r="K97" s="1341"/>
      <c r="L97" s="1349"/>
      <c r="M97" s="1259"/>
      <c r="N97" s="1259"/>
      <c r="O97" s="1259"/>
    </row>
    <row r="98" spans="1:15" ht="15" x14ac:dyDescent="0.2">
      <c r="B98" s="1301"/>
      <c r="C98" s="1259"/>
      <c r="D98" s="1299"/>
      <c r="E98" s="1300"/>
      <c r="F98" s="1301"/>
      <c r="G98" s="241"/>
      <c r="H98" s="241"/>
      <c r="I98" s="241"/>
      <c r="J98" s="241"/>
      <c r="K98" s="1341"/>
      <c r="L98" s="1349"/>
      <c r="M98" s="1259"/>
      <c r="N98" s="1259"/>
      <c r="O98" s="1259"/>
    </row>
    <row r="99" spans="1:15" ht="15" x14ac:dyDescent="0.2">
      <c r="A99" s="1301"/>
      <c r="B99" s="1301"/>
      <c r="C99" s="1259"/>
      <c r="D99" s="1299"/>
      <c r="E99" s="1300"/>
      <c r="F99" s="1301"/>
      <c r="G99" s="241"/>
      <c r="H99" s="241"/>
      <c r="I99" s="241"/>
      <c r="J99" s="241"/>
      <c r="K99" s="1341"/>
      <c r="L99" s="1349"/>
      <c r="M99" s="1259"/>
      <c r="N99" s="1259"/>
      <c r="O99" s="1259"/>
    </row>
    <row r="100" spans="1:15" ht="15" x14ac:dyDescent="0.2">
      <c r="A100" s="1301"/>
      <c r="B100" s="1301"/>
      <c r="C100" s="1259"/>
      <c r="D100" s="1299"/>
      <c r="E100" s="1300"/>
      <c r="F100" s="1301"/>
      <c r="G100" s="241"/>
      <c r="H100" s="241"/>
      <c r="I100" s="241"/>
      <c r="J100" s="241"/>
      <c r="K100" s="1341"/>
      <c r="L100" s="1349"/>
      <c r="M100" s="1259"/>
      <c r="N100" s="1259"/>
      <c r="O100" s="1259"/>
    </row>
    <row r="103" spans="1:15" ht="15" x14ac:dyDescent="0.2">
      <c r="A103" s="1301"/>
    </row>
    <row r="104" spans="1:15" ht="15" x14ac:dyDescent="0.2">
      <c r="A104" s="1301"/>
    </row>
    <row r="105" spans="1:15" ht="15" x14ac:dyDescent="0.2">
      <c r="A105" s="1301"/>
    </row>
    <row r="106" spans="1:15" ht="15" x14ac:dyDescent="0.2">
      <c r="A106" s="1301"/>
    </row>
    <row r="110" spans="1:15" x14ac:dyDescent="0.2">
      <c r="A110" s="1453"/>
    </row>
    <row r="111" spans="1:15" x14ac:dyDescent="0.2">
      <c r="A111" s="1453"/>
    </row>
    <row r="112" spans="1:15" x14ac:dyDescent="0.2">
      <c r="A112" s="1453"/>
    </row>
    <row r="113" spans="1:1" x14ac:dyDescent="0.2">
      <c r="A113" s="1117"/>
    </row>
  </sheetData>
  <autoFilter ref="A1:O80" xr:uid="{00000000-0001-0000-0100-000000000000}"/>
  <pageMargins left="0.7" right="0.7" top="0.75" bottom="0.75" header="0.511811023622047" footer="0.511811023622047"/>
  <pageSetup paperSize="9"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C1817-4C8E-40E7-BB41-794611404842}">
  <sheetPr codeName="Sheet22"/>
  <dimension ref="A1:Q263"/>
  <sheetViews>
    <sheetView topLeftCell="F129" zoomScale="70" zoomScaleNormal="70" workbookViewId="0">
      <selection activeCell="O160" sqref="O160"/>
    </sheetView>
  </sheetViews>
  <sheetFormatPr defaultRowHeight="15" x14ac:dyDescent="0.25"/>
  <cols>
    <col min="1" max="1" width="15.5" bestFit="1" customWidth="1"/>
    <col min="2" max="2" width="28.875" bestFit="1" customWidth="1"/>
    <col min="3" max="3" width="33.875" bestFit="1" customWidth="1"/>
    <col min="4" max="4" width="25.5" bestFit="1" customWidth="1"/>
    <col min="5" max="5" width="8.875" style="979" customWidth="1"/>
    <col min="6" max="6" width="1.875" style="979" bestFit="1" customWidth="1"/>
    <col min="7" max="7" width="29.625" style="875" bestFit="1" customWidth="1"/>
    <col min="8" max="8" width="14.625" style="1585" bestFit="1" customWidth="1"/>
    <col min="9" max="9" width="16.125" style="1586" bestFit="1" customWidth="1"/>
    <col min="12" max="12" width="31.375" customWidth="1"/>
    <col min="13" max="13" width="25" customWidth="1"/>
    <col min="14" max="14" width="19.375" customWidth="1"/>
  </cols>
  <sheetData>
    <row r="1" spans="1:14" x14ac:dyDescent="0.25">
      <c r="A1" t="s">
        <v>903</v>
      </c>
      <c r="B1" t="s">
        <v>241</v>
      </c>
      <c r="C1" t="s">
        <v>493</v>
      </c>
      <c r="D1" t="s">
        <v>960</v>
      </c>
      <c r="G1" s="1579" t="s">
        <v>718</v>
      </c>
      <c r="H1" s="875"/>
      <c r="I1" s="875"/>
      <c r="L1" s="1579" t="s">
        <v>718</v>
      </c>
      <c r="M1" s="875"/>
      <c r="N1" s="875"/>
    </row>
    <row r="2" spans="1:14" x14ac:dyDescent="0.25">
      <c r="A2" t="s">
        <v>905</v>
      </c>
      <c r="B2" t="s">
        <v>12</v>
      </c>
      <c r="C2">
        <v>2725.5113122171961</v>
      </c>
      <c r="D2" t="s">
        <v>16</v>
      </c>
      <c r="E2" s="979">
        <v>1</v>
      </c>
      <c r="G2" s="1580" t="s">
        <v>241</v>
      </c>
      <c r="H2" s="1580" t="s">
        <v>493</v>
      </c>
      <c r="I2" s="1580" t="s">
        <v>903</v>
      </c>
      <c r="L2" s="1580" t="s">
        <v>241</v>
      </c>
      <c r="M2" s="1580" t="s">
        <v>493</v>
      </c>
      <c r="N2" s="1580" t="s">
        <v>903</v>
      </c>
    </row>
    <row r="3" spans="1:14" ht="14.25" x14ac:dyDescent="0.2">
      <c r="A3" t="s">
        <v>909</v>
      </c>
      <c r="B3" t="s">
        <v>17</v>
      </c>
      <c r="C3">
        <v>4781.5987933635015</v>
      </c>
      <c r="D3" t="s">
        <v>16</v>
      </c>
      <c r="E3" s="979">
        <v>1</v>
      </c>
      <c r="F3" s="979">
        <v>1</v>
      </c>
      <c r="G3" s="807" t="s">
        <v>12</v>
      </c>
      <c r="H3" s="809">
        <f t="shared" ref="H3:H34" si="0">SUMIFS($C:$C,$B:$B,G3,$E:$E,F3,$A:$A,I3)</f>
        <v>3314.1459276018122</v>
      </c>
      <c r="I3" s="809" t="s">
        <v>905</v>
      </c>
      <c r="L3" s="807" t="s">
        <v>12</v>
      </c>
      <c r="M3" s="809">
        <v>3314.1459276018122</v>
      </c>
      <c r="N3" s="809" t="s">
        <v>905</v>
      </c>
    </row>
    <row r="4" spans="1:14" x14ac:dyDescent="0.25">
      <c r="A4" t="s">
        <v>906</v>
      </c>
      <c r="B4" t="s">
        <v>54</v>
      </c>
      <c r="C4">
        <v>258.20633484162909</v>
      </c>
      <c r="D4" t="s">
        <v>16</v>
      </c>
      <c r="E4" s="979">
        <v>1</v>
      </c>
      <c r="F4" s="979">
        <v>1</v>
      </c>
      <c r="G4" s="807" t="s">
        <v>17</v>
      </c>
      <c r="H4" s="809">
        <f t="shared" si="0"/>
        <v>12110.18178931492</v>
      </c>
      <c r="I4" s="1581" t="s">
        <v>909</v>
      </c>
      <c r="L4" s="807" t="s">
        <v>17</v>
      </c>
      <c r="M4" s="809">
        <v>12110.18178931492</v>
      </c>
      <c r="N4" s="1581" t="s">
        <v>909</v>
      </c>
    </row>
    <row r="5" spans="1:14" x14ac:dyDescent="0.25">
      <c r="A5" t="s">
        <v>907</v>
      </c>
      <c r="B5" t="s">
        <v>727</v>
      </c>
      <c r="C5">
        <v>430.34389140271514</v>
      </c>
      <c r="D5" t="s">
        <v>16</v>
      </c>
      <c r="E5" s="979">
        <v>1</v>
      </c>
      <c r="F5" s="979">
        <v>1</v>
      </c>
      <c r="G5" s="807" t="s">
        <v>54</v>
      </c>
      <c r="H5" s="809">
        <f t="shared" si="0"/>
        <v>733.32398190045296</v>
      </c>
      <c r="I5" s="1581" t="s">
        <v>906</v>
      </c>
      <c r="J5" s="1"/>
      <c r="L5" s="807" t="s">
        <v>54</v>
      </c>
      <c r="M5" s="809">
        <v>733.32398190045296</v>
      </c>
      <c r="N5" s="1581" t="s">
        <v>906</v>
      </c>
    </row>
    <row r="6" spans="1:14" x14ac:dyDescent="0.25">
      <c r="A6" t="s">
        <v>908</v>
      </c>
      <c r="B6" t="s">
        <v>60</v>
      </c>
      <c r="C6">
        <v>71.723981900452515</v>
      </c>
      <c r="D6" t="s">
        <v>16</v>
      </c>
      <c r="E6" s="979">
        <v>1</v>
      </c>
      <c r="F6" s="979">
        <v>1</v>
      </c>
      <c r="G6" s="1582" t="s">
        <v>727</v>
      </c>
      <c r="H6" s="809">
        <f t="shared" si="0"/>
        <v>2354.9172564896412</v>
      </c>
      <c r="I6" s="1583" t="s">
        <v>907</v>
      </c>
      <c r="L6" s="1582" t="s">
        <v>727</v>
      </c>
      <c r="M6" s="809">
        <f>2354.91725648964+175</f>
        <v>2529.9172564896398</v>
      </c>
      <c r="N6" s="1583" t="s">
        <v>907</v>
      </c>
    </row>
    <row r="7" spans="1:14" x14ac:dyDescent="0.25">
      <c r="A7" t="s">
        <v>907</v>
      </c>
      <c r="B7" t="s">
        <v>727</v>
      </c>
      <c r="C7">
        <v>411.53999999999991</v>
      </c>
      <c r="D7" t="s">
        <v>22</v>
      </c>
      <c r="E7" s="979">
        <v>1</v>
      </c>
      <c r="F7" s="979">
        <v>1</v>
      </c>
      <c r="G7" s="1582" t="s">
        <v>60</v>
      </c>
      <c r="H7" s="809">
        <f t="shared" si="0"/>
        <v>71.723981900452515</v>
      </c>
      <c r="I7" s="1583" t="s">
        <v>908</v>
      </c>
      <c r="L7" s="1582" t="s">
        <v>60</v>
      </c>
      <c r="M7" s="809">
        <v>71.723981900452515</v>
      </c>
      <c r="N7" s="1583" t="s">
        <v>908</v>
      </c>
    </row>
    <row r="8" spans="1:14" x14ac:dyDescent="0.25">
      <c r="A8" t="s">
        <v>905</v>
      </c>
      <c r="B8" t="s">
        <v>12</v>
      </c>
      <c r="C8">
        <v>588.63461538461593</v>
      </c>
      <c r="D8" t="s">
        <v>20</v>
      </c>
      <c r="E8" s="979">
        <v>1</v>
      </c>
      <c r="F8" s="979">
        <v>1</v>
      </c>
      <c r="G8" s="1582" t="s">
        <v>32</v>
      </c>
      <c r="H8" s="809">
        <f t="shared" si="0"/>
        <v>2027.7699849170449</v>
      </c>
      <c r="I8" s="1583" t="s">
        <v>919</v>
      </c>
      <c r="L8" s="1582" t="s">
        <v>32</v>
      </c>
      <c r="M8" s="809">
        <v>2027.7699849170449</v>
      </c>
      <c r="N8" s="1583" t="s">
        <v>919</v>
      </c>
    </row>
    <row r="9" spans="1:14" x14ac:dyDescent="0.25">
      <c r="A9" t="s">
        <v>919</v>
      </c>
      <c r="B9" t="s">
        <v>32</v>
      </c>
      <c r="C9">
        <v>1177.2692307692319</v>
      </c>
      <c r="D9" t="s">
        <v>20</v>
      </c>
      <c r="E9" s="979">
        <v>1</v>
      </c>
      <c r="F9" s="979">
        <v>1</v>
      </c>
      <c r="G9" s="1582" t="s">
        <v>12</v>
      </c>
      <c r="H9" s="809">
        <f t="shared" si="0"/>
        <v>5299.7208859252214</v>
      </c>
      <c r="I9" s="1581" t="s">
        <v>920</v>
      </c>
      <c r="L9" s="1582" t="s">
        <v>12</v>
      </c>
      <c r="M9" s="809">
        <v>5299.7208859252214</v>
      </c>
      <c r="N9" s="1581" t="s">
        <v>908</v>
      </c>
    </row>
    <row r="10" spans="1:14" x14ac:dyDescent="0.25">
      <c r="A10" t="s">
        <v>906</v>
      </c>
      <c r="B10" t="s">
        <v>54</v>
      </c>
      <c r="C10">
        <v>206.53846153846175</v>
      </c>
      <c r="D10" t="s">
        <v>20</v>
      </c>
      <c r="E10" s="979">
        <v>1</v>
      </c>
      <c r="F10" s="979">
        <v>1</v>
      </c>
      <c r="G10" s="1582" t="s">
        <v>28</v>
      </c>
      <c r="H10" s="809">
        <f t="shared" si="0"/>
        <v>850.50075414781304</v>
      </c>
      <c r="I10" s="1581" t="s">
        <v>919</v>
      </c>
      <c r="L10" s="1582" t="s">
        <v>28</v>
      </c>
      <c r="M10" s="809">
        <v>850.50075414781304</v>
      </c>
      <c r="N10" s="1581" t="s">
        <v>919</v>
      </c>
    </row>
    <row r="11" spans="1:14" x14ac:dyDescent="0.25">
      <c r="A11" t="s">
        <v>907</v>
      </c>
      <c r="B11" t="s">
        <v>727</v>
      </c>
      <c r="C11">
        <v>206.53846153846175</v>
      </c>
      <c r="D11" t="s">
        <v>20</v>
      </c>
      <c r="E11" s="979">
        <v>1</v>
      </c>
      <c r="F11" s="979">
        <v>1</v>
      </c>
      <c r="G11" s="1582" t="s">
        <v>992</v>
      </c>
      <c r="H11" s="1584">
        <f t="shared" si="0"/>
        <v>2030</v>
      </c>
      <c r="I11" s="1581" t="s">
        <v>927</v>
      </c>
      <c r="L11" s="1582" t="s">
        <v>21</v>
      </c>
      <c r="M11" s="1584">
        <v>16002</v>
      </c>
      <c r="N11" s="1581" t="s">
        <v>929</v>
      </c>
    </row>
    <row r="12" spans="1:14" x14ac:dyDescent="0.25">
      <c r="A12" t="s">
        <v>907</v>
      </c>
      <c r="B12" t="s">
        <v>727</v>
      </c>
      <c r="C12">
        <v>20.653846153846175</v>
      </c>
      <c r="D12" t="s">
        <v>20</v>
      </c>
      <c r="E12" s="979">
        <v>1</v>
      </c>
      <c r="F12" s="979">
        <v>1</v>
      </c>
      <c r="G12" s="1582" t="s">
        <v>845</v>
      </c>
      <c r="H12" s="1584">
        <f t="shared" si="0"/>
        <v>5075</v>
      </c>
      <c r="I12" s="1581" t="s">
        <v>921</v>
      </c>
      <c r="L12" s="1582" t="s">
        <v>12</v>
      </c>
      <c r="M12" s="809">
        <v>875</v>
      </c>
      <c r="N12" s="1583" t="s">
        <v>908</v>
      </c>
    </row>
    <row r="13" spans="1:14" x14ac:dyDescent="0.25">
      <c r="A13" t="s">
        <v>920</v>
      </c>
      <c r="B13" t="s">
        <v>12</v>
      </c>
      <c r="C13">
        <v>2748.2186234817823</v>
      </c>
      <c r="D13" t="s">
        <v>24</v>
      </c>
      <c r="E13" s="979">
        <v>1</v>
      </c>
      <c r="F13" s="979">
        <v>1</v>
      </c>
      <c r="G13" s="1582" t="s">
        <v>863</v>
      </c>
      <c r="H13" s="1584">
        <f t="shared" si="0"/>
        <v>2030</v>
      </c>
      <c r="I13" s="1581" t="s">
        <v>927</v>
      </c>
      <c r="L13" s="807" t="s">
        <v>17</v>
      </c>
      <c r="M13" s="809">
        <v>875</v>
      </c>
      <c r="N13" s="1581" t="s">
        <v>908</v>
      </c>
    </row>
    <row r="14" spans="1:14" x14ac:dyDescent="0.25">
      <c r="A14" t="s">
        <v>909</v>
      </c>
      <c r="B14" t="s">
        <v>17</v>
      </c>
      <c r="C14">
        <v>7328.5829959514185</v>
      </c>
      <c r="D14" t="s">
        <v>24</v>
      </c>
      <c r="E14" s="979">
        <v>1</v>
      </c>
      <c r="F14" s="979">
        <v>1</v>
      </c>
      <c r="G14" s="875" t="s">
        <v>688</v>
      </c>
      <c r="H14" s="1585">
        <f t="shared" si="0"/>
        <v>0</v>
      </c>
      <c r="I14" s="1586" t="s">
        <v>929</v>
      </c>
      <c r="L14" s="1582" t="s">
        <v>845</v>
      </c>
      <c r="M14" s="809">
        <v>405</v>
      </c>
      <c r="N14" s="1581" t="s">
        <v>921</v>
      </c>
    </row>
    <row r="15" spans="1:14" x14ac:dyDescent="0.25">
      <c r="A15" t="s">
        <v>907</v>
      </c>
      <c r="B15" t="s">
        <v>727</v>
      </c>
      <c r="C15">
        <v>641.2510121457492</v>
      </c>
      <c r="D15" t="s">
        <v>24</v>
      </c>
      <c r="E15" s="979">
        <v>1</v>
      </c>
      <c r="F15" s="979">
        <v>2</v>
      </c>
      <c r="G15" s="875" t="s">
        <v>21</v>
      </c>
      <c r="H15" s="1585">
        <f t="shared" si="0"/>
        <v>16002</v>
      </c>
      <c r="I15" s="1586" t="s">
        <v>929</v>
      </c>
      <c r="L15" s="1582" t="s">
        <v>992</v>
      </c>
      <c r="M15" s="1584">
        <v>56.25</v>
      </c>
      <c r="N15" s="1581" t="s">
        <v>961</v>
      </c>
    </row>
    <row r="16" spans="1:14" x14ac:dyDescent="0.25">
      <c r="A16" t="s">
        <v>920</v>
      </c>
      <c r="B16" t="s">
        <v>12</v>
      </c>
      <c r="C16">
        <v>2551.5022624434391</v>
      </c>
      <c r="D16" t="s">
        <v>27</v>
      </c>
      <c r="E16" s="979">
        <v>1</v>
      </c>
      <c r="F16" s="979">
        <v>2</v>
      </c>
      <c r="G16" s="875" t="s">
        <v>21</v>
      </c>
      <c r="H16" s="1585">
        <f t="shared" si="0"/>
        <v>22050</v>
      </c>
      <c r="I16" s="1586" t="s">
        <v>909</v>
      </c>
    </row>
    <row r="17" spans="1:14" x14ac:dyDescent="0.25">
      <c r="A17" t="s">
        <v>919</v>
      </c>
      <c r="B17" t="s">
        <v>32</v>
      </c>
      <c r="C17">
        <v>850.50075414781304</v>
      </c>
      <c r="D17" t="s">
        <v>27</v>
      </c>
      <c r="E17" s="979">
        <v>1</v>
      </c>
      <c r="F17" s="979">
        <v>2</v>
      </c>
      <c r="G17" s="875" t="s">
        <v>12</v>
      </c>
      <c r="H17" s="1585">
        <f t="shared" si="0"/>
        <v>7567.9202429149809</v>
      </c>
      <c r="I17" s="1586" t="s">
        <v>905</v>
      </c>
    </row>
    <row r="18" spans="1:14" x14ac:dyDescent="0.25">
      <c r="A18" t="s">
        <v>919</v>
      </c>
      <c r="B18" t="s">
        <v>28</v>
      </c>
      <c r="C18">
        <v>850.50075414781304</v>
      </c>
      <c r="D18" t="s">
        <v>27</v>
      </c>
      <c r="E18" s="979">
        <v>1</v>
      </c>
      <c r="F18" s="979">
        <v>2</v>
      </c>
      <c r="G18" s="875" t="s">
        <v>727</v>
      </c>
      <c r="H18" s="1585">
        <f t="shared" si="0"/>
        <v>1916.1183473105848</v>
      </c>
      <c r="I18" s="1586" t="s">
        <v>907</v>
      </c>
    </row>
    <row r="19" spans="1:14" x14ac:dyDescent="0.25">
      <c r="A19" t="s">
        <v>907</v>
      </c>
      <c r="B19" t="s">
        <v>727</v>
      </c>
      <c r="C19">
        <v>644.59004524886893</v>
      </c>
      <c r="D19" t="s">
        <v>27</v>
      </c>
      <c r="E19" s="979">
        <v>1</v>
      </c>
      <c r="F19" s="979">
        <v>2</v>
      </c>
      <c r="G19" s="875" t="s">
        <v>54</v>
      </c>
      <c r="H19" s="1585">
        <f t="shared" si="0"/>
        <v>298.69615384615417</v>
      </c>
      <c r="I19" s="1586" t="s">
        <v>906</v>
      </c>
      <c r="L19" s="1579" t="s">
        <v>718</v>
      </c>
    </row>
    <row r="20" spans="1:14" x14ac:dyDescent="0.25">
      <c r="A20" t="s">
        <v>906</v>
      </c>
      <c r="B20" t="s">
        <v>54</v>
      </c>
      <c r="C20">
        <v>268.57918552036205</v>
      </c>
      <c r="D20" t="s">
        <v>27</v>
      </c>
      <c r="E20" s="979">
        <v>1</v>
      </c>
      <c r="F20" s="979">
        <v>2</v>
      </c>
      <c r="G20" s="875" t="s">
        <v>34</v>
      </c>
      <c r="H20" s="1585">
        <f t="shared" si="0"/>
        <v>11.478461538461548</v>
      </c>
      <c r="I20" s="1586" t="s">
        <v>923</v>
      </c>
      <c r="L20" s="1580" t="s">
        <v>241</v>
      </c>
      <c r="M20" s="1580" t="s">
        <v>493</v>
      </c>
      <c r="N20" s="1580" t="s">
        <v>903</v>
      </c>
    </row>
    <row r="21" spans="1:14" x14ac:dyDescent="0.25">
      <c r="A21" t="s">
        <v>927</v>
      </c>
      <c r="B21" t="s">
        <v>992</v>
      </c>
      <c r="C21">
        <v>2030</v>
      </c>
      <c r="D21" t="s">
        <v>866</v>
      </c>
      <c r="E21" s="979">
        <v>1</v>
      </c>
      <c r="F21" s="979">
        <v>2</v>
      </c>
      <c r="G21" s="875" t="s">
        <v>32</v>
      </c>
      <c r="H21" s="1585">
        <f t="shared" si="0"/>
        <v>1721.8269230769238</v>
      </c>
      <c r="I21" s="1586" t="s">
        <v>919</v>
      </c>
      <c r="L21" s="807" t="s">
        <v>12</v>
      </c>
      <c r="M21" s="809">
        <v>3314.1459276018122</v>
      </c>
      <c r="N21" s="809" t="s">
        <v>905</v>
      </c>
    </row>
    <row r="22" spans="1:14" x14ac:dyDescent="0.25">
      <c r="A22" t="s">
        <v>921</v>
      </c>
      <c r="B22" t="s">
        <v>845</v>
      </c>
      <c r="C22">
        <v>5075</v>
      </c>
      <c r="D22" t="s">
        <v>866</v>
      </c>
      <c r="E22" s="979">
        <v>1</v>
      </c>
      <c r="F22" s="979">
        <v>2</v>
      </c>
      <c r="G22" s="875" t="s">
        <v>28</v>
      </c>
      <c r="H22" s="1585">
        <f t="shared" si="0"/>
        <v>286.96153846153874</v>
      </c>
      <c r="I22" s="1586" t="s">
        <v>919</v>
      </c>
      <c r="L22" s="807" t="s">
        <v>17</v>
      </c>
      <c r="M22" s="809">
        <v>12110.18178931492</v>
      </c>
      <c r="N22" s="1581" t="s">
        <v>909</v>
      </c>
    </row>
    <row r="23" spans="1:14" x14ac:dyDescent="0.25">
      <c r="A23" t="s">
        <v>927</v>
      </c>
      <c r="B23" t="s">
        <v>863</v>
      </c>
      <c r="C23">
        <v>2030</v>
      </c>
      <c r="D23" t="s">
        <v>866</v>
      </c>
      <c r="E23" s="979">
        <v>1</v>
      </c>
      <c r="F23" s="979">
        <v>2</v>
      </c>
      <c r="G23" s="875" t="s">
        <v>30</v>
      </c>
      <c r="H23" s="1585">
        <f t="shared" si="0"/>
        <v>382.61538461538498</v>
      </c>
      <c r="I23" s="1586" t="s">
        <v>919</v>
      </c>
      <c r="L23" s="807" t="s">
        <v>54</v>
      </c>
      <c r="M23" s="809">
        <v>733.32398190045296</v>
      </c>
      <c r="N23" s="1581" t="s">
        <v>906</v>
      </c>
    </row>
    <row r="24" spans="1:14" x14ac:dyDescent="0.25">
      <c r="A24" t="s">
        <v>929</v>
      </c>
      <c r="B24" t="s">
        <v>688</v>
      </c>
      <c r="D24" t="s">
        <v>688</v>
      </c>
      <c r="E24" s="979">
        <v>1</v>
      </c>
      <c r="F24" s="979">
        <v>2</v>
      </c>
      <c r="G24" s="875" t="s">
        <v>12</v>
      </c>
      <c r="H24" s="1585">
        <f t="shared" si="0"/>
        <v>14013.782451923082</v>
      </c>
      <c r="I24" s="1586" t="s">
        <v>920</v>
      </c>
      <c r="L24" s="1582" t="s">
        <v>727</v>
      </c>
      <c r="M24" s="809">
        <f>2354.91725648964+175</f>
        <v>2529.9172564896398</v>
      </c>
      <c r="N24" s="1583" t="s">
        <v>907</v>
      </c>
    </row>
    <row r="25" spans="1:14" x14ac:dyDescent="0.25">
      <c r="A25" t="s">
        <v>929</v>
      </c>
      <c r="B25" t="s">
        <v>21</v>
      </c>
      <c r="C25">
        <v>16002</v>
      </c>
      <c r="D25" t="s">
        <v>688</v>
      </c>
      <c r="E25" s="979">
        <v>2</v>
      </c>
      <c r="F25" s="979">
        <v>2</v>
      </c>
      <c r="G25" s="875" t="s">
        <v>75</v>
      </c>
      <c r="H25" s="1585">
        <f t="shared" si="0"/>
        <v>64.378922064777385</v>
      </c>
      <c r="I25" s="1586" t="s">
        <v>923</v>
      </c>
      <c r="L25" s="1582" t="s">
        <v>60</v>
      </c>
      <c r="M25" s="809">
        <v>71.723981900452515</v>
      </c>
      <c r="N25" s="1583" t="s">
        <v>908</v>
      </c>
    </row>
    <row r="26" spans="1:14" x14ac:dyDescent="0.25">
      <c r="A26" t="s">
        <v>909</v>
      </c>
      <c r="B26" t="s">
        <v>21</v>
      </c>
      <c r="C26">
        <v>22050</v>
      </c>
      <c r="D26" t="s">
        <v>35</v>
      </c>
      <c r="E26" s="979">
        <v>2</v>
      </c>
      <c r="F26" s="979">
        <v>2</v>
      </c>
      <c r="G26" s="875" t="s">
        <v>60</v>
      </c>
      <c r="H26" s="1585">
        <f t="shared" si="0"/>
        <v>381.22621457489913</v>
      </c>
      <c r="I26" s="1586" t="s">
        <v>908</v>
      </c>
      <c r="L26" s="1582" t="s">
        <v>32</v>
      </c>
      <c r="M26" s="809">
        <v>2027.7699849170449</v>
      </c>
      <c r="N26" s="1583" t="s">
        <v>919</v>
      </c>
    </row>
    <row r="27" spans="1:14" x14ac:dyDescent="0.25">
      <c r="A27" t="s">
        <v>905</v>
      </c>
      <c r="B27" t="s">
        <v>12</v>
      </c>
      <c r="C27">
        <v>2008.7307692307709</v>
      </c>
      <c r="D27" t="s">
        <v>43</v>
      </c>
      <c r="E27" s="979">
        <v>2</v>
      </c>
      <c r="F27" s="979">
        <v>2</v>
      </c>
      <c r="G27" s="875" t="s">
        <v>17</v>
      </c>
      <c r="H27" s="1585">
        <f t="shared" si="0"/>
        <v>8225.0031789638979</v>
      </c>
      <c r="I27" s="1586" t="s">
        <v>909</v>
      </c>
      <c r="L27" s="1582" t="s">
        <v>12</v>
      </c>
      <c r="M27" s="809">
        <v>5299.7208859252214</v>
      </c>
      <c r="N27" s="1581" t="s">
        <v>920</v>
      </c>
    </row>
    <row r="28" spans="1:14" x14ac:dyDescent="0.25">
      <c r="A28" t="s">
        <v>907</v>
      </c>
      <c r="B28" t="s">
        <v>727</v>
      </c>
      <c r="C28">
        <v>153.046153846154</v>
      </c>
      <c r="D28" t="s">
        <v>43</v>
      </c>
      <c r="E28" s="979">
        <v>2</v>
      </c>
      <c r="F28" s="979">
        <v>2</v>
      </c>
      <c r="G28" s="875" t="s">
        <v>28</v>
      </c>
      <c r="H28" s="1585">
        <f t="shared" si="0"/>
        <v>587.14285714285779</v>
      </c>
      <c r="I28" s="1586" t="s">
        <v>929</v>
      </c>
      <c r="L28" s="1582" t="s">
        <v>28</v>
      </c>
      <c r="M28" s="809">
        <v>850.50075414781304</v>
      </c>
      <c r="N28" s="1581" t="s">
        <v>919</v>
      </c>
    </row>
    <row r="29" spans="1:14" x14ac:dyDescent="0.25">
      <c r="A29" t="s">
        <v>906</v>
      </c>
      <c r="B29" t="s">
        <v>54</v>
      </c>
      <c r="C29">
        <v>76.523076923076999</v>
      </c>
      <c r="D29" t="s">
        <v>43</v>
      </c>
      <c r="E29" s="979">
        <v>2</v>
      </c>
      <c r="F29" s="979">
        <v>2</v>
      </c>
      <c r="G29" s="875" t="s">
        <v>30</v>
      </c>
      <c r="H29" s="1585">
        <f t="shared" si="0"/>
        <v>587.14285714285779</v>
      </c>
      <c r="I29" s="1586" t="s">
        <v>929</v>
      </c>
      <c r="L29" s="1582" t="s">
        <v>845</v>
      </c>
      <c r="M29" s="1584">
        <f>H11+M14</f>
        <v>2435</v>
      </c>
      <c r="N29" s="1581" t="s">
        <v>921</v>
      </c>
    </row>
    <row r="30" spans="1:14" x14ac:dyDescent="0.25">
      <c r="A30" t="s">
        <v>923</v>
      </c>
      <c r="B30" t="s">
        <v>34</v>
      </c>
      <c r="C30">
        <v>11.478461538461548</v>
      </c>
      <c r="D30" t="s">
        <v>43</v>
      </c>
      <c r="E30" s="979">
        <v>2</v>
      </c>
      <c r="F30" s="979">
        <v>2</v>
      </c>
      <c r="G30" s="875" t="s">
        <v>32</v>
      </c>
      <c r="H30" s="1585">
        <f t="shared" si="0"/>
        <v>587.14285714285779</v>
      </c>
      <c r="I30" s="1586" t="s">
        <v>929</v>
      </c>
      <c r="L30" s="1582" t="s">
        <v>21</v>
      </c>
      <c r="M30" s="1584">
        <v>16002</v>
      </c>
      <c r="N30" s="1581" t="s">
        <v>929</v>
      </c>
    </row>
    <row r="31" spans="1:14" x14ac:dyDescent="0.25">
      <c r="A31" t="s">
        <v>919</v>
      </c>
      <c r="B31" t="s">
        <v>32</v>
      </c>
      <c r="C31">
        <v>669.57692307692378</v>
      </c>
      <c r="D31" t="s">
        <v>43</v>
      </c>
      <c r="E31" s="979">
        <v>2</v>
      </c>
      <c r="F31" s="979">
        <v>2</v>
      </c>
      <c r="G31" s="875" t="s">
        <v>19</v>
      </c>
      <c r="H31" s="1585">
        <f t="shared" si="0"/>
        <v>103</v>
      </c>
      <c r="I31" s="1586" t="s">
        <v>966</v>
      </c>
      <c r="L31" s="1582" t="s">
        <v>992</v>
      </c>
      <c r="M31" s="1584">
        <v>2096.25</v>
      </c>
      <c r="N31" s="1581" t="s">
        <v>961</v>
      </c>
    </row>
    <row r="32" spans="1:14" x14ac:dyDescent="0.25">
      <c r="A32" t="s">
        <v>919</v>
      </c>
      <c r="B32" t="s">
        <v>28</v>
      </c>
      <c r="C32">
        <v>286.96153846153874</v>
      </c>
      <c r="D32" t="s">
        <v>43</v>
      </c>
      <c r="E32" s="979">
        <v>2</v>
      </c>
      <c r="F32" s="979">
        <v>2</v>
      </c>
      <c r="G32" s="875" t="s">
        <v>992</v>
      </c>
      <c r="H32" s="1585">
        <f t="shared" si="0"/>
        <v>3320</v>
      </c>
      <c r="I32" s="1586" t="s">
        <v>927</v>
      </c>
    </row>
    <row r="33" spans="1:14" x14ac:dyDescent="0.25">
      <c r="A33" t="s">
        <v>919</v>
      </c>
      <c r="B33" t="s">
        <v>30</v>
      </c>
      <c r="C33">
        <v>382.61538461538498</v>
      </c>
      <c r="D33" t="s">
        <v>43</v>
      </c>
      <c r="E33" s="979">
        <v>2</v>
      </c>
      <c r="F33" s="979">
        <v>2</v>
      </c>
      <c r="G33" s="875" t="s">
        <v>845</v>
      </c>
      <c r="H33" s="1585">
        <f t="shared" si="0"/>
        <v>8300</v>
      </c>
      <c r="I33" s="1586" t="s">
        <v>921</v>
      </c>
    </row>
    <row r="34" spans="1:14" x14ac:dyDescent="0.25">
      <c r="A34" t="s">
        <v>905</v>
      </c>
      <c r="B34" t="s">
        <v>12</v>
      </c>
      <c r="C34">
        <v>258.18947368421055</v>
      </c>
      <c r="D34" t="s">
        <v>44</v>
      </c>
      <c r="E34" s="979">
        <v>2</v>
      </c>
      <c r="F34" s="979">
        <v>2</v>
      </c>
      <c r="G34" s="875" t="s">
        <v>12</v>
      </c>
      <c r="H34" s="1585">
        <f t="shared" si="0"/>
        <v>1570</v>
      </c>
      <c r="I34" s="1586" t="s">
        <v>921</v>
      </c>
    </row>
    <row r="35" spans="1:14" x14ac:dyDescent="0.25">
      <c r="A35" t="s">
        <v>907</v>
      </c>
      <c r="B35" t="s">
        <v>727</v>
      </c>
      <c r="C35">
        <v>258.18947368421055</v>
      </c>
      <c r="D35" t="s">
        <v>44</v>
      </c>
      <c r="E35" s="979">
        <v>2</v>
      </c>
      <c r="F35" s="979">
        <v>3</v>
      </c>
      <c r="G35" s="875" t="s">
        <v>727</v>
      </c>
      <c r="H35" s="1585">
        <f t="shared" ref="H35:H66" si="1">SUMIFS($C:$C,$B:$B,G35,$E:$E,F35,$A:$A,I35)</f>
        <v>1582.315374701948</v>
      </c>
      <c r="I35" s="1586" t="s">
        <v>907</v>
      </c>
    </row>
    <row r="36" spans="1:14" x14ac:dyDescent="0.25">
      <c r="A36" t="s">
        <v>905</v>
      </c>
      <c r="B36" t="s">
        <v>12</v>
      </c>
      <c r="C36">
        <v>5301</v>
      </c>
      <c r="D36" t="s">
        <v>820</v>
      </c>
      <c r="E36" s="979">
        <v>2</v>
      </c>
      <c r="F36" s="979">
        <v>3</v>
      </c>
      <c r="G36" s="875" t="s">
        <v>54</v>
      </c>
      <c r="H36" s="1585">
        <f t="shared" si="1"/>
        <v>382.16983016983045</v>
      </c>
      <c r="I36" s="1586" t="s">
        <v>906</v>
      </c>
    </row>
    <row r="37" spans="1:14" x14ac:dyDescent="0.25">
      <c r="A37" t="s">
        <v>907</v>
      </c>
      <c r="B37" t="s">
        <v>727</v>
      </c>
      <c r="C37">
        <v>446.4</v>
      </c>
      <c r="D37" t="s">
        <v>820</v>
      </c>
      <c r="E37" s="979">
        <v>2</v>
      </c>
      <c r="F37" s="979">
        <v>3</v>
      </c>
      <c r="G37" s="875" t="s">
        <v>12</v>
      </c>
      <c r="H37" s="1585">
        <f t="shared" si="1"/>
        <v>6701.0120962370984</v>
      </c>
      <c r="I37" s="1586" t="s">
        <v>905</v>
      </c>
      <c r="L37" s="1579" t="s">
        <v>719</v>
      </c>
    </row>
    <row r="38" spans="1:14" x14ac:dyDescent="0.25">
      <c r="A38" t="s">
        <v>920</v>
      </c>
      <c r="B38" t="s">
        <v>12</v>
      </c>
      <c r="C38">
        <v>4057.3076923076942</v>
      </c>
      <c r="D38" t="s">
        <v>46</v>
      </c>
      <c r="E38" s="979">
        <v>2</v>
      </c>
      <c r="F38" s="979">
        <v>3</v>
      </c>
      <c r="G38" s="875" t="s">
        <v>17</v>
      </c>
      <c r="H38" s="1585">
        <f t="shared" si="1"/>
        <v>16055.768391683521</v>
      </c>
      <c r="I38" s="1586" t="s">
        <v>909</v>
      </c>
      <c r="L38" s="1580" t="s">
        <v>241</v>
      </c>
      <c r="M38" s="1580" t="s">
        <v>493</v>
      </c>
      <c r="N38" s="1580" t="s">
        <v>903</v>
      </c>
    </row>
    <row r="39" spans="1:14" x14ac:dyDescent="0.25">
      <c r="A39" t="s">
        <v>907</v>
      </c>
      <c r="B39" t="s">
        <v>727</v>
      </c>
      <c r="C39">
        <v>289.80769230769243</v>
      </c>
      <c r="D39" t="s">
        <v>46</v>
      </c>
      <c r="E39" s="979">
        <v>2</v>
      </c>
      <c r="F39" s="979">
        <v>3</v>
      </c>
      <c r="G39" s="875" t="s">
        <v>34</v>
      </c>
      <c r="H39" s="1585">
        <f t="shared" si="1"/>
        <v>124.50549450549457</v>
      </c>
      <c r="I39" s="1586" t="s">
        <v>923</v>
      </c>
      <c r="L39" s="807" t="s">
        <v>21</v>
      </c>
      <c r="M39" s="809">
        <v>22050</v>
      </c>
      <c r="N39" s="809" t="s">
        <v>909</v>
      </c>
    </row>
    <row r="40" spans="1:14" x14ac:dyDescent="0.25">
      <c r="A40" t="s">
        <v>923</v>
      </c>
      <c r="B40" t="s">
        <v>75</v>
      </c>
      <c r="C40">
        <v>36.607287449392729</v>
      </c>
      <c r="D40" t="s">
        <v>46</v>
      </c>
      <c r="E40" s="979">
        <v>2</v>
      </c>
      <c r="F40" s="979">
        <v>3</v>
      </c>
      <c r="G40" s="875" t="s">
        <v>60</v>
      </c>
      <c r="H40" s="1585">
        <f t="shared" si="1"/>
        <v>83.00366300366305</v>
      </c>
      <c r="I40" s="1586" t="s">
        <v>908</v>
      </c>
      <c r="L40" s="807" t="s">
        <v>12</v>
      </c>
      <c r="M40" s="809">
        <v>7567.9202429149809</v>
      </c>
      <c r="N40" s="809" t="s">
        <v>905</v>
      </c>
    </row>
    <row r="41" spans="1:14" x14ac:dyDescent="0.25">
      <c r="A41" t="s">
        <v>908</v>
      </c>
      <c r="B41" t="s">
        <v>60</v>
      </c>
      <c r="C41">
        <v>122.02429149797578</v>
      </c>
      <c r="D41" t="s">
        <v>46</v>
      </c>
      <c r="E41" s="979">
        <v>2</v>
      </c>
      <c r="F41" s="979">
        <v>3</v>
      </c>
      <c r="G41" s="875" t="s">
        <v>12</v>
      </c>
      <c r="H41" s="1585">
        <f t="shared" si="1"/>
        <v>5222.8159293237113</v>
      </c>
      <c r="I41" s="1586" t="s">
        <v>920</v>
      </c>
      <c r="L41" s="807" t="s">
        <v>727</v>
      </c>
      <c r="M41" s="809">
        <v>1916.1183473105848</v>
      </c>
      <c r="N41" s="1581" t="s">
        <v>907</v>
      </c>
    </row>
    <row r="42" spans="1:14" x14ac:dyDescent="0.25">
      <c r="A42" t="s">
        <v>920</v>
      </c>
      <c r="B42" t="s">
        <v>12</v>
      </c>
      <c r="C42">
        <v>2374.4747596153875</v>
      </c>
      <c r="D42" t="s">
        <v>48</v>
      </c>
      <c r="E42" s="979">
        <v>2</v>
      </c>
      <c r="F42" s="979">
        <v>3</v>
      </c>
      <c r="G42" s="875" t="s">
        <v>28</v>
      </c>
      <c r="H42" s="1585">
        <f t="shared" si="1"/>
        <v>392</v>
      </c>
      <c r="I42" s="1586" t="s">
        <v>927</v>
      </c>
      <c r="L42" s="807" t="s">
        <v>54</v>
      </c>
      <c r="M42" s="809">
        <v>298.69615384615417</v>
      </c>
      <c r="N42" s="1581" t="s">
        <v>906</v>
      </c>
    </row>
    <row r="43" spans="1:14" x14ac:dyDescent="0.25">
      <c r="A43" t="s">
        <v>907</v>
      </c>
      <c r="B43" t="s">
        <v>727</v>
      </c>
      <c r="C43">
        <v>351.77403846153885</v>
      </c>
      <c r="D43" t="s">
        <v>48</v>
      </c>
      <c r="E43" s="979">
        <v>2</v>
      </c>
      <c r="F43" s="979">
        <v>3</v>
      </c>
      <c r="G43" s="875" t="s">
        <v>30</v>
      </c>
      <c r="H43" s="1585">
        <f t="shared" si="1"/>
        <v>392</v>
      </c>
      <c r="I43" s="1586" t="s">
        <v>927</v>
      </c>
      <c r="L43" s="1582" t="s">
        <v>34</v>
      </c>
      <c r="M43" s="809">
        <v>11.478461538461548</v>
      </c>
      <c r="N43" s="1583" t="s">
        <v>923</v>
      </c>
    </row>
    <row r="44" spans="1:14" x14ac:dyDescent="0.25">
      <c r="A44" t="s">
        <v>906</v>
      </c>
      <c r="B44" t="s">
        <v>54</v>
      </c>
      <c r="C44">
        <v>222.17307692307716</v>
      </c>
      <c r="D44" t="s">
        <v>48</v>
      </c>
      <c r="E44" s="979">
        <v>2</v>
      </c>
      <c r="F44" s="979">
        <v>3</v>
      </c>
      <c r="G44" s="875" t="s">
        <v>32</v>
      </c>
      <c r="H44" s="1585">
        <f t="shared" si="1"/>
        <v>392</v>
      </c>
      <c r="I44" s="1586" t="s">
        <v>927</v>
      </c>
      <c r="L44" s="1582" t="s">
        <v>32</v>
      </c>
      <c r="M44" s="809">
        <v>1721.8269230769238</v>
      </c>
      <c r="N44" s="1583" t="s">
        <v>919</v>
      </c>
    </row>
    <row r="45" spans="1:14" x14ac:dyDescent="0.25">
      <c r="A45" t="s">
        <v>923</v>
      </c>
      <c r="B45" t="s">
        <v>75</v>
      </c>
      <c r="C45">
        <v>27.771634615384649</v>
      </c>
      <c r="D45" t="s">
        <v>48</v>
      </c>
      <c r="E45" s="979">
        <v>2</v>
      </c>
      <c r="F45" s="979">
        <v>3</v>
      </c>
      <c r="G45" s="875" t="s">
        <v>21</v>
      </c>
      <c r="H45" s="1585">
        <f t="shared" si="1"/>
        <v>2352</v>
      </c>
      <c r="I45" s="1586" t="s">
        <v>928</v>
      </c>
      <c r="L45" s="1582" t="s">
        <v>28</v>
      </c>
      <c r="M45" s="809">
        <v>286.96153846153874</v>
      </c>
      <c r="N45" s="1583" t="s">
        <v>919</v>
      </c>
    </row>
    <row r="46" spans="1:14" x14ac:dyDescent="0.25">
      <c r="A46" t="s">
        <v>908</v>
      </c>
      <c r="B46" t="s">
        <v>60</v>
      </c>
      <c r="C46">
        <v>259.20192307692338</v>
      </c>
      <c r="D46" t="s">
        <v>48</v>
      </c>
      <c r="E46" s="979">
        <v>2</v>
      </c>
      <c r="F46" s="979">
        <v>3</v>
      </c>
      <c r="G46" s="875" t="s">
        <v>756</v>
      </c>
      <c r="H46" s="1585">
        <f t="shared" si="1"/>
        <v>17.226191752577318</v>
      </c>
      <c r="I46" s="1586" t="s">
        <v>923</v>
      </c>
      <c r="L46" s="1582" t="s">
        <v>30</v>
      </c>
      <c r="M46" s="809">
        <v>382.61538461538498</v>
      </c>
      <c r="N46" s="1581" t="s">
        <v>919</v>
      </c>
    </row>
    <row r="47" spans="1:14" x14ac:dyDescent="0.25">
      <c r="A47" t="s">
        <v>909</v>
      </c>
      <c r="B47" t="s">
        <v>17</v>
      </c>
      <c r="C47">
        <v>3517.7403846153888</v>
      </c>
      <c r="D47" t="s">
        <v>48</v>
      </c>
      <c r="E47" s="979">
        <v>2</v>
      </c>
      <c r="F47" s="979">
        <v>3</v>
      </c>
      <c r="G47" s="875" t="s">
        <v>12</v>
      </c>
      <c r="H47" s="1585">
        <f t="shared" si="1"/>
        <v>2569.4680000000003</v>
      </c>
      <c r="I47" s="1586" t="s">
        <v>908</v>
      </c>
      <c r="L47" s="1582" t="s">
        <v>12</v>
      </c>
      <c r="M47" s="809">
        <v>14013.782451923082</v>
      </c>
      <c r="N47" s="1581" t="s">
        <v>920</v>
      </c>
    </row>
    <row r="48" spans="1:14" x14ac:dyDescent="0.25">
      <c r="A48" t="s">
        <v>909</v>
      </c>
      <c r="B48" t="s">
        <v>17</v>
      </c>
      <c r="C48">
        <v>1340.0627943485092</v>
      </c>
      <c r="D48" t="s">
        <v>51</v>
      </c>
      <c r="E48" s="979">
        <v>2</v>
      </c>
      <c r="F48" s="979">
        <v>3</v>
      </c>
      <c r="G48" s="875" t="s">
        <v>992</v>
      </c>
      <c r="H48" s="1585">
        <f t="shared" si="1"/>
        <v>2210</v>
      </c>
      <c r="I48" s="1586" t="s">
        <v>927</v>
      </c>
      <c r="L48" s="1582" t="s">
        <v>75</v>
      </c>
      <c r="M48" s="1584">
        <v>64.378922064777385</v>
      </c>
      <c r="N48" s="1581" t="s">
        <v>923</v>
      </c>
    </row>
    <row r="49" spans="1:14" x14ac:dyDescent="0.25">
      <c r="A49" t="s">
        <v>907</v>
      </c>
      <c r="B49" t="s">
        <v>727</v>
      </c>
      <c r="C49">
        <v>234.51098901098908</v>
      </c>
      <c r="D49" t="s">
        <v>51</v>
      </c>
      <c r="E49" s="979">
        <v>2</v>
      </c>
      <c r="F49" s="979">
        <v>3</v>
      </c>
      <c r="G49" s="875" t="s">
        <v>845</v>
      </c>
      <c r="H49" s="1585">
        <f t="shared" si="1"/>
        <v>5525</v>
      </c>
      <c r="I49" s="1586" t="s">
        <v>921</v>
      </c>
      <c r="L49" s="1582" t="s">
        <v>60</v>
      </c>
      <c r="M49" s="1584">
        <v>381.22621457489913</v>
      </c>
      <c r="N49" s="1581" t="s">
        <v>908</v>
      </c>
    </row>
    <row r="50" spans="1:14" x14ac:dyDescent="0.25">
      <c r="A50" t="s">
        <v>929</v>
      </c>
      <c r="B50" t="s">
        <v>28</v>
      </c>
      <c r="C50">
        <v>587.14285714285779</v>
      </c>
      <c r="D50" t="s">
        <v>53</v>
      </c>
      <c r="E50" s="979">
        <v>2</v>
      </c>
      <c r="F50" s="979">
        <v>4</v>
      </c>
      <c r="G50" s="875" t="s">
        <v>727</v>
      </c>
      <c r="H50" s="1585">
        <f t="shared" si="1"/>
        <v>1967.0822465200986</v>
      </c>
      <c r="I50" s="1586" t="s">
        <v>907</v>
      </c>
      <c r="L50" s="1582" t="s">
        <v>17</v>
      </c>
      <c r="M50" s="1584">
        <v>8225.0031789638979</v>
      </c>
      <c r="N50" s="1581" t="s">
        <v>909</v>
      </c>
    </row>
    <row r="51" spans="1:14" x14ac:dyDescent="0.25">
      <c r="A51" t="s">
        <v>929</v>
      </c>
      <c r="B51" t="s">
        <v>30</v>
      </c>
      <c r="C51">
        <v>587.14285714285779</v>
      </c>
      <c r="D51" t="s">
        <v>53</v>
      </c>
      <c r="E51" s="979">
        <v>2</v>
      </c>
      <c r="F51" s="979">
        <v>4</v>
      </c>
      <c r="G51" s="875" t="s">
        <v>12</v>
      </c>
      <c r="H51" s="1585">
        <f t="shared" si="1"/>
        <v>1110.3009419152281</v>
      </c>
      <c r="I51" s="1586" t="s">
        <v>905</v>
      </c>
      <c r="L51" s="1582" t="s">
        <v>28</v>
      </c>
      <c r="M51" s="1584">
        <v>587.14285714285779</v>
      </c>
      <c r="N51" s="1581" t="s">
        <v>929</v>
      </c>
    </row>
    <row r="52" spans="1:14" x14ac:dyDescent="0.25">
      <c r="A52" t="s">
        <v>929</v>
      </c>
      <c r="B52" t="s">
        <v>32</v>
      </c>
      <c r="C52">
        <v>587.14285714285779</v>
      </c>
      <c r="D52" t="s">
        <v>53</v>
      </c>
      <c r="E52" s="979">
        <v>2</v>
      </c>
      <c r="F52" s="979">
        <v>4</v>
      </c>
      <c r="G52" s="875" t="s">
        <v>754</v>
      </c>
      <c r="H52" s="1585">
        <f t="shared" si="1"/>
        <v>2764.4744645185333</v>
      </c>
      <c r="I52" s="1586" t="s">
        <v>927</v>
      </c>
      <c r="L52" s="1582" t="s">
        <v>30</v>
      </c>
      <c r="M52" s="1584">
        <v>587.14285714285779</v>
      </c>
      <c r="N52" s="1581" t="s">
        <v>929</v>
      </c>
    </row>
    <row r="53" spans="1:14" x14ac:dyDescent="0.25">
      <c r="A53" t="s">
        <v>966</v>
      </c>
      <c r="B53" t="s">
        <v>19</v>
      </c>
      <c r="C53">
        <v>103</v>
      </c>
      <c r="D53" t="s">
        <v>918</v>
      </c>
      <c r="E53" s="979">
        <v>2</v>
      </c>
      <c r="F53" s="979">
        <v>4</v>
      </c>
      <c r="G53" s="875" t="s">
        <v>12</v>
      </c>
      <c r="H53" s="1585">
        <f t="shared" si="1"/>
        <v>8595.5036050954714</v>
      </c>
      <c r="I53" s="1586" t="s">
        <v>920</v>
      </c>
      <c r="L53" s="1582" t="s">
        <v>32</v>
      </c>
      <c r="M53" s="1584">
        <v>587.14285714285779</v>
      </c>
      <c r="N53" s="1581" t="s">
        <v>929</v>
      </c>
    </row>
    <row r="54" spans="1:14" x14ac:dyDescent="0.25">
      <c r="A54" t="s">
        <v>927</v>
      </c>
      <c r="B54" t="s">
        <v>992</v>
      </c>
      <c r="C54">
        <v>1750</v>
      </c>
      <c r="D54" t="s">
        <v>874</v>
      </c>
      <c r="E54" s="979">
        <v>2</v>
      </c>
      <c r="F54" s="979">
        <v>4</v>
      </c>
      <c r="G54" s="875" t="s">
        <v>19</v>
      </c>
      <c r="H54" s="1585">
        <f t="shared" si="1"/>
        <v>3656.068491960018</v>
      </c>
      <c r="I54" s="1586" t="s">
        <v>925</v>
      </c>
      <c r="L54" s="1582" t="s">
        <v>47</v>
      </c>
      <c r="M54" s="1584">
        <v>1066.6666666666667</v>
      </c>
      <c r="N54" s="1581" t="s">
        <v>963</v>
      </c>
    </row>
    <row r="55" spans="1:14" x14ac:dyDescent="0.25">
      <c r="A55" t="s">
        <v>921</v>
      </c>
      <c r="B55" t="s">
        <v>845</v>
      </c>
      <c r="C55">
        <v>4375</v>
      </c>
      <c r="D55" t="s">
        <v>874</v>
      </c>
      <c r="E55" s="979">
        <v>2</v>
      </c>
      <c r="F55" s="979">
        <v>4</v>
      </c>
      <c r="G55" s="875" t="s">
        <v>17</v>
      </c>
      <c r="H55" s="1585">
        <f t="shared" si="1"/>
        <v>10895.90433376148</v>
      </c>
      <c r="I55" s="1586" t="s">
        <v>909</v>
      </c>
      <c r="L55" s="1582" t="s">
        <v>19</v>
      </c>
      <c r="M55" s="1584">
        <v>1066.6666666666667</v>
      </c>
      <c r="N55" s="1581" t="s">
        <v>963</v>
      </c>
    </row>
    <row r="56" spans="1:14" x14ac:dyDescent="0.25">
      <c r="A56" t="s">
        <v>927</v>
      </c>
      <c r="B56" t="s">
        <v>992</v>
      </c>
      <c r="C56">
        <v>1570</v>
      </c>
      <c r="D56" t="s">
        <v>875</v>
      </c>
      <c r="E56" s="979">
        <v>2</v>
      </c>
      <c r="F56" s="979">
        <v>4</v>
      </c>
      <c r="G56" s="875" t="s">
        <v>54</v>
      </c>
      <c r="H56" s="1585">
        <f t="shared" si="1"/>
        <v>313.87703962703984</v>
      </c>
      <c r="I56" s="1586" t="s">
        <v>906</v>
      </c>
      <c r="L56" s="1582" t="s">
        <v>992</v>
      </c>
      <c r="M56" s="1584" t="e">
        <f>O66+#REF!+#REF!</f>
        <v>#REF!</v>
      </c>
      <c r="N56" s="1581" t="s">
        <v>962</v>
      </c>
    </row>
    <row r="57" spans="1:14" x14ac:dyDescent="0.25">
      <c r="A57" t="s">
        <v>921</v>
      </c>
      <c r="B57" t="s">
        <v>12</v>
      </c>
      <c r="C57">
        <v>1570</v>
      </c>
      <c r="D57" t="s">
        <v>875</v>
      </c>
      <c r="E57" s="979">
        <v>2</v>
      </c>
      <c r="F57" s="979">
        <v>4</v>
      </c>
      <c r="G57" s="875" t="s">
        <v>12</v>
      </c>
      <c r="H57" s="1585">
        <f t="shared" si="1"/>
        <v>1703.6020408163263</v>
      </c>
      <c r="I57" s="1586" t="s">
        <v>908</v>
      </c>
      <c r="L57" s="1582" t="s">
        <v>845</v>
      </c>
      <c r="M57" s="1584" t="e">
        <f>O67+R101+#REF!</f>
        <v>#REF!</v>
      </c>
      <c r="N57" s="1581" t="s">
        <v>927</v>
      </c>
    </row>
    <row r="58" spans="1:14" x14ac:dyDescent="0.25">
      <c r="A58" t="s">
        <v>921</v>
      </c>
      <c r="B58" t="s">
        <v>845</v>
      </c>
      <c r="C58">
        <v>3925</v>
      </c>
      <c r="D58" t="s">
        <v>875</v>
      </c>
      <c r="E58" s="979">
        <v>2</v>
      </c>
      <c r="F58" s="979">
        <v>4</v>
      </c>
      <c r="G58" s="875" t="s">
        <v>480</v>
      </c>
      <c r="H58" s="1585">
        <f t="shared" si="1"/>
        <v>2011</v>
      </c>
      <c r="I58" s="1586" t="s">
        <v>926</v>
      </c>
      <c r="L58" s="1582" t="s">
        <v>965</v>
      </c>
      <c r="M58" s="1584">
        <v>700</v>
      </c>
      <c r="N58" s="1581" t="s">
        <v>908</v>
      </c>
    </row>
    <row r="59" spans="1:14" x14ac:dyDescent="0.25">
      <c r="A59" t="s">
        <v>920</v>
      </c>
      <c r="B59" t="s">
        <v>12</v>
      </c>
      <c r="C59">
        <v>5612</v>
      </c>
      <c r="D59" t="s">
        <v>56</v>
      </c>
      <c r="E59" s="979">
        <v>2</v>
      </c>
      <c r="F59" s="979">
        <v>4</v>
      </c>
      <c r="G59" s="875" t="s">
        <v>17</v>
      </c>
      <c r="H59" s="1585">
        <f t="shared" si="1"/>
        <v>1990.0000000000002</v>
      </c>
      <c r="I59" s="1586" t="s">
        <v>924</v>
      </c>
      <c r="L59" s="1582" t="s">
        <v>754</v>
      </c>
      <c r="M59" s="1584">
        <v>73.5</v>
      </c>
      <c r="N59" s="1581" t="s">
        <v>964</v>
      </c>
    </row>
    <row r="60" spans="1:14" x14ac:dyDescent="0.25">
      <c r="A60" t="s">
        <v>909</v>
      </c>
      <c r="B60" t="s">
        <v>17</v>
      </c>
      <c r="C60">
        <v>3367.2</v>
      </c>
      <c r="D60" t="s">
        <v>56</v>
      </c>
      <c r="E60" s="979">
        <v>2</v>
      </c>
      <c r="F60" s="979">
        <v>4</v>
      </c>
      <c r="G60" s="875" t="s">
        <v>21</v>
      </c>
      <c r="H60" s="1585">
        <f t="shared" si="1"/>
        <v>3377.1267078848946</v>
      </c>
      <c r="I60" s="1586" t="s">
        <v>908</v>
      </c>
      <c r="L60" s="1582" t="s">
        <v>17</v>
      </c>
      <c r="M60" s="1584">
        <v>175</v>
      </c>
      <c r="N60" s="1581" t="s">
        <v>908</v>
      </c>
    </row>
    <row r="61" spans="1:14" x14ac:dyDescent="0.25">
      <c r="A61" t="s">
        <v>907</v>
      </c>
      <c r="B61" t="s">
        <v>727</v>
      </c>
      <c r="C61">
        <v>182.39</v>
      </c>
      <c r="D61" t="s">
        <v>56</v>
      </c>
      <c r="E61" s="979">
        <v>2</v>
      </c>
      <c r="F61" s="979">
        <v>4</v>
      </c>
      <c r="G61" s="875" t="s">
        <v>727</v>
      </c>
      <c r="H61" s="1585">
        <f t="shared" si="1"/>
        <v>313.37737407101577</v>
      </c>
      <c r="I61" s="1586" t="s">
        <v>937</v>
      </c>
      <c r="L61" s="1582" t="s">
        <v>12</v>
      </c>
      <c r="M61" s="1584">
        <v>175</v>
      </c>
      <c r="N61" s="1581" t="s">
        <v>908</v>
      </c>
    </row>
    <row r="62" spans="1:14" x14ac:dyDescent="0.25">
      <c r="A62" t="s">
        <v>919</v>
      </c>
      <c r="B62" t="s">
        <v>32</v>
      </c>
      <c r="C62">
        <v>1052.25</v>
      </c>
      <c r="D62" t="s">
        <v>56</v>
      </c>
      <c r="E62" s="979">
        <v>2</v>
      </c>
      <c r="F62" s="979">
        <v>4</v>
      </c>
      <c r="G62" s="875" t="s">
        <v>894</v>
      </c>
      <c r="H62" s="1585">
        <f t="shared" si="1"/>
        <v>3133.7737407101577</v>
      </c>
      <c r="I62" s="1586" t="s">
        <v>940</v>
      </c>
    </row>
    <row r="63" spans="1:14" x14ac:dyDescent="0.25">
      <c r="A63" t="s">
        <v>920</v>
      </c>
      <c r="B63" t="s">
        <v>12</v>
      </c>
      <c r="C63">
        <v>1970</v>
      </c>
      <c r="D63" t="s">
        <v>56</v>
      </c>
      <c r="E63" s="979">
        <v>2</v>
      </c>
      <c r="F63" s="979">
        <v>4</v>
      </c>
      <c r="G63" s="875" t="s">
        <v>19</v>
      </c>
      <c r="H63" s="1585">
        <f t="shared" si="1"/>
        <v>2350.3303055326182</v>
      </c>
      <c r="I63" s="1586" t="s">
        <v>938</v>
      </c>
    </row>
    <row r="64" spans="1:14" x14ac:dyDescent="0.25">
      <c r="A64" t="s">
        <v>907</v>
      </c>
      <c r="B64" t="s">
        <v>727</v>
      </c>
      <c r="C64">
        <v>83.356643356643445</v>
      </c>
      <c r="D64" t="s">
        <v>59</v>
      </c>
      <c r="E64" s="979">
        <v>3</v>
      </c>
      <c r="F64" s="979">
        <v>4</v>
      </c>
      <c r="G64" s="875" t="s">
        <v>12</v>
      </c>
      <c r="H64" s="1585">
        <f t="shared" si="1"/>
        <v>1566.8868703550788</v>
      </c>
      <c r="I64" s="1586" t="s">
        <v>939</v>
      </c>
    </row>
    <row r="65" spans="1:14" x14ac:dyDescent="0.25">
      <c r="A65" t="s">
        <v>906</v>
      </c>
      <c r="B65" t="s">
        <v>54</v>
      </c>
      <c r="C65">
        <v>83.356643356643445</v>
      </c>
      <c r="D65" t="s">
        <v>59</v>
      </c>
      <c r="E65" s="979">
        <v>3</v>
      </c>
      <c r="F65" s="979">
        <v>5</v>
      </c>
      <c r="G65" s="875" t="s">
        <v>727</v>
      </c>
      <c r="H65" s="1585">
        <f t="shared" si="1"/>
        <v>2337.3073298514023</v>
      </c>
      <c r="I65" s="1586" t="s">
        <v>907</v>
      </c>
      <c r="L65" s="1579" t="s">
        <v>720</v>
      </c>
    </row>
    <row r="66" spans="1:14" x14ac:dyDescent="0.25">
      <c r="A66" t="s">
        <v>905</v>
      </c>
      <c r="B66" t="s">
        <v>12</v>
      </c>
      <c r="C66">
        <v>395.94405594405634</v>
      </c>
      <c r="D66" t="s">
        <v>59</v>
      </c>
      <c r="E66" s="979">
        <v>3</v>
      </c>
      <c r="F66" s="979">
        <v>5</v>
      </c>
      <c r="G66" s="875" t="s">
        <v>54</v>
      </c>
      <c r="H66" s="1585">
        <f t="shared" si="1"/>
        <v>518.84928929466525</v>
      </c>
      <c r="I66" s="1586" t="s">
        <v>906</v>
      </c>
      <c r="L66" s="1580" t="s">
        <v>241</v>
      </c>
      <c r="M66" s="1580" t="s">
        <v>493</v>
      </c>
      <c r="N66" s="1580" t="s">
        <v>903</v>
      </c>
    </row>
    <row r="67" spans="1:14" x14ac:dyDescent="0.25">
      <c r="A67" t="s">
        <v>905</v>
      </c>
      <c r="B67" t="s">
        <v>12</v>
      </c>
      <c r="C67">
        <v>3154.1391941391953</v>
      </c>
      <c r="D67" t="s">
        <v>65</v>
      </c>
      <c r="E67" s="979">
        <v>3</v>
      </c>
      <c r="F67" s="979">
        <v>5</v>
      </c>
      <c r="G67" s="875" t="s">
        <v>12</v>
      </c>
      <c r="H67" s="1585">
        <f t="shared" ref="H67:H91" si="2">SUMIFS($C:$C,$B:$B,G67,$E:$E,F67,$A:$A,I67)</f>
        <v>5947.4637774122803</v>
      </c>
      <c r="I67" s="1586" t="s">
        <v>905</v>
      </c>
      <c r="L67" s="807" t="s">
        <v>727</v>
      </c>
      <c r="M67" s="809">
        <v>1582.315374701948</v>
      </c>
      <c r="N67" s="809" t="s">
        <v>907</v>
      </c>
    </row>
    <row r="68" spans="1:14" x14ac:dyDescent="0.25">
      <c r="A68" t="s">
        <v>909</v>
      </c>
      <c r="B68" t="s">
        <v>17</v>
      </c>
      <c r="C68">
        <v>7470.3296703296737</v>
      </c>
      <c r="D68" t="s">
        <v>65</v>
      </c>
      <c r="E68" s="979">
        <v>3</v>
      </c>
      <c r="F68" s="979">
        <v>5</v>
      </c>
      <c r="G68" s="875" t="s">
        <v>17</v>
      </c>
      <c r="H68" s="1585">
        <f t="shared" si="2"/>
        <v>17221.540676994686</v>
      </c>
      <c r="I68" s="1586" t="s">
        <v>909</v>
      </c>
      <c r="L68" s="807" t="s">
        <v>54</v>
      </c>
      <c r="M68" s="809">
        <v>382.16983016983045</v>
      </c>
      <c r="N68" s="809" t="s">
        <v>906</v>
      </c>
    </row>
    <row r="69" spans="1:14" x14ac:dyDescent="0.25">
      <c r="A69" t="s">
        <v>906</v>
      </c>
      <c r="B69" t="s">
        <v>54</v>
      </c>
      <c r="C69">
        <v>298.81318681318697</v>
      </c>
      <c r="D69" t="s">
        <v>65</v>
      </c>
      <c r="E69" s="979">
        <v>3</v>
      </c>
      <c r="F69" s="979">
        <v>5</v>
      </c>
      <c r="G69" s="875" t="s">
        <v>60</v>
      </c>
      <c r="H69" s="1585">
        <f t="shared" si="2"/>
        <v>270.6851206140351</v>
      </c>
      <c r="I69" s="1586" t="s">
        <v>908</v>
      </c>
      <c r="L69" s="807" t="s">
        <v>12</v>
      </c>
      <c r="M69" s="809">
        <v>6701.0120962370984</v>
      </c>
      <c r="N69" s="809" t="s">
        <v>905</v>
      </c>
    </row>
    <row r="70" spans="1:14" x14ac:dyDescent="0.25">
      <c r="A70" t="s">
        <v>907</v>
      </c>
      <c r="B70" t="s">
        <v>727</v>
      </c>
      <c r="C70">
        <v>298.81318681318697</v>
      </c>
      <c r="D70" t="s">
        <v>65</v>
      </c>
      <c r="E70" s="979">
        <v>3</v>
      </c>
      <c r="F70" s="979">
        <v>5</v>
      </c>
      <c r="G70" s="875" t="s">
        <v>68</v>
      </c>
      <c r="H70" s="1585">
        <f t="shared" si="2"/>
        <v>102.37851562499999</v>
      </c>
      <c r="I70" s="1586" t="s">
        <v>923</v>
      </c>
      <c r="L70" s="807" t="s">
        <v>17</v>
      </c>
      <c r="M70" s="809">
        <v>16055.768391683521</v>
      </c>
      <c r="N70" s="809" t="s">
        <v>909</v>
      </c>
    </row>
    <row r="71" spans="1:14" x14ac:dyDescent="0.25">
      <c r="A71" t="s">
        <v>923</v>
      </c>
      <c r="B71" t="s">
        <v>34</v>
      </c>
      <c r="C71">
        <v>124.50549450549457</v>
      </c>
      <c r="D71" t="s">
        <v>65</v>
      </c>
      <c r="E71" s="979">
        <v>3</v>
      </c>
      <c r="F71" s="979">
        <v>5</v>
      </c>
      <c r="G71" s="875" t="s">
        <v>12</v>
      </c>
      <c r="H71" s="1585">
        <f t="shared" si="2"/>
        <v>10881.569414835953</v>
      </c>
      <c r="I71" s="1586" t="s">
        <v>920</v>
      </c>
      <c r="L71" s="807" t="s">
        <v>34</v>
      </c>
      <c r="M71" s="809">
        <v>124.50549450549457</v>
      </c>
      <c r="N71" s="809" t="s">
        <v>923</v>
      </c>
    </row>
    <row r="72" spans="1:14" x14ac:dyDescent="0.25">
      <c r="A72" t="s">
        <v>908</v>
      </c>
      <c r="B72" t="s">
        <v>60</v>
      </c>
      <c r="C72">
        <v>83.00366300366305</v>
      </c>
      <c r="D72" t="s">
        <v>65</v>
      </c>
      <c r="E72" s="979">
        <v>3</v>
      </c>
      <c r="F72" s="979">
        <v>5</v>
      </c>
      <c r="G72" s="875" t="s">
        <v>34</v>
      </c>
      <c r="H72" s="1585">
        <f t="shared" si="2"/>
        <v>41.37244897959183</v>
      </c>
      <c r="I72" s="1586" t="s">
        <v>923</v>
      </c>
      <c r="L72" s="807" t="s">
        <v>60</v>
      </c>
      <c r="M72" s="809">
        <v>83.00366300366305</v>
      </c>
      <c r="N72" s="809" t="s">
        <v>908</v>
      </c>
    </row>
    <row r="73" spans="1:14" x14ac:dyDescent="0.25">
      <c r="A73" t="s">
        <v>905</v>
      </c>
      <c r="B73" t="s">
        <v>12</v>
      </c>
      <c r="C73">
        <v>3150.9288461538472</v>
      </c>
      <c r="D73" t="s">
        <v>67</v>
      </c>
      <c r="E73" s="979">
        <v>3</v>
      </c>
      <c r="F73" s="979">
        <v>5</v>
      </c>
      <c r="G73" s="875" t="s">
        <v>730</v>
      </c>
      <c r="H73" s="1585">
        <f t="shared" si="2"/>
        <v>15.513431250000002</v>
      </c>
      <c r="I73" s="1586" t="s">
        <v>923</v>
      </c>
      <c r="L73" s="807" t="s">
        <v>12</v>
      </c>
      <c r="M73" s="809">
        <v>5222.8159293237113</v>
      </c>
      <c r="N73" s="809" t="s">
        <v>920</v>
      </c>
    </row>
    <row r="74" spans="1:14" x14ac:dyDescent="0.25">
      <c r="A74" t="s">
        <v>907</v>
      </c>
      <c r="B74" t="s">
        <v>727</v>
      </c>
      <c r="C74">
        <v>393.8661057692309</v>
      </c>
      <c r="D74" t="s">
        <v>67</v>
      </c>
      <c r="E74" s="979">
        <v>3</v>
      </c>
      <c r="F74" s="979">
        <v>5</v>
      </c>
      <c r="G74" s="875" t="s">
        <v>17</v>
      </c>
      <c r="H74" s="1585">
        <f t="shared" si="2"/>
        <v>8278.7384011220202</v>
      </c>
      <c r="I74" s="1586" t="s">
        <v>922</v>
      </c>
      <c r="L74" s="807" t="s">
        <v>28</v>
      </c>
      <c r="M74" s="809">
        <v>392</v>
      </c>
      <c r="N74" s="809" t="s">
        <v>927</v>
      </c>
    </row>
    <row r="75" spans="1:14" x14ac:dyDescent="0.25">
      <c r="A75" t="s">
        <v>909</v>
      </c>
      <c r="B75" t="s">
        <v>17</v>
      </c>
      <c r="C75">
        <v>3150.9288461538472</v>
      </c>
      <c r="D75" t="s">
        <v>67</v>
      </c>
      <c r="E75" s="979">
        <v>3</v>
      </c>
      <c r="F75" s="979">
        <v>5</v>
      </c>
      <c r="G75" s="875" t="s">
        <v>992</v>
      </c>
      <c r="H75" s="1585">
        <f t="shared" si="2"/>
        <v>1770</v>
      </c>
      <c r="I75" s="1586" t="s">
        <v>927</v>
      </c>
      <c r="L75" s="807" t="s">
        <v>30</v>
      </c>
      <c r="M75" s="809">
        <v>392</v>
      </c>
      <c r="N75" s="809" t="s">
        <v>927</v>
      </c>
    </row>
    <row r="76" spans="1:14" x14ac:dyDescent="0.25">
      <c r="A76" t="s">
        <v>920</v>
      </c>
      <c r="B76" t="s">
        <v>12</v>
      </c>
      <c r="C76">
        <v>751.18399999999997</v>
      </c>
      <c r="D76" t="s">
        <v>832</v>
      </c>
      <c r="E76" s="979">
        <v>3</v>
      </c>
      <c r="F76" s="979">
        <v>6</v>
      </c>
      <c r="G76" s="875" t="s">
        <v>32</v>
      </c>
      <c r="H76" s="1585">
        <f t="shared" si="2"/>
        <v>741.44399999999996</v>
      </c>
      <c r="I76" s="1586" t="s">
        <v>919</v>
      </c>
      <c r="L76" s="807" t="s">
        <v>32</v>
      </c>
      <c r="M76" s="809">
        <v>392</v>
      </c>
      <c r="N76" s="809" t="s">
        <v>927</v>
      </c>
    </row>
    <row r="77" spans="1:14" x14ac:dyDescent="0.25">
      <c r="A77" t="s">
        <v>920</v>
      </c>
      <c r="B77" t="s">
        <v>12</v>
      </c>
      <c r="C77">
        <v>588</v>
      </c>
      <c r="D77" t="s">
        <v>72</v>
      </c>
      <c r="E77" s="979">
        <v>3</v>
      </c>
      <c r="F77" s="979">
        <v>6</v>
      </c>
      <c r="G77" s="875" t="s">
        <v>19</v>
      </c>
      <c r="H77" s="1585">
        <f t="shared" si="2"/>
        <v>191.1</v>
      </c>
      <c r="I77" s="1586" t="s">
        <v>921</v>
      </c>
      <c r="L77" s="807" t="s">
        <v>21</v>
      </c>
      <c r="M77" s="809">
        <v>2352</v>
      </c>
      <c r="N77" s="809" t="s">
        <v>928</v>
      </c>
    </row>
    <row r="78" spans="1:14" x14ac:dyDescent="0.25">
      <c r="A78" t="s">
        <v>907</v>
      </c>
      <c r="B78" t="s">
        <v>727</v>
      </c>
      <c r="C78">
        <v>196</v>
      </c>
      <c r="D78" t="s">
        <v>72</v>
      </c>
      <c r="E78" s="979">
        <v>3</v>
      </c>
      <c r="F78" s="979">
        <v>6</v>
      </c>
      <c r="G78" s="875" t="s">
        <v>28</v>
      </c>
      <c r="H78" s="1585">
        <f t="shared" si="2"/>
        <v>487.77</v>
      </c>
      <c r="I78" s="1586" t="s">
        <v>919</v>
      </c>
      <c r="L78" s="807" t="s">
        <v>756</v>
      </c>
      <c r="M78" s="809">
        <v>17.226191752577318</v>
      </c>
      <c r="N78" s="809" t="s">
        <v>923</v>
      </c>
    </row>
    <row r="79" spans="1:14" x14ac:dyDescent="0.25">
      <c r="A79" t="s">
        <v>909</v>
      </c>
      <c r="B79" t="s">
        <v>17</v>
      </c>
      <c r="C79">
        <v>980</v>
      </c>
      <c r="D79" t="s">
        <v>72</v>
      </c>
      <c r="E79" s="979">
        <v>3</v>
      </c>
      <c r="F79" s="979">
        <v>6</v>
      </c>
      <c r="G79" s="875" t="s">
        <v>30</v>
      </c>
      <c r="H79" s="1585">
        <f t="shared" si="2"/>
        <v>487.77</v>
      </c>
      <c r="I79" s="1586" t="s">
        <v>919</v>
      </c>
      <c r="L79" s="807" t="s">
        <v>12</v>
      </c>
      <c r="M79" s="809">
        <f>2569.468+56.25</f>
        <v>2625.7179999999998</v>
      </c>
      <c r="N79" s="809" t="s">
        <v>908</v>
      </c>
    </row>
    <row r="80" spans="1:14" x14ac:dyDescent="0.25">
      <c r="A80" t="s">
        <v>909</v>
      </c>
      <c r="B80" t="s">
        <v>17</v>
      </c>
      <c r="C80">
        <v>980</v>
      </c>
      <c r="D80" t="s">
        <v>72</v>
      </c>
      <c r="E80" s="979">
        <v>3</v>
      </c>
      <c r="F80" s="979">
        <v>6</v>
      </c>
      <c r="G80" s="875" t="s">
        <v>12</v>
      </c>
      <c r="H80" s="1585">
        <f t="shared" si="2"/>
        <v>3547.5433542647838</v>
      </c>
      <c r="I80" s="1586" t="s">
        <v>920</v>
      </c>
      <c r="L80" s="807" t="s">
        <v>845</v>
      </c>
      <c r="M80" s="809">
        <v>10363</v>
      </c>
      <c r="N80" s="809" t="s">
        <v>924</v>
      </c>
    </row>
    <row r="81" spans="1:17" x14ac:dyDescent="0.25">
      <c r="A81" t="s">
        <v>927</v>
      </c>
      <c r="B81" t="s">
        <v>28</v>
      </c>
      <c r="C81">
        <v>392</v>
      </c>
      <c r="D81" t="s">
        <v>72</v>
      </c>
      <c r="E81" s="979">
        <v>3</v>
      </c>
      <c r="F81" s="979">
        <v>6</v>
      </c>
      <c r="G81" s="875" t="s">
        <v>727</v>
      </c>
      <c r="H81" s="1585">
        <f t="shared" si="2"/>
        <v>1770.3015430710132</v>
      </c>
      <c r="I81" s="1586" t="s">
        <v>907</v>
      </c>
      <c r="L81" s="807" t="s">
        <v>967</v>
      </c>
      <c r="M81" s="809">
        <v>1156.8</v>
      </c>
      <c r="N81" s="809" t="s">
        <v>923</v>
      </c>
      <c r="O81" s="1630"/>
      <c r="P81" s="1605"/>
      <c r="Q81" s="1605"/>
    </row>
    <row r="82" spans="1:17" x14ac:dyDescent="0.25">
      <c r="A82" t="s">
        <v>927</v>
      </c>
      <c r="B82" t="s">
        <v>30</v>
      </c>
      <c r="C82">
        <v>392</v>
      </c>
      <c r="D82" t="s">
        <v>72</v>
      </c>
      <c r="E82" s="979">
        <v>3</v>
      </c>
      <c r="F82" s="979">
        <v>6</v>
      </c>
      <c r="G82" s="875" t="s">
        <v>12</v>
      </c>
      <c r="H82" s="1585">
        <f t="shared" si="2"/>
        <v>1374.3874643874647</v>
      </c>
      <c r="I82" s="1586" t="s">
        <v>905</v>
      </c>
      <c r="L82" s="807" t="s">
        <v>965</v>
      </c>
      <c r="M82" s="809">
        <v>225</v>
      </c>
      <c r="N82" s="809" t="s">
        <v>908</v>
      </c>
      <c r="O82" s="1630"/>
      <c r="P82" s="1605"/>
      <c r="Q82" s="1605"/>
    </row>
    <row r="83" spans="1:17" x14ac:dyDescent="0.25">
      <c r="A83" t="s">
        <v>927</v>
      </c>
      <c r="B83" t="s">
        <v>32</v>
      </c>
      <c r="C83">
        <v>392</v>
      </c>
      <c r="D83" t="s">
        <v>72</v>
      </c>
      <c r="E83" s="979">
        <v>3</v>
      </c>
      <c r="F83" s="979">
        <v>6</v>
      </c>
      <c r="G83" s="875" t="s">
        <v>17</v>
      </c>
      <c r="H83" s="1585">
        <f t="shared" si="2"/>
        <v>20922.424123495559</v>
      </c>
      <c r="I83" s="1586" t="s">
        <v>909</v>
      </c>
      <c r="L83" s="807" t="s">
        <v>754</v>
      </c>
      <c r="M83" s="809">
        <v>23.625</v>
      </c>
      <c r="N83" s="809" t="s">
        <v>964</v>
      </c>
    </row>
    <row r="84" spans="1:17" x14ac:dyDescent="0.25">
      <c r="A84" t="s">
        <v>928</v>
      </c>
      <c r="B84" t="s">
        <v>21</v>
      </c>
      <c r="C84">
        <v>2352</v>
      </c>
      <c r="D84" t="s">
        <v>72</v>
      </c>
      <c r="E84" s="979">
        <v>3</v>
      </c>
      <c r="F84" s="979">
        <v>6</v>
      </c>
      <c r="G84" s="875" t="s">
        <v>12</v>
      </c>
      <c r="H84" s="1585">
        <f t="shared" si="2"/>
        <v>3050.5141287284155</v>
      </c>
      <c r="I84" s="1586" t="s">
        <v>919</v>
      </c>
      <c r="L84" s="807" t="s">
        <v>17</v>
      </c>
      <c r="M84" s="809">
        <v>56.25</v>
      </c>
      <c r="N84" s="809" t="s">
        <v>908</v>
      </c>
      <c r="O84" s="1630"/>
      <c r="P84" s="1605"/>
      <c r="Q84" s="1605"/>
    </row>
    <row r="85" spans="1:17" x14ac:dyDescent="0.25">
      <c r="A85" t="s">
        <v>920</v>
      </c>
      <c r="B85" t="s">
        <v>12</v>
      </c>
      <c r="C85">
        <v>3474.5098751999999</v>
      </c>
      <c r="D85" t="s">
        <v>73</v>
      </c>
      <c r="E85" s="979">
        <v>3</v>
      </c>
      <c r="F85" s="979">
        <v>6</v>
      </c>
      <c r="G85" s="875" t="s">
        <v>17</v>
      </c>
      <c r="H85" s="1585">
        <f t="shared" si="2"/>
        <v>20922.424123495559</v>
      </c>
      <c r="I85" s="1586" t="s">
        <v>986</v>
      </c>
      <c r="L85" s="807" t="s">
        <v>17</v>
      </c>
      <c r="M85" s="809">
        <v>437.92</v>
      </c>
      <c r="N85" s="809" t="s">
        <v>968</v>
      </c>
      <c r="O85" s="1630"/>
      <c r="P85" s="1605"/>
      <c r="Q85" s="1605"/>
    </row>
    <row r="86" spans="1:17" x14ac:dyDescent="0.25">
      <c r="A86" t="s">
        <v>909</v>
      </c>
      <c r="B86" t="s">
        <v>17</v>
      </c>
      <c r="C86">
        <v>3474.5098751999999</v>
      </c>
      <c r="D86" t="s">
        <v>73</v>
      </c>
      <c r="E86" s="979">
        <v>3</v>
      </c>
      <c r="F86" s="979">
        <v>6</v>
      </c>
      <c r="G86" s="875" t="s">
        <v>54</v>
      </c>
      <c r="H86" s="1585">
        <f t="shared" si="2"/>
        <v>935.97252747252776</v>
      </c>
      <c r="I86" s="1586" t="s">
        <v>906</v>
      </c>
      <c r="L86" s="807" t="s">
        <v>32</v>
      </c>
      <c r="M86" s="809">
        <v>1055.1333333333334</v>
      </c>
      <c r="N86" s="809" t="s">
        <v>908</v>
      </c>
    </row>
    <row r="87" spans="1:17" x14ac:dyDescent="0.25">
      <c r="A87" t="s">
        <v>907</v>
      </c>
      <c r="B87" t="s">
        <v>727</v>
      </c>
      <c r="C87">
        <v>208.80467999999999</v>
      </c>
      <c r="D87" t="s">
        <v>73</v>
      </c>
      <c r="E87" s="979">
        <v>3</v>
      </c>
      <c r="F87" s="979">
        <v>6</v>
      </c>
      <c r="G87" s="875" t="s">
        <v>40</v>
      </c>
      <c r="H87" s="1585">
        <f t="shared" si="2"/>
        <v>1712.8205128205136</v>
      </c>
      <c r="I87" s="1586" t="s">
        <v>987</v>
      </c>
      <c r="O87" s="1605"/>
      <c r="P87" s="1605"/>
      <c r="Q87" s="1605"/>
    </row>
    <row r="88" spans="1:17" x14ac:dyDescent="0.25">
      <c r="A88" t="s">
        <v>920</v>
      </c>
      <c r="B88" t="s">
        <v>12</v>
      </c>
      <c r="C88">
        <v>409.12205412371128</v>
      </c>
      <c r="D88" t="s">
        <v>74</v>
      </c>
      <c r="E88" s="979">
        <v>3</v>
      </c>
      <c r="F88" s="979">
        <v>6</v>
      </c>
      <c r="G88" s="875" t="s">
        <v>757</v>
      </c>
      <c r="H88" s="1585">
        <f t="shared" si="2"/>
        <v>38.828100470957629</v>
      </c>
      <c r="I88" s="1586" t="s">
        <v>988</v>
      </c>
    </row>
    <row r="89" spans="1:17" x14ac:dyDescent="0.25">
      <c r="A89" t="s">
        <v>907</v>
      </c>
      <c r="B89" t="s">
        <v>727</v>
      </c>
      <c r="C89">
        <v>86.130958762886593</v>
      </c>
      <c r="D89" t="s">
        <v>74</v>
      </c>
      <c r="E89" s="979">
        <v>3</v>
      </c>
      <c r="F89" s="979">
        <v>6</v>
      </c>
      <c r="G89" s="875" t="s">
        <v>60</v>
      </c>
      <c r="H89" s="1585">
        <f t="shared" si="2"/>
        <v>77.656200941915259</v>
      </c>
      <c r="I89" s="1586" t="s">
        <v>908</v>
      </c>
      <c r="L89" s="1579" t="s">
        <v>721</v>
      </c>
    </row>
    <row r="90" spans="1:17" x14ac:dyDescent="0.25">
      <c r="A90" t="s">
        <v>923</v>
      </c>
      <c r="B90" t="s">
        <v>756</v>
      </c>
      <c r="C90">
        <v>17.226191752577318</v>
      </c>
      <c r="D90" t="s">
        <v>74</v>
      </c>
      <c r="E90" s="979">
        <v>3</v>
      </c>
      <c r="F90" s="979">
        <v>6</v>
      </c>
      <c r="G90" s="875" t="s">
        <v>70</v>
      </c>
      <c r="H90" s="1585">
        <f t="shared" si="2"/>
        <v>408.03750000000002</v>
      </c>
      <c r="I90" s="1586" t="s">
        <v>908</v>
      </c>
      <c r="L90" s="1580" t="s">
        <v>241</v>
      </c>
      <c r="M90" s="1580" t="s">
        <v>493</v>
      </c>
      <c r="N90" s="1580" t="s">
        <v>903</v>
      </c>
    </row>
    <row r="91" spans="1:17" x14ac:dyDescent="0.25">
      <c r="A91" t="s">
        <v>908</v>
      </c>
      <c r="B91" t="s">
        <v>12</v>
      </c>
      <c r="C91">
        <v>2569.4680000000003</v>
      </c>
      <c r="D91" t="s">
        <v>695</v>
      </c>
      <c r="E91" s="979">
        <v>3</v>
      </c>
      <c r="F91" s="979">
        <v>6</v>
      </c>
      <c r="G91" s="875" t="s">
        <v>60</v>
      </c>
      <c r="H91" s="1585">
        <f t="shared" si="2"/>
        <v>149.5</v>
      </c>
      <c r="I91" s="1586" t="s">
        <v>947</v>
      </c>
      <c r="L91" s="1582" t="s">
        <v>727</v>
      </c>
      <c r="M91" s="1584">
        <v>1967.0822465200986</v>
      </c>
      <c r="N91" s="1581" t="s">
        <v>907</v>
      </c>
    </row>
    <row r="92" spans="1:17" x14ac:dyDescent="0.25">
      <c r="A92" t="s">
        <v>907</v>
      </c>
      <c r="B92" t="s">
        <v>727</v>
      </c>
      <c r="C92">
        <v>315.34380000000004</v>
      </c>
      <c r="D92" t="s">
        <v>695</v>
      </c>
      <c r="E92" s="979">
        <v>3</v>
      </c>
      <c r="L92" s="1582" t="s">
        <v>754</v>
      </c>
      <c r="M92" s="1584">
        <v>2764.4744645185333</v>
      </c>
      <c r="N92" s="1581" t="s">
        <v>927</v>
      </c>
    </row>
    <row r="93" spans="1:17" x14ac:dyDescent="0.25">
      <c r="A93" t="s">
        <v>927</v>
      </c>
      <c r="B93" t="s">
        <v>992</v>
      </c>
      <c r="C93">
        <v>2210</v>
      </c>
      <c r="D93" t="s">
        <v>882</v>
      </c>
      <c r="E93" s="979">
        <v>3</v>
      </c>
      <c r="L93" s="1582" t="s">
        <v>12</v>
      </c>
      <c r="M93" s="1584">
        <v>1110.3009419152281</v>
      </c>
      <c r="N93" s="1581" t="s">
        <v>905</v>
      </c>
    </row>
    <row r="94" spans="1:17" x14ac:dyDescent="0.25">
      <c r="A94" t="s">
        <v>921</v>
      </c>
      <c r="B94" t="s">
        <v>845</v>
      </c>
      <c r="C94">
        <v>5525</v>
      </c>
      <c r="D94" t="s">
        <v>882</v>
      </c>
      <c r="E94" s="979">
        <v>3</v>
      </c>
      <c r="L94" s="1582" t="s">
        <v>12</v>
      </c>
      <c r="M94" s="1584">
        <v>8595.5036050954714</v>
      </c>
      <c r="N94" s="1581" t="s">
        <v>920</v>
      </c>
    </row>
    <row r="95" spans="1:17" x14ac:dyDescent="0.25">
      <c r="A95" t="s">
        <v>907</v>
      </c>
      <c r="B95" t="s">
        <v>727</v>
      </c>
      <c r="C95">
        <v>133.84255999999996</v>
      </c>
      <c r="D95" t="s">
        <v>91</v>
      </c>
      <c r="E95" s="979">
        <v>4</v>
      </c>
      <c r="L95" s="1582" t="s">
        <v>19</v>
      </c>
      <c r="M95" s="1584">
        <v>3656.068491960018</v>
      </c>
      <c r="N95" s="1581" t="s">
        <v>925</v>
      </c>
    </row>
    <row r="96" spans="1:17" x14ac:dyDescent="0.25">
      <c r="A96" t="s">
        <v>905</v>
      </c>
      <c r="B96" t="s">
        <v>12</v>
      </c>
      <c r="C96">
        <v>433.31632653061212</v>
      </c>
      <c r="D96" t="s">
        <v>96</v>
      </c>
      <c r="E96" s="979">
        <v>4</v>
      </c>
      <c r="L96" s="1582" t="s">
        <v>17</v>
      </c>
      <c r="M96" s="1584">
        <v>10895.90433376148</v>
      </c>
      <c r="N96" s="1581" t="s">
        <v>909</v>
      </c>
    </row>
    <row r="97" spans="1:14" x14ac:dyDescent="0.25">
      <c r="A97" t="s">
        <v>907</v>
      </c>
      <c r="B97" t="s">
        <v>727</v>
      </c>
      <c r="C97">
        <v>136.83673469387753</v>
      </c>
      <c r="D97" t="s">
        <v>96</v>
      </c>
      <c r="E97" s="979">
        <v>4</v>
      </c>
      <c r="L97" s="1582" t="s">
        <v>54</v>
      </c>
      <c r="M97" s="1584">
        <v>313.87703962703984</v>
      </c>
      <c r="N97" s="1581" t="s">
        <v>906</v>
      </c>
    </row>
    <row r="98" spans="1:14" x14ac:dyDescent="0.25">
      <c r="A98" t="s">
        <v>927</v>
      </c>
      <c r="B98" t="s">
        <v>754</v>
      </c>
      <c r="C98">
        <v>1596.4285714285713</v>
      </c>
      <c r="D98" t="s">
        <v>96</v>
      </c>
      <c r="E98" s="979">
        <v>4</v>
      </c>
      <c r="L98" s="1582" t="s">
        <v>12</v>
      </c>
      <c r="M98" s="1584">
        <v>1703.6020408163263</v>
      </c>
      <c r="N98" s="1581" t="s">
        <v>908</v>
      </c>
    </row>
    <row r="99" spans="1:14" x14ac:dyDescent="0.25">
      <c r="A99" t="s">
        <v>905</v>
      </c>
      <c r="B99" t="s">
        <v>12</v>
      </c>
      <c r="C99">
        <v>676.98461538461606</v>
      </c>
      <c r="D99" t="s">
        <v>98</v>
      </c>
      <c r="E99" s="979">
        <v>4</v>
      </c>
      <c r="L99" s="1582" t="s">
        <v>480</v>
      </c>
      <c r="M99" s="1584">
        <v>2011</v>
      </c>
      <c r="N99" s="1581" t="s">
        <v>926</v>
      </c>
    </row>
    <row r="100" spans="1:14" x14ac:dyDescent="0.25">
      <c r="A100" t="s">
        <v>907</v>
      </c>
      <c r="B100" t="s">
        <v>727</v>
      </c>
      <c r="C100">
        <v>101.5476923076924</v>
      </c>
      <c r="D100" t="s">
        <v>98</v>
      </c>
      <c r="E100" s="979">
        <v>4</v>
      </c>
      <c r="L100" s="1582" t="s">
        <v>17</v>
      </c>
      <c r="M100" s="1584">
        <v>1990.0000000000002</v>
      </c>
      <c r="N100" s="1581" t="s">
        <v>924</v>
      </c>
    </row>
    <row r="101" spans="1:14" x14ac:dyDescent="0.25">
      <c r="A101" t="s">
        <v>927</v>
      </c>
      <c r="B101" t="s">
        <v>754</v>
      </c>
      <c r="C101">
        <v>356.30769230769266</v>
      </c>
      <c r="D101" t="s">
        <v>98</v>
      </c>
      <c r="E101" s="979">
        <v>4</v>
      </c>
      <c r="L101" s="1582" t="s">
        <v>21</v>
      </c>
      <c r="M101" s="1584">
        <v>3377.1267078848946</v>
      </c>
      <c r="N101" s="1581" t="s">
        <v>908</v>
      </c>
    </row>
    <row r="102" spans="1:14" x14ac:dyDescent="0.25">
      <c r="A102" t="s">
        <v>907</v>
      </c>
      <c r="B102" t="s">
        <v>727</v>
      </c>
      <c r="C102">
        <v>96.393911342894469</v>
      </c>
      <c r="D102" t="s">
        <v>102</v>
      </c>
      <c r="E102" s="979">
        <v>4</v>
      </c>
      <c r="L102" s="1582" t="s">
        <v>727</v>
      </c>
      <c r="M102" s="1584">
        <v>313.37737407101577</v>
      </c>
      <c r="N102" s="1581" t="s">
        <v>937</v>
      </c>
    </row>
    <row r="103" spans="1:14" x14ac:dyDescent="0.25">
      <c r="A103" t="s">
        <v>920</v>
      </c>
      <c r="B103" t="s">
        <v>12</v>
      </c>
      <c r="C103">
        <v>771.15129074315576</v>
      </c>
      <c r="D103" t="s">
        <v>102</v>
      </c>
      <c r="E103" s="979">
        <v>4</v>
      </c>
      <c r="L103" s="1582" t="s">
        <v>894</v>
      </c>
      <c r="M103" s="1584">
        <v>3133.7737407101577</v>
      </c>
      <c r="N103" s="1581" t="s">
        <v>940</v>
      </c>
    </row>
    <row r="104" spans="1:14" x14ac:dyDescent="0.25">
      <c r="A104" t="s">
        <v>927</v>
      </c>
      <c r="B104" t="s">
        <v>754</v>
      </c>
      <c r="C104">
        <v>811.73820078226925</v>
      </c>
      <c r="D104" t="s">
        <v>102</v>
      </c>
      <c r="E104" s="979">
        <v>4</v>
      </c>
      <c r="L104" s="1582" t="s">
        <v>19</v>
      </c>
      <c r="M104" s="1584">
        <v>2350.3303055326182</v>
      </c>
      <c r="N104" s="1581" t="s">
        <v>938</v>
      </c>
    </row>
    <row r="105" spans="1:14" x14ac:dyDescent="0.25">
      <c r="A105" t="s">
        <v>925</v>
      </c>
      <c r="B105" t="s">
        <v>19</v>
      </c>
      <c r="C105">
        <v>304.40182529335095</v>
      </c>
      <c r="D105" t="s">
        <v>102</v>
      </c>
      <c r="E105" s="979">
        <v>4</v>
      </c>
      <c r="L105" s="1582" t="s">
        <v>12</v>
      </c>
      <c r="M105" s="1584">
        <v>1566.8868703550788</v>
      </c>
      <c r="N105" s="1581" t="s">
        <v>939</v>
      </c>
    </row>
    <row r="106" spans="1:14" x14ac:dyDescent="0.25">
      <c r="A106" t="s">
        <v>920</v>
      </c>
      <c r="B106" t="s">
        <v>12</v>
      </c>
      <c r="C106">
        <v>1251.1655011655025</v>
      </c>
      <c r="D106" t="s">
        <v>104</v>
      </c>
      <c r="E106" s="979">
        <v>4</v>
      </c>
      <c r="L106" s="1582" t="s">
        <v>845</v>
      </c>
      <c r="M106" s="1584">
        <v>18662</v>
      </c>
      <c r="N106" s="1581" t="s">
        <v>927</v>
      </c>
    </row>
    <row r="107" spans="1:14" x14ac:dyDescent="0.25">
      <c r="A107" t="s">
        <v>909</v>
      </c>
      <c r="B107" t="s">
        <v>17</v>
      </c>
      <c r="C107">
        <v>3127.9137529137561</v>
      </c>
      <c r="D107" t="s">
        <v>104</v>
      </c>
      <c r="E107" s="979">
        <v>4</v>
      </c>
      <c r="L107" s="1582" t="s">
        <v>992</v>
      </c>
      <c r="M107" s="1584">
        <v>2260</v>
      </c>
      <c r="N107" s="1581" t="s">
        <v>970</v>
      </c>
    </row>
    <row r="108" spans="1:14" x14ac:dyDescent="0.25">
      <c r="A108" t="s">
        <v>906</v>
      </c>
      <c r="B108" t="s">
        <v>54</v>
      </c>
      <c r="C108">
        <v>164.62703962703981</v>
      </c>
      <c r="D108" t="s">
        <v>104</v>
      </c>
      <c r="E108" s="979">
        <v>4</v>
      </c>
      <c r="L108" s="1582" t="s">
        <v>967</v>
      </c>
      <c r="M108" s="1584">
        <v>1456</v>
      </c>
      <c r="N108" s="1581" t="s">
        <v>923</v>
      </c>
    </row>
    <row r="109" spans="1:14" x14ac:dyDescent="0.25">
      <c r="A109" t="s">
        <v>907</v>
      </c>
      <c r="B109" t="s">
        <v>727</v>
      </c>
      <c r="C109">
        <v>263.40326340326374</v>
      </c>
      <c r="D109" t="s">
        <v>104</v>
      </c>
      <c r="E109" s="979">
        <v>4</v>
      </c>
      <c r="L109" s="1582" t="s">
        <v>19</v>
      </c>
      <c r="M109" s="1584">
        <v>264.16551724137929</v>
      </c>
      <c r="N109" s="1581" t="s">
        <v>971</v>
      </c>
    </row>
    <row r="110" spans="1:14" x14ac:dyDescent="0.25">
      <c r="A110" t="s">
        <v>920</v>
      </c>
      <c r="B110" t="s">
        <v>12</v>
      </c>
      <c r="C110">
        <v>3584.4113029827317</v>
      </c>
      <c r="D110" t="s">
        <v>106</v>
      </c>
      <c r="E110" s="979">
        <v>4</v>
      </c>
      <c r="L110" s="1582" t="s">
        <v>965</v>
      </c>
      <c r="M110" s="1584">
        <v>293.8262068965517</v>
      </c>
      <c r="N110" s="1581" t="s">
        <v>908</v>
      </c>
    </row>
    <row r="111" spans="1:14" x14ac:dyDescent="0.25">
      <c r="A111" t="s">
        <v>907</v>
      </c>
      <c r="B111" t="s">
        <v>727</v>
      </c>
      <c r="C111">
        <v>298.70094191522765</v>
      </c>
      <c r="D111" t="s">
        <v>106</v>
      </c>
      <c r="E111" s="979">
        <v>4</v>
      </c>
      <c r="L111" s="1582" t="s">
        <v>40</v>
      </c>
      <c r="M111" s="1584">
        <v>527.75172413793109</v>
      </c>
      <c r="N111" s="1581" t="s">
        <v>908</v>
      </c>
    </row>
    <row r="112" spans="1:14" x14ac:dyDescent="0.25">
      <c r="A112" t="s">
        <v>909</v>
      </c>
      <c r="B112" t="s">
        <v>17</v>
      </c>
      <c r="C112">
        <v>4779.2150706436423</v>
      </c>
      <c r="D112" t="s">
        <v>106</v>
      </c>
      <c r="E112" s="979">
        <v>4</v>
      </c>
      <c r="L112" s="1582" t="s">
        <v>845</v>
      </c>
      <c r="M112" s="1584">
        <v>3612</v>
      </c>
      <c r="N112" s="1581" t="s">
        <v>972</v>
      </c>
    </row>
    <row r="113" spans="1:14" x14ac:dyDescent="0.25">
      <c r="A113" t="s">
        <v>920</v>
      </c>
      <c r="B113" t="s">
        <v>12</v>
      </c>
      <c r="C113">
        <v>2988.7755102040815</v>
      </c>
      <c r="D113" t="s">
        <v>825</v>
      </c>
      <c r="E113" s="979">
        <v>4</v>
      </c>
      <c r="L113" s="1582" t="s">
        <v>992</v>
      </c>
      <c r="M113" s="1584">
        <v>630</v>
      </c>
      <c r="N113" s="1581" t="s">
        <v>973</v>
      </c>
    </row>
    <row r="114" spans="1:14" x14ac:dyDescent="0.25">
      <c r="A114" t="s">
        <v>907</v>
      </c>
      <c r="B114" t="s">
        <v>727</v>
      </c>
      <c r="C114">
        <v>239.10204081632654</v>
      </c>
      <c r="D114" t="s">
        <v>825</v>
      </c>
      <c r="E114" s="979">
        <v>4</v>
      </c>
    </row>
    <row r="115" spans="1:14" x14ac:dyDescent="0.25">
      <c r="A115" t="s">
        <v>908</v>
      </c>
      <c r="B115" t="s">
        <v>12</v>
      </c>
      <c r="C115">
        <v>1703.6020408163263</v>
      </c>
      <c r="D115" t="s">
        <v>109</v>
      </c>
      <c r="E115" s="979">
        <v>4</v>
      </c>
    </row>
    <row r="116" spans="1:14" x14ac:dyDescent="0.25">
      <c r="A116" t="s">
        <v>907</v>
      </c>
      <c r="B116" t="s">
        <v>727</v>
      </c>
      <c r="C116">
        <v>597.75510204081627</v>
      </c>
      <c r="D116" t="s">
        <v>109</v>
      </c>
      <c r="E116" s="979">
        <v>4</v>
      </c>
      <c r="L116" s="1579" t="s">
        <v>722</v>
      </c>
    </row>
    <row r="117" spans="1:14" x14ac:dyDescent="0.25">
      <c r="A117" t="s">
        <v>909</v>
      </c>
      <c r="B117" t="s">
        <v>17</v>
      </c>
      <c r="C117">
        <v>2988.7755102040815</v>
      </c>
      <c r="D117" t="s">
        <v>109</v>
      </c>
      <c r="E117" s="979">
        <v>4</v>
      </c>
      <c r="L117" s="1580" t="s">
        <v>241</v>
      </c>
      <c r="M117" s="1580" t="s">
        <v>493</v>
      </c>
      <c r="N117" s="1580" t="s">
        <v>903</v>
      </c>
    </row>
    <row r="118" spans="1:14" x14ac:dyDescent="0.25">
      <c r="A118" t="s">
        <v>925</v>
      </c>
      <c r="B118" t="s">
        <v>19</v>
      </c>
      <c r="C118">
        <v>3351.666666666667</v>
      </c>
      <c r="D118" t="s">
        <v>475</v>
      </c>
      <c r="E118" s="979">
        <v>4</v>
      </c>
      <c r="L118" s="1582" t="s">
        <v>32</v>
      </c>
      <c r="M118" s="1584">
        <v>693.87899999999991</v>
      </c>
      <c r="N118" s="1581" t="s">
        <v>919</v>
      </c>
    </row>
    <row r="119" spans="1:14" x14ac:dyDescent="0.25">
      <c r="A119" t="s">
        <v>926</v>
      </c>
      <c r="B119" t="s">
        <v>480</v>
      </c>
      <c r="C119">
        <v>2011</v>
      </c>
      <c r="D119" t="s">
        <v>475</v>
      </c>
      <c r="E119" s="979">
        <v>4</v>
      </c>
      <c r="L119" s="1582" t="s">
        <v>19</v>
      </c>
      <c r="M119" s="1584">
        <v>178.05</v>
      </c>
      <c r="N119" s="1581" t="s">
        <v>921</v>
      </c>
    </row>
    <row r="120" spans="1:14" x14ac:dyDescent="0.25">
      <c r="A120" t="s">
        <v>924</v>
      </c>
      <c r="B120" t="s">
        <v>17</v>
      </c>
      <c r="C120">
        <v>1990.0000000000002</v>
      </c>
      <c r="D120" t="s">
        <v>112</v>
      </c>
      <c r="E120" s="979">
        <v>4</v>
      </c>
      <c r="L120" s="1582" t="s">
        <v>28</v>
      </c>
      <c r="M120" s="1584">
        <v>440.20500000000004</v>
      </c>
      <c r="N120" s="1581" t="s">
        <v>919</v>
      </c>
    </row>
    <row r="121" spans="1:14" x14ac:dyDescent="0.25">
      <c r="A121" t="s">
        <v>907</v>
      </c>
      <c r="B121" t="s">
        <v>727</v>
      </c>
      <c r="C121">
        <v>99.500000000000014</v>
      </c>
      <c r="D121" t="s">
        <v>112</v>
      </c>
      <c r="E121" s="979">
        <v>4</v>
      </c>
      <c r="L121" s="1582" t="s">
        <v>30</v>
      </c>
      <c r="M121" s="1584">
        <v>440.20500000000004</v>
      </c>
      <c r="N121" s="1581" t="s">
        <v>919</v>
      </c>
    </row>
    <row r="122" spans="1:14" x14ac:dyDescent="0.25">
      <c r="A122" t="s">
        <v>906</v>
      </c>
      <c r="B122" t="s">
        <v>54</v>
      </c>
      <c r="C122">
        <v>149.25000000000003</v>
      </c>
      <c r="D122" t="s">
        <v>112</v>
      </c>
      <c r="E122" s="979">
        <v>4</v>
      </c>
      <c r="L122" s="1582" t="s">
        <v>12</v>
      </c>
      <c r="M122" s="1584">
        <v>292.65000000000003</v>
      </c>
      <c r="N122" s="1581" t="s">
        <v>920</v>
      </c>
    </row>
    <row r="123" spans="1:14" x14ac:dyDescent="0.25">
      <c r="A123" t="s">
        <v>908</v>
      </c>
      <c r="B123" t="s">
        <v>21</v>
      </c>
      <c r="C123">
        <v>3377.1267078848946</v>
      </c>
      <c r="D123" t="s">
        <v>114</v>
      </c>
      <c r="E123" s="979">
        <v>4</v>
      </c>
      <c r="L123" s="1582" t="s">
        <v>727</v>
      </c>
      <c r="M123" s="1584">
        <v>58.53</v>
      </c>
      <c r="N123" s="1581" t="s">
        <v>907</v>
      </c>
    </row>
    <row r="124" spans="1:14" x14ac:dyDescent="0.25">
      <c r="A124" t="s">
        <v>937</v>
      </c>
      <c r="B124" t="s">
        <v>727</v>
      </c>
      <c r="C124">
        <v>313.37737407101577</v>
      </c>
      <c r="D124" t="s">
        <v>892</v>
      </c>
      <c r="E124" s="979">
        <v>4</v>
      </c>
      <c r="L124" s="1582" t="s">
        <v>727</v>
      </c>
      <c r="M124" s="1584">
        <v>365.29914529914544</v>
      </c>
      <c r="N124" s="1581" t="s">
        <v>13</v>
      </c>
    </row>
    <row r="125" spans="1:14" x14ac:dyDescent="0.25">
      <c r="A125" t="s">
        <v>940</v>
      </c>
      <c r="B125" t="s">
        <v>894</v>
      </c>
      <c r="C125">
        <v>3133.7737407101577</v>
      </c>
      <c r="D125" t="s">
        <v>892</v>
      </c>
      <c r="E125" s="979">
        <v>4</v>
      </c>
      <c r="L125" s="1582" t="s">
        <v>845</v>
      </c>
      <c r="M125" s="1584">
        <v>10105</v>
      </c>
      <c r="N125" s="1581" t="s">
        <v>924</v>
      </c>
    </row>
    <row r="126" spans="1:14" x14ac:dyDescent="0.25">
      <c r="A126" t="s">
        <v>938</v>
      </c>
      <c r="B126" t="s">
        <v>19</v>
      </c>
      <c r="C126">
        <v>2350.3303055326182</v>
      </c>
      <c r="D126" t="s">
        <v>892</v>
      </c>
      <c r="E126" s="979">
        <v>4</v>
      </c>
      <c r="L126" s="1582" t="s">
        <v>967</v>
      </c>
      <c r="M126" s="1584">
        <v>1128</v>
      </c>
      <c r="N126" s="1581" t="s">
        <v>923</v>
      </c>
    </row>
    <row r="127" spans="1:14" x14ac:dyDescent="0.25">
      <c r="A127" t="s">
        <v>939</v>
      </c>
      <c r="B127" t="s">
        <v>12</v>
      </c>
      <c r="C127">
        <v>1566.8868703550788</v>
      </c>
      <c r="D127" t="s">
        <v>892</v>
      </c>
      <c r="E127" s="979">
        <v>4</v>
      </c>
      <c r="L127" s="1582" t="s">
        <v>19</v>
      </c>
      <c r="M127" s="1584">
        <v>430.84137931034485</v>
      </c>
      <c r="N127" s="1581" t="s">
        <v>971</v>
      </c>
    </row>
    <row r="128" spans="1:14" x14ac:dyDescent="0.25">
      <c r="A128" t="s">
        <v>907</v>
      </c>
      <c r="B128" t="s">
        <v>727</v>
      </c>
      <c r="C128">
        <v>203.00210526315792</v>
      </c>
      <c r="D128" t="s">
        <v>123</v>
      </c>
      <c r="E128" s="979">
        <v>5</v>
      </c>
      <c r="L128" s="1582" t="s">
        <v>965</v>
      </c>
      <c r="M128" s="1584">
        <v>479.2165517241379</v>
      </c>
      <c r="N128" s="1581" t="s">
        <v>908</v>
      </c>
    </row>
    <row r="129" spans="1:14" x14ac:dyDescent="0.25">
      <c r="A129" t="s">
        <v>906</v>
      </c>
      <c r="B129" t="s">
        <v>54</v>
      </c>
      <c r="C129">
        <v>203.00210526315792</v>
      </c>
      <c r="D129" t="s">
        <v>123</v>
      </c>
      <c r="E129" s="979">
        <v>5</v>
      </c>
      <c r="L129" s="1582" t="s">
        <v>40</v>
      </c>
      <c r="M129" s="1584">
        <v>860.73793103448281</v>
      </c>
      <c r="N129" s="1581" t="s">
        <v>908</v>
      </c>
    </row>
    <row r="130" spans="1:14" x14ac:dyDescent="0.25">
      <c r="A130" t="s">
        <v>905</v>
      </c>
      <c r="B130" t="s">
        <v>12</v>
      </c>
      <c r="C130">
        <v>1523.1059649122808</v>
      </c>
      <c r="D130" t="s">
        <v>125</v>
      </c>
      <c r="E130" s="979">
        <v>5</v>
      </c>
      <c r="L130" s="1582" t="s">
        <v>845</v>
      </c>
      <c r="M130" s="1584">
        <v>5891</v>
      </c>
      <c r="N130" s="1581" t="s">
        <v>972</v>
      </c>
    </row>
    <row r="131" spans="1:14" x14ac:dyDescent="0.25">
      <c r="A131" t="s">
        <v>909</v>
      </c>
      <c r="B131" t="s">
        <v>17</v>
      </c>
      <c r="C131">
        <v>7615.5298245614031</v>
      </c>
      <c r="D131" t="s">
        <v>125</v>
      </c>
      <c r="E131" s="979">
        <v>5</v>
      </c>
      <c r="L131" s="1582" t="s">
        <v>992</v>
      </c>
      <c r="M131" s="1584">
        <v>1027.5</v>
      </c>
      <c r="N131" s="1581" t="s">
        <v>973</v>
      </c>
    </row>
    <row r="132" spans="1:14" x14ac:dyDescent="0.25">
      <c r="A132" t="s">
        <v>906</v>
      </c>
      <c r="B132" t="s">
        <v>54</v>
      </c>
      <c r="C132">
        <v>95.19412280701755</v>
      </c>
      <c r="D132" t="s">
        <v>125</v>
      </c>
      <c r="E132" s="979">
        <v>5</v>
      </c>
      <c r="L132" s="875"/>
      <c r="M132" s="1585"/>
      <c r="N132" s="1586"/>
    </row>
    <row r="133" spans="1:14" x14ac:dyDescent="0.25">
      <c r="A133" t="s">
        <v>907</v>
      </c>
      <c r="B133" t="s">
        <v>727</v>
      </c>
      <c r="C133">
        <v>380.7764912280702</v>
      </c>
      <c r="D133" t="s">
        <v>125</v>
      </c>
      <c r="E133" s="979">
        <v>5</v>
      </c>
    </row>
    <row r="134" spans="1:14" x14ac:dyDescent="0.25">
      <c r="A134" t="s">
        <v>908</v>
      </c>
      <c r="B134" t="s">
        <v>60</v>
      </c>
      <c r="C134">
        <v>190.3882456140351</v>
      </c>
      <c r="D134" t="s">
        <v>125</v>
      </c>
      <c r="E134" s="979">
        <v>5</v>
      </c>
    </row>
    <row r="135" spans="1:14" x14ac:dyDescent="0.25">
      <c r="A135" t="s">
        <v>905</v>
      </c>
      <c r="B135" t="s">
        <v>12</v>
      </c>
      <c r="C135">
        <v>4424.3578124999995</v>
      </c>
      <c r="D135" t="s">
        <v>127</v>
      </c>
      <c r="E135" s="979">
        <v>5</v>
      </c>
      <c r="L135" s="1579" t="s">
        <v>723</v>
      </c>
    </row>
    <row r="136" spans="1:14" x14ac:dyDescent="0.25">
      <c r="A136" t="s">
        <v>907</v>
      </c>
      <c r="B136" t="s">
        <v>727</v>
      </c>
      <c r="C136">
        <v>114.423046875</v>
      </c>
      <c r="D136" t="s">
        <v>127</v>
      </c>
      <c r="E136" s="979">
        <v>5</v>
      </c>
      <c r="L136" s="1580" t="s">
        <v>241</v>
      </c>
      <c r="M136" s="1580" t="s">
        <v>493</v>
      </c>
      <c r="N136" s="1580" t="s">
        <v>903</v>
      </c>
    </row>
    <row r="137" spans="1:14" x14ac:dyDescent="0.25">
      <c r="A137" t="s">
        <v>908</v>
      </c>
      <c r="B137" t="s">
        <v>60</v>
      </c>
      <c r="C137">
        <v>80.296875</v>
      </c>
      <c r="D137" t="s">
        <v>127</v>
      </c>
      <c r="E137" s="979">
        <v>5</v>
      </c>
      <c r="L137" s="1582" t="s">
        <v>32</v>
      </c>
      <c r="M137" s="1584">
        <v>741.44399999999996</v>
      </c>
      <c r="N137" s="1581" t="s">
        <v>919</v>
      </c>
    </row>
    <row r="138" spans="1:14" x14ac:dyDescent="0.25">
      <c r="A138" t="s">
        <v>923</v>
      </c>
      <c r="B138" t="s">
        <v>68</v>
      </c>
      <c r="C138">
        <v>102.37851562499999</v>
      </c>
      <c r="D138" t="s">
        <v>127</v>
      </c>
      <c r="E138" s="979">
        <v>5</v>
      </c>
      <c r="L138" s="1582" t="s">
        <v>19</v>
      </c>
      <c r="M138" s="1584">
        <v>191.1</v>
      </c>
      <c r="N138" s="1581" t="s">
        <v>921</v>
      </c>
    </row>
    <row r="139" spans="1:14" x14ac:dyDescent="0.25">
      <c r="A139" t="s">
        <v>920</v>
      </c>
      <c r="B139" t="s">
        <v>12</v>
      </c>
      <c r="C139">
        <v>3144.3061224489788</v>
      </c>
      <c r="D139" t="s">
        <v>826</v>
      </c>
      <c r="E139" s="979">
        <v>5</v>
      </c>
      <c r="L139" s="1582" t="s">
        <v>28</v>
      </c>
      <c r="M139" s="1584">
        <v>487.77</v>
      </c>
      <c r="N139" s="1581" t="s">
        <v>919</v>
      </c>
    </row>
    <row r="140" spans="1:14" x14ac:dyDescent="0.25">
      <c r="A140" t="s">
        <v>907</v>
      </c>
      <c r="B140" t="s">
        <v>727</v>
      </c>
      <c r="C140">
        <v>275.81632653061223</v>
      </c>
      <c r="D140" t="s">
        <v>826</v>
      </c>
      <c r="E140" s="979">
        <v>5</v>
      </c>
      <c r="L140" s="1582" t="s">
        <v>30</v>
      </c>
      <c r="M140" s="1584">
        <v>487.77</v>
      </c>
      <c r="N140" s="1581" t="s">
        <v>919</v>
      </c>
    </row>
    <row r="141" spans="1:14" x14ac:dyDescent="0.25">
      <c r="A141" t="s">
        <v>909</v>
      </c>
      <c r="B141" t="s">
        <v>17</v>
      </c>
      <c r="C141">
        <v>3309.7959183673465</v>
      </c>
      <c r="D141" t="s">
        <v>826</v>
      </c>
      <c r="E141" s="979">
        <v>5</v>
      </c>
      <c r="L141" s="1582" t="s">
        <v>12</v>
      </c>
      <c r="M141" s="1584">
        <v>3547.5433542647838</v>
      </c>
      <c r="N141" s="1581" t="s">
        <v>920</v>
      </c>
    </row>
    <row r="142" spans="1:14" x14ac:dyDescent="0.25">
      <c r="A142" t="s">
        <v>906</v>
      </c>
      <c r="B142" t="s">
        <v>54</v>
      </c>
      <c r="C142">
        <v>220.65306122448976</v>
      </c>
      <c r="D142" t="s">
        <v>826</v>
      </c>
      <c r="E142" s="979">
        <v>5</v>
      </c>
      <c r="L142" s="1582" t="s">
        <v>727</v>
      </c>
      <c r="M142" s="1584">
        <v>1770.3015430710132</v>
      </c>
      <c r="N142" s="1581" t="s">
        <v>907</v>
      </c>
    </row>
    <row r="143" spans="1:14" x14ac:dyDescent="0.25">
      <c r="A143" t="s">
        <v>923</v>
      </c>
      <c r="B143" t="s">
        <v>34</v>
      </c>
      <c r="C143">
        <v>41.37244897959183</v>
      </c>
      <c r="D143" t="s">
        <v>826</v>
      </c>
      <c r="E143" s="979">
        <v>5</v>
      </c>
      <c r="L143" s="1582" t="s">
        <v>12</v>
      </c>
      <c r="M143" s="1584">
        <v>1374.3874643874647</v>
      </c>
      <c r="N143" s="1581" t="s">
        <v>905</v>
      </c>
    </row>
    <row r="144" spans="1:14" x14ac:dyDescent="0.25">
      <c r="A144" t="s">
        <v>920</v>
      </c>
      <c r="B144" t="s">
        <v>12</v>
      </c>
      <c r="C144">
        <v>1590.9994767137623</v>
      </c>
      <c r="D144" t="s">
        <v>130</v>
      </c>
      <c r="E144" s="979">
        <v>5</v>
      </c>
      <c r="L144" s="1582" t="s">
        <v>17</v>
      </c>
      <c r="M144" s="1584">
        <v>20922.424123495559</v>
      </c>
      <c r="N144" s="1581" t="s">
        <v>909</v>
      </c>
    </row>
    <row r="145" spans="1:14" x14ac:dyDescent="0.25">
      <c r="A145" t="s">
        <v>909</v>
      </c>
      <c r="B145" t="s">
        <v>17</v>
      </c>
      <c r="C145">
        <v>2386.4992150706435</v>
      </c>
      <c r="D145" t="s">
        <v>130</v>
      </c>
      <c r="E145" s="979">
        <v>5</v>
      </c>
      <c r="L145" s="1582" t="s">
        <v>12</v>
      </c>
      <c r="M145" s="1584">
        <v>3050.5141287284155</v>
      </c>
      <c r="N145" s="1581" t="s">
        <v>919</v>
      </c>
    </row>
    <row r="146" spans="1:14" x14ac:dyDescent="0.25">
      <c r="A146" t="s">
        <v>907</v>
      </c>
      <c r="B146" t="s">
        <v>727</v>
      </c>
      <c r="C146">
        <v>318.19989534275243</v>
      </c>
      <c r="D146" t="s">
        <v>130</v>
      </c>
      <c r="E146" s="979">
        <v>5</v>
      </c>
      <c r="L146" s="1582" t="s">
        <v>17</v>
      </c>
      <c r="M146" s="1584">
        <v>20922.424123495559</v>
      </c>
      <c r="N146" s="1581" t="s">
        <v>986</v>
      </c>
    </row>
    <row r="147" spans="1:14" x14ac:dyDescent="0.25">
      <c r="A147" t="s">
        <v>907</v>
      </c>
      <c r="B147" t="s">
        <v>727</v>
      </c>
      <c r="C147">
        <v>118.96389324960765</v>
      </c>
      <c r="D147" t="s">
        <v>132</v>
      </c>
      <c r="E147" s="979">
        <v>5</v>
      </c>
      <c r="L147" s="1582" t="s">
        <v>54</v>
      </c>
      <c r="M147" s="1584">
        <v>935.97252747252776</v>
      </c>
      <c r="N147" s="1581" t="s">
        <v>906</v>
      </c>
    </row>
    <row r="148" spans="1:14" x14ac:dyDescent="0.25">
      <c r="A148" t="s">
        <v>909</v>
      </c>
      <c r="B148" t="s">
        <v>17</v>
      </c>
      <c r="C148">
        <v>1427.5667189952919</v>
      </c>
      <c r="D148" t="s">
        <v>132</v>
      </c>
      <c r="E148" s="979">
        <v>5</v>
      </c>
      <c r="L148" s="1582" t="s">
        <v>40</v>
      </c>
      <c r="M148" s="1584">
        <v>1712.8205128205136</v>
      </c>
      <c r="N148" s="1581" t="s">
        <v>987</v>
      </c>
    </row>
    <row r="149" spans="1:14" x14ac:dyDescent="0.25">
      <c r="A149" t="s">
        <v>920</v>
      </c>
      <c r="B149" t="s">
        <v>12</v>
      </c>
      <c r="C149">
        <v>1179.020775</v>
      </c>
      <c r="D149" t="s">
        <v>134</v>
      </c>
      <c r="E149" s="979">
        <v>5</v>
      </c>
      <c r="L149" s="1582" t="s">
        <v>757</v>
      </c>
      <c r="M149" s="1584">
        <v>38.828100470957629</v>
      </c>
      <c r="N149" s="1581" t="s">
        <v>988</v>
      </c>
    </row>
    <row r="150" spans="1:14" x14ac:dyDescent="0.25">
      <c r="A150" t="s">
        <v>907</v>
      </c>
      <c r="B150" t="s">
        <v>727</v>
      </c>
      <c r="C150">
        <v>98.251731250000006</v>
      </c>
      <c r="D150" t="s">
        <v>134</v>
      </c>
      <c r="E150" s="979">
        <v>5</v>
      </c>
      <c r="L150" s="1582" t="s">
        <v>60</v>
      </c>
      <c r="M150" s="1584">
        <v>77.656200941915259</v>
      </c>
      <c r="N150" s="1581" t="s">
        <v>908</v>
      </c>
    </row>
    <row r="151" spans="1:14" x14ac:dyDescent="0.25">
      <c r="A151" t="s">
        <v>909</v>
      </c>
      <c r="B151" t="s">
        <v>17</v>
      </c>
      <c r="C151">
        <v>2482.1489999999999</v>
      </c>
      <c r="D151" t="s">
        <v>134</v>
      </c>
      <c r="E151" s="979">
        <v>5</v>
      </c>
      <c r="L151" s="1582" t="s">
        <v>70</v>
      </c>
      <c r="M151" s="1584">
        <v>408.03750000000002</v>
      </c>
      <c r="N151" s="1581" t="s">
        <v>908</v>
      </c>
    </row>
    <row r="152" spans="1:14" x14ac:dyDescent="0.25">
      <c r="A152" t="s">
        <v>923</v>
      </c>
      <c r="B152" t="s">
        <v>730</v>
      </c>
      <c r="C152">
        <v>15.513431250000002</v>
      </c>
      <c r="D152" t="s">
        <v>134</v>
      </c>
      <c r="E152" s="979">
        <v>5</v>
      </c>
      <c r="L152" s="1582" t="s">
        <v>60</v>
      </c>
      <c r="M152" s="1584">
        <v>149.5</v>
      </c>
      <c r="N152" s="1581" t="s">
        <v>947</v>
      </c>
    </row>
    <row r="153" spans="1:14" x14ac:dyDescent="0.25">
      <c r="A153" t="s">
        <v>922</v>
      </c>
      <c r="B153" t="s">
        <v>17</v>
      </c>
      <c r="C153">
        <v>8278.7384011220202</v>
      </c>
      <c r="D153" t="s">
        <v>140</v>
      </c>
      <c r="E153" s="979">
        <v>5</v>
      </c>
      <c r="L153" s="1582" t="s">
        <v>845</v>
      </c>
      <c r="M153" s="1584">
        <f>2970+4343</f>
        <v>7313</v>
      </c>
      <c r="N153" s="1581" t="s">
        <v>921</v>
      </c>
    </row>
    <row r="154" spans="1:14" x14ac:dyDescent="0.25">
      <c r="A154" t="s">
        <v>920</v>
      </c>
      <c r="B154" t="s">
        <v>12</v>
      </c>
      <c r="C154">
        <v>4967.2430406732119</v>
      </c>
      <c r="D154" t="s">
        <v>140</v>
      </c>
      <c r="E154" s="979">
        <v>5</v>
      </c>
      <c r="L154" s="1582" t="s">
        <v>992</v>
      </c>
      <c r="M154" s="1584">
        <v>618.75</v>
      </c>
      <c r="N154" s="1581" t="s">
        <v>961</v>
      </c>
    </row>
    <row r="155" spans="1:14" x14ac:dyDescent="0.25">
      <c r="A155" t="s">
        <v>907</v>
      </c>
      <c r="B155" t="s">
        <v>727</v>
      </c>
      <c r="C155">
        <v>827.87384011220195</v>
      </c>
      <c r="D155" t="s">
        <v>140</v>
      </c>
      <c r="E155" s="979">
        <v>5</v>
      </c>
      <c r="L155" s="1582" t="s">
        <v>17</v>
      </c>
      <c r="M155" s="1584">
        <v>12705.882352941175</v>
      </c>
      <c r="N155" s="1581" t="s">
        <v>968</v>
      </c>
    </row>
    <row r="156" spans="1:14" x14ac:dyDescent="0.25">
      <c r="A156" t="s">
        <v>927</v>
      </c>
      <c r="B156" t="s">
        <v>992</v>
      </c>
      <c r="C156">
        <v>1770</v>
      </c>
      <c r="D156" t="s">
        <v>859</v>
      </c>
      <c r="E156" s="979">
        <v>5</v>
      </c>
      <c r="L156" s="1582" t="s">
        <v>19</v>
      </c>
      <c r="M156" s="1584">
        <v>317.62758620689658</v>
      </c>
      <c r="N156" s="1581" t="s">
        <v>971</v>
      </c>
    </row>
    <row r="157" spans="1:14" x14ac:dyDescent="0.25">
      <c r="A157" t="s">
        <v>919</v>
      </c>
      <c r="B157" t="s">
        <v>32</v>
      </c>
      <c r="C157">
        <v>253.67399999999992</v>
      </c>
      <c r="D157" t="s">
        <v>143</v>
      </c>
      <c r="E157" s="979">
        <v>6</v>
      </c>
      <c r="L157" s="1582" t="s">
        <v>965</v>
      </c>
      <c r="M157" s="1584">
        <f>353.291034482759+1800</f>
        <v>2153.2910344827592</v>
      </c>
      <c r="N157" s="1581" t="s">
        <v>908</v>
      </c>
    </row>
    <row r="158" spans="1:14" x14ac:dyDescent="0.25">
      <c r="A158" t="s">
        <v>921</v>
      </c>
      <c r="B158" t="s">
        <v>19</v>
      </c>
      <c r="C158">
        <v>191.1</v>
      </c>
      <c r="D158" t="s">
        <v>540</v>
      </c>
      <c r="E158" s="979">
        <v>6</v>
      </c>
      <c r="L158" s="1582" t="s">
        <v>40</v>
      </c>
      <c r="M158" s="1584">
        <v>634.55862068965519</v>
      </c>
      <c r="N158" s="1581" t="s">
        <v>908</v>
      </c>
    </row>
    <row r="159" spans="1:14" x14ac:dyDescent="0.25">
      <c r="A159" t="s">
        <v>919</v>
      </c>
      <c r="B159" t="s">
        <v>28</v>
      </c>
      <c r="C159">
        <v>95.55</v>
      </c>
      <c r="D159" t="s">
        <v>540</v>
      </c>
      <c r="E159" s="979">
        <v>6</v>
      </c>
      <c r="H159"/>
      <c r="L159" s="1582" t="s">
        <v>992</v>
      </c>
      <c r="M159" s="1584">
        <v>757.5</v>
      </c>
      <c r="N159" s="1581" t="s">
        <v>973</v>
      </c>
    </row>
    <row r="160" spans="1:14" x14ac:dyDescent="0.25">
      <c r="A160" t="s">
        <v>919</v>
      </c>
      <c r="B160" t="s">
        <v>30</v>
      </c>
      <c r="C160">
        <v>95.55</v>
      </c>
      <c r="D160" t="s">
        <v>540</v>
      </c>
      <c r="E160" s="979">
        <v>6</v>
      </c>
      <c r="H160"/>
      <c r="L160" s="1582" t="s">
        <v>754</v>
      </c>
      <c r="M160" s="1584">
        <v>189</v>
      </c>
      <c r="N160" s="1581" t="s">
        <v>964</v>
      </c>
    </row>
    <row r="161" spans="1:14" x14ac:dyDescent="0.25">
      <c r="A161" t="s">
        <v>919</v>
      </c>
      <c r="B161" t="s">
        <v>32</v>
      </c>
      <c r="C161">
        <v>95.55</v>
      </c>
      <c r="D161" t="s">
        <v>540</v>
      </c>
      <c r="E161" s="979">
        <v>6</v>
      </c>
      <c r="H161" s="1586"/>
      <c r="L161" s="1582" t="s">
        <v>17</v>
      </c>
      <c r="M161" s="1584">
        <v>450</v>
      </c>
      <c r="N161" s="1581" t="s">
        <v>908</v>
      </c>
    </row>
    <row r="162" spans="1:14" x14ac:dyDescent="0.25">
      <c r="A162" t="s">
        <v>919</v>
      </c>
      <c r="B162" t="s">
        <v>32</v>
      </c>
      <c r="C162">
        <v>392.21999999999997</v>
      </c>
      <c r="D162" t="s">
        <v>541</v>
      </c>
      <c r="E162" s="979">
        <v>6</v>
      </c>
      <c r="H162" s="1586"/>
      <c r="L162" s="1582" t="s">
        <v>12</v>
      </c>
      <c r="M162" s="1584">
        <v>450</v>
      </c>
      <c r="N162" s="1581" t="s">
        <v>908</v>
      </c>
    </row>
    <row r="163" spans="1:14" x14ac:dyDescent="0.25">
      <c r="A163" t="s">
        <v>919</v>
      </c>
      <c r="B163" t="s">
        <v>30</v>
      </c>
      <c r="C163">
        <v>392.21999999999997</v>
      </c>
      <c r="D163" t="s">
        <v>541</v>
      </c>
      <c r="E163" s="979">
        <v>6</v>
      </c>
      <c r="H163" s="1586"/>
    </row>
    <row r="164" spans="1:14" x14ac:dyDescent="0.25">
      <c r="A164" t="s">
        <v>919</v>
      </c>
      <c r="B164" t="s">
        <v>28</v>
      </c>
      <c r="C164">
        <v>392.21999999999997</v>
      </c>
      <c r="D164" t="s">
        <v>541</v>
      </c>
      <c r="E164" s="979">
        <v>6</v>
      </c>
      <c r="H164" s="1586"/>
    </row>
    <row r="165" spans="1:14" x14ac:dyDescent="0.25">
      <c r="A165" t="s">
        <v>920</v>
      </c>
      <c r="B165" t="s">
        <v>12</v>
      </c>
      <c r="C165">
        <v>326.84999999999997</v>
      </c>
      <c r="D165" t="s">
        <v>541</v>
      </c>
      <c r="E165" s="979">
        <v>6</v>
      </c>
      <c r="H165" s="1586"/>
    </row>
    <row r="166" spans="1:14" x14ac:dyDescent="0.25">
      <c r="A166" t="s">
        <v>907</v>
      </c>
      <c r="B166" t="s">
        <v>727</v>
      </c>
      <c r="C166">
        <v>65.36999999999999</v>
      </c>
      <c r="D166" t="s">
        <v>541</v>
      </c>
      <c r="E166" s="979">
        <v>6</v>
      </c>
      <c r="H166" s="1586"/>
    </row>
    <row r="167" spans="1:14" x14ac:dyDescent="0.25">
      <c r="A167" t="s">
        <v>905</v>
      </c>
      <c r="B167" t="s">
        <v>12</v>
      </c>
      <c r="C167">
        <v>1374.3874643874647</v>
      </c>
      <c r="D167" t="s">
        <v>148</v>
      </c>
      <c r="E167" s="979">
        <v>6</v>
      </c>
      <c r="H167" s="1586"/>
    </row>
    <row r="168" spans="1:14" x14ac:dyDescent="0.25">
      <c r="A168" t="s">
        <v>907</v>
      </c>
      <c r="B168" t="s">
        <v>727</v>
      </c>
      <c r="C168">
        <v>289.34472934472944</v>
      </c>
      <c r="D168" t="s">
        <v>148</v>
      </c>
      <c r="E168" s="979">
        <v>6</v>
      </c>
      <c r="H168" s="1586"/>
    </row>
    <row r="169" spans="1:14" x14ac:dyDescent="0.25">
      <c r="A169" t="s">
        <v>909</v>
      </c>
      <c r="B169" t="s">
        <v>17</v>
      </c>
      <c r="C169">
        <v>6510.256410256412</v>
      </c>
      <c r="D169" t="s">
        <v>148</v>
      </c>
      <c r="E169" s="979">
        <v>6</v>
      </c>
      <c r="H169" s="1586"/>
    </row>
    <row r="170" spans="1:14" x14ac:dyDescent="0.25">
      <c r="A170" t="s">
        <v>919</v>
      </c>
      <c r="B170" t="s">
        <v>12</v>
      </c>
      <c r="C170">
        <v>3050.5141287284155</v>
      </c>
      <c r="D170" t="s">
        <v>150</v>
      </c>
      <c r="E170" s="979">
        <v>6</v>
      </c>
      <c r="H170" s="1586"/>
    </row>
    <row r="171" spans="1:14" x14ac:dyDescent="0.25">
      <c r="A171" t="s">
        <v>986</v>
      </c>
      <c r="B171" t="s">
        <v>17</v>
      </c>
      <c r="C171">
        <v>9633.2025117739431</v>
      </c>
      <c r="D171" t="s">
        <v>150</v>
      </c>
      <c r="E171" s="979">
        <v>6</v>
      </c>
      <c r="H171" s="1586"/>
    </row>
    <row r="172" spans="1:14" x14ac:dyDescent="0.25">
      <c r="A172" t="s">
        <v>906</v>
      </c>
      <c r="B172" t="s">
        <v>54</v>
      </c>
      <c r="C172">
        <v>481.66012558869721</v>
      </c>
      <c r="D172" t="s">
        <v>150</v>
      </c>
      <c r="E172" s="979">
        <v>6</v>
      </c>
      <c r="H172" s="1586"/>
    </row>
    <row r="173" spans="1:14" x14ac:dyDescent="0.25">
      <c r="A173" t="s">
        <v>987</v>
      </c>
      <c r="B173" t="s">
        <v>40</v>
      </c>
      <c r="C173">
        <v>1712.8205128205136</v>
      </c>
      <c r="D173" t="s">
        <v>151</v>
      </c>
      <c r="E173" s="979">
        <v>6</v>
      </c>
      <c r="H173"/>
    </row>
    <row r="174" spans="1:14" x14ac:dyDescent="0.25">
      <c r="A174" t="s">
        <v>907</v>
      </c>
      <c r="B174" t="s">
        <v>727</v>
      </c>
      <c r="C174">
        <v>342.56410256410271</v>
      </c>
      <c r="D174" t="s">
        <v>151</v>
      </c>
      <c r="E174" s="979">
        <v>6</v>
      </c>
      <c r="H174"/>
    </row>
    <row r="175" spans="1:14" x14ac:dyDescent="0.25">
      <c r="A175" t="s">
        <v>988</v>
      </c>
      <c r="B175" t="s">
        <v>757</v>
      </c>
      <c r="C175">
        <v>38.828100470957629</v>
      </c>
      <c r="D175" t="s">
        <v>155</v>
      </c>
      <c r="E175" s="979">
        <v>6</v>
      </c>
      <c r="H175"/>
    </row>
    <row r="176" spans="1:14" x14ac:dyDescent="0.25">
      <c r="A176" t="s">
        <v>908</v>
      </c>
      <c r="B176" t="s">
        <v>60</v>
      </c>
      <c r="C176">
        <v>77.656200941915259</v>
      </c>
      <c r="D176" t="s">
        <v>155</v>
      </c>
      <c r="E176" s="979">
        <v>6</v>
      </c>
      <c r="H176"/>
    </row>
    <row r="177" spans="1:8" x14ac:dyDescent="0.25">
      <c r="A177" t="s">
        <v>920</v>
      </c>
      <c r="B177" t="s">
        <v>12</v>
      </c>
      <c r="C177">
        <v>1725.6933542647837</v>
      </c>
      <c r="D177" t="s">
        <v>155</v>
      </c>
      <c r="E177" s="979">
        <v>6</v>
      </c>
      <c r="H177"/>
    </row>
    <row r="178" spans="1:8" x14ac:dyDescent="0.25">
      <c r="A178" t="s">
        <v>906</v>
      </c>
      <c r="B178" t="s">
        <v>54</v>
      </c>
      <c r="C178">
        <v>155.31240188383052</v>
      </c>
      <c r="D178" t="s">
        <v>155</v>
      </c>
      <c r="E178" s="979">
        <v>6</v>
      </c>
      <c r="H178"/>
    </row>
    <row r="179" spans="1:8" x14ac:dyDescent="0.25">
      <c r="A179" t="s">
        <v>907</v>
      </c>
      <c r="B179" t="s">
        <v>727</v>
      </c>
      <c r="C179">
        <v>155.31240188383052</v>
      </c>
      <c r="D179" t="s">
        <v>155</v>
      </c>
      <c r="E179" s="979">
        <v>6</v>
      </c>
    </row>
    <row r="180" spans="1:8" x14ac:dyDescent="0.25">
      <c r="A180" t="s">
        <v>909</v>
      </c>
      <c r="B180" t="s">
        <v>17</v>
      </c>
      <c r="C180">
        <v>2868.9652014652029</v>
      </c>
      <c r="D180" t="s">
        <v>155</v>
      </c>
      <c r="E180" s="979">
        <v>6</v>
      </c>
    </row>
    <row r="181" spans="1:8" x14ac:dyDescent="0.25">
      <c r="A181" t="s">
        <v>908</v>
      </c>
      <c r="B181" t="s">
        <v>70</v>
      </c>
      <c r="C181">
        <v>408.03750000000002</v>
      </c>
      <c r="D181" t="s">
        <v>158</v>
      </c>
      <c r="E181" s="979">
        <v>6</v>
      </c>
    </row>
    <row r="182" spans="1:8" x14ac:dyDescent="0.25">
      <c r="A182" t="s">
        <v>907</v>
      </c>
      <c r="B182" t="s">
        <v>727</v>
      </c>
      <c r="C182">
        <v>389.51030927835046</v>
      </c>
      <c r="D182" t="s">
        <v>162</v>
      </c>
      <c r="E182" s="979">
        <v>6</v>
      </c>
    </row>
    <row r="183" spans="1:8" x14ac:dyDescent="0.25">
      <c r="A183" t="s">
        <v>1</v>
      </c>
      <c r="B183" t="s">
        <v>241</v>
      </c>
      <c r="C183" t="s">
        <v>335</v>
      </c>
      <c r="D183" t="s">
        <v>165</v>
      </c>
    </row>
    <row r="184" spans="1:8" x14ac:dyDescent="0.25">
      <c r="A184" t="s">
        <v>906</v>
      </c>
      <c r="B184" t="s">
        <v>54</v>
      </c>
      <c r="C184">
        <v>299</v>
      </c>
      <c r="D184" t="s">
        <v>165</v>
      </c>
      <c r="E184" s="979">
        <v>6</v>
      </c>
    </row>
    <row r="185" spans="1:8" x14ac:dyDescent="0.25">
      <c r="A185" t="s">
        <v>907</v>
      </c>
      <c r="B185" t="s">
        <v>727</v>
      </c>
      <c r="C185">
        <v>299</v>
      </c>
      <c r="D185" t="s">
        <v>165</v>
      </c>
      <c r="E185" s="979">
        <v>6</v>
      </c>
    </row>
    <row r="186" spans="1:8" x14ac:dyDescent="0.25">
      <c r="A186" t="s">
        <v>920</v>
      </c>
      <c r="B186" t="s">
        <v>12</v>
      </c>
      <c r="C186">
        <v>1495</v>
      </c>
      <c r="D186" t="s">
        <v>165</v>
      </c>
      <c r="E186" s="979">
        <v>6</v>
      </c>
    </row>
    <row r="187" spans="1:8" x14ac:dyDescent="0.25">
      <c r="A187" t="s">
        <v>947</v>
      </c>
      <c r="B187" t="s">
        <v>60</v>
      </c>
      <c r="C187">
        <v>149.5</v>
      </c>
      <c r="D187" t="s">
        <v>165</v>
      </c>
      <c r="E187" s="979">
        <v>6</v>
      </c>
    </row>
    <row r="188" spans="1:8" x14ac:dyDescent="0.25">
      <c r="A188" t="s">
        <v>909</v>
      </c>
      <c r="B188" t="s">
        <v>17</v>
      </c>
      <c r="C188">
        <v>1910.0000000000002</v>
      </c>
      <c r="D188" t="s">
        <v>167</v>
      </c>
      <c r="E188" s="979">
        <v>6</v>
      </c>
    </row>
    <row r="189" spans="1:8" x14ac:dyDescent="0.25">
      <c r="A189" t="s">
        <v>907</v>
      </c>
      <c r="B189" t="s">
        <v>727</v>
      </c>
      <c r="C189">
        <v>229.20000000000002</v>
      </c>
      <c r="D189" t="s">
        <v>167</v>
      </c>
      <c r="E189" s="979">
        <v>6</v>
      </c>
    </row>
    <row r="190" spans="1:8" ht="43.5" x14ac:dyDescent="0.25">
      <c r="A190" t="s">
        <v>1</v>
      </c>
      <c r="B190" t="s">
        <v>241</v>
      </c>
      <c r="C190" s="1578" t="s">
        <v>245</v>
      </c>
      <c r="D190" t="s">
        <v>522</v>
      </c>
    </row>
    <row r="240" spans="3:3" x14ac:dyDescent="0.25">
      <c r="C240" s="1578"/>
    </row>
    <row r="242" spans="3:3" x14ac:dyDescent="0.25">
      <c r="C242" s="1578"/>
    </row>
    <row r="252" spans="3:3" x14ac:dyDescent="0.25">
      <c r="C252" s="1578"/>
    </row>
    <row r="263" spans="3:3" x14ac:dyDescent="0.25">
      <c r="C263" s="1578"/>
    </row>
  </sheetData>
  <mergeCells count="2">
    <mergeCell ref="O81:O82"/>
    <mergeCell ref="O84:O8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pageSetUpPr fitToPage="1"/>
  </sheetPr>
  <dimension ref="A1:AT136"/>
  <sheetViews>
    <sheetView topLeftCell="F53" zoomScale="55" zoomScaleNormal="55" workbookViewId="0">
      <selection activeCell="K86" sqref="K86"/>
    </sheetView>
  </sheetViews>
  <sheetFormatPr defaultColWidth="12.5" defaultRowHeight="15" x14ac:dyDescent="0.25"/>
  <cols>
    <col min="1" max="1" width="19.875" style="1472" customWidth="1"/>
    <col min="2" max="2" width="41.12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9" width="15.875" style="14" customWidth="1"/>
    <col min="10" max="10" width="20.75" style="14" customWidth="1"/>
    <col min="11" max="11" width="12.5" style="14" customWidth="1"/>
    <col min="12" max="12" width="8.375" style="14" customWidth="1"/>
    <col min="13" max="14" width="4.875" style="14" customWidth="1"/>
    <col min="15" max="17" width="12.5" style="14" customWidth="1"/>
    <col min="18" max="18" width="36.875" style="14" customWidth="1"/>
    <col min="19" max="22" width="12.5" style="14" customWidth="1"/>
    <col min="23" max="23" width="12" style="14" customWidth="1"/>
    <col min="24" max="24" width="10.625" style="14" bestFit="1" customWidth="1"/>
    <col min="25" max="25" width="15.375" style="14" customWidth="1"/>
    <col min="26" max="26" width="13" style="14" bestFit="1" customWidth="1"/>
    <col min="27" max="27" width="12.5" style="14" customWidth="1"/>
    <col min="28" max="29" width="13.375" style="14" bestFit="1" customWidth="1"/>
    <col min="30" max="30" width="13.25" style="14" bestFit="1" customWidth="1"/>
    <col min="31" max="31" width="9.75" style="14" bestFit="1" customWidth="1"/>
    <col min="32" max="32" width="13" style="14" customWidth="1"/>
    <col min="33" max="34" width="4.125" style="14" customWidth="1"/>
    <col min="35" max="35" width="17.875" style="14" customWidth="1"/>
    <col min="36" max="36" width="30.5" style="14" customWidth="1"/>
    <col min="37" max="37" width="12.5" style="14" customWidth="1"/>
    <col min="38" max="38" width="15.125" style="14" customWidth="1"/>
    <col min="39" max="41" width="12.5" style="14"/>
    <col min="42" max="42" width="18.125" style="14" customWidth="1"/>
    <col min="43" max="43" width="14.625" style="14" bestFit="1" customWidth="1"/>
    <col min="44" max="44" width="21.375" style="14" bestFit="1" customWidth="1"/>
    <col min="45" max="16384" width="12.5" style="14"/>
  </cols>
  <sheetData>
    <row r="1" spans="1:46" ht="35.25" customHeight="1" x14ac:dyDescent="0.25">
      <c r="B1" s="64" t="s">
        <v>231</v>
      </c>
      <c r="C1" s="65">
        <v>1000</v>
      </c>
      <c r="D1" s="66" t="s">
        <v>232</v>
      </c>
      <c r="E1" s="67">
        <f>T32</f>
        <v>14638.461538461544</v>
      </c>
      <c r="F1" s="64" t="s">
        <v>233</v>
      </c>
      <c r="G1" s="68">
        <f>E1/1000</f>
        <v>14.638461538461545</v>
      </c>
      <c r="H1" s="64" t="s">
        <v>234</v>
      </c>
      <c r="I1" s="69">
        <f>(G1/K1)</f>
        <v>17.221719457013585</v>
      </c>
      <c r="J1" s="70" t="s">
        <v>235</v>
      </c>
      <c r="K1" s="71">
        <v>0.85</v>
      </c>
      <c r="L1" s="72"/>
      <c r="M1" s="73"/>
      <c r="N1" s="74"/>
      <c r="O1" s="75" t="s">
        <v>236</v>
      </c>
      <c r="P1" s="76" t="s">
        <v>237</v>
      </c>
      <c r="Q1" s="77" t="s">
        <v>238</v>
      </c>
      <c r="R1" s="76">
        <v>0.59</v>
      </c>
      <c r="Y1" s="75" t="s">
        <v>453</v>
      </c>
      <c r="Z1" s="766">
        <v>25950</v>
      </c>
      <c r="AA1" s="75" t="s">
        <v>556</v>
      </c>
      <c r="AB1" s="766">
        <v>0</v>
      </c>
      <c r="AC1" s="75" t="s">
        <v>546</v>
      </c>
      <c r="AD1" s="766">
        <v>182</v>
      </c>
      <c r="AI1" s="63"/>
      <c r="AJ1" s="78" t="s">
        <v>250</v>
      </c>
      <c r="AK1" s="78">
        <v>10000</v>
      </c>
      <c r="AL1" s="561" t="s">
        <v>483</v>
      </c>
      <c r="AM1" s="562">
        <f>$S$32/R1</f>
        <v>33833.11603650586</v>
      </c>
      <c r="AN1" s="78" t="s">
        <v>239</v>
      </c>
      <c r="AO1" s="305">
        <f>((AM1))/$AK$1</f>
        <v>3.3833116036505859</v>
      </c>
      <c r="AP1" s="79"/>
    </row>
    <row r="2" spans="1:46" ht="12.75" customHeight="1" x14ac:dyDescent="0.25">
      <c r="A2" s="1486"/>
      <c r="B2" s="82"/>
      <c r="C2" s="82"/>
      <c r="D2" s="82"/>
      <c r="E2" s="82"/>
      <c r="F2" s="1632" t="s">
        <v>240</v>
      </c>
      <c r="G2" s="82"/>
      <c r="H2" s="82"/>
      <c r="I2" s="82"/>
      <c r="J2" s="82"/>
      <c r="K2" s="82"/>
      <c r="L2" s="82"/>
      <c r="M2" s="83"/>
      <c r="N2" s="83"/>
      <c r="O2" s="84"/>
      <c r="P2" s="84"/>
      <c r="Q2" s="84"/>
      <c r="R2" s="84"/>
      <c r="AI2" s="63"/>
      <c r="AJ2" s="85"/>
      <c r="AK2" s="1631" t="s">
        <v>251</v>
      </c>
      <c r="AL2" s="1631"/>
      <c r="AM2" s="1631"/>
      <c r="AN2" s="86"/>
      <c r="AO2" s="85"/>
      <c r="AP2" s="85"/>
    </row>
    <row r="3" spans="1:46" ht="12.75" customHeight="1" x14ac:dyDescent="0.25">
      <c r="A3" s="1486"/>
      <c r="B3" s="87"/>
      <c r="C3" s="87"/>
      <c r="D3" s="87"/>
      <c r="E3" s="87"/>
      <c r="F3" s="1633"/>
      <c r="G3" s="87"/>
      <c r="H3" s="87"/>
      <c r="I3" s="87"/>
      <c r="J3" s="87"/>
      <c r="K3" s="87"/>
      <c r="L3" s="87"/>
      <c r="M3" s="84"/>
      <c r="N3" s="84"/>
      <c r="O3" s="84"/>
      <c r="P3" s="84"/>
      <c r="Q3" s="84"/>
      <c r="R3" s="84"/>
      <c r="AI3" s="63"/>
      <c r="AJ3" s="88"/>
      <c r="AK3" s="88"/>
      <c r="AL3" s="89"/>
      <c r="AM3" s="89"/>
      <c r="AN3" s="89"/>
      <c r="AO3" s="88"/>
      <c r="AP3" s="88"/>
    </row>
    <row r="4" spans="1:46" ht="78" customHeight="1" x14ac:dyDescent="0.25">
      <c r="A4" s="1587" t="s">
        <v>903</v>
      </c>
      <c r="B4" s="75" t="s">
        <v>241</v>
      </c>
      <c r="C4" s="90" t="s">
        <v>242</v>
      </c>
      <c r="D4" s="75" t="s">
        <v>231</v>
      </c>
      <c r="E4" s="91" t="s">
        <v>234</v>
      </c>
      <c r="F4" s="91" t="s">
        <v>243</v>
      </c>
      <c r="G4" s="75" t="s">
        <v>244</v>
      </c>
      <c r="H4" s="92" t="s">
        <v>245</v>
      </c>
      <c r="I4" s="75" t="s">
        <v>246</v>
      </c>
      <c r="J4" s="75" t="s">
        <v>247</v>
      </c>
      <c r="K4" s="75" t="s">
        <v>248</v>
      </c>
      <c r="L4" s="75" t="s">
        <v>249</v>
      </c>
      <c r="M4" s="84"/>
      <c r="N4" s="84"/>
      <c r="O4" s="84"/>
      <c r="P4" s="84"/>
      <c r="AI4" s="63"/>
      <c r="AJ4" s="93" t="s">
        <v>241</v>
      </c>
      <c r="AK4" s="94" t="s">
        <v>242</v>
      </c>
      <c r="AL4" s="93" t="s">
        <v>250</v>
      </c>
      <c r="AM4" s="93" t="s">
        <v>234</v>
      </c>
      <c r="AN4" s="93" t="s">
        <v>243</v>
      </c>
      <c r="AO4" s="93" t="s">
        <v>244</v>
      </c>
      <c r="AP4" s="95" t="s">
        <v>245</v>
      </c>
      <c r="AQ4" s="75" t="s">
        <v>246</v>
      </c>
      <c r="AR4" s="75" t="s">
        <v>247</v>
      </c>
      <c r="AS4" s="75" t="s">
        <v>248</v>
      </c>
      <c r="AT4" s="75" t="s">
        <v>249</v>
      </c>
    </row>
    <row r="5" spans="1:46" x14ac:dyDescent="0.25">
      <c r="A5" s="1491"/>
      <c r="B5" s="96" t="s">
        <v>220</v>
      </c>
      <c r="C5" s="97" t="s">
        <v>14</v>
      </c>
      <c r="D5" s="98">
        <f>I51/10</f>
        <v>2311.3713405238827</v>
      </c>
      <c r="E5" s="99">
        <f>H52</f>
        <v>14.637680862148889</v>
      </c>
      <c r="F5" s="100">
        <v>1</v>
      </c>
      <c r="G5" s="101">
        <f t="shared" ref="G5:G22" si="0">D5*E5</f>
        <v>33833.11603650586</v>
      </c>
      <c r="H5" s="102">
        <f t="shared" ref="H5:H22" si="1">G5*F5</f>
        <v>33833.11603650586</v>
      </c>
      <c r="I5" s="65">
        <f>VLOOKUP(B5,All_Ingredients!$A$1:$F$156,6,FALSE())</f>
        <v>0.86</v>
      </c>
      <c r="J5" s="103">
        <f>VLOOKUP(B5,All_Ingredients!$A$1:$J$156,10,FALSE())</f>
        <v>17.100000000000001</v>
      </c>
      <c r="K5" s="104">
        <f>(H5/I5)/1000</f>
        <v>39.340832600588215</v>
      </c>
      <c r="L5" s="104">
        <f t="shared" ref="L5" si="2">K5*J5</f>
        <v>672.7282374700585</v>
      </c>
      <c r="M5" s="84"/>
      <c r="N5" s="84"/>
      <c r="O5" s="84"/>
      <c r="P5" s="84"/>
      <c r="AI5" s="63"/>
      <c r="AJ5" s="105" t="s">
        <v>220</v>
      </c>
      <c r="AK5" s="106" t="s">
        <v>227</v>
      </c>
      <c r="AL5" s="107">
        <v>10</v>
      </c>
      <c r="AM5" s="108">
        <f>$AO$1</f>
        <v>3.3833116036505859</v>
      </c>
      <c r="AN5" s="109">
        <v>1</v>
      </c>
      <c r="AO5" s="101">
        <f>AL5*AM5</f>
        <v>33.833116036505857</v>
      </c>
      <c r="AP5" s="102">
        <f>AN5*AO5</f>
        <v>33.833116036505857</v>
      </c>
      <c r="AQ5" s="272"/>
      <c r="AR5" s="1017"/>
      <c r="AS5" s="156"/>
      <c r="AT5" s="1018"/>
    </row>
    <row r="6" spans="1:46" ht="14.25" customHeight="1" x14ac:dyDescent="0.25">
      <c r="A6" s="1588" t="s">
        <v>905</v>
      </c>
      <c r="B6" s="96" t="s">
        <v>12</v>
      </c>
      <c r="C6" s="106" t="s">
        <v>14</v>
      </c>
      <c r="D6" s="107">
        <v>150</v>
      </c>
      <c r="E6" s="108">
        <f t="shared" ref="E6:E22" si="3">$I$1</f>
        <v>17.221719457013585</v>
      </c>
      <c r="F6" s="109">
        <v>0.95</v>
      </c>
      <c r="G6" s="101">
        <f t="shared" si="0"/>
        <v>2583.2579185520376</v>
      </c>
      <c r="H6" s="102">
        <f t="shared" si="1"/>
        <v>2454.0950226244354</v>
      </c>
      <c r="I6" s="65">
        <f>VLOOKUP(B6,All_Ingredients!$A$1:$F$156,6,FALSE())</f>
        <v>0.9</v>
      </c>
      <c r="J6" s="103">
        <f>VLOOKUP(B6,All_Ingredients!$A$1:$J$156,10,FALSE())</f>
        <v>3</v>
      </c>
      <c r="K6" s="104">
        <f t="shared" ref="K6:K22" si="4">(H6/I6)/1000</f>
        <v>2.7267722473604836</v>
      </c>
      <c r="L6" s="104">
        <f t="shared" ref="L6:L22" si="5">K6*J6</f>
        <v>8.1803167420814518</v>
      </c>
      <c r="AI6" s="63" t="s">
        <v>55</v>
      </c>
      <c r="AJ6" s="105" t="s">
        <v>54</v>
      </c>
      <c r="AK6" s="106" t="s">
        <v>14</v>
      </c>
      <c r="AL6" s="107">
        <v>100</v>
      </c>
      <c r="AM6" s="108">
        <f t="shared" ref="AM6:AM13" si="6">$AO$1</f>
        <v>3.3833116036505859</v>
      </c>
      <c r="AN6" s="109">
        <v>1</v>
      </c>
      <c r="AO6" s="101">
        <f t="shared" ref="AO6:AO13" si="7">AL6*AM6</f>
        <v>338.33116036505857</v>
      </c>
      <c r="AP6" s="102">
        <f t="shared" ref="AP6:AP13" si="8">AN6*AO6</f>
        <v>338.33116036505857</v>
      </c>
      <c r="AQ6" s="1018">
        <f>VLOOKUP(AJ6,Marination_Ordering!$A:$J,6,FALSE)</f>
        <v>0.87</v>
      </c>
      <c r="AR6" s="1018">
        <f>VLOOKUP(AJ6,Marination_Ordering!$A:$J,10,FALSE)</f>
        <v>7</v>
      </c>
      <c r="AS6" s="156">
        <f>AP6/AQ6</f>
        <v>388.88639122420523</v>
      </c>
      <c r="AT6" s="1018">
        <f>AR6*(AS6/1000)</f>
        <v>2.7222047385694363</v>
      </c>
    </row>
    <row r="7" spans="1:46" ht="14.25" customHeight="1" x14ac:dyDescent="0.25">
      <c r="A7" s="1588" t="s">
        <v>909</v>
      </c>
      <c r="B7" s="96" t="s">
        <v>17</v>
      </c>
      <c r="C7" s="106" t="s">
        <v>14</v>
      </c>
      <c r="D7" s="107">
        <v>250</v>
      </c>
      <c r="E7" s="108">
        <f t="shared" si="3"/>
        <v>17.221719457013585</v>
      </c>
      <c r="F7" s="109">
        <v>1</v>
      </c>
      <c r="G7" s="101">
        <f t="shared" si="0"/>
        <v>4305.4298642533959</v>
      </c>
      <c r="H7" s="102">
        <f t="shared" si="1"/>
        <v>4305.4298642533959</v>
      </c>
      <c r="I7" s="65">
        <f>VLOOKUP(B7,All_Ingredients!$A$1:$F$156,6,FALSE())</f>
        <v>0.98</v>
      </c>
      <c r="J7" s="103">
        <f>VLOOKUP(B7,All_Ingredients!$A$1:$J$156,10,FALSE())</f>
        <v>3.5</v>
      </c>
      <c r="K7" s="104">
        <f t="shared" si="4"/>
        <v>4.393295779850404</v>
      </c>
      <c r="L7" s="104">
        <f t="shared" si="5"/>
        <v>15.376535229476413</v>
      </c>
      <c r="AI7" s="63" t="s">
        <v>13</v>
      </c>
      <c r="AJ7" s="105" t="s">
        <v>727</v>
      </c>
      <c r="AK7" s="106" t="s">
        <v>14</v>
      </c>
      <c r="AL7" s="107">
        <v>100</v>
      </c>
      <c r="AM7" s="108">
        <f t="shared" si="6"/>
        <v>3.3833116036505859</v>
      </c>
      <c r="AN7" s="109">
        <v>1</v>
      </c>
      <c r="AO7" s="101">
        <f t="shared" si="7"/>
        <v>338.33116036505857</v>
      </c>
      <c r="AP7" s="102">
        <f t="shared" si="8"/>
        <v>338.33116036505857</v>
      </c>
      <c r="AQ7" s="1018">
        <f>VLOOKUP(AJ7,Marination_Ordering!$A:$J,6,FALSE)</f>
        <v>1</v>
      </c>
      <c r="AR7" s="1018">
        <f>VLOOKUP(AJ7,Marination_Ordering!$A:$J,10,FALSE)</f>
        <v>10.5</v>
      </c>
      <c r="AS7" s="156">
        <f t="shared" ref="AS7:AS13" si="9">AP7/AQ7</f>
        <v>338.33116036505857</v>
      </c>
      <c r="AT7" s="1018">
        <f t="shared" ref="AT7:AT13" si="10">AR7*(AS7/1000)</f>
        <v>3.5524771838331151</v>
      </c>
    </row>
    <row r="8" spans="1:46" x14ac:dyDescent="0.25">
      <c r="A8" s="1588" t="s">
        <v>906</v>
      </c>
      <c r="B8" s="96" t="s">
        <v>54</v>
      </c>
      <c r="C8" s="106" t="s">
        <v>14</v>
      </c>
      <c r="D8" s="107">
        <v>15</v>
      </c>
      <c r="E8" s="108">
        <f t="shared" si="3"/>
        <v>17.221719457013585</v>
      </c>
      <c r="F8" s="109">
        <v>0.9</v>
      </c>
      <c r="G8" s="101">
        <f t="shared" si="0"/>
        <v>258.32579185520376</v>
      </c>
      <c r="H8" s="102">
        <f t="shared" si="1"/>
        <v>232.4932126696834</v>
      </c>
      <c r="I8" s="65">
        <f>VLOOKUP(B8,All_Ingredients!$A$1:$F$156,6,FALSE())</f>
        <v>0.87</v>
      </c>
      <c r="J8" s="103">
        <f>VLOOKUP(B8,All_Ingredients!$A$1:$J$156,10,FALSE())</f>
        <v>7</v>
      </c>
      <c r="K8" s="104">
        <f t="shared" si="4"/>
        <v>0.26723357778124529</v>
      </c>
      <c r="L8" s="104">
        <f t="shared" si="5"/>
        <v>1.870635044468717</v>
      </c>
      <c r="AI8" s="63" t="s">
        <v>204</v>
      </c>
      <c r="AJ8" s="105" t="s">
        <v>212</v>
      </c>
      <c r="AK8" s="106" t="s">
        <v>160</v>
      </c>
      <c r="AL8" s="107">
        <v>200</v>
      </c>
      <c r="AM8" s="108">
        <f t="shared" si="6"/>
        <v>3.3833116036505859</v>
      </c>
      <c r="AN8" s="109">
        <v>1</v>
      </c>
      <c r="AO8" s="101">
        <f t="shared" si="7"/>
        <v>676.66232073011713</v>
      </c>
      <c r="AP8" s="102">
        <f t="shared" si="8"/>
        <v>676.66232073011713</v>
      </c>
      <c r="AQ8" s="1018">
        <f>VLOOKUP(AJ8,Marination_Ordering!$A:$J,6,FALSE)</f>
        <v>1</v>
      </c>
      <c r="AR8" s="1018">
        <f>VLOOKUP(AJ8,Marination_Ordering!$A:$J,10,FALSE)</f>
        <v>5</v>
      </c>
      <c r="AS8" s="156">
        <f t="shared" si="9"/>
        <v>676.66232073011713</v>
      </c>
      <c r="AT8" s="1018">
        <f t="shared" si="10"/>
        <v>3.3833116036505855</v>
      </c>
    </row>
    <row r="9" spans="1:46" ht="14.25" customHeight="1" x14ac:dyDescent="0.25">
      <c r="A9" s="1588" t="s">
        <v>907</v>
      </c>
      <c r="B9" s="96" t="s">
        <v>727</v>
      </c>
      <c r="C9" s="106" t="s">
        <v>14</v>
      </c>
      <c r="D9" s="107">
        <v>25</v>
      </c>
      <c r="E9" s="108">
        <f t="shared" si="3"/>
        <v>17.221719457013585</v>
      </c>
      <c r="F9" s="109">
        <v>0.9</v>
      </c>
      <c r="G9" s="101">
        <f t="shared" si="0"/>
        <v>430.54298642533962</v>
      </c>
      <c r="H9" s="102">
        <f t="shared" si="1"/>
        <v>387.48868778280564</v>
      </c>
      <c r="I9" s="65">
        <f>VLOOKUP(B9,All_Ingredients!$A$1:$F$156,6,FALSE())</f>
        <v>1</v>
      </c>
      <c r="J9" s="103">
        <f>VLOOKUP(B9,All_Ingredients!$A$1:$J$156,10,FALSE())</f>
        <v>10.5</v>
      </c>
      <c r="K9" s="104">
        <f t="shared" si="4"/>
        <v>0.38748868778280565</v>
      </c>
      <c r="L9" s="104">
        <f t="shared" si="5"/>
        <v>4.0686312217194596</v>
      </c>
      <c r="AI9" s="63" t="s">
        <v>204</v>
      </c>
      <c r="AJ9" s="105" t="s">
        <v>208</v>
      </c>
      <c r="AK9" s="106" t="s">
        <v>160</v>
      </c>
      <c r="AL9" s="107">
        <v>100</v>
      </c>
      <c r="AM9" s="108">
        <f t="shared" si="6"/>
        <v>3.3833116036505859</v>
      </c>
      <c r="AN9" s="109">
        <v>1</v>
      </c>
      <c r="AO9" s="101">
        <f t="shared" si="7"/>
        <v>338.33116036505857</v>
      </c>
      <c r="AP9" s="102">
        <f t="shared" si="8"/>
        <v>338.33116036505857</v>
      </c>
      <c r="AQ9" s="1018">
        <f>VLOOKUP(AJ9,Marination_Ordering!$A:$J,6,FALSE)</f>
        <v>1</v>
      </c>
      <c r="AR9" s="1018">
        <f>VLOOKUP(AJ9,Marination_Ordering!$A:$J,10,FALSE)</f>
        <v>2.1621621621621623</v>
      </c>
      <c r="AS9" s="156">
        <f t="shared" si="9"/>
        <v>338.33116036505857</v>
      </c>
      <c r="AT9" s="1018">
        <f t="shared" si="10"/>
        <v>0.73152683322174827</v>
      </c>
    </row>
    <row r="10" spans="1:46" ht="14.25" customHeight="1" x14ac:dyDescent="0.25">
      <c r="A10" s="1471"/>
      <c r="B10" s="96" t="s">
        <v>34</v>
      </c>
      <c r="C10" s="106" t="s">
        <v>14</v>
      </c>
      <c r="D10" s="107">
        <v>5</v>
      </c>
      <c r="E10" s="108">
        <f t="shared" si="3"/>
        <v>17.221719457013585</v>
      </c>
      <c r="F10" s="109">
        <v>0.75</v>
      </c>
      <c r="G10" s="101">
        <f t="shared" si="0"/>
        <v>86.10859728506793</v>
      </c>
      <c r="H10" s="102">
        <f t="shared" si="1"/>
        <v>64.58144796380094</v>
      </c>
      <c r="I10" s="65">
        <f>VLOOKUP(B10,All_Ingredients!$A$1:$F$156,6,FALSE())</f>
        <v>0.86</v>
      </c>
      <c r="J10" s="103">
        <f>VLOOKUP(B10,All_Ingredients!$A$1:$J$156,10,FALSE())</f>
        <v>14</v>
      </c>
      <c r="K10" s="104">
        <f t="shared" si="4"/>
        <v>7.5094706934652256E-2</v>
      </c>
      <c r="L10" s="104">
        <f t="shared" si="5"/>
        <v>1.0513258970851316</v>
      </c>
      <c r="AI10" s="63" t="s">
        <v>94</v>
      </c>
      <c r="AJ10" s="105" t="s">
        <v>93</v>
      </c>
      <c r="AK10" s="106" t="s">
        <v>14</v>
      </c>
      <c r="AL10" s="107">
        <v>30</v>
      </c>
      <c r="AM10" s="108">
        <f t="shared" si="6"/>
        <v>3.3833116036505859</v>
      </c>
      <c r="AN10" s="109">
        <v>1</v>
      </c>
      <c r="AO10" s="101">
        <f t="shared" si="7"/>
        <v>101.49934810951758</v>
      </c>
      <c r="AP10" s="102">
        <f t="shared" si="8"/>
        <v>101.49934810951758</v>
      </c>
      <c r="AQ10" s="1018">
        <f>VLOOKUP(AJ10,Marination_Ordering!$A:$J,6,FALSE)</f>
        <v>1</v>
      </c>
      <c r="AR10" s="1018">
        <f>VLOOKUP(AJ10,Marination_Ordering!$A:$J,10,FALSE)</f>
        <v>0.74</v>
      </c>
      <c r="AS10" s="156">
        <f t="shared" si="9"/>
        <v>101.49934810951758</v>
      </c>
      <c r="AT10" s="1018">
        <f t="shared" si="10"/>
        <v>7.5109517601043008E-2</v>
      </c>
    </row>
    <row r="11" spans="1:46" ht="19.5" customHeight="1" x14ac:dyDescent="0.25">
      <c r="A11" s="1471"/>
      <c r="B11" s="96" t="s">
        <v>105</v>
      </c>
      <c r="C11" s="106" t="s">
        <v>14</v>
      </c>
      <c r="D11" s="107">
        <v>5</v>
      </c>
      <c r="E11" s="108">
        <f t="shared" si="3"/>
        <v>17.221719457013585</v>
      </c>
      <c r="F11" s="109">
        <v>0.9</v>
      </c>
      <c r="G11" s="101">
        <f t="shared" si="0"/>
        <v>86.10859728506793</v>
      </c>
      <c r="H11" s="102">
        <f t="shared" si="1"/>
        <v>77.497737556561134</v>
      </c>
      <c r="I11" s="65">
        <f>VLOOKUP(B11,All_Ingredients!$A$1:$F$156,6,FALSE())</f>
        <v>1</v>
      </c>
      <c r="J11" s="103">
        <f>VLOOKUP(B11,All_Ingredients!$A$1:$J$156,10,FALSE())</f>
        <v>15</v>
      </c>
      <c r="K11" s="104">
        <f t="shared" si="4"/>
        <v>7.7497737556561128E-2</v>
      </c>
      <c r="L11" s="104">
        <f t="shared" si="5"/>
        <v>1.162466063348417</v>
      </c>
      <c r="AI11" s="63" t="s">
        <v>94</v>
      </c>
      <c r="AJ11" s="105" t="s">
        <v>99</v>
      </c>
      <c r="AK11" s="106" t="s">
        <v>14</v>
      </c>
      <c r="AL11" s="107">
        <v>5</v>
      </c>
      <c r="AM11" s="108">
        <f t="shared" si="6"/>
        <v>3.3833116036505859</v>
      </c>
      <c r="AN11" s="109">
        <v>1</v>
      </c>
      <c r="AO11" s="101">
        <f t="shared" si="7"/>
        <v>16.916558018252928</v>
      </c>
      <c r="AP11" s="102">
        <f t="shared" si="8"/>
        <v>16.916558018252928</v>
      </c>
      <c r="AQ11" s="1018">
        <f>VLOOKUP(AJ11,Marination_Ordering!$A:$J,6,FALSE)</f>
        <v>1</v>
      </c>
      <c r="AR11" s="1018">
        <f>VLOOKUP(AJ11,Marination_Ordering!$A:$J,10,FALSE)</f>
        <v>31</v>
      </c>
      <c r="AS11" s="156">
        <f t="shared" si="9"/>
        <v>16.916558018252928</v>
      </c>
      <c r="AT11" s="1018">
        <f t="shared" si="10"/>
        <v>0.52441329856584074</v>
      </c>
    </row>
    <row r="12" spans="1:46" x14ac:dyDescent="0.25">
      <c r="A12" s="1471"/>
      <c r="B12" s="96" t="s">
        <v>107</v>
      </c>
      <c r="C12" s="106" t="s">
        <v>14</v>
      </c>
      <c r="D12" s="107">
        <v>5</v>
      </c>
      <c r="E12" s="108">
        <f t="shared" si="3"/>
        <v>17.221719457013585</v>
      </c>
      <c r="F12" s="109">
        <v>0.9</v>
      </c>
      <c r="G12" s="101">
        <f t="shared" si="0"/>
        <v>86.10859728506793</v>
      </c>
      <c r="H12" s="102">
        <f t="shared" si="1"/>
        <v>77.497737556561134</v>
      </c>
      <c r="I12" s="65">
        <f>VLOOKUP(B12,All_Ingredients!$A$1:$F$156,6,FALSE())</f>
        <v>1</v>
      </c>
      <c r="J12" s="103">
        <f>VLOOKUP(B12,All_Ingredients!$A$1:$J$156,10,FALSE())</f>
        <v>8</v>
      </c>
      <c r="K12" s="104">
        <f t="shared" si="4"/>
        <v>7.7497737556561128E-2</v>
      </c>
      <c r="L12" s="104">
        <f t="shared" si="5"/>
        <v>0.61998190045248902</v>
      </c>
      <c r="AI12" s="63" t="s">
        <v>94</v>
      </c>
      <c r="AJ12" s="105" t="s">
        <v>105</v>
      </c>
      <c r="AK12" s="106" t="s">
        <v>14</v>
      </c>
      <c r="AL12" s="107">
        <v>25</v>
      </c>
      <c r="AM12" s="108">
        <f t="shared" si="6"/>
        <v>3.3833116036505859</v>
      </c>
      <c r="AN12" s="109">
        <v>1</v>
      </c>
      <c r="AO12" s="101">
        <f t="shared" si="7"/>
        <v>84.582790091264641</v>
      </c>
      <c r="AP12" s="102">
        <f t="shared" si="8"/>
        <v>84.582790091264641</v>
      </c>
      <c r="AQ12" s="1018">
        <f>VLOOKUP(AJ12,Marination_Ordering!$A:$J,6,FALSE)</f>
        <v>1</v>
      </c>
      <c r="AR12" s="1018">
        <f>VLOOKUP(AJ12,Marination_Ordering!$A:$J,10,FALSE)</f>
        <v>15</v>
      </c>
      <c r="AS12" s="156">
        <f t="shared" si="9"/>
        <v>84.582790091264641</v>
      </c>
      <c r="AT12" s="1018">
        <f t="shared" si="10"/>
        <v>1.2687418513689697</v>
      </c>
    </row>
    <row r="13" spans="1:46" x14ac:dyDescent="0.25">
      <c r="A13" s="1471"/>
      <c r="B13" s="96" t="s">
        <v>108</v>
      </c>
      <c r="C13" s="106" t="s">
        <v>14</v>
      </c>
      <c r="D13" s="107">
        <v>10</v>
      </c>
      <c r="E13" s="108">
        <f t="shared" si="3"/>
        <v>17.221719457013585</v>
      </c>
      <c r="F13" s="109">
        <v>0.75</v>
      </c>
      <c r="G13" s="101">
        <f t="shared" si="0"/>
        <v>172.21719457013586</v>
      </c>
      <c r="H13" s="102">
        <f t="shared" si="1"/>
        <v>129.16289592760188</v>
      </c>
      <c r="I13" s="65">
        <f>VLOOKUP(B13,All_Ingredients!$A$1:$F$156,6,FALSE())</f>
        <v>1</v>
      </c>
      <c r="J13" s="103">
        <f>VLOOKUP(B13,All_Ingredients!$A$1:$J$156,10,FALSE())</f>
        <v>26.5</v>
      </c>
      <c r="K13" s="104">
        <f t="shared" si="4"/>
        <v>0.12916289592760188</v>
      </c>
      <c r="L13" s="104">
        <f t="shared" si="5"/>
        <v>3.4228167420814497</v>
      </c>
      <c r="AI13" s="63" t="s">
        <v>94</v>
      </c>
      <c r="AJ13" s="105" t="s">
        <v>108</v>
      </c>
      <c r="AK13" s="106" t="s">
        <v>14</v>
      </c>
      <c r="AL13" s="107">
        <v>50</v>
      </c>
      <c r="AM13" s="108">
        <f t="shared" si="6"/>
        <v>3.3833116036505859</v>
      </c>
      <c r="AN13" s="109">
        <v>1</v>
      </c>
      <c r="AO13" s="101">
        <f t="shared" si="7"/>
        <v>169.16558018252928</v>
      </c>
      <c r="AP13" s="102">
        <f t="shared" si="8"/>
        <v>169.16558018252928</v>
      </c>
      <c r="AQ13" s="1018">
        <f>VLOOKUP(AJ13,Marination_Ordering!$A:$J,6,FALSE)</f>
        <v>1</v>
      </c>
      <c r="AR13" s="1018">
        <f>VLOOKUP(AJ13,Marination_Ordering!$A:$J,10,FALSE)</f>
        <v>26.5</v>
      </c>
      <c r="AS13" s="156">
        <f t="shared" si="9"/>
        <v>169.16558018252928</v>
      </c>
      <c r="AT13" s="1018">
        <f t="shared" si="10"/>
        <v>4.4828878748370258</v>
      </c>
    </row>
    <row r="14" spans="1:46" ht="14.25" customHeight="1" x14ac:dyDescent="0.25">
      <c r="A14" s="1471"/>
      <c r="B14" s="96" t="s">
        <v>837</v>
      </c>
      <c r="C14" s="106" t="s">
        <v>14</v>
      </c>
      <c r="D14" s="107">
        <v>2</v>
      </c>
      <c r="E14" s="108">
        <f t="shared" si="3"/>
        <v>17.221719457013585</v>
      </c>
      <c r="F14" s="109">
        <v>0.75</v>
      </c>
      <c r="G14" s="101">
        <f t="shared" si="0"/>
        <v>34.443438914027169</v>
      </c>
      <c r="H14" s="102">
        <f t="shared" si="1"/>
        <v>25.832579185520377</v>
      </c>
      <c r="I14" s="65">
        <f>VLOOKUP(B14,All_Ingredients!$A$1:$F$156,6,FALSE())</f>
        <v>1</v>
      </c>
      <c r="J14" s="103">
        <f>VLOOKUP(B14,All_Ingredients!$A$1:$J$156,10,FALSE())</f>
        <v>22.5</v>
      </c>
      <c r="K14" s="104">
        <f t="shared" si="4"/>
        <v>2.5832579185520378E-2</v>
      </c>
      <c r="L14" s="104">
        <f t="shared" si="5"/>
        <v>0.58123303167420848</v>
      </c>
      <c r="AR14" s="992"/>
    </row>
    <row r="15" spans="1:46" ht="14.25" customHeight="1" x14ac:dyDescent="0.25">
      <c r="A15" s="1471"/>
      <c r="B15" s="96" t="s">
        <v>139</v>
      </c>
      <c r="C15" s="106" t="s">
        <v>14</v>
      </c>
      <c r="D15" s="107">
        <v>5</v>
      </c>
      <c r="E15" s="108">
        <f t="shared" si="3"/>
        <v>17.221719457013585</v>
      </c>
      <c r="F15" s="109">
        <v>0.6</v>
      </c>
      <c r="G15" s="101">
        <f t="shared" si="0"/>
        <v>86.10859728506793</v>
      </c>
      <c r="H15" s="102">
        <f t="shared" si="1"/>
        <v>51.665158371040754</v>
      </c>
      <c r="I15" s="65">
        <f>VLOOKUP(B15,All_Ingredients!$A$1:$F$156,6,FALSE())</f>
        <v>1</v>
      </c>
      <c r="J15" s="103">
        <f>VLOOKUP(B15,All_Ingredients!$A$1:$J$156,10,FALSE())</f>
        <v>15.277777777777779</v>
      </c>
      <c r="K15" s="104">
        <f t="shared" si="4"/>
        <v>5.1665158371040756E-2</v>
      </c>
      <c r="L15" s="104">
        <f t="shared" si="5"/>
        <v>0.78932880844645603</v>
      </c>
    </row>
    <row r="16" spans="1:46" ht="14.25" customHeight="1" x14ac:dyDescent="0.25">
      <c r="A16" s="1471"/>
      <c r="B16" s="96" t="s">
        <v>93</v>
      </c>
      <c r="C16" s="106" t="s">
        <v>14</v>
      </c>
      <c r="D16" s="107">
        <v>5</v>
      </c>
      <c r="E16" s="108">
        <f t="shared" si="3"/>
        <v>17.221719457013585</v>
      </c>
      <c r="F16" s="109">
        <v>0.75</v>
      </c>
      <c r="G16" s="101">
        <f t="shared" si="0"/>
        <v>86.10859728506793</v>
      </c>
      <c r="H16" s="102">
        <f t="shared" si="1"/>
        <v>64.58144796380094</v>
      </c>
      <c r="I16" s="65">
        <f>VLOOKUP(B16,All_Ingredients!$A$1:$F$156,6,FALSE())</f>
        <v>1</v>
      </c>
      <c r="J16" s="103">
        <f>VLOOKUP(B16,All_Ingredients!$A$1:$J$156,10,FALSE())</f>
        <v>0.74</v>
      </c>
      <c r="K16" s="104">
        <f t="shared" si="4"/>
        <v>6.4581447963800942E-2</v>
      </c>
      <c r="L16" s="104">
        <f t="shared" si="5"/>
        <v>4.7790271493212695E-2</v>
      </c>
    </row>
    <row r="17" spans="1:32" ht="14.25" customHeight="1" x14ac:dyDescent="0.25">
      <c r="A17" s="1471"/>
      <c r="B17" s="96" t="s">
        <v>152</v>
      </c>
      <c r="C17" s="106" t="s">
        <v>14</v>
      </c>
      <c r="D17" s="107">
        <v>20</v>
      </c>
      <c r="E17" s="108">
        <f t="shared" si="3"/>
        <v>17.221719457013585</v>
      </c>
      <c r="F17" s="109">
        <v>1</v>
      </c>
      <c r="G17" s="101">
        <f t="shared" si="0"/>
        <v>344.43438914027172</v>
      </c>
      <c r="H17" s="102">
        <f t="shared" si="1"/>
        <v>344.43438914027172</v>
      </c>
      <c r="I17" s="65">
        <f>VLOOKUP(B17,All_Ingredients!$A$1:$F$156,6,FALSE())</f>
        <v>1</v>
      </c>
      <c r="J17" s="103">
        <f>VLOOKUP(B17,All_Ingredients!$A$1:$J$156,10,FALSE())</f>
        <v>30</v>
      </c>
      <c r="K17" s="104">
        <f t="shared" si="4"/>
        <v>0.34443438914027175</v>
      </c>
      <c r="L17" s="104">
        <f t="shared" si="5"/>
        <v>10.333031674208152</v>
      </c>
    </row>
    <row r="18" spans="1:32" ht="14.25" customHeight="1" x14ac:dyDescent="0.25">
      <c r="A18" s="1471"/>
      <c r="B18" s="96" t="s">
        <v>163</v>
      </c>
      <c r="C18" s="106" t="s">
        <v>14</v>
      </c>
      <c r="D18" s="107">
        <v>200</v>
      </c>
      <c r="E18" s="108">
        <f t="shared" si="3"/>
        <v>17.221719457013585</v>
      </c>
      <c r="F18" s="109">
        <v>1</v>
      </c>
      <c r="G18" s="101">
        <f t="shared" si="0"/>
        <v>3444.343891402717</v>
      </c>
      <c r="H18" s="102">
        <f t="shared" si="1"/>
        <v>3444.343891402717</v>
      </c>
      <c r="I18" s="65">
        <f>VLOOKUP(B18,All_Ingredients!$A$1:$F$156,6,FALSE())</f>
        <v>1</v>
      </c>
      <c r="J18" s="103">
        <f>VLOOKUP(B18,All_Ingredients!$A$1:$J$156,10,FALSE())</f>
        <v>6.6959999999999997</v>
      </c>
      <c r="K18" s="104">
        <f t="shared" si="4"/>
        <v>3.4443438914027169</v>
      </c>
      <c r="L18" s="104">
        <f t="shared" si="5"/>
        <v>23.06332669683259</v>
      </c>
    </row>
    <row r="19" spans="1:32" ht="14.25" customHeight="1" x14ac:dyDescent="0.25">
      <c r="A19" s="1471"/>
      <c r="B19" s="96" t="s">
        <v>166</v>
      </c>
      <c r="C19" s="106" t="s">
        <v>160</v>
      </c>
      <c r="D19" s="107">
        <v>300</v>
      </c>
      <c r="E19" s="108">
        <f t="shared" si="3"/>
        <v>17.221719457013585</v>
      </c>
      <c r="F19" s="109">
        <v>1</v>
      </c>
      <c r="G19" s="101">
        <f t="shared" si="0"/>
        <v>5166.5158371040752</v>
      </c>
      <c r="H19" s="102">
        <f t="shared" si="1"/>
        <v>5166.5158371040752</v>
      </c>
      <c r="I19" s="65">
        <f>VLOOKUP(B19,All_Ingredients!$A$1:$F$156,6,FALSE())</f>
        <v>1</v>
      </c>
      <c r="J19" s="103">
        <f>VLOOKUP(B19,All_Ingredients!$A$1:$J$156,10,FALSE())</f>
        <v>12.666666666666666</v>
      </c>
      <c r="K19" s="104">
        <f t="shared" si="4"/>
        <v>5.1665158371040754</v>
      </c>
      <c r="L19" s="104">
        <f t="shared" si="5"/>
        <v>65.442533936651614</v>
      </c>
    </row>
    <row r="20" spans="1:32" ht="14.25" customHeight="1" x14ac:dyDescent="0.25">
      <c r="A20" s="1471"/>
      <c r="B20" s="96" t="s">
        <v>203</v>
      </c>
      <c r="C20" s="106" t="s">
        <v>160</v>
      </c>
      <c r="D20" s="107">
        <v>170</v>
      </c>
      <c r="E20" s="108">
        <f t="shared" si="3"/>
        <v>17.221719457013585</v>
      </c>
      <c r="F20" s="109">
        <v>1</v>
      </c>
      <c r="G20" s="101">
        <f t="shared" si="0"/>
        <v>2927.6923076923094</v>
      </c>
      <c r="H20" s="102">
        <f t="shared" si="1"/>
        <v>2927.6923076923094</v>
      </c>
      <c r="I20" s="65">
        <f>VLOOKUP(B20,All_Ingredients!$A$1:$F$156,6,FALSE())</f>
        <v>1</v>
      </c>
      <c r="J20" s="103">
        <f>VLOOKUP(B20,All_Ingredients!$A$1:$J$156,10,FALSE())</f>
        <v>0</v>
      </c>
      <c r="K20" s="104">
        <f t="shared" si="4"/>
        <v>2.9276923076923094</v>
      </c>
      <c r="L20" s="104">
        <f t="shared" si="5"/>
        <v>0</v>
      </c>
    </row>
    <row r="21" spans="1:32" ht="14.25" customHeight="1" x14ac:dyDescent="0.2">
      <c r="A21" s="1588" t="s">
        <v>908</v>
      </c>
      <c r="B21" s="96" t="s">
        <v>60</v>
      </c>
      <c r="C21" s="106" t="s">
        <v>14</v>
      </c>
      <c r="D21" s="111">
        <v>5</v>
      </c>
      <c r="E21" s="108">
        <f t="shared" si="3"/>
        <v>17.221719457013585</v>
      </c>
      <c r="F21" s="109">
        <v>0.75</v>
      </c>
      <c r="G21" s="101">
        <f t="shared" si="0"/>
        <v>86.10859728506793</v>
      </c>
      <c r="H21" s="102">
        <f t="shared" si="1"/>
        <v>64.58144796380094</v>
      </c>
      <c r="I21" s="65">
        <f>VLOOKUP(B21,All_Ingredients!$A$1:$F$156,6,FALSE())</f>
        <v>0.94</v>
      </c>
      <c r="J21" s="103">
        <f>VLOOKUP(B21,All_Ingredients!$A$1:$J$156,10,FALSE())</f>
        <v>3.6363636363636367</v>
      </c>
      <c r="K21" s="104">
        <f t="shared" si="4"/>
        <v>6.870366804659675E-2</v>
      </c>
      <c r="L21" s="104">
        <f t="shared" si="5"/>
        <v>0.24983152016944274</v>
      </c>
    </row>
    <row r="22" spans="1:32" ht="14.25" customHeight="1" x14ac:dyDescent="0.25">
      <c r="A22" s="1471"/>
      <c r="B22" s="105" t="s">
        <v>187</v>
      </c>
      <c r="C22" s="106" t="s">
        <v>14</v>
      </c>
      <c r="D22" s="111">
        <v>20</v>
      </c>
      <c r="E22" s="108">
        <f t="shared" si="3"/>
        <v>17.221719457013585</v>
      </c>
      <c r="F22" s="109">
        <v>1</v>
      </c>
      <c r="G22" s="101">
        <f t="shared" si="0"/>
        <v>344.43438914027172</v>
      </c>
      <c r="H22" s="102">
        <f t="shared" si="1"/>
        <v>344.43438914027172</v>
      </c>
      <c r="I22" s="65">
        <f>VLOOKUP(B22,All_Ingredients!$A$1:$F$156,6,FALSE())</f>
        <v>0.9</v>
      </c>
      <c r="J22" s="103">
        <f>VLOOKUP(B22,All_Ingredients!$A$1:$J$156,10,FALSE())</f>
        <v>2.3199999999999998</v>
      </c>
      <c r="K22" s="104">
        <f t="shared" si="4"/>
        <v>0.38270487682252413</v>
      </c>
      <c r="L22" s="104">
        <f t="shared" si="5"/>
        <v>0.88787531422825594</v>
      </c>
      <c r="M22" s="112"/>
      <c r="N22" s="112"/>
    </row>
    <row r="23" spans="1:32" ht="14.25" customHeight="1" x14ac:dyDescent="0.25">
      <c r="C23" s="114"/>
      <c r="D23" s="115"/>
      <c r="E23" s="116"/>
      <c r="F23" s="117"/>
      <c r="G23" s="118"/>
      <c r="H23" s="119"/>
      <c r="I23" s="76"/>
      <c r="J23" s="120"/>
      <c r="K23" s="76"/>
      <c r="L23" s="121"/>
      <c r="M23" s="112"/>
      <c r="N23" s="112"/>
      <c r="Z23" s="1073"/>
    </row>
    <row r="24" spans="1:32" ht="14.25" customHeight="1" x14ac:dyDescent="0.25">
      <c r="I24" s="76"/>
      <c r="J24" s="120"/>
      <c r="K24" s="76"/>
      <c r="L24" s="121"/>
      <c r="M24" s="112"/>
      <c r="N24" s="112"/>
      <c r="S24" s="383"/>
      <c r="Z24" s="1073"/>
    </row>
    <row r="25" spans="1:32" ht="14.25" customHeight="1" x14ac:dyDescent="0.25">
      <c r="I25" s="76"/>
      <c r="J25" s="120"/>
      <c r="K25" s="76"/>
      <c r="L25" s="121"/>
      <c r="M25" s="112"/>
      <c r="N25" s="112"/>
      <c r="R25" s="1640" t="s">
        <v>251</v>
      </c>
      <c r="S25" s="1640"/>
      <c r="T25" s="1640"/>
      <c r="U25" s="1640"/>
      <c r="V25" s="997"/>
      <c r="W25" s="997"/>
      <c r="Z25" s="122" t="s">
        <v>252</v>
      </c>
      <c r="AA25" s="1030">
        <v>1</v>
      </c>
      <c r="AB25" s="1029" t="s">
        <v>249</v>
      </c>
      <c r="AC25" s="124">
        <f>(AA25*(4/3))*AF30+(AA30*(AB28/R1))</f>
        <v>3.1888191540120375E-2</v>
      </c>
      <c r="AD25" s="192"/>
      <c r="AE25" s="192"/>
      <c r="AF25" s="192"/>
    </row>
    <row r="26" spans="1:32" ht="14.25" customHeight="1" x14ac:dyDescent="0.25">
      <c r="I26" s="76"/>
      <c r="J26" s="120"/>
      <c r="K26" s="76"/>
      <c r="L26" s="121"/>
      <c r="M26" s="112"/>
      <c r="N26" s="112"/>
      <c r="R26" s="1638" t="s">
        <v>253</v>
      </c>
      <c r="S26" s="1639"/>
      <c r="T26" s="1639"/>
      <c r="U26" s="1639"/>
      <c r="V26" s="1028"/>
      <c r="W26" s="1028"/>
      <c r="Z26" s="192"/>
      <c r="AA26" s="192"/>
      <c r="AB26" s="192"/>
      <c r="AC26" s="1074"/>
      <c r="AD26" s="192"/>
      <c r="AE26" s="192"/>
      <c r="AF26" s="192"/>
    </row>
    <row r="27" spans="1:32" ht="14.25" customHeight="1" thickBot="1" x14ac:dyDescent="0.3">
      <c r="B27" s="84"/>
      <c r="C27" s="777"/>
      <c r="D27" s="777"/>
      <c r="E27" s="777"/>
      <c r="F27" s="777"/>
      <c r="G27" s="777"/>
      <c r="H27"/>
      <c r="I27" s="76"/>
      <c r="J27" s="120"/>
      <c r="K27" s="76"/>
      <c r="L27" s="121"/>
      <c r="M27" s="112"/>
      <c r="N27" s="112"/>
      <c r="R27" s="126" t="s">
        <v>254</v>
      </c>
      <c r="S27" s="127" t="s">
        <v>255</v>
      </c>
      <c r="T27" s="127" t="s">
        <v>256</v>
      </c>
      <c r="U27" s="127" t="s">
        <v>257</v>
      </c>
      <c r="V27" s="127" t="s">
        <v>772</v>
      </c>
      <c r="W27" s="127" t="s">
        <v>779</v>
      </c>
      <c r="Z27" s="1029" t="s">
        <v>258</v>
      </c>
      <c r="AA27" s="1031" t="s">
        <v>312</v>
      </c>
      <c r="AB27" s="1032" t="s">
        <v>259</v>
      </c>
      <c r="AC27" s="1032" t="s">
        <v>260</v>
      </c>
      <c r="AD27" s="1032" t="s">
        <v>261</v>
      </c>
      <c r="AE27" s="1032" t="s">
        <v>779</v>
      </c>
      <c r="AF27" s="1032" t="s">
        <v>262</v>
      </c>
    </row>
    <row r="28" spans="1:32" ht="14.25" customHeight="1" thickBot="1" x14ac:dyDescent="0.3">
      <c r="B28" s="347"/>
      <c r="C28" s="324"/>
      <c r="D28" s="241"/>
      <c r="E28" s="347"/>
      <c r="F28" s="347"/>
      <c r="G28" s="241"/>
      <c r="H28" s="53"/>
      <c r="I28" s="76"/>
      <c r="J28" s="120"/>
      <c r="K28" s="76"/>
      <c r="L28" s="121"/>
      <c r="M28" s="112"/>
      <c r="N28" s="112"/>
      <c r="R28" s="129" t="s">
        <v>263</v>
      </c>
      <c r="S28" s="1216">
        <f>U28*S40</f>
        <v>19961.538461538457</v>
      </c>
      <c r="T28" s="1216">
        <f>U28*U40</f>
        <v>5988.4615384615445</v>
      </c>
      <c r="U28" s="1206">
        <f>$Z$1</f>
        <v>25950</v>
      </c>
      <c r="V28" s="315">
        <f>SUM(AP5:AP13)</f>
        <v>2097.6531942633628</v>
      </c>
      <c r="W28" s="1606">
        <f>H37</f>
        <v>12.740000000000002</v>
      </c>
      <c r="Z28" s="1033"/>
      <c r="AA28" s="1034"/>
      <c r="AB28" s="1035">
        <f>AA25*$S$40</f>
        <v>0.76923076923076905</v>
      </c>
      <c r="AC28" s="1036">
        <f>AA25*U40</f>
        <v>0.230769230769231</v>
      </c>
      <c r="AD28" s="134">
        <f>AA25*(1/3)</f>
        <v>0.33333333333333331</v>
      </c>
      <c r="AE28" s="1034"/>
      <c r="AF28" s="1037">
        <f>SUM(AB28:AD28)</f>
        <v>1.3333333333333333</v>
      </c>
    </row>
    <row r="29" spans="1:32" ht="14.25" customHeight="1" thickBot="1" x14ac:dyDescent="0.3">
      <c r="I29" s="76"/>
      <c r="J29" s="120"/>
      <c r="K29" s="76"/>
      <c r="L29" s="121"/>
      <c r="M29" s="112"/>
      <c r="N29" s="112"/>
      <c r="R29" s="129" t="s">
        <v>264</v>
      </c>
      <c r="S29" s="1224"/>
      <c r="T29" s="315">
        <f>U28*(1/3)</f>
        <v>8650</v>
      </c>
      <c r="U29" s="1216">
        <f>T29</f>
        <v>8650</v>
      </c>
      <c r="V29" s="315"/>
      <c r="W29" s="1606"/>
      <c r="Z29" s="1033"/>
      <c r="AA29" s="1038"/>
      <c r="AB29" s="1039">
        <f>AB28/$AF$28</f>
        <v>0.57692307692307687</v>
      </c>
      <c r="AC29" s="1040">
        <f>AC28/$AF$28</f>
        <v>0.17307692307692327</v>
      </c>
      <c r="AD29" s="1040">
        <f>AD28/AF28</f>
        <v>0.25</v>
      </c>
      <c r="AE29" s="1038"/>
      <c r="AF29" s="1041">
        <f>AF28/$AF$28</f>
        <v>1</v>
      </c>
    </row>
    <row r="30" spans="1:32" ht="14.25" customHeight="1" thickBot="1" x14ac:dyDescent="0.3">
      <c r="I30" s="76"/>
      <c r="J30" s="120"/>
      <c r="K30" s="76"/>
      <c r="L30" s="121"/>
      <c r="M30" s="112"/>
      <c r="N30" s="112"/>
      <c r="R30" s="129" t="s">
        <v>265</v>
      </c>
      <c r="S30" s="1609">
        <f>U30*S40</f>
        <v>0</v>
      </c>
      <c r="T30" s="1243">
        <f>(U30*U40)+(U30*0.3)</f>
        <v>0</v>
      </c>
      <c r="U30" s="1610">
        <f>$AB$1</f>
        <v>0</v>
      </c>
      <c r="V30" s="387"/>
      <c r="W30" s="1607"/>
      <c r="Z30" s="1029" t="s">
        <v>266</v>
      </c>
      <c r="AA30" s="1042">
        <f>V35/(S32/R1)</f>
        <v>4.9480139173656399E-4</v>
      </c>
      <c r="AB30" s="1037">
        <f>S35/(S32)</f>
        <v>3.3701221915648408E-2</v>
      </c>
      <c r="AC30" s="1037">
        <f>T35/T32</f>
        <v>9.3689941210059191E-3</v>
      </c>
      <c r="AD30" s="1037">
        <f>T35/T32</f>
        <v>9.3689941210059191E-3</v>
      </c>
      <c r="AE30" s="1045">
        <f>W35/U32</f>
        <v>2.5491329479768789E-5</v>
      </c>
      <c r="AF30" s="1043">
        <f>(SUMPRODUCT(AB30:AD30,AB29:AD29))+AE30</f>
        <v>2.3432309178164048E-2</v>
      </c>
    </row>
    <row r="31" spans="1:32" ht="48.75" customHeight="1" thickBot="1" x14ac:dyDescent="0.3">
      <c r="I31" s="76"/>
      <c r="J31" s="120"/>
      <c r="K31" s="76"/>
      <c r="L31" s="121"/>
      <c r="M31" s="112"/>
      <c r="N31" s="112"/>
      <c r="R31" s="129" t="s">
        <v>267</v>
      </c>
      <c r="S31" s="723"/>
      <c r="T31" s="315"/>
      <c r="U31" s="722"/>
      <c r="V31" s="315"/>
      <c r="W31" s="1606"/>
      <c r="AA31" s="1079">
        <f>AA30*(AB28/R1)</f>
        <v>6.4511263590164784E-4</v>
      </c>
      <c r="AB31" s="1073">
        <f>AB28*AB30</f>
        <v>2.5924016858191078E-2</v>
      </c>
      <c r="AC31" s="1073">
        <f>AC28*AC30</f>
        <v>2.1620755663859835E-3</v>
      </c>
      <c r="AD31" s="1073">
        <f>AD28*AD30</f>
        <v>3.1229980403353064E-3</v>
      </c>
      <c r="AE31" s="1080">
        <f>AF28*AE30</f>
        <v>3.3988439306358381E-5</v>
      </c>
      <c r="AF31" s="14">
        <f>AF28*AF30</f>
        <v>3.1243078904218728E-2</v>
      </c>
    </row>
    <row r="32" spans="1:32" ht="14.25" customHeight="1" thickBot="1" x14ac:dyDescent="0.3">
      <c r="I32" s="76"/>
      <c r="J32" s="120"/>
      <c r="K32" s="76"/>
      <c r="L32" s="121"/>
      <c r="M32" s="112"/>
      <c r="N32" s="112"/>
      <c r="R32" s="141" t="s">
        <v>257</v>
      </c>
      <c r="S32" s="315">
        <f>S28+S30</f>
        <v>19961.538461538457</v>
      </c>
      <c r="T32" s="315">
        <f>SUM(T28:T30)</f>
        <v>14638.461538461544</v>
      </c>
      <c r="U32" s="315">
        <f>SUM(U28:U30)</f>
        <v>34600</v>
      </c>
      <c r="V32" s="315">
        <f>SUM(V28:V30)</f>
        <v>2097.6531942633628</v>
      </c>
      <c r="W32" s="1606">
        <f>SUM(W28:W30)</f>
        <v>12.740000000000002</v>
      </c>
      <c r="AC32" s="14">
        <f>AC31+AD31</f>
        <v>5.2850736067212899E-3</v>
      </c>
    </row>
    <row r="33" spans="2:25" ht="14.25" customHeight="1" thickBot="1" x14ac:dyDescent="0.3">
      <c r="I33" s="76"/>
      <c r="J33" s="120"/>
      <c r="K33" s="76"/>
      <c r="L33" s="121"/>
      <c r="M33" s="112"/>
      <c r="N33" s="112"/>
      <c r="R33" s="142" t="s">
        <v>268</v>
      </c>
      <c r="S33" s="271"/>
      <c r="T33" s="271"/>
      <c r="U33" s="271"/>
      <c r="V33" s="271"/>
      <c r="W33" s="1608"/>
    </row>
    <row r="34" spans="2:25" ht="14.25" customHeight="1" thickBot="1" x14ac:dyDescent="0.3">
      <c r="I34" s="76"/>
      <c r="J34" s="120"/>
      <c r="K34" s="76"/>
      <c r="L34" s="121"/>
      <c r="M34" s="112"/>
      <c r="N34" s="112"/>
      <c r="R34" s="143" t="s">
        <v>269</v>
      </c>
      <c r="S34" s="271"/>
      <c r="T34" s="315"/>
      <c r="U34" s="271"/>
      <c r="V34" s="271"/>
      <c r="W34" s="1608"/>
    </row>
    <row r="35" spans="2:25" ht="14.25" customHeight="1" thickBot="1" x14ac:dyDescent="0.3">
      <c r="B35" s="1641" t="s">
        <v>629</v>
      </c>
      <c r="C35" s="1641"/>
      <c r="D35" s="1641"/>
      <c r="E35" s="1641"/>
      <c r="F35" s="1641"/>
      <c r="G35" s="803"/>
      <c r="H35" s="803"/>
      <c r="I35" s="803"/>
      <c r="J35" s="803"/>
      <c r="K35" s="803"/>
      <c r="L35" s="803"/>
      <c r="M35" s="112"/>
      <c r="N35" s="112"/>
      <c r="R35" s="144" t="s">
        <v>249</v>
      </c>
      <c r="S35" s="1504">
        <f>$L$5</f>
        <v>672.7282374700585</v>
      </c>
      <c r="T35" s="1504">
        <f>SUM(L6:L22)</f>
        <v>137.14766009441746</v>
      </c>
      <c r="U35" s="1505">
        <f>T35+S35+V35+W35</f>
        <v>827.49857046612362</v>
      </c>
      <c r="V35" s="1506">
        <f>SUM(AT6:AT13)</f>
        <v>16.740672901647763</v>
      </c>
      <c r="W35" s="1503">
        <f>L37</f>
        <v>0.88200000000000012</v>
      </c>
    </row>
    <row r="36" spans="2:25" ht="14.25" customHeight="1" x14ac:dyDescent="0.25">
      <c r="B36" s="776" t="s">
        <v>241</v>
      </c>
      <c r="C36" s="776" t="s">
        <v>317</v>
      </c>
      <c r="D36" s="778" t="s">
        <v>622</v>
      </c>
      <c r="E36" s="775" t="s">
        <v>623</v>
      </c>
      <c r="F36" s="778" t="s">
        <v>624</v>
      </c>
      <c r="G36" s="797"/>
      <c r="H36" s="778" t="s">
        <v>624</v>
      </c>
      <c r="I36" s="778" t="s">
        <v>246</v>
      </c>
      <c r="J36" s="778" t="s">
        <v>247</v>
      </c>
      <c r="K36" s="778" t="s">
        <v>248</v>
      </c>
      <c r="L36" s="778" t="s">
        <v>249</v>
      </c>
      <c r="M36" s="112"/>
      <c r="N36" s="112"/>
    </row>
    <row r="37" spans="2:25" ht="14.25" customHeight="1" x14ac:dyDescent="0.25">
      <c r="B37" s="772" t="s">
        <v>686</v>
      </c>
      <c r="C37" s="773" t="s">
        <v>14</v>
      </c>
      <c r="D37" s="774">
        <v>7.0000000000000007E-2</v>
      </c>
      <c r="E37" s="772">
        <f>$AD$1</f>
        <v>182</v>
      </c>
      <c r="F37" s="772">
        <f>D37*E37</f>
        <v>12.740000000000002</v>
      </c>
      <c r="G37" s="796"/>
      <c r="H37" s="772">
        <f>F37</f>
        <v>12.740000000000002</v>
      </c>
      <c r="I37" s="772">
        <f>VLOOKUP(B37,All_Ingredients!$A$1:$F$156,6,FALSE())</f>
        <v>0.65</v>
      </c>
      <c r="J37" s="772">
        <f>VLOOKUP(B37,All_Ingredients!$A$1:$J$156,10,FALSE())</f>
        <v>45</v>
      </c>
      <c r="K37" s="772">
        <f>(H37/I37)/1000</f>
        <v>1.9600000000000003E-2</v>
      </c>
      <c r="L37" s="772">
        <f>K37*J37</f>
        <v>0.88200000000000012</v>
      </c>
      <c r="M37" s="112"/>
      <c r="N37" s="112"/>
    </row>
    <row r="38" spans="2:25" ht="14.25" customHeight="1" x14ac:dyDescent="0.25">
      <c r="B38" s="114"/>
      <c r="C38" s="114"/>
      <c r="D38" s="115"/>
      <c r="E38" s="116"/>
      <c r="F38" s="117"/>
      <c r="G38" s="118"/>
      <c r="H38" s="119"/>
      <c r="I38" s="76"/>
      <c r="J38" s="120"/>
      <c r="K38" s="76"/>
      <c r="L38" s="121"/>
      <c r="M38" s="112"/>
      <c r="N38" s="112"/>
    </row>
    <row r="39" spans="2:25" ht="18" customHeight="1" x14ac:dyDescent="0.25">
      <c r="B39" s="114"/>
      <c r="C39" s="114"/>
      <c r="D39" s="115"/>
      <c r="E39" s="116"/>
      <c r="F39" s="117"/>
      <c r="G39" s="118"/>
      <c r="H39" s="119"/>
      <c r="I39" s="76"/>
      <c r="J39" s="120"/>
      <c r="K39" s="76"/>
      <c r="L39" s="121"/>
      <c r="M39" s="112"/>
      <c r="N39" s="112"/>
    </row>
    <row r="40" spans="2:25" ht="31.5" customHeight="1" x14ac:dyDescent="0.25">
      <c r="B40" s="114"/>
      <c r="C40" s="114"/>
      <c r="D40" s="115"/>
      <c r="E40" s="116"/>
      <c r="F40" s="117"/>
      <c r="G40" s="118"/>
      <c r="H40" s="119"/>
      <c r="I40" s="76"/>
      <c r="J40" s="120"/>
      <c r="K40" s="76"/>
      <c r="L40" s="121"/>
      <c r="M40" s="112"/>
      <c r="N40" s="112"/>
      <c r="R40" s="146" t="s">
        <v>270</v>
      </c>
      <c r="S40" s="147">
        <v>0.76923076923076905</v>
      </c>
      <c r="T40" s="146" t="s">
        <v>271</v>
      </c>
      <c r="U40" s="148">
        <v>0.230769230769231</v>
      </c>
      <c r="V40" s="149">
        <f>S40+U40</f>
        <v>1</v>
      </c>
    </row>
    <row r="41" spans="2:25" ht="14.25" customHeight="1" x14ac:dyDescent="0.25">
      <c r="B41" s="114"/>
      <c r="C41" s="114"/>
      <c r="D41" s="115"/>
      <c r="E41" s="116"/>
      <c r="F41" s="117"/>
      <c r="G41" s="118"/>
      <c r="H41" s="119"/>
      <c r="I41" s="76"/>
      <c r="J41" s="120"/>
      <c r="K41" s="76"/>
      <c r="L41" s="121"/>
      <c r="M41" s="112"/>
      <c r="N41" s="112"/>
      <c r="U41" s="150"/>
    </row>
    <row r="42" spans="2:25" ht="14.25" customHeight="1" x14ac:dyDescent="0.25">
      <c r="B42" s="114"/>
      <c r="C42" s="114"/>
      <c r="D42" s="115"/>
      <c r="E42" s="116"/>
      <c r="F42" s="117"/>
      <c r="G42" s="118"/>
      <c r="H42" s="119"/>
      <c r="I42" s="76"/>
      <c r="J42" s="120"/>
      <c r="K42" s="76"/>
      <c r="L42" s="121"/>
      <c r="M42" s="112"/>
      <c r="N42" s="112"/>
    </row>
    <row r="43" spans="2:25" ht="14.25" customHeight="1" thickBot="1" x14ac:dyDescent="0.3">
      <c r="B43" s="114"/>
      <c r="C43" s="114"/>
      <c r="D43" s="115"/>
      <c r="E43" s="116"/>
      <c r="F43" s="117"/>
      <c r="G43" s="118"/>
      <c r="H43" s="119"/>
      <c r="I43" s="76"/>
      <c r="J43" s="120"/>
      <c r="K43" s="76"/>
      <c r="L43" s="121"/>
      <c r="M43" s="112"/>
      <c r="N43" s="112"/>
      <c r="Q43" s="151" t="s">
        <v>272</v>
      </c>
      <c r="R43" s="151" t="s">
        <v>273</v>
      </c>
      <c r="S43" s="151" t="s">
        <v>274</v>
      </c>
      <c r="T43" s="151" t="s">
        <v>275</v>
      </c>
      <c r="U43" s="151" t="s">
        <v>276</v>
      </c>
      <c r="V43" s="151" t="s">
        <v>277</v>
      </c>
      <c r="W43" s="151" t="s">
        <v>278</v>
      </c>
    </row>
    <row r="44" spans="2:25" ht="14.25" customHeight="1" thickBot="1" x14ac:dyDescent="0.3">
      <c r="B44" s="113"/>
      <c r="C44" s="114"/>
      <c r="D44" s="152"/>
      <c r="E44" s="84"/>
      <c r="F44" s="117"/>
      <c r="G44" s="152"/>
      <c r="Q44" s="1182">
        <v>17728</v>
      </c>
      <c r="R44" s="154">
        <f>D51</f>
        <v>10000</v>
      </c>
      <c r="S44" s="1184">
        <v>0.40909090909090912</v>
      </c>
      <c r="T44" s="1184">
        <v>0.59090909090909094</v>
      </c>
      <c r="U44" s="156">
        <f>R44*S44</f>
        <v>4090.909090909091</v>
      </c>
      <c r="V44" s="157">
        <f>R44*T44</f>
        <v>5909.090909090909</v>
      </c>
      <c r="W44" s="158">
        <f>Q44-U44</f>
        <v>13637.090909090908</v>
      </c>
    </row>
    <row r="45" spans="2:25" ht="14.25" customHeight="1" x14ac:dyDescent="0.25"/>
    <row r="46" spans="2:25" ht="14.25" customHeight="1" x14ac:dyDescent="0.25"/>
    <row r="47" spans="2:25" ht="14.25" customHeight="1" x14ac:dyDescent="0.25">
      <c r="Q47" s="151" t="s">
        <v>272</v>
      </c>
      <c r="R47" s="151" t="s">
        <v>273</v>
      </c>
      <c r="S47" s="151" t="s">
        <v>777</v>
      </c>
      <c r="T47" s="151" t="s">
        <v>274</v>
      </c>
      <c r="U47" s="151" t="s">
        <v>275</v>
      </c>
      <c r="V47" s="151" t="s">
        <v>276</v>
      </c>
      <c r="W47" s="151" t="s">
        <v>277</v>
      </c>
      <c r="X47" s="151" t="s">
        <v>778</v>
      </c>
      <c r="Y47" s="151" t="s">
        <v>278</v>
      </c>
    </row>
    <row r="48" spans="2:25" ht="14.25" customHeight="1" x14ac:dyDescent="0.25">
      <c r="Q48" s="153">
        <v>18841</v>
      </c>
      <c r="R48" s="154">
        <f>D55</f>
        <v>0</v>
      </c>
      <c r="S48" s="155">
        <v>0.05</v>
      </c>
      <c r="T48" s="155">
        <f>43.47826%-(S48/2)</f>
        <v>0.40978259999999994</v>
      </c>
      <c r="U48" s="155">
        <f>56.52174%-(S48/2)</f>
        <v>0.54021739999999996</v>
      </c>
      <c r="V48" s="156">
        <f>R48*T48</f>
        <v>0</v>
      </c>
      <c r="W48" s="157">
        <f>R48*U48</f>
        <v>0</v>
      </c>
      <c r="X48" s="157"/>
      <c r="Y48" s="158">
        <f>Q48-V48</f>
        <v>18841</v>
      </c>
    </row>
    <row r="49" spans="1:10" ht="14.25" customHeight="1" x14ac:dyDescent="0.25"/>
    <row r="50" spans="1:10" ht="14.25" customHeight="1" x14ac:dyDescent="0.25">
      <c r="B50" s="159"/>
      <c r="C50" s="159" t="s">
        <v>233</v>
      </c>
      <c r="D50" s="143" t="s">
        <v>279</v>
      </c>
      <c r="E50" s="160"/>
      <c r="F50" s="160"/>
      <c r="G50" s="126" t="s">
        <v>280</v>
      </c>
      <c r="H50" s="126" t="s">
        <v>233</v>
      </c>
      <c r="I50" s="126" t="s">
        <v>281</v>
      </c>
      <c r="J50" s="126" t="s">
        <v>282</v>
      </c>
    </row>
    <row r="51" spans="1:10" ht="14.25" customHeight="1" x14ac:dyDescent="0.25">
      <c r="B51" s="161" t="s">
        <v>283</v>
      </c>
      <c r="C51" s="162">
        <f>10/K1</f>
        <v>11.764705882352942</v>
      </c>
      <c r="D51" s="163">
        <f>C1*10</f>
        <v>10000</v>
      </c>
      <c r="E51" s="164"/>
      <c r="F51" s="112"/>
      <c r="G51" s="161" t="s">
        <v>283</v>
      </c>
      <c r="H51" s="162">
        <f>I51/$D$5</f>
        <v>10</v>
      </c>
      <c r="I51" s="162">
        <f>J51/$R$1</f>
        <v>23113.713405238828</v>
      </c>
      <c r="J51" s="162">
        <f>$W$44</f>
        <v>13637.090909090908</v>
      </c>
    </row>
    <row r="52" spans="1:10" ht="14.25" customHeight="1" x14ac:dyDescent="0.25">
      <c r="B52" s="126" t="s">
        <v>262</v>
      </c>
      <c r="C52" s="165">
        <f>I1</f>
        <v>17.221719457013585</v>
      </c>
      <c r="D52" s="166">
        <f>E1</f>
        <v>14638.461538461544</v>
      </c>
      <c r="E52" s="84"/>
      <c r="F52" s="112"/>
      <c r="G52" s="129" t="s">
        <v>262</v>
      </c>
      <c r="H52" s="157">
        <f>I52/$D$5</f>
        <v>14.637680862148889</v>
      </c>
      <c r="I52" s="157">
        <f>J52/$R$1</f>
        <v>33833.11603650586</v>
      </c>
      <c r="J52" s="165">
        <f>$S$32</f>
        <v>19961.538461538457</v>
      </c>
    </row>
    <row r="53" spans="1:10" ht="14.25" customHeight="1" x14ac:dyDescent="0.25">
      <c r="B53" s="126" t="s">
        <v>284</v>
      </c>
      <c r="C53" s="167">
        <f>MIN($C$52,C51)</f>
        <v>11.764705882352942</v>
      </c>
      <c r="D53" s="166">
        <f>(C53*$K$1)*$C$1</f>
        <v>10000</v>
      </c>
      <c r="E53" s="84"/>
      <c r="F53" s="112"/>
      <c r="G53" s="129" t="s">
        <v>284</v>
      </c>
      <c r="H53" s="168">
        <f>MIN(H52,H51)</f>
        <v>10</v>
      </c>
      <c r="I53" s="157">
        <f>J53/$R$1</f>
        <v>23113.713405238828</v>
      </c>
      <c r="J53" s="157">
        <f>MIN(J52,J51)</f>
        <v>13637.090909090908</v>
      </c>
    </row>
    <row r="54" spans="1:10" ht="14.25" customHeight="1" x14ac:dyDescent="0.25">
      <c r="B54" s="126" t="s">
        <v>285</v>
      </c>
      <c r="C54" s="167">
        <f>MIN(MAX($C$52-C53,0),C51)</f>
        <v>5.4570135746606425</v>
      </c>
      <c r="D54" s="166">
        <f>(C54*$K$1)*$C$1</f>
        <v>4638.4615384615463</v>
      </c>
      <c r="E54" s="84"/>
      <c r="F54" s="112"/>
      <c r="G54" s="129" t="s">
        <v>285</v>
      </c>
      <c r="H54" s="168">
        <f>MIN(MAX(H52-H53),H51)</f>
        <v>4.6376808621488887</v>
      </c>
      <c r="I54" s="157">
        <f>J54/$R$1</f>
        <v>10719.402631267034</v>
      </c>
      <c r="J54" s="157">
        <f>MIN(MAX(J52-J53),J51)</f>
        <v>6324.4475524475492</v>
      </c>
    </row>
    <row r="55" spans="1:10" ht="14.25" customHeight="1" x14ac:dyDescent="0.25">
      <c r="B55" s="126" t="s">
        <v>286</v>
      </c>
      <c r="C55" s="167">
        <f>MIN(MAX($C$52-C53-C54,0),C51)</f>
        <v>0</v>
      </c>
      <c r="D55" s="166">
        <f>(C55*$K$1)*$C$1</f>
        <v>0</v>
      </c>
      <c r="E55" s="84"/>
      <c r="F55" s="84"/>
      <c r="G55" s="126" t="s">
        <v>286</v>
      </c>
      <c r="H55" s="168">
        <f>MIN(MAX(H52-H53-H54),H51)</f>
        <v>0</v>
      </c>
      <c r="I55" s="157">
        <f>J55/$R$1</f>
        <v>0</v>
      </c>
      <c r="J55" s="157">
        <f>MIN(MAX(J52-J53-J54),J51)</f>
        <v>0</v>
      </c>
    </row>
    <row r="56" spans="1:10" ht="14.25" customHeight="1" x14ac:dyDescent="0.25"/>
    <row r="57" spans="1:10" ht="14.25" customHeight="1" x14ac:dyDescent="0.25">
      <c r="B57" s="84"/>
      <c r="E57" s="84"/>
      <c r="F57" s="84"/>
    </row>
    <row r="58" spans="1:10" ht="14.25" customHeight="1" x14ac:dyDescent="0.25">
      <c r="B58" s="84"/>
      <c r="E58" s="84"/>
      <c r="F58" s="84"/>
    </row>
    <row r="59" spans="1:10" ht="14.25" customHeight="1" x14ac:dyDescent="0.25">
      <c r="B59" s="84"/>
      <c r="E59" s="84"/>
      <c r="F59" s="84"/>
    </row>
    <row r="60" spans="1:10" ht="14.25" customHeight="1" x14ac:dyDescent="0.25">
      <c r="B60" s="84"/>
      <c r="E60" s="84"/>
      <c r="F60" s="84"/>
    </row>
    <row r="61" spans="1:10" ht="14.25" customHeight="1" x14ac:dyDescent="0.25">
      <c r="B61" s="84"/>
      <c r="E61" s="84"/>
      <c r="F61" s="84"/>
    </row>
    <row r="62" spans="1:10" ht="18" customHeight="1" x14ac:dyDescent="0.25">
      <c r="A62" s="1473"/>
      <c r="B62" s="1636" t="str">
        <f>" دجاج بالكاري 1 / " &amp; COUNTIF($C$53:$C$55, "&gt;0")</f>
        <v xml:space="preserve"> دجاج بالكاري 1 / 2</v>
      </c>
      <c r="C62" s="1637"/>
      <c r="D62" s="1637"/>
      <c r="E62" s="1637"/>
      <c r="F62" s="1637"/>
      <c r="G62" s="1637"/>
      <c r="H62" s="1637"/>
    </row>
    <row r="63" spans="1:10" ht="18" customHeight="1" x14ac:dyDescent="0.25">
      <c r="A63" s="1473"/>
      <c r="B63" s="1634" t="str">
        <f>" Curry Chicken  1 / " &amp; COUNTIF($C$53:$C$55, "&gt;0")</f>
        <v xml:space="preserve"> Curry Chicken  1 / 2</v>
      </c>
      <c r="C63" s="1635"/>
      <c r="D63" s="1635"/>
      <c r="E63" s="1635"/>
      <c r="F63" s="1635"/>
      <c r="G63" s="1635"/>
      <c r="H63" s="1635"/>
    </row>
    <row r="64" spans="1:10" ht="44.25" customHeight="1" x14ac:dyDescent="0.2">
      <c r="A64" s="1587"/>
      <c r="B64" s="169" t="s">
        <v>241</v>
      </c>
      <c r="C64" s="170" t="s">
        <v>242</v>
      </c>
      <c r="D64" s="169" t="s">
        <v>231</v>
      </c>
      <c r="E64" s="171" t="s">
        <v>234</v>
      </c>
      <c r="F64" s="171" t="s">
        <v>243</v>
      </c>
      <c r="G64" s="169" t="s">
        <v>244</v>
      </c>
      <c r="H64" s="172" t="s">
        <v>245</v>
      </c>
    </row>
    <row r="65" spans="1:8" ht="14.25" customHeight="1" x14ac:dyDescent="0.2">
      <c r="A65" s="1491"/>
      <c r="B65" s="173" t="str">
        <f>$B$5</f>
        <v>Chicken - دجاج</v>
      </c>
      <c r="C65" s="174" t="str">
        <f t="shared" ref="C65:D82" si="11">C5</f>
        <v>gm</v>
      </c>
      <c r="D65" s="175">
        <f t="shared" si="11"/>
        <v>2311.3713405238827</v>
      </c>
      <c r="E65" s="175">
        <f>H53</f>
        <v>10</v>
      </c>
      <c r="F65" s="109">
        <f>F5</f>
        <v>1</v>
      </c>
      <c r="G65" s="176">
        <f>G5</f>
        <v>33833.11603650586</v>
      </c>
      <c r="H65" s="176">
        <f>H5</f>
        <v>33833.11603650586</v>
      </c>
    </row>
    <row r="66" spans="1:8" ht="14.25" customHeight="1" x14ac:dyDescent="0.2">
      <c r="A66" s="1588" t="s">
        <v>905</v>
      </c>
      <c r="B66" s="105" t="str">
        <f t="shared" ref="B66:B82" si="12">B6</f>
        <v>Onion - بصل</v>
      </c>
      <c r="C66" s="105" t="str">
        <f t="shared" si="11"/>
        <v>gm</v>
      </c>
      <c r="D66" s="105">
        <f t="shared" si="11"/>
        <v>150</v>
      </c>
      <c r="E66" s="177">
        <f t="shared" ref="E66:E82" si="13">$C$53</f>
        <v>11.764705882352942</v>
      </c>
      <c r="F66" s="109">
        <f t="shared" ref="F66:F82" si="14">F6</f>
        <v>0.95</v>
      </c>
      <c r="G66" s="101">
        <f t="shared" ref="G66:G81" si="15">D66*E66</f>
        <v>1764.7058823529412</v>
      </c>
      <c r="H66" s="102">
        <f t="shared" ref="H66:H81" si="16">G66*F66</f>
        <v>1676.4705882352941</v>
      </c>
    </row>
    <row r="67" spans="1:8" ht="14.25" customHeight="1" x14ac:dyDescent="0.2">
      <c r="A67" s="1588" t="s">
        <v>909</v>
      </c>
      <c r="B67" s="105" t="str">
        <f t="shared" si="12"/>
        <v>Tomato - طماطم</v>
      </c>
      <c r="C67" s="105" t="str">
        <f t="shared" si="11"/>
        <v>gm</v>
      </c>
      <c r="D67" s="105">
        <f t="shared" si="11"/>
        <v>250</v>
      </c>
      <c r="E67" s="177">
        <f t="shared" si="13"/>
        <v>11.764705882352942</v>
      </c>
      <c r="F67" s="109">
        <f t="shared" si="14"/>
        <v>1</v>
      </c>
      <c r="G67" s="101">
        <f t="shared" si="15"/>
        <v>2941.1764705882356</v>
      </c>
      <c r="H67" s="102">
        <f t="shared" si="16"/>
        <v>2941.1764705882356</v>
      </c>
    </row>
    <row r="68" spans="1:8" ht="14.25" customHeight="1" x14ac:dyDescent="0.2">
      <c r="A68" s="1588" t="s">
        <v>906</v>
      </c>
      <c r="B68" s="105" t="str">
        <f t="shared" si="12"/>
        <v>Ginger - زنجبيل</v>
      </c>
      <c r="C68" s="105" t="str">
        <f t="shared" si="11"/>
        <v>gm</v>
      </c>
      <c r="D68" s="105">
        <f t="shared" si="11"/>
        <v>15</v>
      </c>
      <c r="E68" s="177">
        <f t="shared" si="13"/>
        <v>11.764705882352942</v>
      </c>
      <c r="F68" s="109">
        <f t="shared" si="14"/>
        <v>0.9</v>
      </c>
      <c r="G68" s="101">
        <f t="shared" si="15"/>
        <v>176.47058823529414</v>
      </c>
      <c r="H68" s="102">
        <f t="shared" si="16"/>
        <v>158.82352941176472</v>
      </c>
    </row>
    <row r="69" spans="1:8" ht="14.25" customHeight="1" x14ac:dyDescent="0.2">
      <c r="A69" s="1588" t="s">
        <v>907</v>
      </c>
      <c r="B69" s="105" t="str">
        <f t="shared" si="12"/>
        <v>Garlic - ثوم مقشر</v>
      </c>
      <c r="C69" s="105" t="str">
        <f t="shared" si="11"/>
        <v>gm</v>
      </c>
      <c r="D69" s="105">
        <f t="shared" si="11"/>
        <v>25</v>
      </c>
      <c r="E69" s="177">
        <f t="shared" si="13"/>
        <v>11.764705882352942</v>
      </c>
      <c r="F69" s="109">
        <f t="shared" si="14"/>
        <v>0.9</v>
      </c>
      <c r="G69" s="101">
        <f t="shared" si="15"/>
        <v>294.11764705882354</v>
      </c>
      <c r="H69" s="102">
        <f t="shared" si="16"/>
        <v>264.70588235294122</v>
      </c>
    </row>
    <row r="70" spans="1:8" ht="14.25" customHeight="1" x14ac:dyDescent="0.25">
      <c r="A70" s="1471"/>
      <c r="B70" s="105" t="str">
        <f t="shared" si="12"/>
        <v>Green Chilli Pepper - فلفل أخضر حار</v>
      </c>
      <c r="C70" s="105" t="str">
        <f t="shared" si="11"/>
        <v>gm</v>
      </c>
      <c r="D70" s="105">
        <f t="shared" si="11"/>
        <v>5</v>
      </c>
      <c r="E70" s="177">
        <f t="shared" si="13"/>
        <v>11.764705882352942</v>
      </c>
      <c r="F70" s="109">
        <f t="shared" si="14"/>
        <v>0.75</v>
      </c>
      <c r="G70" s="101">
        <f t="shared" si="15"/>
        <v>58.82352941176471</v>
      </c>
      <c r="H70" s="102">
        <f t="shared" si="16"/>
        <v>44.117647058823536</v>
      </c>
    </row>
    <row r="71" spans="1:8" ht="14.25" customHeight="1" x14ac:dyDescent="0.25">
      <c r="A71" s="1471"/>
      <c r="B71" s="105" t="str">
        <f t="shared" si="12"/>
        <v>Cumin Powder - كمون مطحون</v>
      </c>
      <c r="C71" s="105" t="str">
        <f t="shared" si="11"/>
        <v>gm</v>
      </c>
      <c r="D71" s="105">
        <f t="shared" si="11"/>
        <v>5</v>
      </c>
      <c r="E71" s="177">
        <f t="shared" si="13"/>
        <v>11.764705882352942</v>
      </c>
      <c r="F71" s="109">
        <f t="shared" si="14"/>
        <v>0.9</v>
      </c>
      <c r="G71" s="101">
        <f t="shared" si="15"/>
        <v>58.82352941176471</v>
      </c>
      <c r="H71" s="102">
        <f t="shared" si="16"/>
        <v>52.941176470588239</v>
      </c>
    </row>
    <row r="72" spans="1:8" ht="14.25" customHeight="1" x14ac:dyDescent="0.25">
      <c r="A72" s="1471"/>
      <c r="B72" s="105" t="str">
        <f t="shared" si="12"/>
        <v>Coriander Powder - كزبرة مطحونة</v>
      </c>
      <c r="C72" s="105" t="str">
        <f t="shared" si="11"/>
        <v>gm</v>
      </c>
      <c r="D72" s="105">
        <f t="shared" si="11"/>
        <v>5</v>
      </c>
      <c r="E72" s="177">
        <f t="shared" si="13"/>
        <v>11.764705882352942</v>
      </c>
      <c r="F72" s="109">
        <f t="shared" si="14"/>
        <v>0.9</v>
      </c>
      <c r="G72" s="101">
        <f t="shared" si="15"/>
        <v>58.82352941176471</v>
      </c>
      <c r="H72" s="102">
        <f t="shared" si="16"/>
        <v>52.941176470588239</v>
      </c>
    </row>
    <row r="73" spans="1:8" ht="14.25" customHeight="1" x14ac:dyDescent="0.25">
      <c r="A73" s="1471"/>
      <c r="B73" s="105" t="str">
        <f t="shared" si="12"/>
        <v>Curry Powder - كاري بودرة</v>
      </c>
      <c r="C73" s="105" t="str">
        <f t="shared" si="11"/>
        <v>gm</v>
      </c>
      <c r="D73" s="105">
        <f t="shared" si="11"/>
        <v>10</v>
      </c>
      <c r="E73" s="177">
        <f t="shared" si="13"/>
        <v>11.764705882352942</v>
      </c>
      <c r="F73" s="109">
        <f t="shared" si="14"/>
        <v>0.75</v>
      </c>
      <c r="G73" s="101">
        <f t="shared" si="15"/>
        <v>117.64705882352942</v>
      </c>
      <c r="H73" s="102">
        <f t="shared" si="16"/>
        <v>88.235294117647072</v>
      </c>
    </row>
    <row r="74" spans="1:8" ht="14.25" customHeight="1" x14ac:dyDescent="0.25">
      <c r="A74" s="1471"/>
      <c r="B74" s="105" t="str">
        <f t="shared" si="12"/>
        <v>Saffron yellow color powder - لون صفار زعفران بودر</v>
      </c>
      <c r="C74" s="105" t="str">
        <f t="shared" si="11"/>
        <v>gm</v>
      </c>
      <c r="D74" s="105">
        <f t="shared" si="11"/>
        <v>2</v>
      </c>
      <c r="E74" s="177">
        <f t="shared" si="13"/>
        <v>11.764705882352942</v>
      </c>
      <c r="F74" s="109">
        <f t="shared" si="14"/>
        <v>0.75</v>
      </c>
      <c r="G74" s="101">
        <f t="shared" si="15"/>
        <v>23.529411764705884</v>
      </c>
      <c r="H74" s="102">
        <f t="shared" si="16"/>
        <v>17.647058823529413</v>
      </c>
    </row>
    <row r="75" spans="1:8" ht="14.25" customHeight="1" x14ac:dyDescent="0.25">
      <c r="A75" s="1471"/>
      <c r="B75" s="105" t="str">
        <f t="shared" si="12"/>
        <v>Maggi Cubes - مكعبات ماجي</v>
      </c>
      <c r="C75" s="105" t="str">
        <f t="shared" si="11"/>
        <v>gm</v>
      </c>
      <c r="D75" s="105">
        <f t="shared" si="11"/>
        <v>5</v>
      </c>
      <c r="E75" s="177">
        <f t="shared" si="13"/>
        <v>11.764705882352942</v>
      </c>
      <c r="F75" s="109">
        <f t="shared" si="14"/>
        <v>0.6</v>
      </c>
      <c r="G75" s="101">
        <f t="shared" si="15"/>
        <v>58.82352941176471</v>
      </c>
      <c r="H75" s="102">
        <f t="shared" si="16"/>
        <v>35.294117647058826</v>
      </c>
    </row>
    <row r="76" spans="1:8" ht="14.25" customHeight="1" x14ac:dyDescent="0.25">
      <c r="A76" s="1471"/>
      <c r="B76" s="105" t="str">
        <f t="shared" si="12"/>
        <v>Salt - ملح</v>
      </c>
      <c r="C76" s="105" t="str">
        <f t="shared" si="11"/>
        <v>gm</v>
      </c>
      <c r="D76" s="105">
        <f t="shared" si="11"/>
        <v>5</v>
      </c>
      <c r="E76" s="177">
        <f t="shared" si="13"/>
        <v>11.764705882352942</v>
      </c>
      <c r="F76" s="109">
        <f t="shared" si="14"/>
        <v>0.75</v>
      </c>
      <c r="G76" s="101">
        <f t="shared" si="15"/>
        <v>58.82352941176471</v>
      </c>
      <c r="H76" s="102">
        <f t="shared" si="16"/>
        <v>44.117647058823536</v>
      </c>
    </row>
    <row r="77" spans="1:8" ht="14.25" customHeight="1" x14ac:dyDescent="0.25">
      <c r="A77" s="1471"/>
      <c r="B77" s="105" t="str">
        <f t="shared" si="12"/>
        <v>Butter - زبدة</v>
      </c>
      <c r="C77" s="105" t="str">
        <f t="shared" si="11"/>
        <v>gm</v>
      </c>
      <c r="D77" s="105">
        <f t="shared" si="11"/>
        <v>20</v>
      </c>
      <c r="E77" s="177">
        <f t="shared" si="13"/>
        <v>11.764705882352942</v>
      </c>
      <c r="F77" s="109">
        <f t="shared" si="14"/>
        <v>1</v>
      </c>
      <c r="G77" s="101">
        <f t="shared" si="15"/>
        <v>235.29411764705884</v>
      </c>
      <c r="H77" s="102">
        <f t="shared" si="16"/>
        <v>235.29411764705884</v>
      </c>
    </row>
    <row r="78" spans="1:8" ht="18" customHeight="1" x14ac:dyDescent="0.25">
      <c r="A78" s="1471"/>
      <c r="B78" s="105" t="str">
        <f t="shared" si="12"/>
        <v>Yogurt - زبادي</v>
      </c>
      <c r="C78" s="105" t="str">
        <f t="shared" si="11"/>
        <v>gm</v>
      </c>
      <c r="D78" s="105">
        <f t="shared" si="11"/>
        <v>200</v>
      </c>
      <c r="E78" s="177">
        <f t="shared" si="13"/>
        <v>11.764705882352942</v>
      </c>
      <c r="F78" s="109">
        <f t="shared" si="14"/>
        <v>1</v>
      </c>
      <c r="G78" s="101">
        <f t="shared" si="15"/>
        <v>2352.9411764705883</v>
      </c>
      <c r="H78" s="102">
        <f t="shared" si="16"/>
        <v>2352.9411764705883</v>
      </c>
    </row>
    <row r="79" spans="1:8" ht="14.25" customHeight="1" x14ac:dyDescent="0.25">
      <c r="A79" s="1471"/>
      <c r="B79" s="105" t="str">
        <f t="shared" si="12"/>
        <v>Cooking Cream - كريمة طبخ</v>
      </c>
      <c r="C79" s="105" t="str">
        <f t="shared" si="11"/>
        <v>ml</v>
      </c>
      <c r="D79" s="105">
        <f t="shared" si="11"/>
        <v>300</v>
      </c>
      <c r="E79" s="177">
        <f t="shared" si="13"/>
        <v>11.764705882352942</v>
      </c>
      <c r="F79" s="109">
        <f t="shared" si="14"/>
        <v>1</v>
      </c>
      <c r="G79" s="101">
        <f t="shared" si="15"/>
        <v>3529.4117647058824</v>
      </c>
      <c r="H79" s="102">
        <f t="shared" si="16"/>
        <v>3529.4117647058824</v>
      </c>
    </row>
    <row r="80" spans="1:8" ht="14.25" customHeight="1" x14ac:dyDescent="0.25">
      <c r="A80" s="1471"/>
      <c r="B80" s="105" t="str">
        <f t="shared" si="12"/>
        <v>Water - ماء</v>
      </c>
      <c r="C80" s="105" t="str">
        <f t="shared" si="11"/>
        <v>ml</v>
      </c>
      <c r="D80" s="105">
        <f t="shared" si="11"/>
        <v>170</v>
      </c>
      <c r="E80" s="177">
        <f t="shared" si="13"/>
        <v>11.764705882352942</v>
      </c>
      <c r="F80" s="109">
        <f t="shared" si="14"/>
        <v>1</v>
      </c>
      <c r="G80" s="101">
        <f t="shared" si="15"/>
        <v>2000.0000000000002</v>
      </c>
      <c r="H80" s="102">
        <f t="shared" si="16"/>
        <v>2000.0000000000002</v>
      </c>
    </row>
    <row r="81" spans="1:10" ht="14.25" customHeight="1" x14ac:dyDescent="0.2">
      <c r="A81" s="1588" t="s">
        <v>908</v>
      </c>
      <c r="B81" s="105" t="str">
        <f t="shared" si="12"/>
        <v>Coriander Leaves - كزبرة خضراء</v>
      </c>
      <c r="C81" s="105" t="str">
        <f t="shared" si="11"/>
        <v>gm</v>
      </c>
      <c r="D81" s="105">
        <f t="shared" si="11"/>
        <v>5</v>
      </c>
      <c r="E81" s="177">
        <f t="shared" si="13"/>
        <v>11.764705882352942</v>
      </c>
      <c r="F81" s="109">
        <f t="shared" si="14"/>
        <v>0.75</v>
      </c>
      <c r="G81" s="101">
        <f t="shared" si="15"/>
        <v>58.82352941176471</v>
      </c>
      <c r="H81" s="102">
        <f t="shared" si="16"/>
        <v>44.117647058823536</v>
      </c>
    </row>
    <row r="82" spans="1:10" ht="20.25" customHeight="1" x14ac:dyDescent="0.3">
      <c r="A82" s="1471"/>
      <c r="B82" s="105" t="str">
        <f t="shared" si="12"/>
        <v>Corn Starch - نشا ذرة</v>
      </c>
      <c r="C82" s="105" t="str">
        <f t="shared" si="11"/>
        <v>gm</v>
      </c>
      <c r="D82" s="105">
        <f t="shared" si="11"/>
        <v>20</v>
      </c>
      <c r="E82" s="177">
        <f t="shared" si="13"/>
        <v>11.764705882352942</v>
      </c>
      <c r="F82" s="109">
        <f t="shared" si="14"/>
        <v>1</v>
      </c>
      <c r="G82" s="101">
        <f>D82*E82</f>
        <v>235.29411764705884</v>
      </c>
      <c r="H82" s="102">
        <f>G82*F82</f>
        <v>235.29411764705884</v>
      </c>
      <c r="I82" s="184"/>
      <c r="J82" s="183"/>
    </row>
    <row r="83" spans="1:10" ht="18" x14ac:dyDescent="0.25">
      <c r="B83" s="178" t="s">
        <v>287</v>
      </c>
      <c r="C83" s="180" t="s">
        <v>273</v>
      </c>
      <c r="E83" s="180" t="s">
        <v>288</v>
      </c>
      <c r="G83" s="804" t="s">
        <v>264</v>
      </c>
      <c r="H83" s="804" t="s">
        <v>673</v>
      </c>
    </row>
    <row r="84" spans="1:10" ht="20.25" x14ac:dyDescent="0.3">
      <c r="B84" s="179">
        <f>$J$53</f>
        <v>13637.090909090908</v>
      </c>
      <c r="C84" s="179">
        <f>E84+G84</f>
        <v>10000</v>
      </c>
      <c r="D84" s="839"/>
      <c r="E84" s="179">
        <f>$D$53*$S$44</f>
        <v>4090.909090909091</v>
      </c>
      <c r="F84" s="843"/>
      <c r="G84" s="179">
        <f>$D$53*$T$44</f>
        <v>5909.090909090909</v>
      </c>
      <c r="H84" s="179">
        <f>B84+E84</f>
        <v>17728</v>
      </c>
    </row>
    <row r="85" spans="1:10" ht="18" customHeight="1" x14ac:dyDescent="0.25"/>
    <row r="86" spans="1:10" ht="18" customHeight="1" x14ac:dyDescent="0.25">
      <c r="A86" s="1473"/>
      <c r="B86" s="1636" t="str">
        <f>" دجاج بالكاري 2 / " &amp; COUNTIF($C$53:$C$55, "&gt;0")</f>
        <v xml:space="preserve"> دجاج بالكاري 2 / 2</v>
      </c>
      <c r="C86" s="1637"/>
      <c r="D86" s="1637"/>
      <c r="E86" s="1637"/>
      <c r="F86" s="1637"/>
      <c r="G86" s="1637"/>
      <c r="H86" s="1637"/>
    </row>
    <row r="87" spans="1:10" ht="25.5" customHeight="1" x14ac:dyDescent="0.25">
      <c r="A87" s="1473"/>
      <c r="B87" s="1634" t="str">
        <f>" Curry Chicken  2 / " &amp; COUNTIF($C$53:$C$55, "&gt;0")</f>
        <v xml:space="preserve"> Curry Chicken  2 / 2</v>
      </c>
      <c r="C87" s="1635"/>
      <c r="D87" s="1635"/>
      <c r="E87" s="1635"/>
      <c r="F87" s="1635"/>
      <c r="G87" s="1635"/>
      <c r="H87" s="1635"/>
    </row>
    <row r="88" spans="1:10" ht="25.5" x14ac:dyDescent="0.2">
      <c r="A88" s="1587"/>
      <c r="B88" s="75" t="s">
        <v>241</v>
      </c>
      <c r="C88" s="90" t="s">
        <v>242</v>
      </c>
      <c r="D88" s="75" t="s">
        <v>231</v>
      </c>
      <c r="E88" s="91" t="s">
        <v>234</v>
      </c>
      <c r="F88" s="91" t="s">
        <v>243</v>
      </c>
      <c r="G88" s="75" t="s">
        <v>244</v>
      </c>
      <c r="H88" s="92" t="s">
        <v>245</v>
      </c>
    </row>
    <row r="89" spans="1:10" ht="14.25" customHeight="1" x14ac:dyDescent="0.2">
      <c r="A89" s="1491"/>
      <c r="B89" s="173" t="str">
        <f>$B$5</f>
        <v>Chicken - دجاج</v>
      </c>
      <c r="C89" s="97" t="str">
        <f t="shared" ref="C89:D106" si="17">C5</f>
        <v>gm</v>
      </c>
      <c r="D89" s="185">
        <f t="shared" si="17"/>
        <v>2311.3713405238827</v>
      </c>
      <c r="E89" s="186">
        <f>H54</f>
        <v>4.6376808621488887</v>
      </c>
      <c r="F89" s="109">
        <f>F5</f>
        <v>1</v>
      </c>
      <c r="G89" s="187">
        <f>G5</f>
        <v>33833.11603650586</v>
      </c>
      <c r="H89" s="187">
        <f>H5</f>
        <v>33833.11603650586</v>
      </c>
    </row>
    <row r="90" spans="1:10" ht="14.25" customHeight="1" x14ac:dyDescent="0.2">
      <c r="A90" s="1588" t="s">
        <v>905</v>
      </c>
      <c r="B90" s="105" t="str">
        <f t="shared" ref="B90:B106" si="18">B6</f>
        <v>Onion - بصل</v>
      </c>
      <c r="C90" s="105" t="str">
        <f t="shared" si="17"/>
        <v>gm</v>
      </c>
      <c r="D90" s="105">
        <f t="shared" si="17"/>
        <v>150</v>
      </c>
      <c r="E90" s="108">
        <f t="shared" ref="E90:E106" si="19">$C$54</f>
        <v>5.4570135746606425</v>
      </c>
      <c r="F90" s="109">
        <f t="shared" ref="F90:F106" si="20">F6</f>
        <v>0.95</v>
      </c>
      <c r="G90" s="101">
        <f t="shared" ref="G90:G105" si="21">D90*E90</f>
        <v>818.55203619909639</v>
      </c>
      <c r="H90" s="102">
        <f t="shared" ref="H90:H105" si="22">G90*F90</f>
        <v>777.62443438914158</v>
      </c>
    </row>
    <row r="91" spans="1:10" ht="14.25" customHeight="1" x14ac:dyDescent="0.2">
      <c r="A91" s="1588" t="s">
        <v>909</v>
      </c>
      <c r="B91" s="105" t="str">
        <f t="shared" si="18"/>
        <v>Tomato - طماطم</v>
      </c>
      <c r="C91" s="105" t="str">
        <f t="shared" si="17"/>
        <v>gm</v>
      </c>
      <c r="D91" s="105">
        <f t="shared" si="17"/>
        <v>250</v>
      </c>
      <c r="E91" s="108">
        <f t="shared" si="19"/>
        <v>5.4570135746606425</v>
      </c>
      <c r="F91" s="109">
        <f t="shared" si="20"/>
        <v>1</v>
      </c>
      <c r="G91" s="101">
        <f t="shared" si="21"/>
        <v>1364.2533936651607</v>
      </c>
      <c r="H91" s="102">
        <f t="shared" si="22"/>
        <v>1364.2533936651607</v>
      </c>
    </row>
    <row r="92" spans="1:10" ht="14.25" customHeight="1" x14ac:dyDescent="0.2">
      <c r="A92" s="1588" t="s">
        <v>906</v>
      </c>
      <c r="B92" s="105" t="str">
        <f t="shared" si="18"/>
        <v>Ginger - زنجبيل</v>
      </c>
      <c r="C92" s="105" t="str">
        <f t="shared" si="17"/>
        <v>gm</v>
      </c>
      <c r="D92" s="105">
        <f t="shared" si="17"/>
        <v>15</v>
      </c>
      <c r="E92" s="108">
        <f t="shared" si="19"/>
        <v>5.4570135746606425</v>
      </c>
      <c r="F92" s="109">
        <f t="shared" si="20"/>
        <v>0.9</v>
      </c>
      <c r="G92" s="101">
        <f t="shared" si="21"/>
        <v>81.855203619909645</v>
      </c>
      <c r="H92" s="102">
        <f t="shared" si="22"/>
        <v>73.669683257918678</v>
      </c>
    </row>
    <row r="93" spans="1:10" ht="14.25" customHeight="1" x14ac:dyDescent="0.2">
      <c r="A93" s="1588" t="s">
        <v>907</v>
      </c>
      <c r="B93" s="105" t="str">
        <f t="shared" si="18"/>
        <v>Garlic - ثوم مقشر</v>
      </c>
      <c r="C93" s="105" t="str">
        <f t="shared" si="17"/>
        <v>gm</v>
      </c>
      <c r="D93" s="105">
        <f t="shared" si="17"/>
        <v>25</v>
      </c>
      <c r="E93" s="108">
        <f t="shared" si="19"/>
        <v>5.4570135746606425</v>
      </c>
      <c r="F93" s="109">
        <f t="shared" si="20"/>
        <v>0.9</v>
      </c>
      <c r="G93" s="101">
        <f t="shared" si="21"/>
        <v>136.42533936651606</v>
      </c>
      <c r="H93" s="102">
        <f t="shared" si="22"/>
        <v>122.78280542986445</v>
      </c>
    </row>
    <row r="94" spans="1:10" ht="14.25" customHeight="1" x14ac:dyDescent="0.25">
      <c r="A94" s="1471"/>
      <c r="B94" s="105" t="str">
        <f t="shared" si="18"/>
        <v>Green Chilli Pepper - فلفل أخضر حار</v>
      </c>
      <c r="C94" s="105" t="str">
        <f t="shared" si="17"/>
        <v>gm</v>
      </c>
      <c r="D94" s="105">
        <f t="shared" si="17"/>
        <v>5</v>
      </c>
      <c r="E94" s="108">
        <f t="shared" si="19"/>
        <v>5.4570135746606425</v>
      </c>
      <c r="F94" s="109">
        <f t="shared" si="20"/>
        <v>0.75</v>
      </c>
      <c r="G94" s="101">
        <f t="shared" si="21"/>
        <v>27.285067873303213</v>
      </c>
      <c r="H94" s="102">
        <f t="shared" si="22"/>
        <v>20.463800904977411</v>
      </c>
    </row>
    <row r="95" spans="1:10" ht="14.25" customHeight="1" x14ac:dyDescent="0.25">
      <c r="A95" s="1471"/>
      <c r="B95" s="105" t="str">
        <f t="shared" si="18"/>
        <v>Cumin Powder - كمون مطحون</v>
      </c>
      <c r="C95" s="105" t="str">
        <f t="shared" si="17"/>
        <v>gm</v>
      </c>
      <c r="D95" s="105">
        <f t="shared" si="17"/>
        <v>5</v>
      </c>
      <c r="E95" s="108">
        <f t="shared" si="19"/>
        <v>5.4570135746606425</v>
      </c>
      <c r="F95" s="109">
        <f t="shared" si="20"/>
        <v>0.9</v>
      </c>
      <c r="G95" s="101">
        <f t="shared" si="21"/>
        <v>27.285067873303213</v>
      </c>
      <c r="H95" s="102">
        <f t="shared" si="22"/>
        <v>24.556561085972891</v>
      </c>
    </row>
    <row r="96" spans="1:10" ht="14.25" customHeight="1" x14ac:dyDescent="0.25">
      <c r="A96" s="1471"/>
      <c r="B96" s="105" t="str">
        <f t="shared" si="18"/>
        <v>Coriander Powder - كزبرة مطحونة</v>
      </c>
      <c r="C96" s="105" t="str">
        <f t="shared" si="17"/>
        <v>gm</v>
      </c>
      <c r="D96" s="105">
        <f t="shared" si="17"/>
        <v>5</v>
      </c>
      <c r="E96" s="108">
        <f t="shared" si="19"/>
        <v>5.4570135746606425</v>
      </c>
      <c r="F96" s="109">
        <f t="shared" si="20"/>
        <v>0.9</v>
      </c>
      <c r="G96" s="101">
        <f t="shared" si="21"/>
        <v>27.285067873303213</v>
      </c>
      <c r="H96" s="102">
        <f t="shared" si="22"/>
        <v>24.556561085972891</v>
      </c>
    </row>
    <row r="97" spans="1:10" ht="14.25" customHeight="1" x14ac:dyDescent="0.25">
      <c r="A97" s="1471"/>
      <c r="B97" s="105" t="str">
        <f t="shared" si="18"/>
        <v>Curry Powder - كاري بودرة</v>
      </c>
      <c r="C97" s="105" t="str">
        <f t="shared" si="17"/>
        <v>gm</v>
      </c>
      <c r="D97" s="105">
        <f t="shared" si="17"/>
        <v>10</v>
      </c>
      <c r="E97" s="108">
        <f t="shared" si="19"/>
        <v>5.4570135746606425</v>
      </c>
      <c r="F97" s="109">
        <f t="shared" si="20"/>
        <v>0.75</v>
      </c>
      <c r="G97" s="101">
        <f t="shared" si="21"/>
        <v>54.570135746606425</v>
      </c>
      <c r="H97" s="102">
        <f t="shared" si="22"/>
        <v>40.927601809954822</v>
      </c>
    </row>
    <row r="98" spans="1:10" ht="14.25" customHeight="1" x14ac:dyDescent="0.25">
      <c r="A98" s="1471"/>
      <c r="B98" s="105" t="str">
        <f t="shared" si="18"/>
        <v>Saffron yellow color powder - لون صفار زعفران بودر</v>
      </c>
      <c r="C98" s="105" t="str">
        <f t="shared" si="17"/>
        <v>gm</v>
      </c>
      <c r="D98" s="105">
        <f t="shared" si="17"/>
        <v>2</v>
      </c>
      <c r="E98" s="108">
        <f t="shared" si="19"/>
        <v>5.4570135746606425</v>
      </c>
      <c r="F98" s="109">
        <f t="shared" si="20"/>
        <v>0.75</v>
      </c>
      <c r="G98" s="101">
        <f t="shared" si="21"/>
        <v>10.914027149321285</v>
      </c>
      <c r="H98" s="102">
        <f t="shared" si="22"/>
        <v>8.1855203619909638</v>
      </c>
    </row>
    <row r="99" spans="1:10" ht="14.25" customHeight="1" x14ac:dyDescent="0.25">
      <c r="A99" s="1471"/>
      <c r="B99" s="105" t="str">
        <f t="shared" si="18"/>
        <v>Maggi Cubes - مكعبات ماجي</v>
      </c>
      <c r="C99" s="105" t="str">
        <f t="shared" si="17"/>
        <v>gm</v>
      </c>
      <c r="D99" s="105">
        <f t="shared" si="17"/>
        <v>5</v>
      </c>
      <c r="E99" s="108">
        <f t="shared" si="19"/>
        <v>5.4570135746606425</v>
      </c>
      <c r="F99" s="109">
        <f t="shared" si="20"/>
        <v>0.6</v>
      </c>
      <c r="G99" s="101">
        <f t="shared" si="21"/>
        <v>27.285067873303213</v>
      </c>
      <c r="H99" s="102">
        <f t="shared" si="22"/>
        <v>16.371040723981928</v>
      </c>
    </row>
    <row r="100" spans="1:10" ht="14.25" customHeight="1" x14ac:dyDescent="0.25">
      <c r="A100" s="1471"/>
      <c r="B100" s="105" t="str">
        <f t="shared" si="18"/>
        <v>Salt - ملح</v>
      </c>
      <c r="C100" s="105" t="str">
        <f t="shared" si="17"/>
        <v>gm</v>
      </c>
      <c r="D100" s="105">
        <f t="shared" si="17"/>
        <v>5</v>
      </c>
      <c r="E100" s="108">
        <f t="shared" si="19"/>
        <v>5.4570135746606425</v>
      </c>
      <c r="F100" s="109">
        <f t="shared" si="20"/>
        <v>0.75</v>
      </c>
      <c r="G100" s="101">
        <f t="shared" si="21"/>
        <v>27.285067873303213</v>
      </c>
      <c r="H100" s="102">
        <f t="shared" si="22"/>
        <v>20.463800904977411</v>
      </c>
    </row>
    <row r="101" spans="1:10" ht="14.25" customHeight="1" x14ac:dyDescent="0.25">
      <c r="A101" s="1471"/>
      <c r="B101" s="105" t="str">
        <f t="shared" si="18"/>
        <v>Butter - زبدة</v>
      </c>
      <c r="C101" s="105" t="str">
        <f t="shared" si="17"/>
        <v>gm</v>
      </c>
      <c r="D101" s="105">
        <f t="shared" si="17"/>
        <v>20</v>
      </c>
      <c r="E101" s="108">
        <f t="shared" si="19"/>
        <v>5.4570135746606425</v>
      </c>
      <c r="F101" s="109">
        <f t="shared" si="20"/>
        <v>1</v>
      </c>
      <c r="G101" s="101">
        <f t="shared" si="21"/>
        <v>109.14027149321285</v>
      </c>
      <c r="H101" s="102">
        <f t="shared" si="22"/>
        <v>109.14027149321285</v>
      </c>
    </row>
    <row r="102" spans="1:10" ht="14.25" customHeight="1" x14ac:dyDescent="0.25">
      <c r="A102" s="1471"/>
      <c r="B102" s="105" t="str">
        <f t="shared" si="18"/>
        <v>Yogurt - زبادي</v>
      </c>
      <c r="C102" s="105" t="str">
        <f t="shared" si="17"/>
        <v>gm</v>
      </c>
      <c r="D102" s="105">
        <f t="shared" si="17"/>
        <v>200</v>
      </c>
      <c r="E102" s="108">
        <f t="shared" si="19"/>
        <v>5.4570135746606425</v>
      </c>
      <c r="F102" s="109">
        <f t="shared" si="20"/>
        <v>1</v>
      </c>
      <c r="G102" s="101">
        <f t="shared" si="21"/>
        <v>1091.4027149321284</v>
      </c>
      <c r="H102" s="102">
        <f t="shared" si="22"/>
        <v>1091.4027149321284</v>
      </c>
    </row>
    <row r="103" spans="1:10" ht="14.25" customHeight="1" x14ac:dyDescent="0.25">
      <c r="A103" s="1471"/>
      <c r="B103" s="105" t="str">
        <f t="shared" si="18"/>
        <v>Cooking Cream - كريمة طبخ</v>
      </c>
      <c r="C103" s="105" t="str">
        <f t="shared" si="17"/>
        <v>ml</v>
      </c>
      <c r="D103" s="105">
        <f t="shared" si="17"/>
        <v>300</v>
      </c>
      <c r="E103" s="108">
        <f t="shared" si="19"/>
        <v>5.4570135746606425</v>
      </c>
      <c r="F103" s="109">
        <f t="shared" si="20"/>
        <v>1</v>
      </c>
      <c r="G103" s="101">
        <f t="shared" si="21"/>
        <v>1637.1040723981928</v>
      </c>
      <c r="H103" s="102">
        <f t="shared" si="22"/>
        <v>1637.1040723981928</v>
      </c>
    </row>
    <row r="104" spans="1:10" ht="14.25" customHeight="1" x14ac:dyDescent="0.25">
      <c r="A104" s="1471"/>
      <c r="B104" s="105" t="str">
        <f t="shared" si="18"/>
        <v>Water - ماء</v>
      </c>
      <c r="C104" s="105" t="str">
        <f t="shared" si="17"/>
        <v>ml</v>
      </c>
      <c r="D104" s="105">
        <f t="shared" si="17"/>
        <v>170</v>
      </c>
      <c r="E104" s="108">
        <f t="shared" si="19"/>
        <v>5.4570135746606425</v>
      </c>
      <c r="F104" s="109">
        <f t="shared" si="20"/>
        <v>1</v>
      </c>
      <c r="G104" s="101">
        <f t="shared" si="21"/>
        <v>927.69230769230921</v>
      </c>
      <c r="H104" s="102">
        <f t="shared" si="22"/>
        <v>927.69230769230921</v>
      </c>
    </row>
    <row r="105" spans="1:10" ht="20.25" customHeight="1" x14ac:dyDescent="0.3">
      <c r="A105" s="1588" t="s">
        <v>908</v>
      </c>
      <c r="B105" s="105" t="str">
        <f t="shared" si="18"/>
        <v>Coriander Leaves - كزبرة خضراء</v>
      </c>
      <c r="C105" s="105" t="str">
        <f t="shared" si="17"/>
        <v>gm</v>
      </c>
      <c r="D105" s="105">
        <f t="shared" si="17"/>
        <v>5</v>
      </c>
      <c r="E105" s="108">
        <f t="shared" si="19"/>
        <v>5.4570135746606425</v>
      </c>
      <c r="F105" s="109">
        <f t="shared" si="20"/>
        <v>0.75</v>
      </c>
      <c r="G105" s="101">
        <f t="shared" si="21"/>
        <v>27.285067873303213</v>
      </c>
      <c r="H105" s="102">
        <f t="shared" si="22"/>
        <v>20.463800904977411</v>
      </c>
      <c r="I105" s="184"/>
      <c r="J105" s="183"/>
    </row>
    <row r="106" spans="1:10" ht="14.25" customHeight="1" x14ac:dyDescent="0.25">
      <c r="A106" s="1471"/>
      <c r="B106" s="105" t="str">
        <f t="shared" si="18"/>
        <v>Corn Starch - نشا ذرة</v>
      </c>
      <c r="C106" s="105" t="str">
        <f t="shared" si="17"/>
        <v>gm</v>
      </c>
      <c r="D106" s="105">
        <f t="shared" si="17"/>
        <v>20</v>
      </c>
      <c r="E106" s="108">
        <f t="shared" si="19"/>
        <v>5.4570135746606425</v>
      </c>
      <c r="F106" s="109">
        <f t="shared" si="20"/>
        <v>1</v>
      </c>
      <c r="G106" s="101">
        <f>D106*E106</f>
        <v>109.14027149321285</v>
      </c>
      <c r="H106" s="102">
        <f>G106*F106</f>
        <v>109.14027149321285</v>
      </c>
    </row>
    <row r="107" spans="1:10" ht="18" x14ac:dyDescent="0.25">
      <c r="B107" s="178" t="s">
        <v>287</v>
      </c>
      <c r="C107" s="180" t="s">
        <v>273</v>
      </c>
      <c r="E107" s="180" t="s">
        <v>288</v>
      </c>
      <c r="G107" s="804" t="s">
        <v>264</v>
      </c>
      <c r="H107" s="804" t="s">
        <v>673</v>
      </c>
    </row>
    <row r="108" spans="1:10" ht="20.25" x14ac:dyDescent="0.3">
      <c r="B108" s="179">
        <f>$J$54</f>
        <v>6324.4475524475492</v>
      </c>
      <c r="C108" s="179">
        <f>E108+G108</f>
        <v>4638.4615384615463</v>
      </c>
      <c r="D108" s="839"/>
      <c r="E108" s="179">
        <f>$D$54*$S$44</f>
        <v>1897.552447552451</v>
      </c>
      <c r="F108" s="843"/>
      <c r="G108" s="179">
        <f>$D$54*$T$44</f>
        <v>2740.9090909090955</v>
      </c>
      <c r="H108" s="179">
        <f>B108+E108</f>
        <v>8222</v>
      </c>
    </row>
    <row r="112" spans="1:10" ht="18" customHeight="1" x14ac:dyDescent="0.25"/>
    <row r="113" spans="1:8" ht="18" customHeight="1" x14ac:dyDescent="0.25"/>
    <row r="114" spans="1:8" ht="25.5" customHeight="1" x14ac:dyDescent="0.25">
      <c r="A114" s="1473"/>
      <c r="B114" s="1636" t="str">
        <f>" دجاج بالكاري 3 / " &amp; COUNTIF($C$53:$C$55, "&gt;0")</f>
        <v xml:space="preserve"> دجاج بالكاري 3 / 2</v>
      </c>
      <c r="C114" s="1637"/>
      <c r="D114" s="1637"/>
      <c r="E114" s="1637"/>
      <c r="F114" s="1637"/>
      <c r="G114" s="1637"/>
      <c r="H114" s="1637"/>
    </row>
    <row r="115" spans="1:8" ht="14.25" customHeight="1" x14ac:dyDescent="0.25">
      <c r="A115" s="1473"/>
      <c r="B115" s="1634" t="str">
        <f>" Curry Chicken  3 / " &amp; COUNTIF($C$53:$C$55, "&gt;0")</f>
        <v xml:space="preserve"> Curry Chicken  3 / 2</v>
      </c>
      <c r="C115" s="1635"/>
      <c r="D115" s="1635"/>
      <c r="E115" s="1635"/>
      <c r="F115" s="1635"/>
      <c r="G115" s="1635"/>
      <c r="H115" s="1635"/>
    </row>
    <row r="116" spans="1:8" ht="45" customHeight="1" x14ac:dyDescent="0.2">
      <c r="A116" s="1587"/>
      <c r="B116" s="75" t="s">
        <v>241</v>
      </c>
      <c r="C116" s="90" t="s">
        <v>242</v>
      </c>
      <c r="D116" s="75" t="s">
        <v>231</v>
      </c>
      <c r="E116" s="91" t="s">
        <v>234</v>
      </c>
      <c r="F116" s="91" t="s">
        <v>243</v>
      </c>
      <c r="G116" s="75" t="s">
        <v>244</v>
      </c>
      <c r="H116" s="92" t="s">
        <v>245</v>
      </c>
    </row>
    <row r="117" spans="1:8" ht="14.25" customHeight="1" x14ac:dyDescent="0.2">
      <c r="A117" s="1491"/>
      <c r="B117" s="173" t="str">
        <f>$B$5</f>
        <v>Chicken - دجاج</v>
      </c>
      <c r="C117" s="97" t="str">
        <f t="shared" ref="C117:D134" si="23">C5</f>
        <v>gm</v>
      </c>
      <c r="D117" s="185">
        <f t="shared" si="23"/>
        <v>2311.3713405238827</v>
      </c>
      <c r="E117" s="190">
        <f>H55</f>
        <v>0</v>
      </c>
      <c r="F117" s="695">
        <f>F5</f>
        <v>1</v>
      </c>
      <c r="G117" s="97">
        <f>G5</f>
        <v>33833.11603650586</v>
      </c>
      <c r="H117" s="187">
        <f>H5</f>
        <v>33833.11603650586</v>
      </c>
    </row>
    <row r="118" spans="1:8" ht="14.25" customHeight="1" x14ac:dyDescent="0.2">
      <c r="A118" s="1588" t="s">
        <v>905</v>
      </c>
      <c r="B118" s="105" t="str">
        <f t="shared" ref="B118:B134" si="24">B6</f>
        <v>Onion - بصل</v>
      </c>
      <c r="C118" s="105" t="str">
        <f t="shared" si="23"/>
        <v>gm</v>
      </c>
      <c r="D118" s="105">
        <f t="shared" si="23"/>
        <v>150</v>
      </c>
      <c r="E118" s="108">
        <f t="shared" ref="E118:E134" si="25">$C$55</f>
        <v>0</v>
      </c>
      <c r="F118" s="109">
        <f t="shared" ref="F118:F134" si="26">F6</f>
        <v>0.95</v>
      </c>
      <c r="G118" s="103">
        <f t="shared" ref="G118:G133" si="27">D118*E118</f>
        <v>0</v>
      </c>
      <c r="H118" s="102">
        <f t="shared" ref="H118:H133" si="28">G118*F118</f>
        <v>0</v>
      </c>
    </row>
    <row r="119" spans="1:8" ht="14.25" customHeight="1" x14ac:dyDescent="0.2">
      <c r="A119" s="1588" t="s">
        <v>909</v>
      </c>
      <c r="B119" s="105" t="str">
        <f t="shared" si="24"/>
        <v>Tomato - طماطم</v>
      </c>
      <c r="C119" s="105" t="str">
        <f t="shared" si="23"/>
        <v>gm</v>
      </c>
      <c r="D119" s="105">
        <f t="shared" si="23"/>
        <v>250</v>
      </c>
      <c r="E119" s="108">
        <f t="shared" si="25"/>
        <v>0</v>
      </c>
      <c r="F119" s="109">
        <f t="shared" si="26"/>
        <v>1</v>
      </c>
      <c r="G119" s="103">
        <f t="shared" si="27"/>
        <v>0</v>
      </c>
      <c r="H119" s="102">
        <f t="shared" si="28"/>
        <v>0</v>
      </c>
    </row>
    <row r="120" spans="1:8" ht="14.25" customHeight="1" x14ac:dyDescent="0.2">
      <c r="A120" s="1588" t="s">
        <v>906</v>
      </c>
      <c r="B120" s="105" t="str">
        <f t="shared" si="24"/>
        <v>Ginger - زنجبيل</v>
      </c>
      <c r="C120" s="105" t="str">
        <f t="shared" si="23"/>
        <v>gm</v>
      </c>
      <c r="D120" s="105">
        <f t="shared" si="23"/>
        <v>15</v>
      </c>
      <c r="E120" s="108">
        <f t="shared" si="25"/>
        <v>0</v>
      </c>
      <c r="F120" s="109">
        <f t="shared" si="26"/>
        <v>0.9</v>
      </c>
      <c r="G120" s="103">
        <f t="shared" si="27"/>
        <v>0</v>
      </c>
      <c r="H120" s="102">
        <f t="shared" si="28"/>
        <v>0</v>
      </c>
    </row>
    <row r="121" spans="1:8" ht="14.25" customHeight="1" x14ac:dyDescent="0.2">
      <c r="A121" s="1588" t="s">
        <v>907</v>
      </c>
      <c r="B121" s="105" t="str">
        <f t="shared" si="24"/>
        <v>Garlic - ثوم مقشر</v>
      </c>
      <c r="C121" s="105" t="str">
        <f t="shared" si="23"/>
        <v>gm</v>
      </c>
      <c r="D121" s="105">
        <f t="shared" si="23"/>
        <v>25</v>
      </c>
      <c r="E121" s="108">
        <f t="shared" si="25"/>
        <v>0</v>
      </c>
      <c r="F121" s="109">
        <f t="shared" si="26"/>
        <v>0.9</v>
      </c>
      <c r="G121" s="103">
        <f t="shared" si="27"/>
        <v>0</v>
      </c>
      <c r="H121" s="102">
        <f t="shared" si="28"/>
        <v>0</v>
      </c>
    </row>
    <row r="122" spans="1:8" ht="14.25" customHeight="1" x14ac:dyDescent="0.25">
      <c r="A122" s="1471"/>
      <c r="B122" s="105" t="str">
        <f t="shared" si="24"/>
        <v>Green Chilli Pepper - فلفل أخضر حار</v>
      </c>
      <c r="C122" s="105" t="str">
        <f t="shared" si="23"/>
        <v>gm</v>
      </c>
      <c r="D122" s="105">
        <f t="shared" si="23"/>
        <v>5</v>
      </c>
      <c r="E122" s="108">
        <f t="shared" si="25"/>
        <v>0</v>
      </c>
      <c r="F122" s="109">
        <f t="shared" si="26"/>
        <v>0.75</v>
      </c>
      <c r="G122" s="103">
        <f t="shared" si="27"/>
        <v>0</v>
      </c>
      <c r="H122" s="102">
        <f t="shared" si="28"/>
        <v>0</v>
      </c>
    </row>
    <row r="123" spans="1:8" ht="14.25" customHeight="1" x14ac:dyDescent="0.25">
      <c r="A123" s="1471"/>
      <c r="B123" s="105" t="str">
        <f t="shared" si="24"/>
        <v>Cumin Powder - كمون مطحون</v>
      </c>
      <c r="C123" s="105" t="str">
        <f t="shared" si="23"/>
        <v>gm</v>
      </c>
      <c r="D123" s="105">
        <f t="shared" si="23"/>
        <v>5</v>
      </c>
      <c r="E123" s="108">
        <f t="shared" si="25"/>
        <v>0</v>
      </c>
      <c r="F123" s="109">
        <f t="shared" si="26"/>
        <v>0.9</v>
      </c>
      <c r="G123" s="103">
        <f t="shared" si="27"/>
        <v>0</v>
      </c>
      <c r="H123" s="102">
        <f t="shared" si="28"/>
        <v>0</v>
      </c>
    </row>
    <row r="124" spans="1:8" ht="14.25" customHeight="1" x14ac:dyDescent="0.25">
      <c r="A124" s="1471"/>
      <c r="B124" s="105" t="str">
        <f t="shared" si="24"/>
        <v>Coriander Powder - كزبرة مطحونة</v>
      </c>
      <c r="C124" s="105" t="str">
        <f t="shared" si="23"/>
        <v>gm</v>
      </c>
      <c r="D124" s="105">
        <f t="shared" si="23"/>
        <v>5</v>
      </c>
      <c r="E124" s="108">
        <f t="shared" si="25"/>
        <v>0</v>
      </c>
      <c r="F124" s="109">
        <f t="shared" si="26"/>
        <v>0.9</v>
      </c>
      <c r="G124" s="103">
        <f t="shared" si="27"/>
        <v>0</v>
      </c>
      <c r="H124" s="102">
        <f t="shared" si="28"/>
        <v>0</v>
      </c>
    </row>
    <row r="125" spans="1:8" ht="14.25" customHeight="1" x14ac:dyDescent="0.25">
      <c r="A125" s="1471"/>
      <c r="B125" s="105" t="str">
        <f t="shared" si="24"/>
        <v>Curry Powder - كاري بودرة</v>
      </c>
      <c r="C125" s="105" t="str">
        <f t="shared" si="23"/>
        <v>gm</v>
      </c>
      <c r="D125" s="105">
        <f t="shared" si="23"/>
        <v>10</v>
      </c>
      <c r="E125" s="108">
        <f t="shared" si="25"/>
        <v>0</v>
      </c>
      <c r="F125" s="109">
        <f t="shared" si="26"/>
        <v>0.75</v>
      </c>
      <c r="G125" s="103">
        <f t="shared" si="27"/>
        <v>0</v>
      </c>
      <c r="H125" s="102">
        <f t="shared" si="28"/>
        <v>0</v>
      </c>
    </row>
    <row r="126" spans="1:8" ht="14.25" customHeight="1" x14ac:dyDescent="0.25">
      <c r="A126" s="1471"/>
      <c r="B126" s="105" t="str">
        <f t="shared" si="24"/>
        <v>Saffron yellow color powder - لون صفار زعفران بودر</v>
      </c>
      <c r="C126" s="105" t="str">
        <f t="shared" si="23"/>
        <v>gm</v>
      </c>
      <c r="D126" s="105">
        <f t="shared" si="23"/>
        <v>2</v>
      </c>
      <c r="E126" s="108">
        <f t="shared" si="25"/>
        <v>0</v>
      </c>
      <c r="F126" s="109">
        <f t="shared" si="26"/>
        <v>0.75</v>
      </c>
      <c r="G126" s="103">
        <f t="shared" si="27"/>
        <v>0</v>
      </c>
      <c r="H126" s="102">
        <f t="shared" si="28"/>
        <v>0</v>
      </c>
    </row>
    <row r="127" spans="1:8" ht="14.25" customHeight="1" x14ac:dyDescent="0.25">
      <c r="A127" s="1471"/>
      <c r="B127" s="105" t="str">
        <f t="shared" si="24"/>
        <v>Maggi Cubes - مكعبات ماجي</v>
      </c>
      <c r="C127" s="105" t="str">
        <f t="shared" si="23"/>
        <v>gm</v>
      </c>
      <c r="D127" s="105">
        <f t="shared" si="23"/>
        <v>5</v>
      </c>
      <c r="E127" s="108">
        <f t="shared" si="25"/>
        <v>0</v>
      </c>
      <c r="F127" s="109">
        <f t="shared" si="26"/>
        <v>0.6</v>
      </c>
      <c r="G127" s="103">
        <f t="shared" si="27"/>
        <v>0</v>
      </c>
      <c r="H127" s="102">
        <f t="shared" si="28"/>
        <v>0</v>
      </c>
    </row>
    <row r="128" spans="1:8" ht="14.25" customHeight="1" x14ac:dyDescent="0.25">
      <c r="A128" s="1471"/>
      <c r="B128" s="105" t="str">
        <f t="shared" si="24"/>
        <v>Salt - ملح</v>
      </c>
      <c r="C128" s="105" t="str">
        <f t="shared" si="23"/>
        <v>gm</v>
      </c>
      <c r="D128" s="105">
        <f t="shared" si="23"/>
        <v>5</v>
      </c>
      <c r="E128" s="108">
        <f t="shared" si="25"/>
        <v>0</v>
      </c>
      <c r="F128" s="109">
        <f t="shared" si="26"/>
        <v>0.75</v>
      </c>
      <c r="G128" s="103">
        <f t="shared" si="27"/>
        <v>0</v>
      </c>
      <c r="H128" s="102">
        <f t="shared" si="28"/>
        <v>0</v>
      </c>
    </row>
    <row r="129" spans="1:10" ht="14.25" customHeight="1" x14ac:dyDescent="0.25">
      <c r="A129" s="1471"/>
      <c r="B129" s="105" t="str">
        <f t="shared" si="24"/>
        <v>Butter - زبدة</v>
      </c>
      <c r="C129" s="105" t="str">
        <f t="shared" si="23"/>
        <v>gm</v>
      </c>
      <c r="D129" s="105">
        <f t="shared" si="23"/>
        <v>20</v>
      </c>
      <c r="E129" s="108">
        <f t="shared" si="25"/>
        <v>0</v>
      </c>
      <c r="F129" s="109">
        <f t="shared" si="26"/>
        <v>1</v>
      </c>
      <c r="G129" s="103">
        <f t="shared" si="27"/>
        <v>0</v>
      </c>
      <c r="H129" s="102">
        <f t="shared" si="28"/>
        <v>0</v>
      </c>
    </row>
    <row r="130" spans="1:10" ht="14.25" customHeight="1" x14ac:dyDescent="0.25">
      <c r="A130" s="1471"/>
      <c r="B130" s="105" t="str">
        <f t="shared" si="24"/>
        <v>Yogurt - زبادي</v>
      </c>
      <c r="C130" s="105" t="str">
        <f t="shared" si="23"/>
        <v>gm</v>
      </c>
      <c r="D130" s="105">
        <f t="shared" si="23"/>
        <v>200</v>
      </c>
      <c r="E130" s="108">
        <f t="shared" si="25"/>
        <v>0</v>
      </c>
      <c r="F130" s="109">
        <f t="shared" si="26"/>
        <v>1</v>
      </c>
      <c r="G130" s="103">
        <f t="shared" si="27"/>
        <v>0</v>
      </c>
      <c r="H130" s="102">
        <f t="shared" si="28"/>
        <v>0</v>
      </c>
    </row>
    <row r="131" spans="1:10" ht="14.25" customHeight="1" x14ac:dyDescent="0.25">
      <c r="A131" s="1471"/>
      <c r="B131" s="105" t="str">
        <f t="shared" si="24"/>
        <v>Cooking Cream - كريمة طبخ</v>
      </c>
      <c r="C131" s="105" t="str">
        <f t="shared" si="23"/>
        <v>ml</v>
      </c>
      <c r="D131" s="105">
        <f t="shared" si="23"/>
        <v>300</v>
      </c>
      <c r="E131" s="108">
        <f t="shared" si="25"/>
        <v>0</v>
      </c>
      <c r="F131" s="109">
        <f t="shared" si="26"/>
        <v>1</v>
      </c>
      <c r="G131" s="103">
        <f t="shared" si="27"/>
        <v>0</v>
      </c>
      <c r="H131" s="102">
        <f t="shared" si="28"/>
        <v>0</v>
      </c>
    </row>
    <row r="132" spans="1:10" ht="20.25" customHeight="1" x14ac:dyDescent="0.3">
      <c r="A132" s="1471"/>
      <c r="B132" s="105" t="str">
        <f t="shared" si="24"/>
        <v>Water - ماء</v>
      </c>
      <c r="C132" s="105" t="str">
        <f t="shared" si="23"/>
        <v>ml</v>
      </c>
      <c r="D132" s="105">
        <f t="shared" si="23"/>
        <v>170</v>
      </c>
      <c r="E132" s="108">
        <f t="shared" si="25"/>
        <v>0</v>
      </c>
      <c r="F132" s="109">
        <f t="shared" si="26"/>
        <v>1</v>
      </c>
      <c r="G132" s="103">
        <f t="shared" si="27"/>
        <v>0</v>
      </c>
      <c r="H132" s="102">
        <f t="shared" si="28"/>
        <v>0</v>
      </c>
      <c r="I132" s="184"/>
      <c r="J132" s="183"/>
    </row>
    <row r="133" spans="1:10" x14ac:dyDescent="0.2">
      <c r="A133" s="1588" t="s">
        <v>908</v>
      </c>
      <c r="B133" s="105" t="str">
        <f t="shared" si="24"/>
        <v>Coriander Leaves - كزبرة خضراء</v>
      </c>
      <c r="C133" s="105" t="str">
        <f t="shared" si="23"/>
        <v>gm</v>
      </c>
      <c r="D133" s="105">
        <f t="shared" si="23"/>
        <v>5</v>
      </c>
      <c r="E133" s="108">
        <f t="shared" si="25"/>
        <v>0</v>
      </c>
      <c r="F133" s="109">
        <f t="shared" si="26"/>
        <v>0.75</v>
      </c>
      <c r="G133" s="103">
        <f t="shared" si="27"/>
        <v>0</v>
      </c>
      <c r="H133" s="102">
        <f t="shared" si="28"/>
        <v>0</v>
      </c>
    </row>
    <row r="134" spans="1:10" x14ac:dyDescent="0.25">
      <c r="A134" s="1471"/>
      <c r="B134" s="105" t="str">
        <f t="shared" si="24"/>
        <v>Corn Starch - نشا ذرة</v>
      </c>
      <c r="C134" s="105" t="str">
        <f t="shared" si="23"/>
        <v>gm</v>
      </c>
      <c r="D134" s="105">
        <f t="shared" si="23"/>
        <v>20</v>
      </c>
      <c r="E134" s="108">
        <f t="shared" si="25"/>
        <v>0</v>
      </c>
      <c r="F134" s="109">
        <f t="shared" si="26"/>
        <v>1</v>
      </c>
      <c r="G134" s="103">
        <f>D134*E134</f>
        <v>0</v>
      </c>
      <c r="H134" s="102">
        <f>G134*F134</f>
        <v>0</v>
      </c>
    </row>
    <row r="135" spans="1:10" ht="18" x14ac:dyDescent="0.25">
      <c r="B135" s="178" t="s">
        <v>287</v>
      </c>
      <c r="C135" s="180" t="s">
        <v>273</v>
      </c>
      <c r="E135" s="180" t="s">
        <v>288</v>
      </c>
      <c r="G135" s="804" t="s">
        <v>264</v>
      </c>
      <c r="H135" s="804" t="s">
        <v>673</v>
      </c>
    </row>
    <row r="136" spans="1:10" ht="20.25" x14ac:dyDescent="0.3">
      <c r="B136" s="179">
        <f>$J$55</f>
        <v>0</v>
      </c>
      <c r="C136" s="179">
        <f>E136+G136</f>
        <v>0</v>
      </c>
      <c r="D136" s="850"/>
      <c r="E136" s="179">
        <f>$D$55*$S$44</f>
        <v>0</v>
      </c>
      <c r="F136" s="850"/>
      <c r="G136" s="179">
        <f>$D$55*$T$44</f>
        <v>0</v>
      </c>
      <c r="H136" s="179">
        <f>B136+E136</f>
        <v>0</v>
      </c>
    </row>
  </sheetData>
  <mergeCells count="11">
    <mergeCell ref="B115:H115"/>
    <mergeCell ref="B62:H62"/>
    <mergeCell ref="R25:U25"/>
    <mergeCell ref="B87:H87"/>
    <mergeCell ref="B114:H114"/>
    <mergeCell ref="B35:F35"/>
    <mergeCell ref="AK2:AM2"/>
    <mergeCell ref="F2:F3"/>
    <mergeCell ref="B63:H63"/>
    <mergeCell ref="B86:H86"/>
    <mergeCell ref="R26:U26"/>
  </mergeCells>
  <printOptions horizontalCentered="1"/>
  <pageMargins left="0.4" right="0.4" top="1" bottom="0.5" header="0.3" footer="0.511811023622047"/>
  <pageSetup paperSize="9" scale="42"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pageSetUpPr fitToPage="1"/>
  </sheetPr>
  <dimension ref="A1:AE176"/>
  <sheetViews>
    <sheetView topLeftCell="L1" zoomScale="55" zoomScaleNormal="55" workbookViewId="0">
      <selection activeCell="E25" sqref="E25"/>
    </sheetView>
  </sheetViews>
  <sheetFormatPr defaultColWidth="12.5" defaultRowHeight="15" x14ac:dyDescent="0.25"/>
  <cols>
    <col min="1" max="1" width="12.5" style="1458"/>
    <col min="2" max="2" width="40.125" style="27" customWidth="1"/>
    <col min="3" max="3" width="18.125" style="192" customWidth="1"/>
    <col min="4" max="4" width="19" style="192" customWidth="1"/>
    <col min="5" max="5" width="16.125" style="192" customWidth="1"/>
    <col min="6" max="6" width="23.125" style="192" customWidth="1"/>
    <col min="7" max="7" width="25.125" style="192" customWidth="1"/>
    <col min="8" max="8" width="36.125" style="192" customWidth="1"/>
    <col min="9" max="11" width="12.5" style="192" customWidth="1"/>
    <col min="12" max="12" width="8.375" style="192" customWidth="1"/>
    <col min="13" max="13" width="15.875" style="192" customWidth="1"/>
    <col min="14" max="17" width="12.5" style="192" customWidth="1"/>
    <col min="18" max="18" width="30.5" style="192" customWidth="1"/>
    <col min="19" max="22" width="12.5" style="192" customWidth="1"/>
    <col min="23" max="23" width="29.375" style="192" customWidth="1"/>
    <col min="24" max="24" width="9.375" style="192" bestFit="1" customWidth="1"/>
    <col min="25" max="25" width="12.5" style="192" customWidth="1"/>
    <col min="26" max="26" width="12.5" style="192"/>
    <col min="27" max="27" width="13.375" style="192" bestFit="1" customWidth="1"/>
    <col min="28" max="16384" width="12.5" style="192"/>
  </cols>
  <sheetData>
    <row r="1" spans="1:30" ht="31.5" customHeight="1" x14ac:dyDescent="0.25">
      <c r="B1" s="277" t="s">
        <v>231</v>
      </c>
      <c r="C1" s="65">
        <v>1000</v>
      </c>
      <c r="D1" s="66" t="s">
        <v>232</v>
      </c>
      <c r="E1" s="99">
        <f>S32</f>
        <v>23310</v>
      </c>
      <c r="F1" s="64" t="s">
        <v>233</v>
      </c>
      <c r="G1" s="193">
        <f>E1/C1</f>
        <v>23.31</v>
      </c>
      <c r="H1" s="64" t="s">
        <v>234</v>
      </c>
      <c r="I1" s="193">
        <f>G1/K1</f>
        <v>23.31</v>
      </c>
      <c r="J1" s="70" t="s">
        <v>235</v>
      </c>
      <c r="K1" s="76">
        <v>1</v>
      </c>
      <c r="L1" s="194"/>
      <c r="M1" s="195"/>
      <c r="N1" s="196"/>
      <c r="O1" s="75" t="s">
        <v>236</v>
      </c>
      <c r="P1" s="76" t="s">
        <v>289</v>
      </c>
      <c r="Q1" s="77" t="s">
        <v>238</v>
      </c>
      <c r="R1" s="76">
        <v>0.49</v>
      </c>
      <c r="S1" s="194"/>
      <c r="Y1" s="75" t="s">
        <v>453</v>
      </c>
      <c r="Z1" s="766">
        <v>22810</v>
      </c>
      <c r="AA1" s="75" t="s">
        <v>556</v>
      </c>
      <c r="AB1" s="766">
        <v>500</v>
      </c>
      <c r="AC1" s="75" t="s">
        <v>546</v>
      </c>
      <c r="AD1" s="766">
        <v>150</v>
      </c>
    </row>
    <row r="2" spans="1:30" ht="12.75" customHeight="1" x14ac:dyDescent="0.25">
      <c r="A2" s="1593"/>
      <c r="B2" s="1644" t="s">
        <v>290</v>
      </c>
      <c r="C2" s="1644"/>
      <c r="D2" s="1644"/>
      <c r="E2" s="1644"/>
      <c r="F2" s="1644"/>
      <c r="G2" s="1644"/>
      <c r="H2" s="1644"/>
      <c r="I2" s="14"/>
      <c r="J2" s="14"/>
      <c r="K2" s="82"/>
      <c r="L2" s="82"/>
      <c r="M2" s="83"/>
      <c r="N2" s="83"/>
      <c r="O2" s="194"/>
      <c r="P2" s="194"/>
      <c r="Q2" s="194"/>
      <c r="R2" s="194"/>
      <c r="S2" s="194"/>
      <c r="T2" s="194"/>
      <c r="U2" s="194"/>
    </row>
    <row r="3" spans="1:30" ht="12.75" customHeight="1" x14ac:dyDescent="0.25">
      <c r="A3" s="1593"/>
      <c r="B3" s="1645"/>
      <c r="C3" s="1645"/>
      <c r="D3" s="1645"/>
      <c r="E3" s="1645"/>
      <c r="F3" s="1645"/>
      <c r="G3" s="1645"/>
      <c r="H3" s="1645"/>
      <c r="I3" s="1148"/>
      <c r="J3" s="1148"/>
      <c r="K3" s="87"/>
      <c r="L3" s="87"/>
      <c r="M3" s="83"/>
      <c r="N3" s="83"/>
      <c r="O3" s="194"/>
      <c r="P3" s="194"/>
      <c r="Q3" s="194"/>
      <c r="R3" s="194"/>
      <c r="S3" s="194"/>
      <c r="T3" s="194"/>
      <c r="U3" s="194"/>
    </row>
    <row r="4" spans="1:30" ht="35.25" customHeight="1" x14ac:dyDescent="0.2">
      <c r="A4" s="1589" t="s">
        <v>903</v>
      </c>
      <c r="B4" s="549" t="s">
        <v>241</v>
      </c>
      <c r="C4" s="90" t="s">
        <v>242</v>
      </c>
      <c r="D4" s="75" t="s">
        <v>231</v>
      </c>
      <c r="E4" s="197" t="s">
        <v>234</v>
      </c>
      <c r="F4" s="91" t="s">
        <v>243</v>
      </c>
      <c r="G4" s="75" t="s">
        <v>244</v>
      </c>
      <c r="H4" s="92" t="s">
        <v>245</v>
      </c>
      <c r="I4" s="75" t="s">
        <v>246</v>
      </c>
      <c r="J4" s="75" t="s">
        <v>247</v>
      </c>
      <c r="K4" s="75" t="s">
        <v>248</v>
      </c>
      <c r="L4" s="75" t="s">
        <v>249</v>
      </c>
      <c r="M4" s="194"/>
      <c r="N4" s="194"/>
      <c r="O4" s="194"/>
      <c r="P4" s="194"/>
      <c r="Q4" s="194"/>
      <c r="R4" s="194"/>
      <c r="S4" s="194"/>
    </row>
    <row r="5" spans="1:30" ht="14.25" customHeight="1" x14ac:dyDescent="0.2">
      <c r="A5" s="1459"/>
      <c r="B5" s="199" t="s">
        <v>223</v>
      </c>
      <c r="C5" s="106" t="s">
        <v>14</v>
      </c>
      <c r="D5" s="103">
        <f>I51/10</f>
        <v>2040.8163265306125</v>
      </c>
      <c r="E5" s="177">
        <f>H52</f>
        <v>23.31</v>
      </c>
      <c r="F5" s="109">
        <v>1</v>
      </c>
      <c r="G5" s="101">
        <f t="shared" ref="G5" si="0">D5*E5</f>
        <v>47571.428571428572</v>
      </c>
      <c r="H5" s="102">
        <f t="shared" ref="H5" si="1">G5*F5</f>
        <v>47571.428571428572</v>
      </c>
      <c r="I5" s="65">
        <f>VLOOKUP(B5,All_Ingredients!$A$1:$F$156,6,FALSE())</f>
        <v>0.55000000000000004</v>
      </c>
      <c r="J5" s="101">
        <f>VLOOKUP(B5,All_Ingredients!$A$1:$J$156,10,FALSE())</f>
        <v>14.361111111111111</v>
      </c>
      <c r="K5" s="104">
        <f t="shared" ref="K5" si="2">(H5/I5)/1000</f>
        <v>86.493506493506487</v>
      </c>
      <c r="L5" s="104">
        <f t="shared" ref="L5:L14" si="3">K5*J5</f>
        <v>1242.1428571428571</v>
      </c>
      <c r="M5" s="1246">
        <f>L5/(H5/1000)</f>
        <v>26.111111111111111</v>
      </c>
      <c r="N5" s="194"/>
      <c r="O5" s="194"/>
      <c r="P5" s="194"/>
      <c r="Q5" s="194"/>
      <c r="R5" s="194"/>
      <c r="S5" s="194"/>
    </row>
    <row r="6" spans="1:30" ht="14.25" customHeight="1" x14ac:dyDescent="0.25">
      <c r="A6" s="1594"/>
      <c r="B6" s="199" t="s">
        <v>97</v>
      </c>
      <c r="C6" s="106" t="s">
        <v>14</v>
      </c>
      <c r="D6" s="107">
        <v>2</v>
      </c>
      <c r="E6" s="201">
        <f t="shared" ref="E6:E16" si="4">$G$1</f>
        <v>23.31</v>
      </c>
      <c r="F6" s="109">
        <v>1</v>
      </c>
      <c r="G6" s="101">
        <f t="shared" ref="G6:G14" si="5">D6*E6</f>
        <v>46.62</v>
      </c>
      <c r="H6" s="102">
        <f t="shared" ref="H6:H14" si="6">G6*F6</f>
        <v>46.62</v>
      </c>
      <c r="I6" s="65">
        <f>VLOOKUP(B6,All_Ingredients!$A$1:$F$156,6,FALSE())</f>
        <v>1</v>
      </c>
      <c r="J6" s="101">
        <f>VLOOKUP(B6,All_Ingredients!$A$1:$J$156,10,FALSE())</f>
        <v>38</v>
      </c>
      <c r="K6" s="104">
        <f t="shared" ref="K6:K14" si="7">(H6/I6)/1000</f>
        <v>4.6619999999999995E-2</v>
      </c>
      <c r="L6" s="104">
        <f t="shared" si="3"/>
        <v>1.7715599999999998</v>
      </c>
    </row>
    <row r="7" spans="1:30" ht="14.25" customHeight="1" x14ac:dyDescent="0.25">
      <c r="A7" s="1594"/>
      <c r="B7" s="199" t="s">
        <v>103</v>
      </c>
      <c r="C7" s="106" t="s">
        <v>14</v>
      </c>
      <c r="D7" s="107">
        <v>2</v>
      </c>
      <c r="E7" s="201">
        <f t="shared" si="4"/>
        <v>23.31</v>
      </c>
      <c r="F7" s="109">
        <v>0.95</v>
      </c>
      <c r="G7" s="101">
        <f t="shared" si="5"/>
        <v>46.62</v>
      </c>
      <c r="H7" s="102">
        <f t="shared" si="6"/>
        <v>44.288999999999994</v>
      </c>
      <c r="I7" s="65">
        <f>VLOOKUP(B7,All_Ingredients!$A$1:$F$156,6,FALSE())</f>
        <v>1</v>
      </c>
      <c r="J7" s="101">
        <f>VLOOKUP(B7,All_Ingredients!$A$1:$J$156,10,FALSE())</f>
        <v>19</v>
      </c>
      <c r="K7" s="104">
        <f t="shared" si="7"/>
        <v>4.4288999999999995E-2</v>
      </c>
      <c r="L7" s="104">
        <f t="shared" si="3"/>
        <v>0.84149099999999988</v>
      </c>
    </row>
    <row r="8" spans="1:30" ht="14.25" customHeight="1" x14ac:dyDescent="0.25">
      <c r="A8" s="1594"/>
      <c r="B8" s="199" t="s">
        <v>124</v>
      </c>
      <c r="C8" s="106" t="s">
        <v>14</v>
      </c>
      <c r="D8" s="107">
        <v>2</v>
      </c>
      <c r="E8" s="201">
        <f t="shared" si="4"/>
        <v>23.31</v>
      </c>
      <c r="F8" s="109">
        <v>0.95</v>
      </c>
      <c r="G8" s="101">
        <f t="shared" si="5"/>
        <v>46.62</v>
      </c>
      <c r="H8" s="102">
        <f t="shared" si="6"/>
        <v>44.288999999999994</v>
      </c>
      <c r="I8" s="65">
        <f>VLOOKUP(B8,All_Ingredients!$A$1:$F$156,6,FALSE())</f>
        <v>1</v>
      </c>
      <c r="J8" s="101">
        <f>VLOOKUP(B8,All_Ingredients!$A$1:$J$156,10,FALSE())</f>
        <v>37</v>
      </c>
      <c r="K8" s="104">
        <f t="shared" si="7"/>
        <v>4.4288999999999995E-2</v>
      </c>
      <c r="L8" s="104">
        <f t="shared" si="3"/>
        <v>1.6386929999999997</v>
      </c>
    </row>
    <row r="9" spans="1:30" ht="14.25" customHeight="1" x14ac:dyDescent="0.25">
      <c r="A9" s="1594"/>
      <c r="B9" s="199" t="s">
        <v>120</v>
      </c>
      <c r="C9" s="106" t="s">
        <v>14</v>
      </c>
      <c r="D9" s="107">
        <v>2</v>
      </c>
      <c r="E9" s="201">
        <f t="shared" si="4"/>
        <v>23.31</v>
      </c>
      <c r="F9" s="109">
        <v>1</v>
      </c>
      <c r="G9" s="101">
        <f t="shared" si="5"/>
        <v>46.62</v>
      </c>
      <c r="H9" s="102">
        <f t="shared" si="6"/>
        <v>46.62</v>
      </c>
      <c r="I9" s="65">
        <f>VLOOKUP(B9,All_Ingredients!$A$1:$F$156,6,FALSE())</f>
        <v>1</v>
      </c>
      <c r="J9" s="101">
        <f>VLOOKUP(B9,All_Ingredients!$A$1:$J$156,10,FALSE())</f>
        <v>15</v>
      </c>
      <c r="K9" s="104">
        <f t="shared" si="7"/>
        <v>4.6619999999999995E-2</v>
      </c>
      <c r="L9" s="104">
        <f t="shared" si="3"/>
        <v>0.69929999999999992</v>
      </c>
    </row>
    <row r="10" spans="1:30" ht="14.25" customHeight="1" x14ac:dyDescent="0.25">
      <c r="A10" s="1594"/>
      <c r="B10" s="199" t="s">
        <v>837</v>
      </c>
      <c r="C10" s="106" t="s">
        <v>14</v>
      </c>
      <c r="D10" s="107">
        <v>5</v>
      </c>
      <c r="E10" s="201">
        <f t="shared" si="4"/>
        <v>23.31</v>
      </c>
      <c r="F10" s="109">
        <v>1</v>
      </c>
      <c r="G10" s="101">
        <f t="shared" si="5"/>
        <v>116.55</v>
      </c>
      <c r="H10" s="102">
        <f t="shared" si="6"/>
        <v>116.55</v>
      </c>
      <c r="I10" s="65">
        <f>VLOOKUP(B10,All_Ingredients!$A$1:$F$156,6,FALSE())</f>
        <v>1</v>
      </c>
      <c r="J10" s="101">
        <f>VLOOKUP(B10,All_Ingredients!$A$1:$J$156,10,FALSE())</f>
        <v>22.5</v>
      </c>
      <c r="K10" s="104">
        <f t="shared" si="7"/>
        <v>0.11655</v>
      </c>
      <c r="L10" s="104">
        <f t="shared" si="3"/>
        <v>2.6223749999999999</v>
      </c>
    </row>
    <row r="11" spans="1:30" ht="14.25" customHeight="1" x14ac:dyDescent="0.25">
      <c r="A11" s="1594"/>
      <c r="B11" s="199" t="s">
        <v>105</v>
      </c>
      <c r="C11" s="106" t="s">
        <v>14</v>
      </c>
      <c r="D11" s="107">
        <v>6</v>
      </c>
      <c r="E11" s="201">
        <f t="shared" si="4"/>
        <v>23.31</v>
      </c>
      <c r="F11" s="109">
        <v>1</v>
      </c>
      <c r="G11" s="101">
        <f t="shared" si="5"/>
        <v>139.85999999999999</v>
      </c>
      <c r="H11" s="102">
        <f t="shared" si="6"/>
        <v>139.85999999999999</v>
      </c>
      <c r="I11" s="65">
        <f>VLOOKUP(B11,All_Ingredients!$A$1:$F$156,6,FALSE())</f>
        <v>1</v>
      </c>
      <c r="J11" s="101">
        <f>VLOOKUP(B11,All_Ingredients!$A$1:$J$156,10,FALSE())</f>
        <v>15</v>
      </c>
      <c r="K11" s="104">
        <f t="shared" si="7"/>
        <v>0.13985999999999998</v>
      </c>
      <c r="L11" s="104">
        <f t="shared" si="3"/>
        <v>2.0978999999999997</v>
      </c>
    </row>
    <row r="12" spans="1:30" ht="14.25" customHeight="1" x14ac:dyDescent="0.25">
      <c r="A12" s="1594"/>
      <c r="B12" s="199" t="s">
        <v>99</v>
      </c>
      <c r="C12" s="106" t="s">
        <v>14</v>
      </c>
      <c r="D12" s="107">
        <v>6</v>
      </c>
      <c r="E12" s="201">
        <f t="shared" si="4"/>
        <v>23.31</v>
      </c>
      <c r="F12" s="109">
        <v>1</v>
      </c>
      <c r="G12" s="101">
        <f t="shared" si="5"/>
        <v>139.85999999999999</v>
      </c>
      <c r="H12" s="102">
        <f t="shared" si="6"/>
        <v>139.85999999999999</v>
      </c>
      <c r="I12" s="65">
        <f>VLOOKUP(B12,All_Ingredients!$A$1:$F$156,6,FALSE())</f>
        <v>1</v>
      </c>
      <c r="J12" s="101">
        <f>VLOOKUP(B12,All_Ingredients!$A$1:$J$156,10,FALSE())</f>
        <v>31</v>
      </c>
      <c r="K12" s="104">
        <f t="shared" si="7"/>
        <v>0.13985999999999998</v>
      </c>
      <c r="L12" s="104">
        <f t="shared" si="3"/>
        <v>4.3356599999999998</v>
      </c>
    </row>
    <row r="13" spans="1:30" ht="14.25" customHeight="1" x14ac:dyDescent="0.25">
      <c r="A13" s="1594"/>
      <c r="B13" s="1161" t="s">
        <v>152</v>
      </c>
      <c r="C13" s="106" t="s">
        <v>14</v>
      </c>
      <c r="D13" s="202">
        <v>75</v>
      </c>
      <c r="E13" s="201">
        <f t="shared" si="4"/>
        <v>23.31</v>
      </c>
      <c r="F13" s="109">
        <v>1</v>
      </c>
      <c r="G13" s="101">
        <f t="shared" si="5"/>
        <v>1748.25</v>
      </c>
      <c r="H13" s="102">
        <f t="shared" si="6"/>
        <v>1748.25</v>
      </c>
      <c r="I13" s="65">
        <f>VLOOKUP(B13,All_Ingredients!$A$1:$F$156,6,FALSE())</f>
        <v>1</v>
      </c>
      <c r="J13" s="101">
        <f>VLOOKUP(B13,All_Ingredients!$A$1:$J$156,10,FALSE())</f>
        <v>30</v>
      </c>
      <c r="K13" s="104">
        <f t="shared" si="7"/>
        <v>1.7482500000000001</v>
      </c>
      <c r="L13" s="104">
        <f t="shared" si="3"/>
        <v>52.447500000000005</v>
      </c>
    </row>
    <row r="14" spans="1:30" x14ac:dyDescent="0.25">
      <c r="A14" s="1594"/>
      <c r="B14" s="199" t="s">
        <v>126</v>
      </c>
      <c r="C14" s="106" t="s">
        <v>14</v>
      </c>
      <c r="D14" s="202">
        <v>6</v>
      </c>
      <c r="E14" s="201">
        <f t="shared" si="4"/>
        <v>23.31</v>
      </c>
      <c r="F14" s="109">
        <v>1</v>
      </c>
      <c r="G14" s="101">
        <f t="shared" si="5"/>
        <v>139.85999999999999</v>
      </c>
      <c r="H14" s="102">
        <f t="shared" si="6"/>
        <v>139.85999999999999</v>
      </c>
      <c r="I14" s="65">
        <f>VLOOKUP(B14,All_Ingredients!$A$1:$F$156,6,FALSE())</f>
        <v>1</v>
      </c>
      <c r="J14" s="101">
        <f>VLOOKUP(B14,All_Ingredients!$A$1:$J$156,10,FALSE())</f>
        <v>125</v>
      </c>
      <c r="K14" s="104">
        <f t="shared" si="7"/>
        <v>0.13985999999999998</v>
      </c>
      <c r="L14" s="104">
        <f t="shared" si="3"/>
        <v>17.482499999999998</v>
      </c>
    </row>
    <row r="15" spans="1:30" ht="14.25" customHeight="1" x14ac:dyDescent="0.25">
      <c r="A15" s="1594"/>
      <c r="B15" s="199" t="s">
        <v>139</v>
      </c>
      <c r="C15" s="106" t="s">
        <v>14</v>
      </c>
      <c r="D15" s="202">
        <v>8</v>
      </c>
      <c r="E15" s="201">
        <f t="shared" si="4"/>
        <v>23.31</v>
      </c>
      <c r="F15" s="109">
        <v>1</v>
      </c>
      <c r="G15" s="101">
        <f t="shared" ref="G15:G16" si="8">D15*E15</f>
        <v>186.48</v>
      </c>
      <c r="H15" s="102">
        <f t="shared" ref="H15:H16" si="9">G15*F15</f>
        <v>186.48</v>
      </c>
      <c r="I15" s="65">
        <f>VLOOKUP(B15,All_Ingredients!$A$1:$F$156,6,FALSE())</f>
        <v>1</v>
      </c>
      <c r="J15" s="101">
        <f>VLOOKUP(B15,All_Ingredients!$A$1:$J$156,10,FALSE())</f>
        <v>15.277777777777779</v>
      </c>
      <c r="K15" s="104">
        <f t="shared" ref="K15:K16" si="10">(H15/I15)/1000</f>
        <v>0.18647999999999998</v>
      </c>
      <c r="L15" s="104">
        <f t="shared" ref="L15:L16" si="11">K15*J15</f>
        <v>2.8489999999999998</v>
      </c>
    </row>
    <row r="16" spans="1:30" ht="14.25" customHeight="1" x14ac:dyDescent="0.25">
      <c r="A16" s="1594"/>
      <c r="B16" s="199" t="s">
        <v>93</v>
      </c>
      <c r="C16" s="106" t="s">
        <v>14</v>
      </c>
      <c r="D16" s="202">
        <v>11</v>
      </c>
      <c r="E16" s="201">
        <f t="shared" si="4"/>
        <v>23.31</v>
      </c>
      <c r="F16" s="109">
        <v>1</v>
      </c>
      <c r="G16" s="101">
        <f t="shared" si="8"/>
        <v>256.40999999999997</v>
      </c>
      <c r="H16" s="102">
        <f t="shared" si="9"/>
        <v>256.40999999999997</v>
      </c>
      <c r="I16" s="65">
        <f>VLOOKUP(B16,All_Ingredients!$A$1:$F$156,6,FALSE())</f>
        <v>1</v>
      </c>
      <c r="J16" s="101">
        <f>VLOOKUP(B16,All_Ingredients!$A$1:$J$156,10,FALSE())</f>
        <v>0.74</v>
      </c>
      <c r="K16" s="104">
        <f t="shared" si="10"/>
        <v>0.25640999999999997</v>
      </c>
      <c r="L16" s="104">
        <f t="shared" si="11"/>
        <v>0.18974339999999998</v>
      </c>
    </row>
    <row r="17" spans="2:31" ht="14.25" customHeight="1" x14ac:dyDescent="0.25"/>
    <row r="18" spans="2:31" ht="14.25" customHeight="1" x14ac:dyDescent="0.25"/>
    <row r="19" spans="2:31" ht="14.25" customHeight="1" x14ac:dyDescent="0.25"/>
    <row r="20" spans="2:31" ht="14.25" customHeight="1" x14ac:dyDescent="0.25"/>
    <row r="21" spans="2:31" ht="14.25" customHeight="1" x14ac:dyDescent="0.25"/>
    <row r="22" spans="2:31" ht="14.25" customHeight="1" x14ac:dyDescent="0.25"/>
    <row r="23" spans="2:31" ht="13.5" customHeight="1" x14ac:dyDescent="0.25">
      <c r="Z23" s="1123"/>
    </row>
    <row r="24" spans="2:31" ht="13.5" customHeight="1" x14ac:dyDescent="0.25">
      <c r="B24" s="979"/>
      <c r="C24" s="114"/>
      <c r="D24" s="3"/>
      <c r="E24" s="203"/>
      <c r="F24" s="117"/>
      <c r="G24" s="121"/>
      <c r="H24" s="119"/>
      <c r="Z24" s="1123"/>
    </row>
    <row r="25" spans="2:31" ht="13.5" customHeight="1" x14ac:dyDescent="0.25">
      <c r="B25" s="979"/>
      <c r="C25" s="3"/>
      <c r="D25" s="3"/>
      <c r="E25" s="3"/>
      <c r="F25" s="3"/>
      <c r="G25" s="121"/>
      <c r="H25" s="119"/>
      <c r="R25" s="1646" t="s">
        <v>290</v>
      </c>
      <c r="S25" s="1647"/>
      <c r="T25" s="1647"/>
      <c r="U25" s="1647"/>
      <c r="V25" s="214"/>
      <c r="Z25" s="122" t="s">
        <v>252</v>
      </c>
      <c r="AA25" s="123">
        <v>1</v>
      </c>
      <c r="AB25" s="122" t="s">
        <v>249</v>
      </c>
      <c r="AC25" s="124">
        <f>AE30*AA25</f>
        <v>5.7615913836442399E-2</v>
      </c>
      <c r="AD25" s="14"/>
    </row>
    <row r="26" spans="2:31" ht="13.5" customHeight="1" x14ac:dyDescent="0.25">
      <c r="R26" s="1646" t="s">
        <v>291</v>
      </c>
      <c r="S26" s="1647"/>
      <c r="T26" s="1647"/>
      <c r="U26" s="1647"/>
      <c r="V26" s="214"/>
      <c r="Z26" s="14"/>
      <c r="AA26" s="14"/>
      <c r="AB26" s="14"/>
      <c r="AC26" s="14"/>
      <c r="AD26" s="14"/>
    </row>
    <row r="27" spans="2:31" ht="13.5" customHeight="1" thickBot="1" x14ac:dyDescent="0.3">
      <c r="R27" s="204" t="s">
        <v>254</v>
      </c>
      <c r="S27" s="205" t="s">
        <v>292</v>
      </c>
      <c r="T27" s="205" t="s">
        <v>256</v>
      </c>
      <c r="U27" s="205" t="s">
        <v>257</v>
      </c>
      <c r="V27" s="127" t="s">
        <v>779</v>
      </c>
      <c r="Z27" s="122" t="s">
        <v>258</v>
      </c>
      <c r="AA27" s="128" t="s">
        <v>259</v>
      </c>
      <c r="AB27" s="128" t="s">
        <v>260</v>
      </c>
      <c r="AC27" s="128" t="s">
        <v>261</v>
      </c>
      <c r="AD27" s="1032" t="s">
        <v>779</v>
      </c>
      <c r="AE27" s="128" t="s">
        <v>262</v>
      </c>
    </row>
    <row r="28" spans="2:31" ht="12.75" customHeight="1" thickBot="1" x14ac:dyDescent="0.3">
      <c r="R28" s="125" t="s">
        <v>263</v>
      </c>
      <c r="S28" s="1235">
        <f>$Z$1</f>
        <v>22810</v>
      </c>
      <c r="T28" s="1219"/>
      <c r="U28" s="1219">
        <f>S28</f>
        <v>22810</v>
      </c>
      <c r="V28" s="130">
        <f>G37</f>
        <v>0</v>
      </c>
      <c r="Z28" s="132"/>
      <c r="AA28" s="1046">
        <f>AA25</f>
        <v>1</v>
      </c>
      <c r="AB28" s="133">
        <f>AA25-AA28</f>
        <v>0</v>
      </c>
      <c r="AC28" s="134">
        <v>0</v>
      </c>
      <c r="AD28" s="1034"/>
      <c r="AE28" s="135">
        <f>SUM(AA28:AC28)</f>
        <v>1</v>
      </c>
    </row>
    <row r="29" spans="2:31" ht="14.25" customHeight="1" thickBot="1" x14ac:dyDescent="0.3">
      <c r="R29" s="125" t="s">
        <v>264</v>
      </c>
      <c r="S29" s="1234"/>
      <c r="T29" s="206"/>
      <c r="U29" s="1219">
        <f>T29</f>
        <v>0</v>
      </c>
      <c r="V29" s="130"/>
      <c r="Z29" s="132"/>
      <c r="AA29" s="137">
        <f>AA28/$AE$28</f>
        <v>1</v>
      </c>
      <c r="AB29" s="137">
        <f>AB28/$AE$28</f>
        <v>0</v>
      </c>
      <c r="AC29" s="137">
        <f>AC28/$AE$28</f>
        <v>0</v>
      </c>
      <c r="AD29" s="1038"/>
      <c r="AE29" s="137">
        <f>AE28/$AE$28</f>
        <v>1</v>
      </c>
    </row>
    <row r="30" spans="2:31" ht="14.25" customHeight="1" thickBot="1" x14ac:dyDescent="0.3">
      <c r="R30" s="125" t="s">
        <v>265</v>
      </c>
      <c r="S30" s="1234">
        <f>$AB$1</f>
        <v>500</v>
      </c>
      <c r="T30" s="1219"/>
      <c r="U30" s="1219">
        <f>T30+S30</f>
        <v>500</v>
      </c>
      <c r="V30" s="989"/>
      <c r="Z30" s="122" t="s">
        <v>266</v>
      </c>
      <c r="AA30" s="138">
        <f>S35/(S32)</f>
        <v>5.688888185941042E-2</v>
      </c>
      <c r="AB30" s="139"/>
      <c r="AC30" s="139"/>
      <c r="AD30" s="1044">
        <f>V35/U32</f>
        <v>7.2703197703197708E-4</v>
      </c>
      <c r="AE30" s="1047">
        <f>SUMPRODUCT(AA30:AC30,AA29:AC29)+(AD30)</f>
        <v>5.7615913836442399E-2</v>
      </c>
    </row>
    <row r="31" spans="2:31" ht="14.25" customHeight="1" thickBot="1" x14ac:dyDescent="0.3">
      <c r="R31" s="125" t="s">
        <v>267</v>
      </c>
      <c r="S31" s="208"/>
      <c r="T31" s="206">
        <f>T28+T29</f>
        <v>0</v>
      </c>
      <c r="U31" s="206">
        <f>T31</f>
        <v>0</v>
      </c>
      <c r="V31" s="130"/>
    </row>
    <row r="32" spans="2:31" ht="14.25" customHeight="1" thickBot="1" x14ac:dyDescent="0.3">
      <c r="R32" s="214" t="s">
        <v>257</v>
      </c>
      <c r="S32" s="206">
        <f>SUM(S28:S30)</f>
        <v>23310</v>
      </c>
      <c r="T32" s="206">
        <f>SUM(T28:T30)</f>
        <v>0</v>
      </c>
      <c r="U32" s="206">
        <f>T32+S32</f>
        <v>23310</v>
      </c>
      <c r="V32" s="130">
        <f>SUM(V28:V30)</f>
        <v>0</v>
      </c>
    </row>
    <row r="33" spans="1:23" ht="14.25" customHeight="1" thickBot="1" x14ac:dyDescent="0.3">
      <c r="R33" s="215" t="s">
        <v>268</v>
      </c>
      <c r="S33" s="208"/>
      <c r="T33" s="208"/>
      <c r="U33" s="208"/>
      <c r="V33" s="136"/>
    </row>
    <row r="34" spans="1:23" ht="14.25" customHeight="1" thickBot="1" x14ac:dyDescent="0.3">
      <c r="R34" s="216" t="s">
        <v>269</v>
      </c>
      <c r="S34" s="208"/>
      <c r="T34" s="206"/>
      <c r="U34" s="208"/>
      <c r="V34" s="136"/>
    </row>
    <row r="35" spans="1:23" ht="14.25" customHeight="1" thickBot="1" x14ac:dyDescent="0.3">
      <c r="A35" s="1472"/>
      <c r="B35" s="1648" t="s">
        <v>969</v>
      </c>
      <c r="C35" s="1649"/>
      <c r="D35" s="1649"/>
      <c r="E35" s="1649"/>
      <c r="F35" s="1650"/>
      <c r="G35" s="803"/>
      <c r="H35" s="803"/>
      <c r="I35" s="803"/>
      <c r="J35" s="803"/>
      <c r="K35" s="803"/>
      <c r="L35" s="803"/>
      <c r="R35" s="144" t="s">
        <v>249</v>
      </c>
      <c r="S35" s="990">
        <f>SUM(L5:L14)</f>
        <v>1326.0798361428569</v>
      </c>
      <c r="T35" s="990"/>
      <c r="U35" s="1122">
        <f>S35+T35+V35</f>
        <v>1343.0269515274724</v>
      </c>
      <c r="V35" s="990">
        <f>SUM(L37:L38)</f>
        <v>16.947115384615387</v>
      </c>
    </row>
    <row r="36" spans="1:23" ht="1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ht="14.25" customHeight="1" x14ac:dyDescent="0.25">
      <c r="A37" s="1472"/>
      <c r="B37" s="772" t="s">
        <v>686</v>
      </c>
      <c r="C37" s="773" t="s">
        <v>14</v>
      </c>
      <c r="D37" s="774">
        <v>1</v>
      </c>
      <c r="E37" s="772">
        <f>$AD$1</f>
        <v>150</v>
      </c>
      <c r="F37" s="772">
        <f>D37*E37</f>
        <v>150</v>
      </c>
      <c r="G37" s="796"/>
      <c r="H37" s="772">
        <f>F37</f>
        <v>150</v>
      </c>
      <c r="I37" s="772">
        <f>VLOOKUP(B37,All_Ingredients!$A$1:$F$156,6,FALSE())</f>
        <v>0.65</v>
      </c>
      <c r="J37" s="772">
        <f>VLOOKUP(B37,All_Ingredients!$A$1:$J$156,10,FALSE())</f>
        <v>45</v>
      </c>
      <c r="K37" s="772">
        <f>(H37/I37)/1000</f>
        <v>0.23076923076923078</v>
      </c>
      <c r="L37" s="772">
        <f t="shared" ref="L37" si="12">K37*J37</f>
        <v>10.384615384615385</v>
      </c>
    </row>
    <row r="38" spans="1:23" ht="14.25" customHeight="1" x14ac:dyDescent="0.25">
      <c r="A38" s="1472"/>
      <c r="B38" s="772" t="s">
        <v>184</v>
      </c>
      <c r="C38" s="773" t="s">
        <v>14</v>
      </c>
      <c r="D38" s="774">
        <v>2.5</v>
      </c>
      <c r="E38" s="772">
        <f>$AD$1</f>
        <v>150</v>
      </c>
      <c r="F38" s="772">
        <f>D38*E38</f>
        <v>375</v>
      </c>
      <c r="G38" s="796"/>
      <c r="H38" s="772">
        <f>F38</f>
        <v>375</v>
      </c>
      <c r="I38" s="772">
        <f>VLOOKUP(B38,All_Ingredients!$A$1:$F$156,6,FALSE())</f>
        <v>1</v>
      </c>
      <c r="J38" s="772">
        <f>VLOOKUP(B38,All_Ingredients!$A$1:$J$156,10,FALSE())</f>
        <v>17.5</v>
      </c>
      <c r="K38" s="772">
        <f>(H38/I38)/1000</f>
        <v>0.375</v>
      </c>
      <c r="L38" s="772">
        <f t="shared" ref="L38" si="13">K38*J38</f>
        <v>6.5625</v>
      </c>
    </row>
    <row r="39" spans="1:23" ht="14.25" customHeight="1" x14ac:dyDescent="0.25">
      <c r="A39" s="1472"/>
      <c r="I39" s="14"/>
      <c r="J39" s="14"/>
    </row>
    <row r="40" spans="1:23" ht="46.5" customHeight="1" x14ac:dyDescent="0.25">
      <c r="A40" s="1472"/>
      <c r="I40" s="14"/>
      <c r="J40" s="14"/>
      <c r="Q40" s="14"/>
      <c r="R40" s="146" t="s">
        <v>270</v>
      </c>
      <c r="S40" s="217">
        <v>1</v>
      </c>
      <c r="T40" s="146" t="s">
        <v>271</v>
      </c>
      <c r="U40" s="217">
        <v>0</v>
      </c>
      <c r="V40" s="149">
        <f>S40+U40</f>
        <v>1</v>
      </c>
      <c r="W40" s="14"/>
    </row>
    <row r="41" spans="1:23" ht="14.25" customHeight="1" x14ac:dyDescent="0.25">
      <c r="A41" s="1472"/>
      <c r="I41" s="14"/>
      <c r="J41" s="14"/>
      <c r="Q41" s="14"/>
      <c r="R41" s="14"/>
      <c r="S41" s="14"/>
      <c r="T41" s="14"/>
      <c r="U41" s="150"/>
      <c r="V41" s="14"/>
      <c r="W41" s="14"/>
    </row>
    <row r="42" spans="1:23" ht="14.25" customHeight="1" x14ac:dyDescent="0.25">
      <c r="A42" s="1472"/>
      <c r="I42" s="14"/>
      <c r="J42" s="14"/>
      <c r="Q42" s="14"/>
      <c r="R42" s="14"/>
      <c r="S42" s="14"/>
      <c r="T42" s="14"/>
      <c r="U42" s="14"/>
      <c r="V42" s="14"/>
      <c r="W42" s="14"/>
    </row>
    <row r="43" spans="1:23" ht="14.25" customHeight="1" x14ac:dyDescent="0.25">
      <c r="A43" s="1472"/>
      <c r="G43" s="14"/>
      <c r="H43" s="14"/>
      <c r="I43" s="14"/>
      <c r="J43" s="14"/>
      <c r="Q43" s="151" t="s">
        <v>272</v>
      </c>
      <c r="R43" s="151" t="s">
        <v>273</v>
      </c>
      <c r="S43" s="151" t="s">
        <v>274</v>
      </c>
      <c r="T43" s="151" t="s">
        <v>275</v>
      </c>
      <c r="U43" s="151" t="s">
        <v>276</v>
      </c>
      <c r="V43" s="151" t="s">
        <v>277</v>
      </c>
      <c r="W43" s="151" t="s">
        <v>278</v>
      </c>
    </row>
    <row r="44" spans="1:23" ht="14.25" customHeight="1" x14ac:dyDescent="0.25">
      <c r="A44" s="1472"/>
      <c r="B44" s="278"/>
      <c r="C44" s="14"/>
      <c r="D44" s="14"/>
      <c r="E44" s="84"/>
      <c r="F44" s="84"/>
      <c r="G44" s="14"/>
      <c r="H44" s="14"/>
      <c r="I44" s="14"/>
      <c r="J44" s="14"/>
      <c r="Q44" s="218">
        <v>10000</v>
      </c>
      <c r="R44" s="154">
        <v>0</v>
      </c>
      <c r="S44" s="219">
        <v>0</v>
      </c>
      <c r="T44" s="155">
        <v>0</v>
      </c>
      <c r="U44" s="220">
        <f>R44*S44</f>
        <v>0</v>
      </c>
      <c r="V44" s="157">
        <f>R44*T44</f>
        <v>0</v>
      </c>
      <c r="W44" s="157">
        <f>Q44-U44</f>
        <v>10000</v>
      </c>
    </row>
    <row r="45" spans="1:23" ht="14.25" customHeight="1" x14ac:dyDescent="0.25">
      <c r="A45" s="1472"/>
      <c r="B45" s="278"/>
      <c r="C45" s="14"/>
      <c r="D45" s="14"/>
      <c r="E45" s="84"/>
      <c r="F45" s="84"/>
      <c r="G45" s="14"/>
      <c r="H45" s="14"/>
      <c r="I45" s="14"/>
      <c r="J45" s="14"/>
    </row>
    <row r="46" spans="1:23" ht="14.25" customHeight="1" x14ac:dyDescent="0.25">
      <c r="A46" s="1472"/>
      <c r="B46" s="278"/>
      <c r="C46" s="14"/>
      <c r="D46" s="14"/>
      <c r="E46" s="84"/>
      <c r="F46" s="84"/>
      <c r="G46" s="14"/>
      <c r="H46" s="14"/>
      <c r="I46" s="14"/>
      <c r="J46" s="14"/>
    </row>
    <row r="47" spans="1:23" ht="14.25" customHeight="1" x14ac:dyDescent="0.25">
      <c r="A47" s="1472"/>
      <c r="B47" s="278"/>
      <c r="C47" s="14"/>
      <c r="D47" s="14"/>
      <c r="E47" s="84"/>
      <c r="F47" s="84"/>
      <c r="G47" s="14"/>
      <c r="H47" s="14"/>
      <c r="I47" s="14"/>
      <c r="J47" s="14"/>
    </row>
    <row r="48" spans="1:23" ht="14.25" customHeight="1" x14ac:dyDescent="0.25">
      <c r="A48" s="1472"/>
      <c r="B48" s="278"/>
      <c r="C48" s="14"/>
      <c r="D48" s="14"/>
      <c r="E48" s="84"/>
      <c r="F48" s="84"/>
      <c r="G48" s="14"/>
      <c r="H48" s="14"/>
      <c r="I48" s="14"/>
      <c r="J48" s="14"/>
    </row>
    <row r="49" spans="1:10" ht="14.25" customHeight="1" x14ac:dyDescent="0.25">
      <c r="A49" s="1472"/>
      <c r="B49" s="278"/>
      <c r="C49" s="14"/>
      <c r="D49" s="14"/>
      <c r="E49" s="84"/>
      <c r="F49" s="84"/>
      <c r="G49" s="14"/>
      <c r="H49" s="14"/>
      <c r="I49" s="14"/>
      <c r="J49" s="14"/>
    </row>
    <row r="50" spans="1:10" ht="14.25" customHeight="1" x14ac:dyDescent="0.25">
      <c r="A50" s="1472"/>
      <c r="B50" s="547"/>
      <c r="C50" s="204" t="s">
        <v>233</v>
      </c>
      <c r="D50" s="204" t="s">
        <v>279</v>
      </c>
      <c r="E50" s="164"/>
      <c r="F50" s="194"/>
      <c r="G50" s="126" t="s">
        <v>280</v>
      </c>
      <c r="H50" s="126" t="s">
        <v>233</v>
      </c>
      <c r="I50" s="126" t="s">
        <v>281</v>
      </c>
      <c r="J50" s="126" t="s">
        <v>282</v>
      </c>
    </row>
    <row r="51" spans="1:10" ht="14.25" customHeight="1" x14ac:dyDescent="0.25">
      <c r="A51" s="1472"/>
      <c r="B51" s="980" t="s">
        <v>283</v>
      </c>
      <c r="C51" s="162">
        <f>10/K1</f>
        <v>10</v>
      </c>
      <c r="D51" s="163">
        <f>$C$1*10</f>
        <v>10000</v>
      </c>
      <c r="E51" s="207"/>
      <c r="F51" s="194"/>
      <c r="G51" s="161" t="s">
        <v>283</v>
      </c>
      <c r="H51" s="162">
        <f>I51/$D$5</f>
        <v>10</v>
      </c>
      <c r="I51" s="162">
        <f t="shared" ref="I51:I56" si="14">J51/$R$1</f>
        <v>20408.163265306124</v>
      </c>
      <c r="J51" s="162">
        <f>$W$44</f>
        <v>10000</v>
      </c>
    </row>
    <row r="52" spans="1:10" ht="14.25" customHeight="1" x14ac:dyDescent="0.25">
      <c r="A52" s="1472"/>
      <c r="B52" s="279" t="s">
        <v>262</v>
      </c>
      <c r="C52" s="210">
        <f>I1</f>
        <v>23.31</v>
      </c>
      <c r="D52" s="211">
        <f>E1</f>
        <v>23310</v>
      </c>
      <c r="E52" s="194"/>
      <c r="F52" s="194"/>
      <c r="G52" s="129" t="s">
        <v>262</v>
      </c>
      <c r="H52" s="157">
        <f>I52/$D$5</f>
        <v>23.31</v>
      </c>
      <c r="I52" s="157">
        <f t="shared" si="14"/>
        <v>47571.428571428572</v>
      </c>
      <c r="J52" s="165">
        <f>$S$32</f>
        <v>23310</v>
      </c>
    </row>
    <row r="53" spans="1:10" ht="14.25" customHeight="1" x14ac:dyDescent="0.25">
      <c r="A53" s="1472"/>
      <c r="B53" s="279" t="s">
        <v>284</v>
      </c>
      <c r="C53" s="212">
        <f>MIN($C$52, 10)</f>
        <v>10</v>
      </c>
      <c r="D53" s="211">
        <f>(C53*$K$1)*$C$1</f>
        <v>10000</v>
      </c>
      <c r="E53" s="194"/>
      <c r="F53" s="194"/>
      <c r="G53" s="129" t="s">
        <v>284</v>
      </c>
      <c r="H53" s="168">
        <f>MIN(H52,H51)</f>
        <v>10</v>
      </c>
      <c r="I53" s="157">
        <f t="shared" si="14"/>
        <v>20408.163265306124</v>
      </c>
      <c r="J53" s="157">
        <f>MIN(J52,J51)</f>
        <v>10000</v>
      </c>
    </row>
    <row r="54" spans="1:10" ht="14.25" customHeight="1" x14ac:dyDescent="0.25">
      <c r="A54" s="1472"/>
      <c r="B54" s="279" t="s">
        <v>285</v>
      </c>
      <c r="C54" s="212">
        <f>MIN(MAX($C$52-C53,0),10)</f>
        <v>10</v>
      </c>
      <c r="D54" s="211">
        <f>(C54*$K$1)*$C$1</f>
        <v>10000</v>
      </c>
      <c r="E54" s="194"/>
      <c r="F54" s="194"/>
      <c r="G54" s="129" t="s">
        <v>285</v>
      </c>
      <c r="H54" s="168">
        <f>MIN(MAX(H52-H53),H51)</f>
        <v>10</v>
      </c>
      <c r="I54" s="157">
        <f t="shared" si="14"/>
        <v>20408.163265306124</v>
      </c>
      <c r="J54" s="157">
        <f>MIN(MAX(J52-J53),J51)</f>
        <v>10000</v>
      </c>
    </row>
    <row r="55" spans="1:10" ht="14.25" customHeight="1" x14ac:dyDescent="0.25">
      <c r="A55" s="1472"/>
      <c r="B55" s="279" t="s">
        <v>286</v>
      </c>
      <c r="C55" s="212">
        <f>MIN(MAX($C$52-C53-C54,0),10)</f>
        <v>3.3099999999999987</v>
      </c>
      <c r="D55" s="211">
        <f>(C55*$K$1)*$C$1</f>
        <v>3309.9999999999986</v>
      </c>
      <c r="E55" s="194"/>
      <c r="F55" s="194"/>
      <c r="G55" s="126" t="s">
        <v>286</v>
      </c>
      <c r="H55" s="168">
        <f>MIN(MAX(H52-H53-H54),H51)</f>
        <v>3.3099999999999987</v>
      </c>
      <c r="I55" s="157">
        <f t="shared" si="14"/>
        <v>6755.1020408163267</v>
      </c>
      <c r="J55" s="157">
        <f>MIN(MAX(J52-J53-J54),J51)</f>
        <v>3310</v>
      </c>
    </row>
    <row r="56" spans="1:10" ht="14.25" customHeight="1" x14ac:dyDescent="0.25">
      <c r="A56" s="1472"/>
      <c r="B56" s="279" t="s">
        <v>293</v>
      </c>
      <c r="C56" s="212">
        <f>MIN(MAX($C$52-C53-C54-C55,0),10)</f>
        <v>0</v>
      </c>
      <c r="D56" s="213">
        <f>C56*$K$1</f>
        <v>0</v>
      </c>
      <c r="E56" s="84"/>
      <c r="F56" s="84"/>
      <c r="G56" s="126" t="s">
        <v>293</v>
      </c>
      <c r="H56" s="168">
        <f>MIN(MAX(H52-H53-H54-H55),H51)</f>
        <v>0</v>
      </c>
      <c r="I56" s="157">
        <f t="shared" si="14"/>
        <v>0</v>
      </c>
      <c r="J56" s="157">
        <f>MIN(MAX(J52-J53-J54-J55),J51)</f>
        <v>0</v>
      </c>
    </row>
    <row r="57" spans="1:10" ht="14.25" customHeight="1" x14ac:dyDescent="0.25">
      <c r="A57" s="1472"/>
    </row>
    <row r="58" spans="1:10" ht="14.25" customHeight="1" x14ac:dyDescent="0.25">
      <c r="A58" s="1472"/>
      <c r="B58" s="278"/>
      <c r="C58" s="14"/>
      <c r="D58" s="14"/>
      <c r="E58" s="84"/>
      <c r="F58" s="84"/>
      <c r="G58" s="14"/>
      <c r="H58" s="14"/>
      <c r="I58" s="14"/>
      <c r="J58" s="14"/>
    </row>
    <row r="59" spans="1:10" ht="14.25" customHeight="1" x14ac:dyDescent="0.25">
      <c r="A59" s="1472"/>
      <c r="B59" s="278"/>
      <c r="C59" s="14"/>
      <c r="D59" s="14"/>
      <c r="E59" s="84"/>
      <c r="F59" s="84"/>
      <c r="G59" s="14"/>
      <c r="H59" s="14"/>
      <c r="I59" s="14"/>
      <c r="J59" s="14"/>
    </row>
    <row r="60" spans="1:10" ht="14.25" customHeight="1" x14ac:dyDescent="0.25">
      <c r="A60" s="1472"/>
      <c r="B60" s="278"/>
      <c r="C60" s="14"/>
      <c r="D60" s="14"/>
      <c r="E60" s="84"/>
      <c r="F60" s="84"/>
      <c r="G60" s="14"/>
      <c r="H60" s="14"/>
      <c r="I60" s="14"/>
      <c r="J60" s="14"/>
    </row>
    <row r="61" spans="1:10" ht="14.25" customHeight="1" x14ac:dyDescent="0.25">
      <c r="A61" s="1472"/>
      <c r="B61" s="278"/>
      <c r="C61" s="14"/>
      <c r="D61" s="14"/>
      <c r="E61" s="84"/>
      <c r="F61" s="84"/>
      <c r="G61" s="14"/>
      <c r="H61" s="14"/>
      <c r="I61" s="14"/>
      <c r="J61" s="14"/>
    </row>
    <row r="62" spans="1:10" ht="48" customHeight="1" x14ac:dyDescent="0.25">
      <c r="A62" s="1595"/>
      <c r="B62" s="1642" t="str">
        <f>"لحم كبسة دفعة  1  / " &amp; COUNTIF($C$53:$C$56, "&gt;0")</f>
        <v>لحم كبسة دفعة  1  / 3</v>
      </c>
      <c r="C62" s="1643"/>
      <c r="D62" s="1643"/>
      <c r="E62" s="1643"/>
      <c r="F62" s="1643"/>
      <c r="G62" s="1643"/>
      <c r="H62" s="1643"/>
    </row>
    <row r="63" spans="1:10" x14ac:dyDescent="0.25">
      <c r="A63" s="1595"/>
      <c r="B63" s="1636" t="str">
        <f>"Kabsah Laham 1 / " &amp; COUNTIF($C$53:$C$56, "&gt;0")</f>
        <v>Kabsah Laham 1 / 3</v>
      </c>
      <c r="C63" s="1637"/>
      <c r="D63" s="1637"/>
      <c r="E63" s="1637"/>
      <c r="F63" s="1637"/>
      <c r="G63" s="1637"/>
      <c r="H63" s="1637"/>
    </row>
    <row r="64" spans="1:10" ht="25.5" x14ac:dyDescent="0.2">
      <c r="A64" s="1589"/>
      <c r="B64" s="550" t="s">
        <v>241</v>
      </c>
      <c r="C64" s="222" t="s">
        <v>242</v>
      </c>
      <c r="D64" s="223" t="s">
        <v>231</v>
      </c>
      <c r="E64" s="197" t="s">
        <v>234</v>
      </c>
      <c r="F64" s="197" t="s">
        <v>243</v>
      </c>
      <c r="G64" s="223" t="s">
        <v>244</v>
      </c>
      <c r="H64" s="197" t="s">
        <v>245</v>
      </c>
    </row>
    <row r="65" spans="1:8" ht="14.25" customHeight="1" x14ac:dyDescent="0.25">
      <c r="A65" s="1594"/>
      <c r="B65" s="981" t="str">
        <f t="shared" ref="B65:D76" si="15">B5</f>
        <v>Indian Meat Alana  - لحم هندى ألانا</v>
      </c>
      <c r="C65" s="106" t="str">
        <f t="shared" si="15"/>
        <v>gm</v>
      </c>
      <c r="D65" s="98">
        <f t="shared" si="15"/>
        <v>2040.8163265306125</v>
      </c>
      <c r="E65" s="108">
        <f>H53</f>
        <v>10</v>
      </c>
      <c r="F65" s="109">
        <f t="shared" ref="F65:F76" si="16">F5</f>
        <v>1</v>
      </c>
      <c r="G65" s="101">
        <f t="shared" ref="G65:G72" si="17">D65*E65</f>
        <v>20408.163265306124</v>
      </c>
      <c r="H65" s="102">
        <f t="shared" ref="H65:H72" si="18">G65*F65</f>
        <v>20408.163265306124</v>
      </c>
    </row>
    <row r="66" spans="1:8" ht="14.25" customHeight="1" x14ac:dyDescent="0.25">
      <c r="A66" s="1594"/>
      <c r="B66" s="981" t="str">
        <f t="shared" si="15"/>
        <v>Black Pepper Whole - فلفل أسود حب</v>
      </c>
      <c r="C66" s="106" t="str">
        <f t="shared" si="15"/>
        <v>gm</v>
      </c>
      <c r="D66" s="98">
        <f t="shared" si="15"/>
        <v>2</v>
      </c>
      <c r="E66" s="108">
        <f t="shared" ref="E66:E76" si="19">$C$53</f>
        <v>10</v>
      </c>
      <c r="F66" s="109">
        <f t="shared" si="16"/>
        <v>1</v>
      </c>
      <c r="G66" s="65">
        <f t="shared" si="17"/>
        <v>20</v>
      </c>
      <c r="H66" s="102">
        <f t="shared" si="18"/>
        <v>20</v>
      </c>
    </row>
    <row r="67" spans="1:8" ht="14.25" customHeight="1" x14ac:dyDescent="0.25">
      <c r="A67" s="1594"/>
      <c r="B67" s="981" t="str">
        <f t="shared" si="15"/>
        <v>Cumin Whole - كمون حب</v>
      </c>
      <c r="C67" s="106" t="str">
        <f t="shared" si="15"/>
        <v>gm</v>
      </c>
      <c r="D67" s="98">
        <f t="shared" si="15"/>
        <v>2</v>
      </c>
      <c r="E67" s="108">
        <f t="shared" si="19"/>
        <v>10</v>
      </c>
      <c r="F67" s="109">
        <f t="shared" si="16"/>
        <v>0.95</v>
      </c>
      <c r="G67" s="65">
        <f t="shared" si="17"/>
        <v>20</v>
      </c>
      <c r="H67" s="102">
        <f t="shared" si="18"/>
        <v>19</v>
      </c>
    </row>
    <row r="68" spans="1:8" ht="14.25" customHeight="1" x14ac:dyDescent="0.25">
      <c r="A68" s="1594"/>
      <c r="B68" s="981" t="str">
        <f t="shared" si="15"/>
        <v>Cloves Whole - قرنفل حب</v>
      </c>
      <c r="C68" s="106" t="str">
        <f t="shared" si="15"/>
        <v>gm</v>
      </c>
      <c r="D68" s="98">
        <f t="shared" si="15"/>
        <v>2</v>
      </c>
      <c r="E68" s="108">
        <f t="shared" si="19"/>
        <v>10</v>
      </c>
      <c r="F68" s="109">
        <f t="shared" si="16"/>
        <v>0.95</v>
      </c>
      <c r="G68" s="65">
        <f t="shared" si="17"/>
        <v>20</v>
      </c>
      <c r="H68" s="102">
        <f t="shared" si="18"/>
        <v>19</v>
      </c>
    </row>
    <row r="69" spans="1:8" ht="14.25" customHeight="1" x14ac:dyDescent="0.25">
      <c r="A69" s="1594"/>
      <c r="B69" s="981" t="str">
        <f t="shared" si="15"/>
        <v>Cinnamon Whole - قرفة أعواد</v>
      </c>
      <c r="C69" s="106" t="str">
        <f t="shared" si="15"/>
        <v>gm</v>
      </c>
      <c r="D69" s="98">
        <f t="shared" si="15"/>
        <v>2</v>
      </c>
      <c r="E69" s="108">
        <f t="shared" si="19"/>
        <v>10</v>
      </c>
      <c r="F69" s="109">
        <f t="shared" si="16"/>
        <v>1</v>
      </c>
      <c r="G69" s="65">
        <f t="shared" si="17"/>
        <v>20</v>
      </c>
      <c r="H69" s="102">
        <f t="shared" si="18"/>
        <v>20</v>
      </c>
    </row>
    <row r="70" spans="1:8" ht="14.25" customHeight="1" x14ac:dyDescent="0.25">
      <c r="A70" s="1594"/>
      <c r="B70" s="981" t="str">
        <f t="shared" si="15"/>
        <v>Saffron yellow color powder - لون صفار زعفران بودر</v>
      </c>
      <c r="C70" s="106" t="str">
        <f t="shared" si="15"/>
        <v>gm</v>
      </c>
      <c r="D70" s="98">
        <f t="shared" si="15"/>
        <v>5</v>
      </c>
      <c r="E70" s="108">
        <f t="shared" si="19"/>
        <v>10</v>
      </c>
      <c r="F70" s="109">
        <f t="shared" si="16"/>
        <v>1</v>
      </c>
      <c r="G70" s="65">
        <f t="shared" si="17"/>
        <v>50</v>
      </c>
      <c r="H70" s="102">
        <f t="shared" si="18"/>
        <v>50</v>
      </c>
    </row>
    <row r="71" spans="1:8" ht="14.25" customHeight="1" x14ac:dyDescent="0.25">
      <c r="A71" s="1594"/>
      <c r="B71" s="981" t="str">
        <f t="shared" si="15"/>
        <v>Cumin Powder - كمون مطحون</v>
      </c>
      <c r="C71" s="106" t="str">
        <f t="shared" si="15"/>
        <v>gm</v>
      </c>
      <c r="D71" s="98">
        <f t="shared" si="15"/>
        <v>6</v>
      </c>
      <c r="E71" s="108">
        <f t="shared" si="19"/>
        <v>10</v>
      </c>
      <c r="F71" s="109">
        <f t="shared" si="16"/>
        <v>1</v>
      </c>
      <c r="G71" s="65">
        <f t="shared" si="17"/>
        <v>60</v>
      </c>
      <c r="H71" s="102">
        <f t="shared" si="18"/>
        <v>60</v>
      </c>
    </row>
    <row r="72" spans="1:8" ht="14.25" customHeight="1" x14ac:dyDescent="0.25">
      <c r="A72" s="1594"/>
      <c r="B72" s="981" t="str">
        <f t="shared" si="15"/>
        <v>Black Pepper Powder - فلفل أسود مطحون</v>
      </c>
      <c r="C72" s="106" t="str">
        <f t="shared" si="15"/>
        <v>gm</v>
      </c>
      <c r="D72" s="98">
        <f t="shared" si="15"/>
        <v>6</v>
      </c>
      <c r="E72" s="108">
        <f t="shared" si="19"/>
        <v>10</v>
      </c>
      <c r="F72" s="109">
        <f t="shared" si="16"/>
        <v>1</v>
      </c>
      <c r="G72" s="65">
        <f t="shared" si="17"/>
        <v>60</v>
      </c>
      <c r="H72" s="102">
        <f t="shared" si="18"/>
        <v>60</v>
      </c>
    </row>
    <row r="73" spans="1:8" ht="14.25" customHeight="1" x14ac:dyDescent="0.25">
      <c r="A73" s="1594"/>
      <c r="B73" s="981" t="str">
        <f t="shared" si="15"/>
        <v>Butter - زبدة</v>
      </c>
      <c r="C73" s="106" t="str">
        <f t="shared" si="15"/>
        <v>gm</v>
      </c>
      <c r="D73" s="98">
        <f t="shared" si="15"/>
        <v>75</v>
      </c>
      <c r="E73" s="108">
        <f t="shared" si="19"/>
        <v>10</v>
      </c>
      <c r="F73" s="109">
        <f t="shared" si="16"/>
        <v>1</v>
      </c>
      <c r="G73" s="65">
        <f t="shared" ref="G73:G76" si="20">D73*E73</f>
        <v>750</v>
      </c>
      <c r="H73" s="102">
        <f t="shared" ref="H73:H76" si="21">G73*F73</f>
        <v>750</v>
      </c>
    </row>
    <row r="74" spans="1:8" ht="19.5" customHeight="1" x14ac:dyDescent="0.25">
      <c r="A74" s="1594"/>
      <c r="B74" s="981" t="str">
        <f t="shared" si="15"/>
        <v>Cardamom Whole - هيل حب</v>
      </c>
      <c r="C74" s="106" t="str">
        <f t="shared" si="15"/>
        <v>gm</v>
      </c>
      <c r="D74" s="98">
        <f t="shared" si="15"/>
        <v>6</v>
      </c>
      <c r="E74" s="108">
        <f t="shared" si="19"/>
        <v>10</v>
      </c>
      <c r="F74" s="109">
        <f t="shared" si="16"/>
        <v>1</v>
      </c>
      <c r="G74" s="65">
        <f t="shared" si="20"/>
        <v>60</v>
      </c>
      <c r="H74" s="102">
        <f t="shared" si="21"/>
        <v>60</v>
      </c>
    </row>
    <row r="75" spans="1:8" ht="14.25" customHeight="1" x14ac:dyDescent="0.25">
      <c r="A75" s="1594"/>
      <c r="B75" s="981" t="str">
        <f t="shared" si="15"/>
        <v>Maggi Cubes - مكعبات ماجي</v>
      </c>
      <c r="C75" s="106" t="str">
        <f t="shared" si="15"/>
        <v>gm</v>
      </c>
      <c r="D75" s="98">
        <f t="shared" si="15"/>
        <v>8</v>
      </c>
      <c r="E75" s="108">
        <f t="shared" si="19"/>
        <v>10</v>
      </c>
      <c r="F75" s="109">
        <f t="shared" si="16"/>
        <v>1</v>
      </c>
      <c r="G75" s="65">
        <f t="shared" si="20"/>
        <v>80</v>
      </c>
      <c r="H75" s="102">
        <f t="shared" si="21"/>
        <v>80</v>
      </c>
    </row>
    <row r="76" spans="1:8" ht="14.25" customHeight="1" x14ac:dyDescent="0.25">
      <c r="A76" s="1594"/>
      <c r="B76" s="981" t="str">
        <f t="shared" si="15"/>
        <v>Salt - ملح</v>
      </c>
      <c r="C76" s="106" t="str">
        <f t="shared" si="15"/>
        <v>gm</v>
      </c>
      <c r="D76" s="98">
        <f t="shared" si="15"/>
        <v>11</v>
      </c>
      <c r="E76" s="108">
        <f t="shared" si="19"/>
        <v>10</v>
      </c>
      <c r="F76" s="109">
        <f t="shared" si="16"/>
        <v>1</v>
      </c>
      <c r="G76" s="65">
        <f t="shared" si="20"/>
        <v>110</v>
      </c>
      <c r="H76" s="102">
        <f t="shared" si="21"/>
        <v>110</v>
      </c>
    </row>
    <row r="77" spans="1:8" ht="14.25" customHeight="1" x14ac:dyDescent="0.25">
      <c r="B77" s="982" t="s">
        <v>287</v>
      </c>
      <c r="C77" s="180" t="s">
        <v>273</v>
      </c>
      <c r="D77" s="14"/>
      <c r="E77" s="180" t="s">
        <v>288</v>
      </c>
      <c r="F77" s="14"/>
      <c r="G77" s="804" t="s">
        <v>264</v>
      </c>
      <c r="H77" s="804" t="s">
        <v>673</v>
      </c>
    </row>
    <row r="78" spans="1:8" ht="24" customHeight="1" x14ac:dyDescent="0.3">
      <c r="B78" s="983">
        <f>$J$53</f>
        <v>10000</v>
      </c>
      <c r="C78" s="179">
        <f>E78+G78</f>
        <v>0</v>
      </c>
      <c r="D78" s="839"/>
      <c r="E78" s="179">
        <f>$C$53*$S$44</f>
        <v>0</v>
      </c>
      <c r="F78" s="843"/>
      <c r="G78" s="179">
        <f>$C$53*$T$44</f>
        <v>0</v>
      </c>
      <c r="H78" s="179">
        <f>B78+E78</f>
        <v>10000</v>
      </c>
    </row>
    <row r="79" spans="1:8" ht="14.25" customHeight="1" x14ac:dyDescent="0.25">
      <c r="B79" s="278"/>
      <c r="E79" s="194"/>
      <c r="F79" s="194"/>
    </row>
    <row r="80" spans="1:8" ht="27" customHeight="1" x14ac:dyDescent="0.25">
      <c r="A80" s="1595"/>
      <c r="B80" s="1642" t="str">
        <f>"لحم كبسة دفعة  2  / " &amp; COUNTIF($C$53:$C$56, "&gt;0")</f>
        <v>لحم كبسة دفعة  2  / 3</v>
      </c>
      <c r="C80" s="1643"/>
      <c r="D80" s="1643"/>
      <c r="E80" s="1643"/>
      <c r="F80" s="1643"/>
      <c r="G80" s="1643"/>
      <c r="H80" s="1643"/>
    </row>
    <row r="81" spans="1:8" ht="14.25" customHeight="1" x14ac:dyDescent="0.25">
      <c r="A81" s="1595"/>
      <c r="B81" s="1636" t="str">
        <f>"Kabsah Laham 2 / " &amp; COUNTIF($C$53:$C$56, "&gt;0")</f>
        <v>Kabsah Laham 2 / 3</v>
      </c>
      <c r="C81" s="1637"/>
      <c r="D81" s="1637"/>
      <c r="E81" s="1637"/>
      <c r="F81" s="1637"/>
      <c r="G81" s="1637"/>
      <c r="H81" s="1637"/>
    </row>
    <row r="82" spans="1:8" ht="25.5" x14ac:dyDescent="0.2">
      <c r="A82" s="1589"/>
      <c r="B82" s="549" t="s">
        <v>241</v>
      </c>
      <c r="C82" s="90" t="s">
        <v>242</v>
      </c>
      <c r="D82" s="75" t="s">
        <v>231</v>
      </c>
      <c r="E82" s="224" t="s">
        <v>294</v>
      </c>
      <c r="F82" s="91" t="s">
        <v>243</v>
      </c>
      <c r="G82" s="75" t="s">
        <v>244</v>
      </c>
      <c r="H82" s="92" t="s">
        <v>245</v>
      </c>
    </row>
    <row r="83" spans="1:8" ht="14.25" customHeight="1" x14ac:dyDescent="0.25">
      <c r="A83" s="1594"/>
      <c r="B83" s="981" t="str">
        <f t="shared" ref="B83:D94" si="22">B5</f>
        <v>Indian Meat Alana  - لحم هندى ألانا</v>
      </c>
      <c r="C83" s="106" t="str">
        <f t="shared" si="22"/>
        <v>gm</v>
      </c>
      <c r="D83" s="98">
        <f t="shared" si="22"/>
        <v>2040.8163265306125</v>
      </c>
      <c r="E83" s="108">
        <f>H54</f>
        <v>10</v>
      </c>
      <c r="F83" s="109">
        <f t="shared" ref="F83:F94" si="23">F5</f>
        <v>1</v>
      </c>
      <c r="G83" s="101">
        <f t="shared" ref="G83:G90" si="24">D83*E83</f>
        <v>20408.163265306124</v>
      </c>
      <c r="H83" s="102">
        <f t="shared" ref="H83:H90" si="25">G83*F83</f>
        <v>20408.163265306124</v>
      </c>
    </row>
    <row r="84" spans="1:8" ht="14.25" customHeight="1" x14ac:dyDescent="0.25">
      <c r="A84" s="1594"/>
      <c r="B84" s="981" t="str">
        <f t="shared" si="22"/>
        <v>Black Pepper Whole - فلفل أسود حب</v>
      </c>
      <c r="C84" s="106" t="str">
        <f t="shared" si="22"/>
        <v>gm</v>
      </c>
      <c r="D84" s="98">
        <f t="shared" si="22"/>
        <v>2</v>
      </c>
      <c r="E84" s="108">
        <f t="shared" ref="E84:E94" si="26">$C$54</f>
        <v>10</v>
      </c>
      <c r="F84" s="109">
        <f t="shared" si="23"/>
        <v>1</v>
      </c>
      <c r="G84" s="65">
        <f t="shared" si="24"/>
        <v>20</v>
      </c>
      <c r="H84" s="102">
        <f t="shared" si="25"/>
        <v>20</v>
      </c>
    </row>
    <row r="85" spans="1:8" ht="14.25" customHeight="1" x14ac:dyDescent="0.25">
      <c r="A85" s="1594"/>
      <c r="B85" s="981" t="str">
        <f t="shared" si="22"/>
        <v>Cumin Whole - كمون حب</v>
      </c>
      <c r="C85" s="106" t="str">
        <f t="shared" si="22"/>
        <v>gm</v>
      </c>
      <c r="D85" s="98">
        <f t="shared" si="22"/>
        <v>2</v>
      </c>
      <c r="E85" s="108">
        <f t="shared" si="26"/>
        <v>10</v>
      </c>
      <c r="F85" s="109">
        <f t="shared" si="23"/>
        <v>0.95</v>
      </c>
      <c r="G85" s="65">
        <f t="shared" si="24"/>
        <v>20</v>
      </c>
      <c r="H85" s="102">
        <f t="shared" si="25"/>
        <v>19</v>
      </c>
    </row>
    <row r="86" spans="1:8" ht="20.25" customHeight="1" x14ac:dyDescent="0.25">
      <c r="A86" s="1594"/>
      <c r="B86" s="981" t="str">
        <f t="shared" si="22"/>
        <v>Cloves Whole - قرنفل حب</v>
      </c>
      <c r="C86" s="106" t="str">
        <f t="shared" si="22"/>
        <v>gm</v>
      </c>
      <c r="D86" s="98">
        <f t="shared" si="22"/>
        <v>2</v>
      </c>
      <c r="E86" s="108">
        <f t="shared" si="26"/>
        <v>10</v>
      </c>
      <c r="F86" s="109">
        <f t="shared" si="23"/>
        <v>0.95</v>
      </c>
      <c r="G86" s="65">
        <f t="shared" si="24"/>
        <v>20</v>
      </c>
      <c r="H86" s="102">
        <f t="shared" si="25"/>
        <v>19</v>
      </c>
    </row>
    <row r="87" spans="1:8" ht="24" customHeight="1" x14ac:dyDescent="0.25">
      <c r="A87" s="1594"/>
      <c r="B87" s="981" t="str">
        <f t="shared" si="22"/>
        <v>Cinnamon Whole - قرفة أعواد</v>
      </c>
      <c r="C87" s="106" t="str">
        <f t="shared" si="22"/>
        <v>gm</v>
      </c>
      <c r="D87" s="98">
        <f t="shared" si="22"/>
        <v>2</v>
      </c>
      <c r="E87" s="108">
        <f t="shared" si="26"/>
        <v>10</v>
      </c>
      <c r="F87" s="109">
        <f t="shared" si="23"/>
        <v>1</v>
      </c>
      <c r="G87" s="65">
        <f t="shared" si="24"/>
        <v>20</v>
      </c>
      <c r="H87" s="102">
        <f t="shared" si="25"/>
        <v>20</v>
      </c>
    </row>
    <row r="88" spans="1:8" ht="14.25" customHeight="1" x14ac:dyDescent="0.25">
      <c r="A88" s="1594"/>
      <c r="B88" s="981" t="str">
        <f t="shared" si="22"/>
        <v>Saffron yellow color powder - لون صفار زعفران بودر</v>
      </c>
      <c r="C88" s="106" t="str">
        <f t="shared" si="22"/>
        <v>gm</v>
      </c>
      <c r="D88" s="98">
        <f t="shared" si="22"/>
        <v>5</v>
      </c>
      <c r="E88" s="108">
        <f t="shared" si="26"/>
        <v>10</v>
      </c>
      <c r="F88" s="109">
        <f t="shared" si="23"/>
        <v>1</v>
      </c>
      <c r="G88" s="65">
        <f t="shared" si="24"/>
        <v>50</v>
      </c>
      <c r="H88" s="102">
        <f t="shared" si="25"/>
        <v>50</v>
      </c>
    </row>
    <row r="89" spans="1:8" ht="18" customHeight="1" x14ac:dyDescent="0.25">
      <c r="A89" s="1594"/>
      <c r="B89" s="981" t="str">
        <f t="shared" si="22"/>
        <v>Cumin Powder - كمون مطحون</v>
      </c>
      <c r="C89" s="106" t="str">
        <f t="shared" si="22"/>
        <v>gm</v>
      </c>
      <c r="D89" s="98">
        <f t="shared" si="22"/>
        <v>6</v>
      </c>
      <c r="E89" s="108">
        <f t="shared" si="26"/>
        <v>10</v>
      </c>
      <c r="F89" s="109">
        <f t="shared" si="23"/>
        <v>1</v>
      </c>
      <c r="G89" s="65">
        <f t="shared" si="24"/>
        <v>60</v>
      </c>
      <c r="H89" s="102">
        <f t="shared" si="25"/>
        <v>60</v>
      </c>
    </row>
    <row r="90" spans="1:8" ht="21" customHeight="1" x14ac:dyDescent="0.25">
      <c r="A90" s="1594"/>
      <c r="B90" s="981" t="str">
        <f t="shared" si="22"/>
        <v>Black Pepper Powder - فلفل أسود مطحون</v>
      </c>
      <c r="C90" s="106" t="str">
        <f t="shared" si="22"/>
        <v>gm</v>
      </c>
      <c r="D90" s="98">
        <f t="shared" si="22"/>
        <v>6</v>
      </c>
      <c r="E90" s="108">
        <f t="shared" si="26"/>
        <v>10</v>
      </c>
      <c r="F90" s="109">
        <f t="shared" si="23"/>
        <v>1</v>
      </c>
      <c r="G90" s="65">
        <f t="shared" si="24"/>
        <v>60</v>
      </c>
      <c r="H90" s="102">
        <f t="shared" si="25"/>
        <v>60</v>
      </c>
    </row>
    <row r="91" spans="1:8" x14ac:dyDescent="0.25">
      <c r="A91" s="1594"/>
      <c r="B91" s="981" t="str">
        <f t="shared" si="22"/>
        <v>Butter - زبدة</v>
      </c>
      <c r="C91" s="106" t="str">
        <f t="shared" si="22"/>
        <v>gm</v>
      </c>
      <c r="D91" s="98">
        <f t="shared" si="22"/>
        <v>75</v>
      </c>
      <c r="E91" s="108">
        <f t="shared" si="26"/>
        <v>10</v>
      </c>
      <c r="F91" s="109">
        <f t="shared" si="23"/>
        <v>1</v>
      </c>
      <c r="G91" s="65">
        <f t="shared" ref="G91:G94" si="27">D91*E91</f>
        <v>750</v>
      </c>
      <c r="H91" s="102">
        <f t="shared" ref="H91:H94" si="28">G91*F91</f>
        <v>750</v>
      </c>
    </row>
    <row r="92" spans="1:8" ht="14.25" customHeight="1" x14ac:dyDescent="0.25">
      <c r="A92" s="1594"/>
      <c r="B92" s="981" t="str">
        <f t="shared" si="22"/>
        <v>Cardamom Whole - هيل حب</v>
      </c>
      <c r="C92" s="106" t="str">
        <f t="shared" si="22"/>
        <v>gm</v>
      </c>
      <c r="D92" s="98">
        <f t="shared" si="22"/>
        <v>6</v>
      </c>
      <c r="E92" s="108">
        <f t="shared" si="26"/>
        <v>10</v>
      </c>
      <c r="F92" s="109">
        <f t="shared" si="23"/>
        <v>1</v>
      </c>
      <c r="G92" s="65">
        <f t="shared" si="27"/>
        <v>60</v>
      </c>
      <c r="H92" s="102">
        <f t="shared" si="28"/>
        <v>60</v>
      </c>
    </row>
    <row r="93" spans="1:8" ht="14.25" customHeight="1" x14ac:dyDescent="0.25">
      <c r="A93" s="1594"/>
      <c r="B93" s="981" t="str">
        <f t="shared" si="22"/>
        <v>Maggi Cubes - مكعبات ماجي</v>
      </c>
      <c r="C93" s="106" t="str">
        <f t="shared" si="22"/>
        <v>gm</v>
      </c>
      <c r="D93" s="98">
        <f t="shared" si="22"/>
        <v>8</v>
      </c>
      <c r="E93" s="108">
        <f t="shared" si="26"/>
        <v>10</v>
      </c>
      <c r="F93" s="109">
        <f t="shared" si="23"/>
        <v>1</v>
      </c>
      <c r="G93" s="65">
        <f t="shared" si="27"/>
        <v>80</v>
      </c>
      <c r="H93" s="102">
        <f t="shared" si="28"/>
        <v>80</v>
      </c>
    </row>
    <row r="94" spans="1:8" ht="14.25" customHeight="1" x14ac:dyDescent="0.25">
      <c r="A94" s="1594"/>
      <c r="B94" s="981" t="str">
        <f t="shared" si="22"/>
        <v>Salt - ملح</v>
      </c>
      <c r="C94" s="106" t="str">
        <f t="shared" si="22"/>
        <v>gm</v>
      </c>
      <c r="D94" s="98">
        <f t="shared" si="22"/>
        <v>11</v>
      </c>
      <c r="E94" s="108">
        <f t="shared" si="26"/>
        <v>10</v>
      </c>
      <c r="F94" s="109">
        <f t="shared" si="23"/>
        <v>1</v>
      </c>
      <c r="G94" s="65">
        <f t="shared" si="27"/>
        <v>110</v>
      </c>
      <c r="H94" s="102">
        <f t="shared" si="28"/>
        <v>110</v>
      </c>
    </row>
    <row r="95" spans="1:8" ht="14.25" customHeight="1" x14ac:dyDescent="0.25">
      <c r="B95" s="982" t="s">
        <v>287</v>
      </c>
      <c r="C95" s="180" t="s">
        <v>273</v>
      </c>
      <c r="D95" s="14"/>
      <c r="E95" s="180" t="s">
        <v>288</v>
      </c>
      <c r="F95" s="14"/>
      <c r="G95" s="804" t="s">
        <v>264</v>
      </c>
      <c r="H95" s="804" t="s">
        <v>673</v>
      </c>
    </row>
    <row r="96" spans="1:8" ht="24" customHeight="1" x14ac:dyDescent="0.3">
      <c r="B96" s="983">
        <f>$J$54</f>
        <v>10000</v>
      </c>
      <c r="C96" s="179">
        <f>E96+G96</f>
        <v>0</v>
      </c>
      <c r="D96" s="839"/>
      <c r="E96" s="179">
        <f>$C$54*$S$44</f>
        <v>0</v>
      </c>
      <c r="F96" s="843"/>
      <c r="G96" s="179">
        <f>$C$54*$T$44</f>
        <v>0</v>
      </c>
      <c r="H96" s="179">
        <f>B96+E96</f>
        <v>10000</v>
      </c>
    </row>
    <row r="97" spans="1:8" ht="14.25" customHeight="1" x14ac:dyDescent="0.25"/>
    <row r="98" spans="1:8" ht="14.25" customHeight="1" x14ac:dyDescent="0.25"/>
    <row r="99" spans="1:8" ht="14.25" customHeight="1" x14ac:dyDescent="0.25"/>
    <row r="100" spans="1:8" ht="24.75" customHeight="1" x14ac:dyDescent="0.25">
      <c r="A100" s="1595"/>
      <c r="B100" s="1642" t="str">
        <f>"لحم كبسة دفعة  3  / " &amp; COUNTIF($C$53:$C$56, "&gt;0")</f>
        <v>لحم كبسة دفعة  3  / 3</v>
      </c>
      <c r="C100" s="1643"/>
      <c r="D100" s="1643"/>
      <c r="E100" s="1643"/>
      <c r="F100" s="1643"/>
      <c r="G100" s="1643"/>
      <c r="H100" s="1643"/>
    </row>
    <row r="101" spans="1:8" ht="14.25" customHeight="1" x14ac:dyDescent="0.25">
      <c r="A101" s="1595"/>
      <c r="B101" s="1636" t="str">
        <f>"Kabsah Laham 3 / " &amp; COUNTIF($C$53:$C$56, "&gt;0")</f>
        <v>Kabsah Laham 3 / 3</v>
      </c>
      <c r="C101" s="1637"/>
      <c r="D101" s="1637"/>
      <c r="E101" s="1637"/>
      <c r="F101" s="1637"/>
      <c r="G101" s="1637"/>
      <c r="H101" s="1637"/>
    </row>
    <row r="102" spans="1:8" ht="25.5" x14ac:dyDescent="0.2">
      <c r="A102" s="1589"/>
      <c r="B102" s="549" t="s">
        <v>241</v>
      </c>
      <c r="C102" s="90" t="s">
        <v>242</v>
      </c>
      <c r="D102" s="75" t="s">
        <v>231</v>
      </c>
      <c r="E102" s="224" t="s">
        <v>294</v>
      </c>
      <c r="F102" s="91" t="s">
        <v>243</v>
      </c>
      <c r="G102" s="75" t="s">
        <v>244</v>
      </c>
      <c r="H102" s="92" t="s">
        <v>245</v>
      </c>
    </row>
    <row r="103" spans="1:8" ht="14.25" customHeight="1" x14ac:dyDescent="0.25">
      <c r="A103" s="1594"/>
      <c r="B103" s="981" t="str">
        <f t="shared" ref="B103:D114" si="29">B5</f>
        <v>Indian Meat Alana  - لحم هندى ألانا</v>
      </c>
      <c r="C103" s="106" t="str">
        <f t="shared" si="29"/>
        <v>gm</v>
      </c>
      <c r="D103" s="98">
        <f t="shared" si="29"/>
        <v>2040.8163265306125</v>
      </c>
      <c r="E103" s="108">
        <f>H55</f>
        <v>3.3099999999999987</v>
      </c>
      <c r="F103" s="109">
        <f t="shared" ref="F103:F114" si="30">F5</f>
        <v>1</v>
      </c>
      <c r="G103" s="103">
        <f t="shared" ref="G103:G110" si="31">D103*E103</f>
        <v>6755.1020408163249</v>
      </c>
      <c r="H103" s="102">
        <f t="shared" ref="H103:H110" si="32">G103*F103</f>
        <v>6755.1020408163249</v>
      </c>
    </row>
    <row r="104" spans="1:8" ht="14.25" customHeight="1" x14ac:dyDescent="0.25">
      <c r="A104" s="1594"/>
      <c r="B104" s="981" t="str">
        <f t="shared" si="29"/>
        <v>Black Pepper Whole - فلفل أسود حب</v>
      </c>
      <c r="C104" s="106" t="str">
        <f t="shared" si="29"/>
        <v>gm</v>
      </c>
      <c r="D104" s="98">
        <f t="shared" si="29"/>
        <v>2</v>
      </c>
      <c r="E104" s="108">
        <f t="shared" ref="E104:E114" si="33">$C$55</f>
        <v>3.3099999999999987</v>
      </c>
      <c r="F104" s="109">
        <f t="shared" si="30"/>
        <v>1</v>
      </c>
      <c r="G104" s="103">
        <f t="shared" si="31"/>
        <v>6.6199999999999974</v>
      </c>
      <c r="H104" s="102">
        <f t="shared" si="32"/>
        <v>6.6199999999999974</v>
      </c>
    </row>
    <row r="105" spans="1:8" ht="14.25" customHeight="1" x14ac:dyDescent="0.25">
      <c r="A105" s="1594"/>
      <c r="B105" s="981" t="str">
        <f t="shared" si="29"/>
        <v>Cumin Whole - كمون حب</v>
      </c>
      <c r="C105" s="106" t="str">
        <f t="shared" si="29"/>
        <v>gm</v>
      </c>
      <c r="D105" s="98">
        <f t="shared" si="29"/>
        <v>2</v>
      </c>
      <c r="E105" s="108">
        <f t="shared" si="33"/>
        <v>3.3099999999999987</v>
      </c>
      <c r="F105" s="109">
        <f t="shared" si="30"/>
        <v>0.95</v>
      </c>
      <c r="G105" s="103">
        <f t="shared" si="31"/>
        <v>6.6199999999999974</v>
      </c>
      <c r="H105" s="102">
        <f t="shared" si="32"/>
        <v>6.288999999999997</v>
      </c>
    </row>
    <row r="106" spans="1:8" ht="14.25" customHeight="1" x14ac:dyDescent="0.25">
      <c r="A106" s="1594"/>
      <c r="B106" s="981" t="str">
        <f t="shared" si="29"/>
        <v>Cloves Whole - قرنفل حب</v>
      </c>
      <c r="C106" s="106" t="str">
        <f t="shared" si="29"/>
        <v>gm</v>
      </c>
      <c r="D106" s="98">
        <f t="shared" si="29"/>
        <v>2</v>
      </c>
      <c r="E106" s="108">
        <f t="shared" si="33"/>
        <v>3.3099999999999987</v>
      </c>
      <c r="F106" s="109">
        <f t="shared" si="30"/>
        <v>0.95</v>
      </c>
      <c r="G106" s="103">
        <f t="shared" si="31"/>
        <v>6.6199999999999974</v>
      </c>
      <c r="H106" s="102">
        <f t="shared" si="32"/>
        <v>6.288999999999997</v>
      </c>
    </row>
    <row r="107" spans="1:8" ht="14.25" customHeight="1" x14ac:dyDescent="0.25">
      <c r="A107" s="1594"/>
      <c r="B107" s="981" t="str">
        <f t="shared" si="29"/>
        <v>Cinnamon Whole - قرفة أعواد</v>
      </c>
      <c r="C107" s="106" t="str">
        <f t="shared" si="29"/>
        <v>gm</v>
      </c>
      <c r="D107" s="98">
        <f t="shared" si="29"/>
        <v>2</v>
      </c>
      <c r="E107" s="108">
        <f t="shared" si="33"/>
        <v>3.3099999999999987</v>
      </c>
      <c r="F107" s="109">
        <f t="shared" si="30"/>
        <v>1</v>
      </c>
      <c r="G107" s="103">
        <f t="shared" si="31"/>
        <v>6.6199999999999974</v>
      </c>
      <c r="H107" s="102">
        <f t="shared" si="32"/>
        <v>6.6199999999999974</v>
      </c>
    </row>
    <row r="108" spans="1:8" ht="25.5" customHeight="1" x14ac:dyDescent="0.25">
      <c r="A108" s="1594"/>
      <c r="B108" s="981" t="str">
        <f t="shared" si="29"/>
        <v>Saffron yellow color powder - لون صفار زعفران بودر</v>
      </c>
      <c r="C108" s="106" t="str">
        <f t="shared" si="29"/>
        <v>gm</v>
      </c>
      <c r="D108" s="98">
        <f t="shared" si="29"/>
        <v>5</v>
      </c>
      <c r="E108" s="108">
        <f t="shared" si="33"/>
        <v>3.3099999999999987</v>
      </c>
      <c r="F108" s="109">
        <f t="shared" si="30"/>
        <v>1</v>
      </c>
      <c r="G108" s="103">
        <f t="shared" si="31"/>
        <v>16.549999999999994</v>
      </c>
      <c r="H108" s="102">
        <f t="shared" si="32"/>
        <v>16.549999999999994</v>
      </c>
    </row>
    <row r="109" spans="1:8" ht="14.25" customHeight="1" x14ac:dyDescent="0.25">
      <c r="A109" s="1594"/>
      <c r="B109" s="981" t="str">
        <f t="shared" si="29"/>
        <v>Cumin Powder - كمون مطحون</v>
      </c>
      <c r="C109" s="106" t="str">
        <f t="shared" si="29"/>
        <v>gm</v>
      </c>
      <c r="D109" s="98">
        <f t="shared" si="29"/>
        <v>6</v>
      </c>
      <c r="E109" s="108">
        <f t="shared" si="33"/>
        <v>3.3099999999999987</v>
      </c>
      <c r="F109" s="109">
        <f t="shared" si="30"/>
        <v>1</v>
      </c>
      <c r="G109" s="103">
        <f t="shared" si="31"/>
        <v>19.859999999999992</v>
      </c>
      <c r="H109" s="102">
        <f t="shared" si="32"/>
        <v>19.859999999999992</v>
      </c>
    </row>
    <row r="110" spans="1:8" ht="14.25" customHeight="1" x14ac:dyDescent="0.25">
      <c r="A110" s="1594"/>
      <c r="B110" s="981" t="str">
        <f t="shared" si="29"/>
        <v>Black Pepper Powder - فلفل أسود مطحون</v>
      </c>
      <c r="C110" s="106" t="str">
        <f t="shared" si="29"/>
        <v>gm</v>
      </c>
      <c r="D110" s="98">
        <f t="shared" si="29"/>
        <v>6</v>
      </c>
      <c r="E110" s="108">
        <f t="shared" si="33"/>
        <v>3.3099999999999987</v>
      </c>
      <c r="F110" s="109">
        <f t="shared" si="30"/>
        <v>1</v>
      </c>
      <c r="G110" s="103">
        <f t="shared" si="31"/>
        <v>19.859999999999992</v>
      </c>
      <c r="H110" s="102">
        <f t="shared" si="32"/>
        <v>19.859999999999992</v>
      </c>
    </row>
    <row r="111" spans="1:8" ht="14.25" customHeight="1" x14ac:dyDescent="0.25">
      <c r="A111" s="1594"/>
      <c r="B111" s="981" t="str">
        <f t="shared" si="29"/>
        <v>Butter - زبدة</v>
      </c>
      <c r="C111" s="106" t="str">
        <f t="shared" si="29"/>
        <v>gm</v>
      </c>
      <c r="D111" s="98">
        <f t="shared" si="29"/>
        <v>75</v>
      </c>
      <c r="E111" s="108">
        <f t="shared" si="33"/>
        <v>3.3099999999999987</v>
      </c>
      <c r="F111" s="109">
        <f t="shared" si="30"/>
        <v>1</v>
      </c>
      <c r="G111" s="103">
        <f t="shared" ref="G111:G114" si="34">D111*E111</f>
        <v>248.24999999999991</v>
      </c>
      <c r="H111" s="102">
        <f t="shared" ref="H111:H114" si="35">G111*F111</f>
        <v>248.24999999999991</v>
      </c>
    </row>
    <row r="112" spans="1:8" ht="14.25" customHeight="1" x14ac:dyDescent="0.25">
      <c r="A112" s="1594"/>
      <c r="B112" s="981" t="str">
        <f t="shared" si="29"/>
        <v>Cardamom Whole - هيل حب</v>
      </c>
      <c r="C112" s="106" t="str">
        <f t="shared" si="29"/>
        <v>gm</v>
      </c>
      <c r="D112" s="98">
        <f t="shared" si="29"/>
        <v>6</v>
      </c>
      <c r="E112" s="108">
        <f t="shared" si="33"/>
        <v>3.3099999999999987</v>
      </c>
      <c r="F112" s="109">
        <f t="shared" si="30"/>
        <v>1</v>
      </c>
      <c r="G112" s="103">
        <f t="shared" si="34"/>
        <v>19.859999999999992</v>
      </c>
      <c r="H112" s="102">
        <f t="shared" si="35"/>
        <v>19.859999999999992</v>
      </c>
    </row>
    <row r="113" spans="1:8" ht="20.25" customHeight="1" x14ac:dyDescent="0.25">
      <c r="A113" s="1594"/>
      <c r="B113" s="981" t="str">
        <f t="shared" si="29"/>
        <v>Maggi Cubes - مكعبات ماجي</v>
      </c>
      <c r="C113" s="106" t="str">
        <f t="shared" si="29"/>
        <v>gm</v>
      </c>
      <c r="D113" s="98">
        <f t="shared" si="29"/>
        <v>8</v>
      </c>
      <c r="E113" s="108">
        <f t="shared" si="33"/>
        <v>3.3099999999999987</v>
      </c>
      <c r="F113" s="109">
        <f t="shared" si="30"/>
        <v>1</v>
      </c>
      <c r="G113" s="103">
        <f t="shared" si="34"/>
        <v>26.47999999999999</v>
      </c>
      <c r="H113" s="102">
        <f t="shared" si="35"/>
        <v>26.47999999999999</v>
      </c>
    </row>
    <row r="114" spans="1:8" x14ac:dyDescent="0.25">
      <c r="A114" s="1594"/>
      <c r="B114" s="981" t="str">
        <f t="shared" si="29"/>
        <v>Salt - ملح</v>
      </c>
      <c r="C114" s="106" t="str">
        <f t="shared" si="29"/>
        <v>gm</v>
      </c>
      <c r="D114" s="98">
        <f t="shared" si="29"/>
        <v>11</v>
      </c>
      <c r="E114" s="108">
        <f t="shared" si="33"/>
        <v>3.3099999999999987</v>
      </c>
      <c r="F114" s="109">
        <f t="shared" si="30"/>
        <v>1</v>
      </c>
      <c r="G114" s="103">
        <f t="shared" si="34"/>
        <v>36.409999999999982</v>
      </c>
      <c r="H114" s="102">
        <f t="shared" si="35"/>
        <v>36.409999999999982</v>
      </c>
    </row>
    <row r="115" spans="1:8" ht="18" x14ac:dyDescent="0.25">
      <c r="A115" s="1472"/>
      <c r="B115" s="982" t="s">
        <v>287</v>
      </c>
      <c r="C115" s="180" t="s">
        <v>273</v>
      </c>
      <c r="D115" s="14"/>
      <c r="E115" s="180" t="s">
        <v>288</v>
      </c>
      <c r="F115" s="14"/>
      <c r="G115" s="804" t="s">
        <v>264</v>
      </c>
      <c r="H115" s="804" t="s">
        <v>673</v>
      </c>
    </row>
    <row r="116" spans="1:8" ht="20.25" x14ac:dyDescent="0.3">
      <c r="A116" s="1472"/>
      <c r="B116" s="983">
        <f>$J$55</f>
        <v>3310</v>
      </c>
      <c r="C116" s="179">
        <f>E116+G116</f>
        <v>0</v>
      </c>
      <c r="D116" s="850"/>
      <c r="E116" s="179">
        <f>$C$55*$S$44</f>
        <v>0</v>
      </c>
      <c r="F116" s="850"/>
      <c r="G116" s="179">
        <f>$C$55*$T$44</f>
        <v>0</v>
      </c>
      <c r="H116" s="179">
        <f>B116+E116</f>
        <v>3310</v>
      </c>
    </row>
    <row r="117" spans="1:8" x14ac:dyDescent="0.25">
      <c r="B117" s="278"/>
      <c r="E117" s="194"/>
      <c r="F117" s="194"/>
    </row>
    <row r="118" spans="1:8" ht="18" customHeight="1" x14ac:dyDescent="0.25">
      <c r="B118" s="278"/>
      <c r="E118" s="194"/>
      <c r="F118" s="194"/>
    </row>
    <row r="119" spans="1:8" ht="30" customHeight="1" x14ac:dyDescent="0.25">
      <c r="A119" s="1595"/>
      <c r="B119" s="1642" t="str">
        <f>"لحم كبسة دفعة  4  / " &amp; COUNTIF($C$53:$C$56, "&gt;0")</f>
        <v>لحم كبسة دفعة  4  / 3</v>
      </c>
      <c r="C119" s="1643"/>
      <c r="D119" s="1643"/>
      <c r="E119" s="1643"/>
      <c r="F119" s="1643"/>
      <c r="G119" s="1643"/>
      <c r="H119" s="1643"/>
    </row>
    <row r="120" spans="1:8" x14ac:dyDescent="0.25">
      <c r="A120" s="1595"/>
      <c r="B120" s="1636" t="str">
        <f>"Kabsah Laham 4 / " &amp; COUNTIF($C$53:$C$56, "&gt;0")</f>
        <v>Kabsah Laham 4 / 3</v>
      </c>
      <c r="C120" s="1637"/>
      <c r="D120" s="1637"/>
      <c r="E120" s="1637"/>
      <c r="F120" s="1637"/>
      <c r="G120" s="1637"/>
      <c r="H120" s="1637"/>
    </row>
    <row r="121" spans="1:8" ht="25.5" x14ac:dyDescent="0.2">
      <c r="A121" s="1589"/>
      <c r="B121" s="549" t="s">
        <v>241</v>
      </c>
      <c r="C121" s="90" t="s">
        <v>242</v>
      </c>
      <c r="D121" s="75" t="s">
        <v>231</v>
      </c>
      <c r="E121" s="224" t="s">
        <v>294</v>
      </c>
      <c r="F121" s="91" t="s">
        <v>243</v>
      </c>
      <c r="G121" s="75" t="s">
        <v>244</v>
      </c>
      <c r="H121" s="92" t="s">
        <v>245</v>
      </c>
    </row>
    <row r="122" spans="1:8" ht="14.25" customHeight="1" x14ac:dyDescent="0.25">
      <c r="A122" s="1594"/>
      <c r="B122" s="981" t="str">
        <f t="shared" ref="B122:D130" si="36">B5</f>
        <v>Indian Meat Alana  - لحم هندى ألانا</v>
      </c>
      <c r="C122" s="106" t="str">
        <f t="shared" si="36"/>
        <v>gm</v>
      </c>
      <c r="D122" s="102">
        <f t="shared" si="36"/>
        <v>2040.8163265306125</v>
      </c>
      <c r="E122" s="108">
        <f>H56</f>
        <v>0</v>
      </c>
      <c r="F122" s="109">
        <f t="shared" ref="F122:F133" si="37">F5</f>
        <v>1</v>
      </c>
      <c r="G122" s="101">
        <f t="shared" ref="G122:G129" si="38">D122*E122</f>
        <v>0</v>
      </c>
      <c r="H122" s="102">
        <f t="shared" ref="H122:H129" si="39">G122*F122</f>
        <v>0</v>
      </c>
    </row>
    <row r="123" spans="1:8" ht="14.25" customHeight="1" x14ac:dyDescent="0.25">
      <c r="A123" s="1594"/>
      <c r="B123" s="981" t="str">
        <f t="shared" si="36"/>
        <v>Black Pepper Whole - فلفل أسود حب</v>
      </c>
      <c r="C123" s="106" t="str">
        <f t="shared" si="36"/>
        <v>gm</v>
      </c>
      <c r="D123" s="102">
        <f t="shared" si="36"/>
        <v>2</v>
      </c>
      <c r="E123" s="108">
        <f t="shared" ref="E123:E133" si="40">$C$56</f>
        <v>0</v>
      </c>
      <c r="F123" s="109">
        <f t="shared" si="37"/>
        <v>1</v>
      </c>
      <c r="G123" s="65">
        <f t="shared" si="38"/>
        <v>0</v>
      </c>
      <c r="H123" s="102">
        <f t="shared" si="39"/>
        <v>0</v>
      </c>
    </row>
    <row r="124" spans="1:8" ht="14.25" customHeight="1" x14ac:dyDescent="0.25">
      <c r="A124" s="1594"/>
      <c r="B124" s="981" t="str">
        <f t="shared" si="36"/>
        <v>Cumin Whole - كمون حب</v>
      </c>
      <c r="C124" s="106" t="str">
        <f t="shared" si="36"/>
        <v>gm</v>
      </c>
      <c r="D124" s="102">
        <f t="shared" si="36"/>
        <v>2</v>
      </c>
      <c r="E124" s="108">
        <f t="shared" si="40"/>
        <v>0</v>
      </c>
      <c r="F124" s="109">
        <f t="shared" si="37"/>
        <v>0.95</v>
      </c>
      <c r="G124" s="65">
        <f t="shared" si="38"/>
        <v>0</v>
      </c>
      <c r="H124" s="102">
        <f t="shared" si="39"/>
        <v>0</v>
      </c>
    </row>
    <row r="125" spans="1:8" ht="21" customHeight="1" x14ac:dyDescent="0.25">
      <c r="A125" s="1594"/>
      <c r="B125" s="981" t="str">
        <f t="shared" si="36"/>
        <v>Cloves Whole - قرنفل حب</v>
      </c>
      <c r="C125" s="106" t="str">
        <f t="shared" si="36"/>
        <v>gm</v>
      </c>
      <c r="D125" s="102">
        <f t="shared" si="36"/>
        <v>2</v>
      </c>
      <c r="E125" s="108">
        <f t="shared" si="40"/>
        <v>0</v>
      </c>
      <c r="F125" s="109">
        <f t="shared" si="37"/>
        <v>0.95</v>
      </c>
      <c r="G125" s="65">
        <f t="shared" si="38"/>
        <v>0</v>
      </c>
      <c r="H125" s="102">
        <f t="shared" si="39"/>
        <v>0</v>
      </c>
    </row>
    <row r="126" spans="1:8" ht="14.25" customHeight="1" x14ac:dyDescent="0.25">
      <c r="A126" s="1594"/>
      <c r="B126" s="981" t="str">
        <f t="shared" si="36"/>
        <v>Cinnamon Whole - قرفة أعواد</v>
      </c>
      <c r="C126" s="106" t="str">
        <f t="shared" si="36"/>
        <v>gm</v>
      </c>
      <c r="D126" s="102">
        <f t="shared" si="36"/>
        <v>2</v>
      </c>
      <c r="E126" s="108">
        <f t="shared" si="40"/>
        <v>0</v>
      </c>
      <c r="F126" s="109">
        <f t="shared" si="37"/>
        <v>1</v>
      </c>
      <c r="G126" s="65">
        <f t="shared" si="38"/>
        <v>0</v>
      </c>
      <c r="H126" s="102">
        <f t="shared" si="39"/>
        <v>0</v>
      </c>
    </row>
    <row r="127" spans="1:8" ht="14.25" customHeight="1" x14ac:dyDescent="0.25">
      <c r="A127" s="1594"/>
      <c r="B127" s="981" t="str">
        <f t="shared" si="36"/>
        <v>Saffron yellow color powder - لون صفار زعفران بودر</v>
      </c>
      <c r="C127" s="106" t="str">
        <f t="shared" si="36"/>
        <v>gm</v>
      </c>
      <c r="D127" s="102">
        <f t="shared" si="36"/>
        <v>5</v>
      </c>
      <c r="E127" s="108">
        <f t="shared" si="40"/>
        <v>0</v>
      </c>
      <c r="F127" s="109">
        <f t="shared" si="37"/>
        <v>1</v>
      </c>
      <c r="G127" s="65">
        <f t="shared" si="38"/>
        <v>0</v>
      </c>
      <c r="H127" s="102">
        <f t="shared" si="39"/>
        <v>0</v>
      </c>
    </row>
    <row r="128" spans="1:8" ht="14.25" customHeight="1" x14ac:dyDescent="0.25">
      <c r="A128" s="1594"/>
      <c r="B128" s="981" t="str">
        <f t="shared" si="36"/>
        <v>Cumin Powder - كمون مطحون</v>
      </c>
      <c r="C128" s="106" t="str">
        <f t="shared" si="36"/>
        <v>gm</v>
      </c>
      <c r="D128" s="102">
        <f t="shared" si="36"/>
        <v>6</v>
      </c>
      <c r="E128" s="108">
        <f t="shared" si="40"/>
        <v>0</v>
      </c>
      <c r="F128" s="109">
        <f t="shared" si="37"/>
        <v>1</v>
      </c>
      <c r="G128" s="65">
        <f t="shared" si="38"/>
        <v>0</v>
      </c>
      <c r="H128" s="102">
        <f t="shared" si="39"/>
        <v>0</v>
      </c>
    </row>
    <row r="129" spans="1:8" ht="14.25" customHeight="1" x14ac:dyDescent="0.25">
      <c r="A129" s="1594"/>
      <c r="B129" s="981" t="str">
        <f t="shared" si="36"/>
        <v>Black Pepper Powder - فلفل أسود مطحون</v>
      </c>
      <c r="C129" s="106" t="str">
        <f t="shared" si="36"/>
        <v>gm</v>
      </c>
      <c r="D129" s="102">
        <f t="shared" si="36"/>
        <v>6</v>
      </c>
      <c r="E129" s="108">
        <f t="shared" si="40"/>
        <v>0</v>
      </c>
      <c r="F129" s="109">
        <f t="shared" si="37"/>
        <v>1</v>
      </c>
      <c r="G129" s="65">
        <f t="shared" si="38"/>
        <v>0</v>
      </c>
      <c r="H129" s="102">
        <f t="shared" si="39"/>
        <v>0</v>
      </c>
    </row>
    <row r="130" spans="1:8" ht="14.25" customHeight="1" x14ac:dyDescent="0.25">
      <c r="A130" s="1594"/>
      <c r="B130" s="981" t="str">
        <f t="shared" si="36"/>
        <v>Butter - زبدة</v>
      </c>
      <c r="C130" s="106" t="str">
        <f t="shared" si="36"/>
        <v>gm</v>
      </c>
      <c r="D130" s="102">
        <f t="shared" si="36"/>
        <v>75</v>
      </c>
      <c r="E130" s="108">
        <f t="shared" si="40"/>
        <v>0</v>
      </c>
      <c r="F130" s="109">
        <f t="shared" si="37"/>
        <v>1</v>
      </c>
      <c r="G130" s="65">
        <f t="shared" ref="G130:G133" si="41">D130*E130</f>
        <v>0</v>
      </c>
      <c r="H130" s="102">
        <f t="shared" ref="H130:H133" si="42">G130*F130</f>
        <v>0</v>
      </c>
    </row>
    <row r="131" spans="1:8" ht="14.25" customHeight="1" x14ac:dyDescent="0.25">
      <c r="A131" s="1594"/>
      <c r="B131" s="981" t="str">
        <f t="shared" ref="B131:D131" si="43">B14</f>
        <v>Cardamom Whole - هيل حب</v>
      </c>
      <c r="C131" s="106" t="str">
        <f t="shared" si="43"/>
        <v>gm</v>
      </c>
      <c r="D131" s="102">
        <f t="shared" si="43"/>
        <v>6</v>
      </c>
      <c r="E131" s="108">
        <f t="shared" si="40"/>
        <v>0</v>
      </c>
      <c r="F131" s="109">
        <f t="shared" si="37"/>
        <v>1</v>
      </c>
      <c r="G131" s="65">
        <f t="shared" si="41"/>
        <v>0</v>
      </c>
      <c r="H131" s="102">
        <f t="shared" si="42"/>
        <v>0</v>
      </c>
    </row>
    <row r="132" spans="1:8" ht="14.25" customHeight="1" x14ac:dyDescent="0.25">
      <c r="A132" s="1594"/>
      <c r="B132" s="981" t="str">
        <f t="shared" ref="B132:D132" si="44">B15</f>
        <v>Maggi Cubes - مكعبات ماجي</v>
      </c>
      <c r="C132" s="106" t="str">
        <f t="shared" si="44"/>
        <v>gm</v>
      </c>
      <c r="D132" s="102">
        <f t="shared" si="44"/>
        <v>8</v>
      </c>
      <c r="E132" s="108">
        <f t="shared" si="40"/>
        <v>0</v>
      </c>
      <c r="F132" s="109">
        <f t="shared" si="37"/>
        <v>1</v>
      </c>
      <c r="G132" s="65">
        <f t="shared" si="41"/>
        <v>0</v>
      </c>
      <c r="H132" s="102">
        <f t="shared" si="42"/>
        <v>0</v>
      </c>
    </row>
    <row r="133" spans="1:8" ht="21.75" customHeight="1" x14ac:dyDescent="0.25">
      <c r="A133" s="1594"/>
      <c r="B133" s="981" t="str">
        <f>B16</f>
        <v>Salt - ملح</v>
      </c>
      <c r="C133" s="106" t="str">
        <f>C16</f>
        <v>gm</v>
      </c>
      <c r="D133" s="102">
        <f>D16</f>
        <v>11</v>
      </c>
      <c r="E133" s="108">
        <f t="shared" si="40"/>
        <v>0</v>
      </c>
      <c r="F133" s="109">
        <f t="shared" si="37"/>
        <v>1</v>
      </c>
      <c r="G133" s="65">
        <f t="shared" si="41"/>
        <v>0</v>
      </c>
      <c r="H133" s="102">
        <f t="shared" si="42"/>
        <v>0</v>
      </c>
    </row>
    <row r="134" spans="1:8" ht="14.25" customHeight="1" x14ac:dyDescent="0.25">
      <c r="A134" s="1472"/>
      <c r="B134" s="982" t="s">
        <v>287</v>
      </c>
      <c r="C134" s="180" t="s">
        <v>273</v>
      </c>
      <c r="D134" s="14"/>
      <c r="E134" s="180" t="s">
        <v>288</v>
      </c>
      <c r="F134" s="14"/>
      <c r="G134" s="804" t="s">
        <v>264</v>
      </c>
      <c r="H134" s="804" t="s">
        <v>673</v>
      </c>
    </row>
    <row r="135" spans="1:8" ht="21.75" customHeight="1" x14ac:dyDescent="0.3">
      <c r="A135" s="1472"/>
      <c r="B135" s="983">
        <f>$J$56</f>
        <v>0</v>
      </c>
      <c r="C135" s="179">
        <f>E135+G135</f>
        <v>0</v>
      </c>
      <c r="D135" s="850"/>
      <c r="E135" s="179">
        <f>$C$56*$S$44</f>
        <v>0</v>
      </c>
      <c r="F135" s="850"/>
      <c r="G135" s="179">
        <f>$C$56*$T$44</f>
        <v>0</v>
      </c>
      <c r="H135" s="179">
        <f>B135+E135</f>
        <v>0</v>
      </c>
    </row>
    <row r="136" spans="1:8" ht="14.25" customHeight="1" x14ac:dyDescent="0.25">
      <c r="B136" s="278"/>
      <c r="E136" s="194"/>
      <c r="F136" s="194"/>
    </row>
    <row r="137" spans="1:8" ht="14.25" customHeight="1" x14ac:dyDescent="0.25">
      <c r="B137" s="278"/>
      <c r="E137" s="194"/>
      <c r="F137" s="194"/>
    </row>
    <row r="138" spans="1:8" ht="14.25" customHeight="1" x14ac:dyDescent="0.25">
      <c r="B138" s="278"/>
      <c r="E138" s="194"/>
      <c r="F138" s="194"/>
    </row>
    <row r="139" spans="1:8" ht="14.25" customHeight="1" x14ac:dyDescent="0.25">
      <c r="B139" s="225"/>
    </row>
    <row r="140" spans="1:8" ht="14.25" customHeight="1" x14ac:dyDescent="0.25">
      <c r="B140" s="225"/>
    </row>
    <row r="141" spans="1:8" ht="14.25" customHeight="1" x14ac:dyDescent="0.25"/>
    <row r="142" spans="1:8" ht="20.25" customHeight="1" x14ac:dyDescent="0.25"/>
    <row r="143" spans="1:8" ht="25.5" customHeight="1" x14ac:dyDescent="0.25"/>
    <row r="144" spans="1:8" ht="14.25" customHeight="1" x14ac:dyDescent="0.25"/>
    <row r="145" ht="14.25" customHeight="1" x14ac:dyDescent="0.25"/>
    <row r="146" ht="18" customHeight="1" x14ac:dyDescent="0.25"/>
    <row r="147" ht="18" customHeight="1" x14ac:dyDescent="0.25"/>
    <row r="148" ht="56.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20.25" customHeight="1" x14ac:dyDescent="0.25"/>
    <row r="171" ht="24" customHeight="1" x14ac:dyDescent="0.25"/>
    <row r="172" ht="14.25" customHeight="1" x14ac:dyDescent="0.25"/>
    <row r="173" ht="14.25" customHeight="1" x14ac:dyDescent="0.25"/>
    <row r="174" ht="14.25" customHeight="1" x14ac:dyDescent="0.25"/>
    <row r="175" ht="18" customHeight="1" x14ac:dyDescent="0.25"/>
    <row r="176" ht="18" customHeight="1" x14ac:dyDescent="0.25"/>
  </sheetData>
  <mergeCells count="12">
    <mergeCell ref="B100:H100"/>
    <mergeCell ref="B120:H120"/>
    <mergeCell ref="B80:H80"/>
    <mergeCell ref="B2:H3"/>
    <mergeCell ref="R26:U26"/>
    <mergeCell ref="B81:H81"/>
    <mergeCell ref="R25:U25"/>
    <mergeCell ref="B63:H63"/>
    <mergeCell ref="B119:H119"/>
    <mergeCell ref="B35:F35"/>
    <mergeCell ref="B101:H101"/>
    <mergeCell ref="B62:H62"/>
  </mergeCells>
  <printOptions horizontalCentered="1"/>
  <pageMargins left="0.5" right="0.5" top="1" bottom="0.5" header="0.3" footer="0.511811023622047"/>
  <pageSetup paperSize="9" scale="2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B050"/>
    <pageSetUpPr fitToPage="1"/>
  </sheetPr>
  <dimension ref="A1:AT86"/>
  <sheetViews>
    <sheetView topLeftCell="Q4" zoomScale="83" zoomScaleNormal="55" workbookViewId="0">
      <selection activeCell="M17" sqref="M17"/>
    </sheetView>
  </sheetViews>
  <sheetFormatPr defaultColWidth="12.5" defaultRowHeight="15" x14ac:dyDescent="0.25"/>
  <cols>
    <col min="1" max="1" width="12.5" style="62"/>
    <col min="2" max="2" width="33.875" customWidth="1"/>
    <col min="3" max="3" width="23.875" customWidth="1"/>
    <col min="4" max="4" width="23.125" customWidth="1"/>
    <col min="5" max="5" width="16.125" customWidth="1"/>
    <col min="6" max="6" width="27" customWidth="1"/>
    <col min="7" max="7" width="25.125" customWidth="1"/>
    <col min="8" max="8" width="36.125" customWidth="1"/>
    <col min="9" max="9" width="15.125" customWidth="1"/>
    <col min="10" max="10" width="15.625" customWidth="1"/>
    <col min="12" max="12" width="8.375" customWidth="1"/>
    <col min="13" max="14" width="5.125" customWidth="1"/>
    <col min="18" max="18" width="46.5" customWidth="1"/>
    <col min="28" max="28" width="13.125" bestFit="1" customWidth="1"/>
    <col min="29" max="29" width="11" bestFit="1" customWidth="1"/>
    <col min="30" max="30" width="13.125" bestFit="1" customWidth="1"/>
    <col min="31" max="31" width="11.75" customWidth="1"/>
    <col min="32" max="32" width="8.625" bestFit="1" customWidth="1"/>
    <col min="33" max="34" width="4.125" customWidth="1"/>
    <col min="36" max="36" width="29.875" customWidth="1"/>
    <col min="42" max="42" width="19.625" customWidth="1"/>
  </cols>
  <sheetData>
    <row r="1" spans="1:46" s="114" customFormat="1" ht="35.25" customHeight="1" x14ac:dyDescent="0.25">
      <c r="A1" s="1259"/>
      <c r="B1" s="64" t="s">
        <v>231</v>
      </c>
      <c r="C1" s="65">
        <v>1000</v>
      </c>
      <c r="D1" s="66" t="s">
        <v>232</v>
      </c>
      <c r="E1" s="99">
        <f>T32</f>
        <v>8103.333333333333</v>
      </c>
      <c r="F1" s="64" t="s">
        <v>233</v>
      </c>
      <c r="G1" s="103">
        <f>E1/C1</f>
        <v>8.1033333333333335</v>
      </c>
      <c r="H1" s="64" t="s">
        <v>234</v>
      </c>
      <c r="I1" s="227">
        <f>(G1/K1)</f>
        <v>8.1033333333333335</v>
      </c>
      <c r="J1" s="70" t="s">
        <v>235</v>
      </c>
      <c r="K1" s="65">
        <v>1</v>
      </c>
      <c r="L1" s="76"/>
      <c r="M1" s="73"/>
      <c r="N1" s="74"/>
      <c r="O1" s="75" t="s">
        <v>236</v>
      </c>
      <c r="P1" s="76" t="s">
        <v>299</v>
      </c>
      <c r="Q1" s="77" t="s">
        <v>238</v>
      </c>
      <c r="R1" s="76">
        <v>0.54</v>
      </c>
      <c r="Y1" s="75" t="s">
        <v>453</v>
      </c>
      <c r="Z1" s="766">
        <v>23310</v>
      </c>
      <c r="AA1" s="75" t="s">
        <v>556</v>
      </c>
      <c r="AB1" s="766">
        <v>1000</v>
      </c>
      <c r="AC1" s="75" t="s">
        <v>546</v>
      </c>
      <c r="AD1" s="766">
        <v>155</v>
      </c>
      <c r="AE1" s="228"/>
      <c r="AF1" s="230"/>
      <c r="AG1" s="76"/>
      <c r="AI1" s="1"/>
      <c r="AJ1" s="78" t="s">
        <v>250</v>
      </c>
      <c r="AK1" s="78">
        <v>10000</v>
      </c>
      <c r="AL1" s="561" t="s">
        <v>503</v>
      </c>
      <c r="AM1" s="562">
        <f>$S$32</f>
        <v>24310</v>
      </c>
      <c r="AN1" s="78" t="s">
        <v>239</v>
      </c>
      <c r="AO1" s="305">
        <f>(($S$32)/$R$1)/$AK$1</f>
        <v>4.5018518518518515</v>
      </c>
      <c r="AP1" s="79"/>
    </row>
    <row r="2" spans="1:46" ht="15.75" customHeight="1" x14ac:dyDescent="0.25">
      <c r="A2" s="1479"/>
      <c r="B2" s="82"/>
      <c r="C2" s="82"/>
      <c r="D2" s="82"/>
      <c r="E2" s="82"/>
      <c r="F2" s="1632" t="s">
        <v>22</v>
      </c>
      <c r="G2" s="82"/>
      <c r="H2" s="82"/>
      <c r="I2" s="82"/>
      <c r="J2" s="82"/>
      <c r="K2" s="82"/>
      <c r="L2" s="82"/>
      <c r="M2" s="84"/>
      <c r="N2" s="84"/>
      <c r="O2" s="84"/>
      <c r="P2" s="84"/>
      <c r="Q2" s="84"/>
      <c r="R2" s="84"/>
      <c r="AC2" s="83"/>
      <c r="AD2" s="83"/>
      <c r="AE2" s="1652"/>
      <c r="AF2" s="1653"/>
      <c r="AG2" s="1653"/>
      <c r="AI2" s="1"/>
      <c r="AJ2" s="85"/>
      <c r="AK2" s="1631" t="s">
        <v>302</v>
      </c>
      <c r="AL2" s="1631"/>
      <c r="AM2" s="1631"/>
      <c r="AN2" s="86"/>
      <c r="AO2" s="85"/>
      <c r="AP2" s="85"/>
    </row>
    <row r="3" spans="1:46" ht="15.75" customHeight="1" x14ac:dyDescent="0.25">
      <c r="A3" s="1479"/>
      <c r="B3" s="87"/>
      <c r="C3" s="87"/>
      <c r="D3" s="87"/>
      <c r="E3" s="87"/>
      <c r="F3" s="1633"/>
      <c r="G3" s="87"/>
      <c r="H3" s="87"/>
      <c r="I3" s="87"/>
      <c r="J3" s="87"/>
      <c r="K3" s="87"/>
      <c r="L3" s="87"/>
      <c r="M3" s="84"/>
      <c r="N3" s="84"/>
      <c r="O3" s="84"/>
      <c r="P3" s="84"/>
      <c r="Q3" s="84"/>
      <c r="R3" s="84"/>
      <c r="AC3" s="83"/>
      <c r="AD3" s="83"/>
      <c r="AE3" s="1653"/>
      <c r="AF3" s="1653"/>
      <c r="AG3" s="1653"/>
      <c r="AI3" s="1"/>
      <c r="AJ3" s="88"/>
      <c r="AK3" s="88"/>
      <c r="AL3" s="89"/>
      <c r="AM3" s="89"/>
      <c r="AN3" s="89"/>
      <c r="AO3" s="88"/>
      <c r="AP3" s="88"/>
    </row>
    <row r="4" spans="1:46" ht="69" customHeight="1" x14ac:dyDescent="0.25">
      <c r="A4" s="1589" t="s">
        <v>903</v>
      </c>
      <c r="B4" s="75" t="s">
        <v>241</v>
      </c>
      <c r="C4" s="90" t="s">
        <v>242</v>
      </c>
      <c r="D4" s="75" t="s">
        <v>231</v>
      </c>
      <c r="E4" s="91" t="s">
        <v>234</v>
      </c>
      <c r="F4" s="91" t="s">
        <v>243</v>
      </c>
      <c r="G4" s="75" t="s">
        <v>244</v>
      </c>
      <c r="H4" s="92" t="s">
        <v>245</v>
      </c>
      <c r="I4" s="75" t="s">
        <v>246</v>
      </c>
      <c r="J4" s="75" t="s">
        <v>247</v>
      </c>
      <c r="K4" s="75" t="s">
        <v>248</v>
      </c>
      <c r="L4" s="75" t="s">
        <v>249</v>
      </c>
      <c r="P4" s="84"/>
      <c r="AA4" s="229"/>
      <c r="AB4" s="231"/>
      <c r="AC4" s="229"/>
      <c r="AD4" s="229"/>
      <c r="AE4" s="229"/>
      <c r="AI4" s="1"/>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244" t="s">
        <v>225</v>
      </c>
      <c r="C5" s="106" t="s">
        <v>14</v>
      </c>
      <c r="D5" s="103">
        <f>I51/10</f>
        <v>6172.9629629629626</v>
      </c>
      <c r="E5" s="245">
        <f>H52</f>
        <v>7.2928541429171423</v>
      </c>
      <c r="F5" s="100">
        <v>1</v>
      </c>
      <c r="G5" s="103">
        <f t="shared" ref="G5:G11" si="0">D5*E5</f>
        <v>45018.518518518518</v>
      </c>
      <c r="H5" s="102">
        <f t="shared" ref="H5:H11" si="1">G5*F5</f>
        <v>45018.518518518518</v>
      </c>
      <c r="I5" s="65">
        <f>VLOOKUP(B5,All_Ingredients!$A$1:$F$156,6,FALSE())</f>
        <v>0.47</v>
      </c>
      <c r="J5" s="101">
        <f>VLOOKUP(B5,All_Ingredients!$A$1:$J$156,10,FALSE())</f>
        <v>12</v>
      </c>
      <c r="K5" s="104">
        <f t="shared" ref="K5" si="2">(H5/I5)/1000</f>
        <v>95.784081954294734</v>
      </c>
      <c r="L5" s="104">
        <f t="shared" ref="L5" si="3">K5*J5</f>
        <v>1149.4089834515369</v>
      </c>
      <c r="M5" s="84"/>
      <c r="N5" s="84"/>
      <c r="O5" s="84"/>
      <c r="P5" s="84"/>
      <c r="AA5" s="76"/>
      <c r="AB5" s="114"/>
      <c r="AC5" s="232"/>
      <c r="AD5" s="116"/>
      <c r="AE5" s="117"/>
      <c r="AI5" s="1"/>
      <c r="AJ5" s="246" t="s">
        <v>225</v>
      </c>
      <c r="AK5" s="106" t="s">
        <v>227</v>
      </c>
      <c r="AL5" s="106">
        <v>10</v>
      </c>
      <c r="AM5" s="69">
        <f>$AO$1</f>
        <v>4.5018518518518515</v>
      </c>
      <c r="AN5" s="109">
        <v>1</v>
      </c>
      <c r="AO5" s="101">
        <f>AL5*AM5</f>
        <v>45.018518518518519</v>
      </c>
      <c r="AP5" s="102">
        <f>AN5*AO5</f>
        <v>45.018518518518519</v>
      </c>
      <c r="AQ5" s="272"/>
      <c r="AR5" s="1017"/>
      <c r="AS5" s="156"/>
      <c r="AT5" s="1018"/>
    </row>
    <row r="6" spans="1:46" ht="14.25" customHeight="1" x14ac:dyDescent="0.25">
      <c r="A6" s="1455" t="s">
        <v>907</v>
      </c>
      <c r="B6" s="244" t="s">
        <v>727</v>
      </c>
      <c r="C6" s="106" t="s">
        <v>14</v>
      </c>
      <c r="D6" s="107">
        <v>60</v>
      </c>
      <c r="E6" s="201">
        <f t="shared" ref="E6:E11" si="4">$I$1</f>
        <v>8.1033333333333335</v>
      </c>
      <c r="F6" s="109">
        <v>0.95</v>
      </c>
      <c r="G6" s="103">
        <f t="shared" si="0"/>
        <v>486.2</v>
      </c>
      <c r="H6" s="102">
        <f t="shared" si="1"/>
        <v>461.89</v>
      </c>
      <c r="I6" s="65">
        <f>VLOOKUP(B6,All_Ingredients!$A$1:$F$156,6,FALSE())</f>
        <v>1</v>
      </c>
      <c r="J6" s="101">
        <f>VLOOKUP(B6,All_Ingredients!$A$1:$J$156,10,FALSE())</f>
        <v>10.5</v>
      </c>
      <c r="K6" s="104">
        <f t="shared" ref="K6:K11" si="5">(H6/I6)/1000</f>
        <v>0.46188999999999997</v>
      </c>
      <c r="L6" s="104">
        <f t="shared" ref="L6:L11" si="6">K6*J6</f>
        <v>4.8498449999999993</v>
      </c>
      <c r="AB6" s="114"/>
      <c r="AC6" s="114"/>
      <c r="AD6" s="116"/>
      <c r="AE6" s="117"/>
      <c r="AI6" s="1" t="s">
        <v>55</v>
      </c>
      <c r="AJ6" s="246" t="s">
        <v>54</v>
      </c>
      <c r="AK6" s="106" t="s">
        <v>14</v>
      </c>
      <c r="AL6" s="106">
        <v>200</v>
      </c>
      <c r="AM6" s="69">
        <f t="shared" ref="AM6:AM13" si="7">$AO$1</f>
        <v>4.5018518518518515</v>
      </c>
      <c r="AN6" s="109">
        <v>1</v>
      </c>
      <c r="AO6" s="101">
        <f t="shared" ref="AO6:AO13" si="8">AL6*AM6</f>
        <v>900.37037037037032</v>
      </c>
      <c r="AP6" s="102">
        <f t="shared" ref="AP6:AP13" si="9">AN6*AO6</f>
        <v>900.37037037037032</v>
      </c>
      <c r="AQ6" s="1018">
        <f>VLOOKUP(AJ6,Marination_Ordering!$A:$J,6,FALSE)</f>
        <v>0.87</v>
      </c>
      <c r="AR6" s="1018">
        <f>VLOOKUP(AJ6,Marination_Ordering!$A:$J,10,FALSE)</f>
        <v>7</v>
      </c>
      <c r="AS6" s="156">
        <f>AP6/AQ6</f>
        <v>1034.9084716900809</v>
      </c>
      <c r="AT6" s="1018">
        <f>AR6*(AS6/1000)</f>
        <v>7.244359301830567</v>
      </c>
    </row>
    <row r="7" spans="1:46" ht="14.25" customHeight="1" x14ac:dyDescent="0.25">
      <c r="A7" s="1455"/>
      <c r="B7" s="248" t="s">
        <v>209</v>
      </c>
      <c r="C7" s="106" t="s">
        <v>160</v>
      </c>
      <c r="D7" s="107">
        <v>10</v>
      </c>
      <c r="E7" s="201">
        <f t="shared" si="4"/>
        <v>8.1033333333333335</v>
      </c>
      <c r="F7" s="109">
        <f>F6</f>
        <v>0.95</v>
      </c>
      <c r="G7" s="103">
        <f t="shared" si="0"/>
        <v>81.033333333333331</v>
      </c>
      <c r="H7" s="102">
        <f t="shared" si="1"/>
        <v>76.981666666666655</v>
      </c>
      <c r="I7" s="65">
        <f>VLOOKUP(B7,All_Ingredients!$A$1:$F$156,6,FALSE())</f>
        <v>1</v>
      </c>
      <c r="J7" s="101">
        <f>VLOOKUP(B7,All_Ingredients!$A$1:$J$156,10,FALSE())</f>
        <v>28.406666666666666</v>
      </c>
      <c r="K7" s="104">
        <f t="shared" si="5"/>
        <v>7.6981666666666657E-2</v>
      </c>
      <c r="L7" s="104">
        <f t="shared" si="6"/>
        <v>2.1867925444444443</v>
      </c>
      <c r="AB7" s="114"/>
      <c r="AC7" s="114"/>
      <c r="AD7" s="116"/>
      <c r="AE7" s="117"/>
      <c r="AI7" s="1" t="s">
        <v>13</v>
      </c>
      <c r="AJ7" s="249" t="s">
        <v>727</v>
      </c>
      <c r="AK7" s="106" t="s">
        <v>14</v>
      </c>
      <c r="AL7" s="106">
        <v>150</v>
      </c>
      <c r="AM7" s="69">
        <f t="shared" si="7"/>
        <v>4.5018518518518515</v>
      </c>
      <c r="AN7" s="109">
        <v>1</v>
      </c>
      <c r="AO7" s="101">
        <f t="shared" si="8"/>
        <v>675.27777777777771</v>
      </c>
      <c r="AP7" s="102">
        <f t="shared" si="9"/>
        <v>675.27777777777771</v>
      </c>
      <c r="AQ7" s="1018">
        <f>VLOOKUP(AJ7,Marination_Ordering!$A:$J,6,FALSE)</f>
        <v>1</v>
      </c>
      <c r="AR7" s="1018">
        <f>VLOOKUP(AJ7,Marination_Ordering!$A:$J,10,FALSE)</f>
        <v>10.5</v>
      </c>
      <c r="AS7" s="156">
        <f t="shared" ref="AS7:AS13" si="10">AP7/AQ7</f>
        <v>675.27777777777771</v>
      </c>
      <c r="AT7" s="1018">
        <f t="shared" ref="AT7:AT13" si="11">AR7*(AS7/1000)</f>
        <v>7.0904166666666661</v>
      </c>
    </row>
    <row r="8" spans="1:46" ht="14.25" customHeight="1" x14ac:dyDescent="0.25">
      <c r="A8" s="1455"/>
      <c r="B8" s="244" t="s">
        <v>174</v>
      </c>
      <c r="C8" s="106" t="s">
        <v>160</v>
      </c>
      <c r="D8" s="107">
        <v>1200</v>
      </c>
      <c r="E8" s="201">
        <f t="shared" si="4"/>
        <v>8.1033333333333335</v>
      </c>
      <c r="F8" s="109">
        <f>F7</f>
        <v>0.95</v>
      </c>
      <c r="G8" s="103">
        <f t="shared" si="0"/>
        <v>9724</v>
      </c>
      <c r="H8" s="102">
        <f t="shared" si="1"/>
        <v>9237.7999999999993</v>
      </c>
      <c r="I8" s="65">
        <f>VLOOKUP(B8,All_Ingredients!$A$1:$F$156,6,FALSE())</f>
        <v>1</v>
      </c>
      <c r="J8" s="101">
        <f>VLOOKUP(B8,All_Ingredients!$A$1:$J$156,10,FALSE())</f>
        <v>9.8958333333333339</v>
      </c>
      <c r="K8" s="104">
        <f t="shared" si="5"/>
        <v>9.2378</v>
      </c>
      <c r="L8" s="104">
        <f t="shared" si="6"/>
        <v>91.415729166666665</v>
      </c>
      <c r="AB8" s="114"/>
      <c r="AC8" s="114"/>
      <c r="AD8" s="116"/>
      <c r="AE8" s="117"/>
      <c r="AI8" s="1" t="s">
        <v>204</v>
      </c>
      <c r="AJ8" s="246" t="s">
        <v>212</v>
      </c>
      <c r="AK8" s="106" t="s">
        <v>160</v>
      </c>
      <c r="AL8" s="106">
        <v>450</v>
      </c>
      <c r="AM8" s="69">
        <f t="shared" si="7"/>
        <v>4.5018518518518515</v>
      </c>
      <c r="AN8" s="109">
        <v>1</v>
      </c>
      <c r="AO8" s="101">
        <f t="shared" si="8"/>
        <v>2025.8333333333333</v>
      </c>
      <c r="AP8" s="102">
        <f t="shared" si="9"/>
        <v>2025.8333333333333</v>
      </c>
      <c r="AQ8" s="1018">
        <f>VLOOKUP(AJ8,Marination_Ordering!$A:$J,6,FALSE)</f>
        <v>1</v>
      </c>
      <c r="AR8" s="1018">
        <f>VLOOKUP(AJ8,Marination_Ordering!$A:$J,10,FALSE)</f>
        <v>5</v>
      </c>
      <c r="AS8" s="156">
        <f t="shared" si="10"/>
        <v>2025.8333333333333</v>
      </c>
      <c r="AT8" s="1018">
        <f t="shared" si="11"/>
        <v>10.129166666666666</v>
      </c>
    </row>
    <row r="9" spans="1:46" ht="14.25" customHeight="1" x14ac:dyDescent="0.25">
      <c r="A9" s="1455"/>
      <c r="B9" s="244" t="s">
        <v>101</v>
      </c>
      <c r="C9" s="106" t="s">
        <v>14</v>
      </c>
      <c r="D9" s="107">
        <v>3</v>
      </c>
      <c r="E9" s="201">
        <f t="shared" si="4"/>
        <v>8.1033333333333335</v>
      </c>
      <c r="F9" s="109">
        <f>F8</f>
        <v>0.95</v>
      </c>
      <c r="G9" s="103">
        <f t="shared" si="0"/>
        <v>24.310000000000002</v>
      </c>
      <c r="H9" s="102">
        <f t="shared" si="1"/>
        <v>23.0945</v>
      </c>
      <c r="I9" s="65">
        <f>VLOOKUP(B9,All_Ingredients!$A$1:$F$156,6,FALSE())</f>
        <v>1</v>
      </c>
      <c r="J9" s="101">
        <f>VLOOKUP(B9,All_Ingredients!$A$1:$J$156,10,FALSE())</f>
        <v>47</v>
      </c>
      <c r="K9" s="104">
        <f t="shared" si="5"/>
        <v>2.30945E-2</v>
      </c>
      <c r="L9" s="104">
        <f t="shared" si="6"/>
        <v>1.0854414999999999</v>
      </c>
      <c r="AB9" s="114"/>
      <c r="AC9" s="114"/>
      <c r="AD9" s="116"/>
      <c r="AE9" s="117"/>
      <c r="AI9" s="1" t="s">
        <v>204</v>
      </c>
      <c r="AJ9" s="246" t="s">
        <v>208</v>
      </c>
      <c r="AK9" s="106" t="s">
        <v>160</v>
      </c>
      <c r="AL9" s="106">
        <v>100</v>
      </c>
      <c r="AM9" s="69">
        <f t="shared" si="7"/>
        <v>4.5018518518518515</v>
      </c>
      <c r="AN9" s="109">
        <v>1</v>
      </c>
      <c r="AO9" s="101">
        <f t="shared" si="8"/>
        <v>450.18518518518516</v>
      </c>
      <c r="AP9" s="102">
        <f t="shared" si="9"/>
        <v>450.18518518518516</v>
      </c>
      <c r="AQ9" s="1018">
        <f>VLOOKUP(AJ9,Marination_Ordering!$A:$J,6,FALSE)</f>
        <v>1</v>
      </c>
      <c r="AR9" s="1018">
        <f>VLOOKUP(AJ9,Marination_Ordering!$A:$J,10,FALSE)</f>
        <v>2.1621621621621623</v>
      </c>
      <c r="AS9" s="156">
        <f t="shared" si="10"/>
        <v>450.18518518518516</v>
      </c>
      <c r="AT9" s="1018">
        <f t="shared" si="11"/>
        <v>0.97337337337337348</v>
      </c>
    </row>
    <row r="10" spans="1:46" ht="14.25" customHeight="1" x14ac:dyDescent="0.25">
      <c r="A10" s="1455"/>
      <c r="B10" s="244" t="s">
        <v>93</v>
      </c>
      <c r="C10" s="106" t="s">
        <v>14</v>
      </c>
      <c r="D10" s="107">
        <v>11</v>
      </c>
      <c r="E10" s="201">
        <f t="shared" si="4"/>
        <v>8.1033333333333335</v>
      </c>
      <c r="F10" s="109">
        <f>F9</f>
        <v>0.95</v>
      </c>
      <c r="G10" s="103">
        <f t="shared" si="0"/>
        <v>89.13666666666667</v>
      </c>
      <c r="H10" s="102">
        <f t="shared" si="1"/>
        <v>84.679833333333335</v>
      </c>
      <c r="I10" s="65">
        <f>VLOOKUP(B10,All_Ingredients!$A$1:$F$156,6,FALSE())</f>
        <v>1</v>
      </c>
      <c r="J10" s="101">
        <f>VLOOKUP(B10,All_Ingredients!$A$1:$J$156,10,FALSE())</f>
        <v>0.74</v>
      </c>
      <c r="K10" s="104">
        <f t="shared" si="5"/>
        <v>8.4679833333333329E-2</v>
      </c>
      <c r="L10" s="104">
        <f t="shared" si="6"/>
        <v>6.2663076666666664E-2</v>
      </c>
      <c r="AB10" s="114"/>
      <c r="AC10" s="114"/>
      <c r="AD10" s="116"/>
      <c r="AE10" s="117"/>
      <c r="AI10" s="1" t="s">
        <v>94</v>
      </c>
      <c r="AJ10" s="246" t="s">
        <v>93</v>
      </c>
      <c r="AK10" s="106" t="s">
        <v>14</v>
      </c>
      <c r="AL10" s="106">
        <v>2</v>
      </c>
      <c r="AM10" s="69">
        <f t="shared" si="7"/>
        <v>4.5018518518518515</v>
      </c>
      <c r="AN10" s="109">
        <v>1</v>
      </c>
      <c r="AO10" s="101">
        <f t="shared" si="8"/>
        <v>9.0037037037037031</v>
      </c>
      <c r="AP10" s="102">
        <f t="shared" si="9"/>
        <v>9.0037037037037031</v>
      </c>
      <c r="AQ10" s="1018">
        <f>VLOOKUP(AJ10,Marination_Ordering!$A:$J,6,FALSE)</f>
        <v>1</v>
      </c>
      <c r="AR10" s="1018">
        <f>VLOOKUP(AJ10,Marination_Ordering!$A:$J,10,FALSE)</f>
        <v>0.74</v>
      </c>
      <c r="AS10" s="156">
        <f t="shared" si="10"/>
        <v>9.0037037037037031</v>
      </c>
      <c r="AT10" s="1018">
        <f t="shared" si="11"/>
        <v>6.6627407407407399E-3</v>
      </c>
    </row>
    <row r="11" spans="1:46" x14ac:dyDescent="0.25">
      <c r="A11" s="1455"/>
      <c r="B11" s="244" t="s">
        <v>187</v>
      </c>
      <c r="C11" s="106" t="s">
        <v>14</v>
      </c>
      <c r="D11" s="107">
        <v>80</v>
      </c>
      <c r="E11" s="201">
        <f t="shared" si="4"/>
        <v>8.1033333333333335</v>
      </c>
      <c r="F11" s="109">
        <v>1</v>
      </c>
      <c r="G11" s="103">
        <f t="shared" si="0"/>
        <v>648.26666666666665</v>
      </c>
      <c r="H11" s="102">
        <f t="shared" si="1"/>
        <v>648.26666666666665</v>
      </c>
      <c r="I11" s="65">
        <f>VLOOKUP(B11,All_Ingredients!$A$1:$F$156,6,FALSE())</f>
        <v>0.9</v>
      </c>
      <c r="J11" s="101">
        <f>VLOOKUP(B11,All_Ingredients!$A$1:$J$156,10,FALSE())</f>
        <v>2.3199999999999998</v>
      </c>
      <c r="K11" s="104">
        <f t="shared" si="5"/>
        <v>0.72029629629629632</v>
      </c>
      <c r="L11" s="104">
        <f t="shared" si="6"/>
        <v>1.6710874074074074</v>
      </c>
      <c r="AB11" s="114"/>
      <c r="AC11" s="114"/>
      <c r="AD11" s="116"/>
      <c r="AE11" s="117"/>
      <c r="AI11" s="1" t="s">
        <v>94</v>
      </c>
      <c r="AJ11" s="246" t="s">
        <v>99</v>
      </c>
      <c r="AK11" s="106" t="s">
        <v>14</v>
      </c>
      <c r="AL11" s="106">
        <v>4</v>
      </c>
      <c r="AM11" s="69">
        <f t="shared" si="7"/>
        <v>4.5018518518518515</v>
      </c>
      <c r="AN11" s="109">
        <v>1</v>
      </c>
      <c r="AO11" s="101">
        <f t="shared" si="8"/>
        <v>18.007407407407406</v>
      </c>
      <c r="AP11" s="102">
        <f t="shared" si="9"/>
        <v>18.007407407407406</v>
      </c>
      <c r="AQ11" s="1018">
        <f>VLOOKUP(AJ11,Marination_Ordering!$A:$J,6,FALSE)</f>
        <v>1</v>
      </c>
      <c r="AR11" s="1018">
        <f>VLOOKUP(AJ11,Marination_Ordering!$A:$J,10,FALSE)</f>
        <v>31</v>
      </c>
      <c r="AS11" s="156">
        <f t="shared" si="10"/>
        <v>18.007407407407406</v>
      </c>
      <c r="AT11" s="1018">
        <f t="shared" si="11"/>
        <v>0.55822962962962963</v>
      </c>
    </row>
    <row r="12" spans="1:46" ht="14.25" customHeight="1" x14ac:dyDescent="0.25">
      <c r="B12" s="84"/>
      <c r="E12" s="84"/>
      <c r="F12" s="84"/>
      <c r="L12" s="189"/>
      <c r="AD12" s="114"/>
      <c r="AE12" s="114"/>
      <c r="AF12" s="116"/>
      <c r="AG12" s="117"/>
      <c r="AI12" s="1" t="s">
        <v>94</v>
      </c>
      <c r="AJ12" s="246" t="s">
        <v>105</v>
      </c>
      <c r="AK12" s="106" t="s">
        <v>14</v>
      </c>
      <c r="AL12" s="106">
        <v>35</v>
      </c>
      <c r="AM12" s="69">
        <f t="shared" si="7"/>
        <v>4.5018518518518515</v>
      </c>
      <c r="AN12" s="109">
        <v>1</v>
      </c>
      <c r="AO12" s="101">
        <f t="shared" si="8"/>
        <v>157.56481481481481</v>
      </c>
      <c r="AP12" s="102">
        <f t="shared" si="9"/>
        <v>157.56481481481481</v>
      </c>
      <c r="AQ12" s="1018">
        <f>VLOOKUP(AJ12,Marination_Ordering!$A:$J,6,FALSE)</f>
        <v>1</v>
      </c>
      <c r="AR12" s="1018">
        <f>VLOOKUP(AJ12,Marination_Ordering!$A:$J,10,FALSE)</f>
        <v>15</v>
      </c>
      <c r="AS12" s="156">
        <f t="shared" si="10"/>
        <v>157.56481481481481</v>
      </c>
      <c r="AT12" s="1018">
        <f t="shared" si="11"/>
        <v>2.3634722222222218</v>
      </c>
    </row>
    <row r="13" spans="1:46" ht="14.25" customHeight="1" x14ac:dyDescent="0.25">
      <c r="B13" s="84"/>
      <c r="E13" s="84"/>
      <c r="F13" s="84"/>
      <c r="L13" s="189"/>
      <c r="AD13" s="114"/>
      <c r="AE13" s="114"/>
      <c r="AF13" s="116"/>
      <c r="AG13" s="117"/>
      <c r="AI13" s="1" t="s">
        <v>190</v>
      </c>
      <c r="AJ13" s="246" t="s">
        <v>202</v>
      </c>
      <c r="AK13" s="106" t="s">
        <v>14</v>
      </c>
      <c r="AL13" s="106">
        <v>250</v>
      </c>
      <c r="AM13" s="69">
        <f t="shared" si="7"/>
        <v>4.5018518518518515</v>
      </c>
      <c r="AN13" s="109">
        <v>1</v>
      </c>
      <c r="AO13" s="101">
        <f t="shared" si="8"/>
        <v>1125.4629629629628</v>
      </c>
      <c r="AP13" s="102">
        <f t="shared" si="9"/>
        <v>1125.4629629629628</v>
      </c>
      <c r="AQ13" s="1018">
        <f>VLOOKUP(AJ13,Marination_Ordering!$A:$J,6,FALSE)</f>
        <v>1</v>
      </c>
      <c r="AR13" s="1018">
        <f>VLOOKUP(AJ13,Marination_Ordering!$A:$J,10,FALSE)</f>
        <v>11.243386243386244</v>
      </c>
      <c r="AS13" s="156">
        <f t="shared" si="10"/>
        <v>1125.4629629629628</v>
      </c>
      <c r="AT13" s="1018">
        <f t="shared" si="11"/>
        <v>12.654014795218499</v>
      </c>
    </row>
    <row r="14" spans="1:46" ht="14.25" customHeight="1" x14ac:dyDescent="0.25">
      <c r="L14" s="189"/>
    </row>
    <row r="15" spans="1:46" ht="14.25" customHeight="1" x14ac:dyDescent="0.25">
      <c r="L15" s="189"/>
    </row>
    <row r="16" spans="1:46" ht="48" customHeight="1" x14ac:dyDescent="0.25">
      <c r="L16" s="189"/>
      <c r="R16" s="110" t="s">
        <v>300</v>
      </c>
    </row>
    <row r="17" spans="2:32" ht="14.25" customHeight="1" x14ac:dyDescent="0.25">
      <c r="L17" s="189"/>
      <c r="R17" s="252" t="s">
        <v>301</v>
      </c>
    </row>
    <row r="18" spans="2:32" ht="14.25" customHeight="1" x14ac:dyDescent="0.25">
      <c r="L18" s="189"/>
    </row>
    <row r="19" spans="2:32" ht="14.25" customHeight="1" x14ac:dyDescent="0.25">
      <c r="L19" s="189"/>
    </row>
    <row r="20" spans="2:32" ht="14.25" customHeight="1" x14ac:dyDescent="0.25">
      <c r="L20" s="189"/>
    </row>
    <row r="21" spans="2:32" ht="14.25" customHeight="1" x14ac:dyDescent="0.25">
      <c r="L21" s="189"/>
    </row>
    <row r="22" spans="2:32" ht="14.25" customHeight="1" x14ac:dyDescent="0.25">
      <c r="L22" s="189"/>
    </row>
    <row r="23" spans="2:32" ht="14.25" customHeight="1" x14ac:dyDescent="0.25">
      <c r="L23" s="189"/>
      <c r="Z23" s="1124"/>
    </row>
    <row r="24" spans="2:32" ht="14.25" customHeight="1" x14ac:dyDescent="0.25">
      <c r="L24" s="189"/>
      <c r="Z24" s="1124"/>
    </row>
    <row r="25" spans="2:32" ht="14.25" customHeight="1" x14ac:dyDescent="0.25">
      <c r="L25" s="189"/>
      <c r="R25" s="1640" t="s">
        <v>302</v>
      </c>
      <c r="S25" s="1633"/>
      <c r="T25" s="1633"/>
      <c r="U25" s="1633"/>
      <c r="V25" s="997"/>
      <c r="W25" s="127"/>
      <c r="Z25" s="122" t="s">
        <v>252</v>
      </c>
      <c r="AA25" s="123">
        <v>1</v>
      </c>
      <c r="AB25" s="122" t="s">
        <v>249</v>
      </c>
      <c r="AC25" s="124">
        <f>(AA25*(4/3))*AF30+(AA30*(AB28/R1))</f>
        <v>5.3137034786519023E-2</v>
      </c>
      <c r="AD25" s="14"/>
    </row>
    <row r="26" spans="2:32" ht="14.25" customHeight="1" x14ac:dyDescent="0.25">
      <c r="L26" s="189"/>
      <c r="R26" s="1654" t="s">
        <v>297</v>
      </c>
      <c r="S26" s="1633"/>
      <c r="T26" s="1633"/>
      <c r="U26" s="1633"/>
      <c r="V26" s="997"/>
      <c r="W26" s="127"/>
      <c r="Z26" s="14"/>
      <c r="AA26" s="14"/>
      <c r="AB26" s="14"/>
      <c r="AC26" s="14"/>
      <c r="AD26" s="14"/>
    </row>
    <row r="27" spans="2:32" ht="14.25" customHeight="1" thickBot="1" x14ac:dyDescent="0.3">
      <c r="B27" s="84"/>
      <c r="E27" s="84"/>
      <c r="F27" s="84"/>
      <c r="L27" s="189"/>
      <c r="R27" s="126" t="s">
        <v>254</v>
      </c>
      <c r="S27" s="127" t="s">
        <v>303</v>
      </c>
      <c r="T27" s="127" t="s">
        <v>256</v>
      </c>
      <c r="U27" s="127" t="s">
        <v>257</v>
      </c>
      <c r="V27" s="127" t="s">
        <v>772</v>
      </c>
      <c r="W27" s="127" t="s">
        <v>779</v>
      </c>
      <c r="Z27" s="122" t="s">
        <v>258</v>
      </c>
      <c r="AA27" s="1031" t="s">
        <v>312</v>
      </c>
      <c r="AB27" s="128" t="s">
        <v>259</v>
      </c>
      <c r="AC27" s="128" t="s">
        <v>260</v>
      </c>
      <c r="AD27" s="128" t="s">
        <v>261</v>
      </c>
      <c r="AE27" s="1032" t="s">
        <v>779</v>
      </c>
      <c r="AF27" s="128" t="s">
        <v>262</v>
      </c>
    </row>
    <row r="28" spans="2:32" ht="14.25" customHeight="1" thickBot="1" x14ac:dyDescent="0.3">
      <c r="B28" s="84"/>
      <c r="E28" s="84"/>
      <c r="F28" s="84"/>
      <c r="L28" s="189"/>
      <c r="R28" s="129" t="s">
        <v>263</v>
      </c>
      <c r="S28" s="1186">
        <f>$Z$1</f>
        <v>23310</v>
      </c>
      <c r="T28" s="1215"/>
      <c r="U28" s="1218">
        <f>S28</f>
        <v>23310</v>
      </c>
      <c r="V28" s="130">
        <f>SUM(AP5:AP13)</f>
        <v>5406.7240740740735</v>
      </c>
      <c r="W28" s="130">
        <f>H37</f>
        <v>4.6499999999999995</v>
      </c>
      <c r="Z28" s="132"/>
      <c r="AA28" s="1034"/>
      <c r="AB28" s="133">
        <f>AA25*$S$40</f>
        <v>1</v>
      </c>
      <c r="AC28" s="133">
        <f>AA25-AB28</f>
        <v>0</v>
      </c>
      <c r="AD28" s="134">
        <f>AA25*(1/3)</f>
        <v>0.33333333333333331</v>
      </c>
      <c r="AE28" s="1034"/>
      <c r="AF28" s="135">
        <f>SUM(AB28:AD28)</f>
        <v>1.3333333333333333</v>
      </c>
    </row>
    <row r="29" spans="2:32" ht="14.25" customHeight="1" thickBot="1" x14ac:dyDescent="0.3">
      <c r="B29" s="84"/>
      <c r="E29" s="84"/>
      <c r="F29" s="84"/>
      <c r="L29" s="189"/>
      <c r="R29" s="129" t="s">
        <v>264</v>
      </c>
      <c r="S29" s="1218"/>
      <c r="T29" s="130">
        <f>S28*(1/3)</f>
        <v>7770</v>
      </c>
      <c r="U29" s="1215">
        <f>T29</f>
        <v>7770</v>
      </c>
      <c r="V29" s="130"/>
      <c r="W29" s="130"/>
      <c r="Z29" s="132"/>
      <c r="AA29" s="1038"/>
      <c r="AB29" s="137">
        <f>AB28/$AF$28</f>
        <v>0.75</v>
      </c>
      <c r="AC29" s="137">
        <f>AC28/$AF$28</f>
        <v>0</v>
      </c>
      <c r="AD29" s="1040">
        <f>AD28/AF28</f>
        <v>0.25</v>
      </c>
      <c r="AE29" s="1038"/>
      <c r="AF29" s="137">
        <f>AF28/$AF$28</f>
        <v>1</v>
      </c>
    </row>
    <row r="30" spans="2:32" ht="14.25" customHeight="1" thickBot="1" x14ac:dyDescent="0.3">
      <c r="B30" s="84"/>
      <c r="E30" s="84"/>
      <c r="F30" s="84"/>
      <c r="L30" s="189"/>
      <c r="R30" s="129" t="s">
        <v>265</v>
      </c>
      <c r="S30" s="1227">
        <f>$AB$1</f>
        <v>1000</v>
      </c>
      <c r="T30" s="1215">
        <f>S30*(1/3)</f>
        <v>333.33333333333331</v>
      </c>
      <c r="U30" s="1218">
        <f>S30</f>
        <v>1000</v>
      </c>
      <c r="V30" s="989"/>
      <c r="W30" s="989"/>
      <c r="Z30" s="122" t="s">
        <v>266</v>
      </c>
      <c r="AA30" s="1042">
        <f>V35/(S32/R1)</f>
        <v>9.1117381793616274E-4</v>
      </c>
      <c r="AB30" s="138">
        <f>S35/(S32)</f>
        <v>4.7281323877068571E-2</v>
      </c>
      <c r="AC30" s="135">
        <f>T35/T32</f>
        <v>1.2497518555555557E-2</v>
      </c>
      <c r="AD30" s="1037">
        <f>T35/T32</f>
        <v>1.2497518555555557E-2</v>
      </c>
      <c r="AE30" s="1045">
        <f>W35/U32</f>
        <v>1.8843516209476308E-6</v>
      </c>
      <c r="AF30" s="1048">
        <f>SUMPRODUCT(AB30:AD30,AB29:AD29)+(AE30)</f>
        <v>3.8587256898311266E-2</v>
      </c>
    </row>
    <row r="31" spans="2:32" ht="14.25" customHeight="1" thickBot="1" x14ac:dyDescent="0.3">
      <c r="B31" s="84"/>
      <c r="E31" s="84"/>
      <c r="F31" s="84"/>
      <c r="L31" s="189"/>
      <c r="R31" s="129" t="s">
        <v>267</v>
      </c>
      <c r="S31" s="136"/>
      <c r="T31" s="130"/>
      <c r="U31" s="130"/>
      <c r="V31" s="130"/>
      <c r="W31" s="130"/>
      <c r="AB31">
        <f>AB30*AB28</f>
        <v>4.7281323877068571E-2</v>
      </c>
      <c r="AD31">
        <f>AD30*AD28</f>
        <v>4.1658395185185191E-3</v>
      </c>
    </row>
    <row r="32" spans="2:32" ht="14.25" customHeight="1" thickBot="1" x14ac:dyDescent="0.3">
      <c r="B32" s="84"/>
      <c r="E32" s="84"/>
      <c r="F32" s="84"/>
      <c r="L32" s="189"/>
      <c r="R32" s="141" t="s">
        <v>257</v>
      </c>
      <c r="S32" s="130">
        <f>SUM(S28:S30)</f>
        <v>24310</v>
      </c>
      <c r="T32" s="130">
        <f>SUM(T28:T30)</f>
        <v>8103.333333333333</v>
      </c>
      <c r="U32" s="130">
        <f>SUM(U28:U30)</f>
        <v>32080</v>
      </c>
      <c r="V32" s="130"/>
      <c r="W32" s="130">
        <f>SUM(W28:W30)</f>
        <v>4.6499999999999995</v>
      </c>
    </row>
    <row r="33" spans="2:23" ht="14.25" customHeight="1" thickBot="1" x14ac:dyDescent="0.3">
      <c r="B33" s="84"/>
      <c r="E33" s="84"/>
      <c r="F33" s="84"/>
      <c r="L33" s="189"/>
      <c r="R33" s="142" t="s">
        <v>268</v>
      </c>
      <c r="S33" s="136"/>
      <c r="T33" s="136"/>
      <c r="U33" s="136"/>
      <c r="V33" s="136"/>
      <c r="W33" s="136"/>
    </row>
    <row r="34" spans="2:23" ht="14.25" customHeight="1" thickBot="1" x14ac:dyDescent="0.3">
      <c r="B34" s="84"/>
      <c r="E34" s="84"/>
      <c r="F34" s="84"/>
      <c r="L34" s="189"/>
      <c r="R34" s="143" t="s">
        <v>269</v>
      </c>
      <c r="S34" s="136"/>
      <c r="T34" s="130"/>
      <c r="U34" s="136"/>
      <c r="V34" s="136"/>
      <c r="W34" s="136"/>
    </row>
    <row r="35" spans="2:23" ht="14.25" customHeight="1" thickBot="1" x14ac:dyDescent="0.3">
      <c r="B35" s="1648" t="s">
        <v>630</v>
      </c>
      <c r="C35" s="1649"/>
      <c r="D35" s="1649"/>
      <c r="E35" s="1649"/>
      <c r="F35" s="1650"/>
      <c r="G35" s="803"/>
      <c r="H35" s="803"/>
      <c r="I35" s="803"/>
      <c r="J35" s="803"/>
      <c r="K35" s="803"/>
      <c r="L35" s="803"/>
      <c r="R35" s="144" t="s">
        <v>249</v>
      </c>
      <c r="S35" s="990">
        <f>$L$5</f>
        <v>1149.4089834515369</v>
      </c>
      <c r="T35" s="990">
        <f>SUM(L6:L11)</f>
        <v>101.27155869518519</v>
      </c>
      <c r="U35" s="990">
        <f>S35+T35+V35+W35</f>
        <v>1291.7606875430704</v>
      </c>
      <c r="V35" s="990">
        <f>SUM(AT6:AT13)</f>
        <v>41.019695396348361</v>
      </c>
      <c r="W35" s="1049">
        <f>L37</f>
        <v>6.0449999999999997E-2</v>
      </c>
    </row>
    <row r="36" spans="2:23" ht="14.25" customHeight="1" x14ac:dyDescent="0.25">
      <c r="B36" s="776" t="s">
        <v>241</v>
      </c>
      <c r="C36" s="776" t="s">
        <v>317</v>
      </c>
      <c r="D36" s="778" t="s">
        <v>622</v>
      </c>
      <c r="E36" s="775" t="s">
        <v>623</v>
      </c>
      <c r="F36" s="778" t="s">
        <v>624</v>
      </c>
      <c r="G36" s="797"/>
      <c r="H36" s="778" t="s">
        <v>624</v>
      </c>
      <c r="I36" s="778" t="s">
        <v>246</v>
      </c>
      <c r="J36" s="778" t="s">
        <v>247</v>
      </c>
      <c r="K36" s="778" t="s">
        <v>248</v>
      </c>
      <c r="L36" s="778" t="s">
        <v>249</v>
      </c>
    </row>
    <row r="37" spans="2:23" ht="14.25" customHeight="1" x14ac:dyDescent="0.25">
      <c r="B37" s="772" t="s">
        <v>697</v>
      </c>
      <c r="C37" s="773" t="s">
        <v>14</v>
      </c>
      <c r="D37" s="774">
        <v>0.03</v>
      </c>
      <c r="E37" s="772">
        <f>$AD$1</f>
        <v>155</v>
      </c>
      <c r="F37" s="772">
        <f>D37*E37</f>
        <v>4.6499999999999995</v>
      </c>
      <c r="G37" s="796"/>
      <c r="H37" s="772">
        <f>F37</f>
        <v>4.6499999999999995</v>
      </c>
      <c r="I37" s="772">
        <f>VLOOKUP(B37,All_Ingredients!$A$1:$F$156,6,FALSE())</f>
        <v>1</v>
      </c>
      <c r="J37" s="772">
        <f>VLOOKUP(B37,All_Ingredients!$A$1:$J$156,10,FALSE())</f>
        <v>13</v>
      </c>
      <c r="K37" s="772">
        <f>(H37/I37)/1000</f>
        <v>4.6499999999999996E-3</v>
      </c>
      <c r="L37" s="772">
        <f t="shared" ref="L37" si="12">K37*J37</f>
        <v>6.0449999999999997E-2</v>
      </c>
    </row>
    <row r="38" spans="2:23" ht="14.25" customHeight="1" x14ac:dyDescent="0.25">
      <c r="B38" s="84"/>
      <c r="E38" s="84"/>
      <c r="F38" s="84"/>
      <c r="L38" s="189"/>
    </row>
    <row r="39" spans="2:23" ht="14.25" customHeight="1" x14ac:dyDescent="0.25">
      <c r="B39" s="84"/>
      <c r="E39" s="84"/>
      <c r="F39" s="84"/>
      <c r="L39" s="189"/>
    </row>
    <row r="40" spans="2:23" ht="16.5" customHeight="1" x14ac:dyDescent="0.25">
      <c r="L40" s="189"/>
      <c r="Q40" s="14"/>
      <c r="R40" s="146" t="s">
        <v>270</v>
      </c>
      <c r="S40" s="217">
        <v>1</v>
      </c>
      <c r="T40" s="146" t="s">
        <v>271</v>
      </c>
      <c r="U40" s="217">
        <v>0</v>
      </c>
      <c r="V40" s="149">
        <f>S40+U40</f>
        <v>1</v>
      </c>
      <c r="W40" s="14"/>
    </row>
    <row r="41" spans="2:23" ht="14.25" customHeight="1" x14ac:dyDescent="0.25">
      <c r="L41" s="189"/>
      <c r="Q41" s="14"/>
      <c r="R41" s="14"/>
      <c r="S41" s="14"/>
      <c r="T41" s="14"/>
      <c r="U41" s="150"/>
      <c r="V41" s="14"/>
      <c r="W41" s="14"/>
    </row>
    <row r="42" spans="2:23" ht="14.25" customHeight="1" x14ac:dyDescent="0.25">
      <c r="L42" s="189"/>
      <c r="Q42" s="14"/>
      <c r="R42" s="14"/>
      <c r="S42" s="14"/>
      <c r="T42" s="14"/>
      <c r="U42" s="14"/>
      <c r="V42" s="14"/>
      <c r="W42" s="14"/>
    </row>
    <row r="43" spans="2:23" ht="14.25" customHeight="1" x14ac:dyDescent="0.25">
      <c r="L43" s="189"/>
      <c r="Q43" s="151" t="s">
        <v>272</v>
      </c>
      <c r="R43" s="151" t="s">
        <v>273</v>
      </c>
      <c r="S43" s="151" t="s">
        <v>274</v>
      </c>
      <c r="T43" s="151" t="s">
        <v>275</v>
      </c>
      <c r="U43" s="151" t="s">
        <v>276</v>
      </c>
      <c r="V43" s="151" t="s">
        <v>277</v>
      </c>
      <c r="W43" s="235" t="s">
        <v>278</v>
      </c>
    </row>
    <row r="44" spans="2:23" ht="14.25" customHeight="1" x14ac:dyDescent="0.25">
      <c r="L44" s="189"/>
      <c r="Q44" s="153">
        <v>33334</v>
      </c>
      <c r="R44" s="154">
        <f>D51</f>
        <v>10000</v>
      </c>
      <c r="S44" s="155">
        <v>0</v>
      </c>
      <c r="T44" s="155">
        <v>1</v>
      </c>
      <c r="U44" s="220">
        <f>R44*S44</f>
        <v>0</v>
      </c>
      <c r="V44" s="157">
        <f>R44*T44</f>
        <v>10000</v>
      </c>
      <c r="W44" s="237">
        <f>Q44-U44</f>
        <v>33334</v>
      </c>
    </row>
    <row r="45" spans="2:23" ht="14.25" customHeight="1" x14ac:dyDescent="0.25">
      <c r="L45" s="189"/>
    </row>
    <row r="46" spans="2:23" ht="14.25" customHeight="1" x14ac:dyDescent="0.25">
      <c r="B46" s="84"/>
      <c r="E46" s="84"/>
      <c r="F46" s="84"/>
      <c r="L46" s="189"/>
    </row>
    <row r="47" spans="2:23" ht="14.25" customHeight="1" x14ac:dyDescent="0.25">
      <c r="B47" s="84"/>
      <c r="E47" s="84"/>
      <c r="F47" s="84"/>
      <c r="L47" s="189"/>
    </row>
    <row r="48" spans="2:23" ht="14.25" customHeight="1" x14ac:dyDescent="0.25">
      <c r="B48" s="84"/>
      <c r="E48" s="84"/>
      <c r="F48" s="84"/>
      <c r="L48" s="189"/>
    </row>
    <row r="49" spans="1:12" ht="14.25" customHeight="1" x14ac:dyDescent="0.25">
      <c r="B49" s="84"/>
      <c r="E49" s="84"/>
      <c r="F49" s="84"/>
      <c r="L49" s="189"/>
    </row>
    <row r="50" spans="1:12" ht="14.25" customHeight="1" x14ac:dyDescent="0.25">
      <c r="B50" s="253"/>
      <c r="C50" s="126" t="s">
        <v>233</v>
      </c>
      <c r="D50" s="126" t="s">
        <v>279</v>
      </c>
      <c r="F50" s="84"/>
      <c r="G50" s="126" t="s">
        <v>280</v>
      </c>
      <c r="H50" s="126" t="s">
        <v>233</v>
      </c>
      <c r="I50" s="126" t="s">
        <v>281</v>
      </c>
      <c r="J50" s="126" t="s">
        <v>282</v>
      </c>
      <c r="L50" s="189"/>
    </row>
    <row r="51" spans="1:12" ht="14.25" customHeight="1" x14ac:dyDescent="0.25">
      <c r="B51" s="161" t="s">
        <v>283</v>
      </c>
      <c r="C51" s="162">
        <f>10/$K$1</f>
        <v>10</v>
      </c>
      <c r="D51" s="163">
        <f>$C$1*10</f>
        <v>10000</v>
      </c>
      <c r="F51" s="84"/>
      <c r="G51" s="161" t="s">
        <v>283</v>
      </c>
      <c r="H51" s="254">
        <f>I51/$D$5</f>
        <v>10</v>
      </c>
      <c r="I51" s="162">
        <f>J51/$R$1</f>
        <v>61729.629629629628</v>
      </c>
      <c r="J51" s="162">
        <f>$W$44</f>
        <v>33334</v>
      </c>
      <c r="L51" s="189"/>
    </row>
    <row r="52" spans="1:12" ht="14.25" customHeight="1" x14ac:dyDescent="0.25">
      <c r="B52" s="209" t="s">
        <v>262</v>
      </c>
      <c r="C52" s="210">
        <f>$I$1</f>
        <v>8.1033333333333335</v>
      </c>
      <c r="D52" s="211">
        <f>$E$1</f>
        <v>8103.333333333333</v>
      </c>
      <c r="F52" s="84"/>
      <c r="G52" s="129" t="s">
        <v>262</v>
      </c>
      <c r="H52" s="190">
        <f>I52/$D$5</f>
        <v>7.2928541429171423</v>
      </c>
      <c r="I52" s="157">
        <f>J52/$R$1</f>
        <v>45018.518518518518</v>
      </c>
      <c r="J52" s="165">
        <f>$S$32</f>
        <v>24310</v>
      </c>
    </row>
    <row r="53" spans="1:12" ht="14.25" customHeight="1" x14ac:dyDescent="0.25">
      <c r="B53" s="209" t="s">
        <v>284</v>
      </c>
      <c r="C53" s="212">
        <f>MIN(C52, C51)</f>
        <v>8.1033333333333335</v>
      </c>
      <c r="D53" s="211">
        <f>(C53*$K$1)*$C$1</f>
        <v>8103.3333333333339</v>
      </c>
      <c r="F53" s="84"/>
      <c r="G53" s="129" t="s">
        <v>284</v>
      </c>
      <c r="H53" s="168">
        <f>MIN(H52,H51)</f>
        <v>7.2928541429171423</v>
      </c>
      <c r="I53" s="157">
        <f>J53/$R$1</f>
        <v>45018.518518518518</v>
      </c>
      <c r="J53" s="157">
        <f>MIN(J52,J51)</f>
        <v>24310</v>
      </c>
    </row>
    <row r="54" spans="1:12" ht="14.25" customHeight="1" x14ac:dyDescent="0.25">
      <c r="B54" s="209" t="s">
        <v>285</v>
      </c>
      <c r="C54" s="212">
        <f>MIN(MAX(C52-C53,0),C51)</f>
        <v>0</v>
      </c>
      <c r="D54" s="211">
        <f>(C54*$K$1)*$C$1</f>
        <v>0</v>
      </c>
      <c r="F54" s="84"/>
      <c r="G54" s="129" t="s">
        <v>285</v>
      </c>
      <c r="H54" s="168">
        <f>MIN(MAX(H52-H53),H51)</f>
        <v>0</v>
      </c>
      <c r="I54" s="157">
        <f>J54/$R$1</f>
        <v>0</v>
      </c>
      <c r="J54" s="157">
        <f>MIN(MAX(J52-J53),J51)</f>
        <v>0</v>
      </c>
    </row>
    <row r="55" spans="1:12" ht="14.25" customHeight="1" x14ac:dyDescent="0.25">
      <c r="B55" s="209" t="s">
        <v>286</v>
      </c>
      <c r="C55" s="212">
        <f>MIN(MAX(C52-C53-C54,0),C51)</f>
        <v>0</v>
      </c>
      <c r="D55" s="211">
        <f>(C55*$K$1)*$C$1</f>
        <v>0</v>
      </c>
      <c r="E55" s="84"/>
      <c r="F55" s="84"/>
      <c r="G55" s="126" t="s">
        <v>286</v>
      </c>
      <c r="H55" s="168">
        <f>MIN(MAX(H52-H53-H54),H51)</f>
        <v>0</v>
      </c>
      <c r="I55" s="157">
        <f>J55/$R$1</f>
        <v>0</v>
      </c>
      <c r="J55" s="157">
        <f>MIN(MAX(J52-J53-J54),J51)</f>
        <v>0</v>
      </c>
    </row>
    <row r="56" spans="1:12" ht="14.25" customHeight="1" x14ac:dyDescent="0.25">
      <c r="B56" s="84"/>
      <c r="E56" s="84"/>
      <c r="F56" s="84"/>
    </row>
    <row r="57" spans="1:12" ht="18" customHeight="1" x14ac:dyDescent="0.25">
      <c r="B57" s="255"/>
      <c r="C57" s="255"/>
      <c r="D57" s="255"/>
      <c r="E57" s="255"/>
      <c r="F57" s="255"/>
      <c r="G57" s="255"/>
      <c r="H57" s="255"/>
      <c r="I57" s="255"/>
      <c r="J57" s="255"/>
      <c r="K57" s="225"/>
    </row>
    <row r="58" spans="1:12" ht="18" customHeight="1" x14ac:dyDescent="0.25">
      <c r="B58" s="255"/>
      <c r="C58" s="255"/>
      <c r="D58" s="255"/>
      <c r="E58" s="255"/>
      <c r="F58" s="255"/>
      <c r="G58" s="255"/>
      <c r="H58" s="255"/>
      <c r="I58" s="255"/>
      <c r="J58" s="255"/>
      <c r="K58" s="225"/>
    </row>
    <row r="62" spans="1:12" ht="18" customHeight="1" x14ac:dyDescent="0.25">
      <c r="A62" s="1456"/>
      <c r="B62" s="1642" t="str">
        <f>"بان فرايد فيش دفعة  1  / " &amp; COUNTIF($C$53:$C$55, "&gt;0")</f>
        <v>بان فرايد فيش دفعة  1  / 1</v>
      </c>
      <c r="C62" s="1651"/>
      <c r="D62" s="1651"/>
      <c r="E62" s="1651"/>
      <c r="F62" s="1651"/>
      <c r="G62" s="1651"/>
      <c r="H62" s="1651"/>
    </row>
    <row r="63" spans="1:12" ht="18" customHeight="1" x14ac:dyDescent="0.25">
      <c r="A63" s="1456"/>
      <c r="B63" s="1636" t="str">
        <f>"Pan Fried Fish 1 / " &amp; COUNTIF($C$53:$C$55, "&gt;0")</f>
        <v>Pan Fried Fish 1 / 1</v>
      </c>
      <c r="C63" s="1637"/>
      <c r="D63" s="1637"/>
      <c r="E63" s="1637"/>
      <c r="F63" s="1637"/>
      <c r="G63" s="1637"/>
      <c r="H63" s="1637"/>
    </row>
    <row r="64" spans="1:12" ht="52.5" customHeight="1" x14ac:dyDescent="0.2">
      <c r="A64" s="1589"/>
      <c r="B64" s="75" t="s">
        <v>241</v>
      </c>
      <c r="C64" s="90" t="s">
        <v>242</v>
      </c>
      <c r="D64" s="75" t="s">
        <v>231</v>
      </c>
      <c r="E64" s="91" t="s">
        <v>234</v>
      </c>
      <c r="F64" s="91" t="s">
        <v>243</v>
      </c>
      <c r="G64" s="75" t="s">
        <v>244</v>
      </c>
      <c r="H64" s="92" t="s">
        <v>245</v>
      </c>
    </row>
    <row r="65" spans="1:8" ht="14.25" customHeight="1" x14ac:dyDescent="0.25">
      <c r="A65" s="1455"/>
      <c r="B65" s="105" t="str">
        <f t="shared" ref="B65:D71" si="13">B5</f>
        <v>Fillet Fish - سمك فيليه</v>
      </c>
      <c r="C65" s="105" t="str">
        <f t="shared" si="13"/>
        <v>gm</v>
      </c>
      <c r="D65" s="256">
        <f>D5</f>
        <v>6172.9629629629626</v>
      </c>
      <c r="E65" s="257">
        <f>H53</f>
        <v>7.2928541429171423</v>
      </c>
      <c r="F65" s="109">
        <f t="shared" ref="F65:F71" si="14">F5</f>
        <v>1</v>
      </c>
      <c r="G65" s="103">
        <f t="shared" ref="G65:G71" si="15">D65*E65</f>
        <v>45018.518518518518</v>
      </c>
      <c r="H65" s="102">
        <f t="shared" ref="H65:H71" si="16">G65*F65</f>
        <v>45018.518518518518</v>
      </c>
    </row>
    <row r="66" spans="1:8" ht="14.25" customHeight="1" x14ac:dyDescent="0.25">
      <c r="A66" s="1455" t="s">
        <v>907</v>
      </c>
      <c r="B66" s="105" t="str">
        <f t="shared" si="13"/>
        <v>Garlic - ثوم مقشر</v>
      </c>
      <c r="C66" s="105" t="str">
        <f t="shared" si="13"/>
        <v>gm</v>
      </c>
      <c r="D66" s="105">
        <f t="shared" si="13"/>
        <v>60</v>
      </c>
      <c r="E66" s="258">
        <f t="shared" ref="E66:E71" si="17">$C$53</f>
        <v>8.1033333333333335</v>
      </c>
      <c r="F66" s="109">
        <f t="shared" si="14"/>
        <v>0.95</v>
      </c>
      <c r="G66" s="103">
        <f t="shared" si="15"/>
        <v>486.2</v>
      </c>
      <c r="H66" s="102">
        <f t="shared" si="16"/>
        <v>461.89</v>
      </c>
    </row>
    <row r="67" spans="1:8" ht="14.25" customHeight="1" x14ac:dyDescent="0.25">
      <c r="A67" s="1455"/>
      <c r="B67" s="105" t="str">
        <f t="shared" si="13"/>
        <v>Balsamic Vinegar - خل بلسميك</v>
      </c>
      <c r="C67" s="105" t="str">
        <f t="shared" si="13"/>
        <v>ml</v>
      </c>
      <c r="D67" s="105">
        <f t="shared" si="13"/>
        <v>10</v>
      </c>
      <c r="E67" s="258">
        <f t="shared" si="17"/>
        <v>8.1033333333333335</v>
      </c>
      <c r="F67" s="109">
        <f t="shared" si="14"/>
        <v>0.95</v>
      </c>
      <c r="G67" s="103">
        <f t="shared" si="15"/>
        <v>81.033333333333331</v>
      </c>
      <c r="H67" s="102">
        <f t="shared" si="16"/>
        <v>76.981666666666655</v>
      </c>
    </row>
    <row r="68" spans="1:8" ht="14.25" customHeight="1" x14ac:dyDescent="0.25">
      <c r="A68" s="1455"/>
      <c r="B68" s="105" t="str">
        <f t="shared" si="13"/>
        <v>Coconut Milk - حليب جوز الهند</v>
      </c>
      <c r="C68" s="105" t="str">
        <f t="shared" si="13"/>
        <v>ml</v>
      </c>
      <c r="D68" s="105">
        <f t="shared" si="13"/>
        <v>1200</v>
      </c>
      <c r="E68" s="258">
        <f t="shared" si="17"/>
        <v>8.1033333333333335</v>
      </c>
      <c r="F68" s="109">
        <f t="shared" si="14"/>
        <v>0.95</v>
      </c>
      <c r="G68" s="103">
        <f t="shared" si="15"/>
        <v>9724</v>
      </c>
      <c r="H68" s="102">
        <f t="shared" si="16"/>
        <v>9237.7999999999993</v>
      </c>
    </row>
    <row r="69" spans="1:8" ht="14.25" customHeight="1" x14ac:dyDescent="0.25">
      <c r="A69" s="1455"/>
      <c r="B69" s="105" t="str">
        <f t="shared" si="13"/>
        <v>White Pepper - فلفل أبيض</v>
      </c>
      <c r="C69" s="105" t="str">
        <f t="shared" si="13"/>
        <v>gm</v>
      </c>
      <c r="D69" s="105">
        <f t="shared" si="13"/>
        <v>3</v>
      </c>
      <c r="E69" s="258">
        <f t="shared" si="17"/>
        <v>8.1033333333333335</v>
      </c>
      <c r="F69" s="109">
        <f t="shared" si="14"/>
        <v>0.95</v>
      </c>
      <c r="G69" s="103">
        <f t="shared" si="15"/>
        <v>24.310000000000002</v>
      </c>
      <c r="H69" s="102">
        <f t="shared" si="16"/>
        <v>23.0945</v>
      </c>
    </row>
    <row r="70" spans="1:8" ht="14.25" customHeight="1" x14ac:dyDescent="0.25">
      <c r="A70" s="1455"/>
      <c r="B70" s="105" t="str">
        <f t="shared" si="13"/>
        <v>Salt - ملح</v>
      </c>
      <c r="C70" s="105" t="str">
        <f t="shared" si="13"/>
        <v>gm</v>
      </c>
      <c r="D70" s="105">
        <f t="shared" si="13"/>
        <v>11</v>
      </c>
      <c r="E70" s="258">
        <f t="shared" si="17"/>
        <v>8.1033333333333335</v>
      </c>
      <c r="F70" s="109">
        <f t="shared" si="14"/>
        <v>0.95</v>
      </c>
      <c r="G70" s="103">
        <f t="shared" si="15"/>
        <v>89.13666666666667</v>
      </c>
      <c r="H70" s="102">
        <f t="shared" si="16"/>
        <v>84.679833333333335</v>
      </c>
    </row>
    <row r="71" spans="1:8" ht="14.25" customHeight="1" x14ac:dyDescent="0.25">
      <c r="A71" s="1455"/>
      <c r="B71" s="105" t="str">
        <f t="shared" si="13"/>
        <v>Corn Starch - نشا ذرة</v>
      </c>
      <c r="C71" s="105" t="str">
        <f t="shared" si="13"/>
        <v>gm</v>
      </c>
      <c r="D71" s="105">
        <f t="shared" si="13"/>
        <v>80</v>
      </c>
      <c r="E71" s="258">
        <f t="shared" si="17"/>
        <v>8.1033333333333335</v>
      </c>
      <c r="F71" s="109">
        <f t="shared" si="14"/>
        <v>1</v>
      </c>
      <c r="G71" s="103">
        <f t="shared" si="15"/>
        <v>648.26666666666665</v>
      </c>
      <c r="H71" s="102">
        <f t="shared" si="16"/>
        <v>648.26666666666665</v>
      </c>
    </row>
    <row r="72" spans="1:8" ht="20.25" customHeight="1" x14ac:dyDescent="0.25">
      <c r="A72" s="1458"/>
      <c r="B72" s="178" t="s">
        <v>287</v>
      </c>
      <c r="C72" s="180" t="s">
        <v>273</v>
      </c>
      <c r="D72" s="14"/>
      <c r="E72" s="180" t="s">
        <v>288</v>
      </c>
      <c r="F72" s="14"/>
      <c r="G72" s="804" t="s">
        <v>264</v>
      </c>
      <c r="H72" s="804" t="s">
        <v>673</v>
      </c>
    </row>
    <row r="73" spans="1:8" ht="20.25" x14ac:dyDescent="0.3">
      <c r="A73" s="1458"/>
      <c r="B73" s="179">
        <f>$J$53</f>
        <v>24310</v>
      </c>
      <c r="C73" s="179">
        <f>E73+G73</f>
        <v>8103.3333333333339</v>
      </c>
      <c r="D73" s="839"/>
      <c r="E73" s="179">
        <f>$D$53*$S$44</f>
        <v>0</v>
      </c>
      <c r="F73" s="843"/>
      <c r="G73" s="179">
        <f>$D$53*$T$44</f>
        <v>8103.3333333333339</v>
      </c>
      <c r="H73" s="179">
        <f>B73+E73</f>
        <v>24310</v>
      </c>
    </row>
    <row r="74" spans="1:8" ht="14.25" customHeight="1" x14ac:dyDescent="0.25">
      <c r="E74" s="84"/>
    </row>
    <row r="75" spans="1:8" x14ac:dyDescent="0.25">
      <c r="A75" s="1456"/>
      <c r="B75" s="1642" t="str">
        <f>"بان فرايد فيش دفعة  2  / " &amp; COUNTIF($C$53:$C$55, "&gt;0")</f>
        <v>بان فرايد فيش دفعة  2  / 1</v>
      </c>
      <c r="C75" s="1651"/>
      <c r="D75" s="1651"/>
      <c r="E75" s="1651"/>
      <c r="F75" s="1651"/>
      <c r="G75" s="1651"/>
      <c r="H75" s="1651"/>
    </row>
    <row r="76" spans="1:8" x14ac:dyDescent="0.25">
      <c r="A76" s="1456"/>
      <c r="B76" s="1636" t="str">
        <f>"Pan Fried Fish 2 / " &amp; COUNTIF($C$53:$C$55, "&gt;0")</f>
        <v>Pan Fried Fish 2 / 1</v>
      </c>
      <c r="C76" s="1637"/>
      <c r="D76" s="1637"/>
      <c r="E76" s="1637"/>
      <c r="F76" s="1637"/>
      <c r="G76" s="1637"/>
      <c r="H76" s="1637"/>
    </row>
    <row r="77" spans="1:8" ht="40.5" customHeight="1" x14ac:dyDescent="0.2">
      <c r="A77" s="1589"/>
      <c r="B77" s="75" t="s">
        <v>241</v>
      </c>
      <c r="C77" s="90" t="s">
        <v>242</v>
      </c>
      <c r="D77" s="75" t="s">
        <v>231</v>
      </c>
      <c r="E77" s="91" t="s">
        <v>234</v>
      </c>
      <c r="F77" s="91" t="s">
        <v>243</v>
      </c>
      <c r="G77" s="75" t="s">
        <v>244</v>
      </c>
      <c r="H77" s="92" t="s">
        <v>245</v>
      </c>
    </row>
    <row r="78" spans="1:8" x14ac:dyDescent="0.25">
      <c r="A78" s="1455"/>
      <c r="B78" s="105" t="str">
        <f t="shared" ref="B78:D84" si="18">B5</f>
        <v>Fillet Fish - سمك فيليه</v>
      </c>
      <c r="C78" s="105" t="str">
        <f t="shared" si="18"/>
        <v>gm</v>
      </c>
      <c r="D78" s="240">
        <f t="shared" si="18"/>
        <v>6172.9629629629626</v>
      </c>
      <c r="E78" s="257">
        <f>H54</f>
        <v>0</v>
      </c>
      <c r="F78" s="109">
        <f>F5</f>
        <v>1</v>
      </c>
      <c r="G78" s="103">
        <f t="shared" ref="G78:G84" si="19">D78*E78</f>
        <v>0</v>
      </c>
      <c r="H78" s="102">
        <f t="shared" ref="H78:H84" si="20">G78*F78</f>
        <v>0</v>
      </c>
    </row>
    <row r="79" spans="1:8" x14ac:dyDescent="0.25">
      <c r="A79" s="1455" t="s">
        <v>907</v>
      </c>
      <c r="B79" s="105" t="str">
        <f t="shared" si="18"/>
        <v>Garlic - ثوم مقشر</v>
      </c>
      <c r="C79" s="105" t="str">
        <f t="shared" si="18"/>
        <v>gm</v>
      </c>
      <c r="D79" s="105">
        <f t="shared" si="18"/>
        <v>60</v>
      </c>
      <c r="E79" s="258">
        <f t="shared" ref="E79:E84" si="21">$C$54</f>
        <v>0</v>
      </c>
      <c r="F79" s="109">
        <f t="shared" ref="F79:F84" si="22">F6</f>
        <v>0.95</v>
      </c>
      <c r="G79" s="103">
        <f t="shared" si="19"/>
        <v>0</v>
      </c>
      <c r="H79" s="102">
        <f t="shared" si="20"/>
        <v>0</v>
      </c>
    </row>
    <row r="80" spans="1:8" x14ac:dyDescent="0.25">
      <c r="A80" s="1455"/>
      <c r="B80" s="105" t="str">
        <f t="shared" si="18"/>
        <v>Balsamic Vinegar - خل بلسميك</v>
      </c>
      <c r="C80" s="105" t="str">
        <f t="shared" si="18"/>
        <v>ml</v>
      </c>
      <c r="D80" s="105">
        <f t="shared" si="18"/>
        <v>10</v>
      </c>
      <c r="E80" s="258">
        <f t="shared" si="21"/>
        <v>0</v>
      </c>
      <c r="F80" s="109">
        <f t="shared" si="22"/>
        <v>0.95</v>
      </c>
      <c r="G80" s="103">
        <f t="shared" si="19"/>
        <v>0</v>
      </c>
      <c r="H80" s="102">
        <f t="shared" si="20"/>
        <v>0</v>
      </c>
    </row>
    <row r="81" spans="1:8" x14ac:dyDescent="0.25">
      <c r="A81" s="1455"/>
      <c r="B81" s="105" t="str">
        <f t="shared" si="18"/>
        <v>Coconut Milk - حليب جوز الهند</v>
      </c>
      <c r="C81" s="105" t="str">
        <f t="shared" si="18"/>
        <v>ml</v>
      </c>
      <c r="D81" s="105">
        <f t="shared" si="18"/>
        <v>1200</v>
      </c>
      <c r="E81" s="258">
        <f t="shared" si="21"/>
        <v>0</v>
      </c>
      <c r="F81" s="109">
        <f t="shared" si="22"/>
        <v>0.95</v>
      </c>
      <c r="G81" s="103">
        <f t="shared" si="19"/>
        <v>0</v>
      </c>
      <c r="H81" s="102">
        <f t="shared" si="20"/>
        <v>0</v>
      </c>
    </row>
    <row r="82" spans="1:8" x14ac:dyDescent="0.25">
      <c r="A82" s="1455"/>
      <c r="B82" s="105" t="str">
        <f t="shared" si="18"/>
        <v>White Pepper - فلفل أبيض</v>
      </c>
      <c r="C82" s="105" t="str">
        <f t="shared" si="18"/>
        <v>gm</v>
      </c>
      <c r="D82" s="105">
        <f t="shared" si="18"/>
        <v>3</v>
      </c>
      <c r="E82" s="258">
        <f t="shared" si="21"/>
        <v>0</v>
      </c>
      <c r="F82" s="109">
        <f t="shared" si="22"/>
        <v>0.95</v>
      </c>
      <c r="G82" s="103">
        <f t="shared" si="19"/>
        <v>0</v>
      </c>
      <c r="H82" s="102">
        <f t="shared" si="20"/>
        <v>0</v>
      </c>
    </row>
    <row r="83" spans="1:8" x14ac:dyDescent="0.25">
      <c r="A83" s="1455"/>
      <c r="B83" s="105" t="str">
        <f t="shared" si="18"/>
        <v>Salt - ملح</v>
      </c>
      <c r="C83" s="105" t="str">
        <f t="shared" si="18"/>
        <v>gm</v>
      </c>
      <c r="D83" s="105">
        <f t="shared" si="18"/>
        <v>11</v>
      </c>
      <c r="E83" s="258">
        <f t="shared" si="21"/>
        <v>0</v>
      </c>
      <c r="F83" s="109">
        <f t="shared" si="22"/>
        <v>0.95</v>
      </c>
      <c r="G83" s="103">
        <f t="shared" si="19"/>
        <v>0</v>
      </c>
      <c r="H83" s="102">
        <f t="shared" si="20"/>
        <v>0</v>
      </c>
    </row>
    <row r="84" spans="1:8" x14ac:dyDescent="0.25">
      <c r="A84" s="1455"/>
      <c r="B84" s="105" t="str">
        <f t="shared" si="18"/>
        <v>Corn Starch - نشا ذرة</v>
      </c>
      <c r="C84" s="105" t="str">
        <f t="shared" si="18"/>
        <v>gm</v>
      </c>
      <c r="D84" s="105">
        <f t="shared" si="18"/>
        <v>80</v>
      </c>
      <c r="E84" s="258">
        <f t="shared" si="21"/>
        <v>0</v>
      </c>
      <c r="F84" s="109">
        <f t="shared" si="22"/>
        <v>1</v>
      </c>
      <c r="G84" s="103">
        <f t="shared" si="19"/>
        <v>0</v>
      </c>
      <c r="H84" s="102">
        <f t="shared" si="20"/>
        <v>0</v>
      </c>
    </row>
    <row r="85" spans="1:8" ht="18" x14ac:dyDescent="0.25">
      <c r="A85" s="1458"/>
      <c r="B85" s="178" t="s">
        <v>287</v>
      </c>
      <c r="C85" s="180" t="s">
        <v>273</v>
      </c>
      <c r="D85" s="14"/>
      <c r="E85" s="180" t="s">
        <v>288</v>
      </c>
      <c r="F85" s="14"/>
      <c r="G85" s="804" t="s">
        <v>264</v>
      </c>
      <c r="H85" s="804" t="s">
        <v>673</v>
      </c>
    </row>
    <row r="86" spans="1:8" ht="20.25" x14ac:dyDescent="0.3">
      <c r="A86" s="1458"/>
      <c r="B86" s="179">
        <f>$J$54</f>
        <v>0</v>
      </c>
      <c r="C86" s="179">
        <f>E86+G86</f>
        <v>0</v>
      </c>
      <c r="D86" s="839"/>
      <c r="E86" s="179">
        <f>$D$54*$S$44</f>
        <v>0</v>
      </c>
      <c r="F86" s="843"/>
      <c r="G86" s="179">
        <f>$D$54*$T$44</f>
        <v>0</v>
      </c>
      <c r="H86" s="179">
        <f>B86+E86</f>
        <v>0</v>
      </c>
    </row>
  </sheetData>
  <mergeCells count="10">
    <mergeCell ref="B75:H75"/>
    <mergeCell ref="B76:H76"/>
    <mergeCell ref="AK2:AM2"/>
    <mergeCell ref="B63:H63"/>
    <mergeCell ref="AE2:AG3"/>
    <mergeCell ref="R26:U26"/>
    <mergeCell ref="B62:H62"/>
    <mergeCell ref="R25:U25"/>
    <mergeCell ref="F2:F3"/>
    <mergeCell ref="B35:F35"/>
  </mergeCells>
  <printOptions horizontalCentered="1"/>
  <pageMargins left="0.4" right="0.4" top="1" bottom="0.5" header="0.3" footer="0.511811023622047"/>
  <pageSetup paperSize="9" scale="44"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50"/>
    <pageSetUpPr fitToPage="1"/>
  </sheetPr>
  <dimension ref="A1:AG91"/>
  <sheetViews>
    <sheetView topLeftCell="S13" zoomScale="70" zoomScaleNormal="70" workbookViewId="0">
      <selection activeCell="B32" sqref="B32"/>
    </sheetView>
  </sheetViews>
  <sheetFormatPr defaultColWidth="12.5" defaultRowHeight="15" x14ac:dyDescent="0.25"/>
  <cols>
    <col min="1" max="1" width="12.5" style="1472"/>
    <col min="2" max="2" width="32.62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9" width="15.875" style="14" customWidth="1"/>
    <col min="10" max="10" width="13.125" style="14" customWidth="1"/>
    <col min="11" max="11" width="12.5" style="14" customWidth="1"/>
    <col min="12" max="12" width="8.375" style="14" customWidth="1"/>
    <col min="13" max="14" width="4.375" style="14" customWidth="1"/>
    <col min="15" max="17" width="12.5" style="14" customWidth="1"/>
    <col min="18" max="18" width="30.5" style="14" customWidth="1"/>
    <col min="19" max="19" width="12.5" style="14" customWidth="1"/>
    <col min="20" max="20" width="19" style="14" customWidth="1"/>
    <col min="21" max="23" width="12.5" style="14" customWidth="1"/>
    <col min="24" max="24" width="31.5" style="14" customWidth="1"/>
    <col min="25" max="25" width="12.5" style="14" customWidth="1"/>
    <col min="26" max="26" width="11.875" style="14" bestFit="1" customWidth="1"/>
    <col min="27" max="27" width="13.375" style="14" bestFit="1" customWidth="1"/>
    <col min="28" max="28" width="10" style="14" bestFit="1" customWidth="1"/>
    <col min="29" max="31" width="10.25" style="14" customWidth="1"/>
    <col min="32" max="16384" width="12.5" style="14"/>
  </cols>
  <sheetData>
    <row r="1" spans="1:33" s="228" customFormat="1" ht="33" customHeight="1" x14ac:dyDescent="0.2">
      <c r="A1" s="1592"/>
      <c r="B1" s="64" t="s">
        <v>231</v>
      </c>
      <c r="C1" s="65">
        <v>1000</v>
      </c>
      <c r="D1" s="66" t="s">
        <v>232</v>
      </c>
      <c r="E1" s="99">
        <f>T32</f>
        <v>3786.9230769230808</v>
      </c>
      <c r="F1" s="64" t="s">
        <v>233</v>
      </c>
      <c r="G1" s="227">
        <f>E1/C1</f>
        <v>3.7869230769230806</v>
      </c>
      <c r="H1" s="64" t="s">
        <v>234</v>
      </c>
      <c r="I1" s="227">
        <f>(G1/K1)</f>
        <v>3.7869230769230806</v>
      </c>
      <c r="J1" s="70" t="s">
        <v>235</v>
      </c>
      <c r="K1" s="103">
        <v>1</v>
      </c>
      <c r="L1" s="76"/>
      <c r="M1" s="195"/>
      <c r="N1" s="196"/>
      <c r="O1" s="75" t="s">
        <v>236</v>
      </c>
      <c r="P1" s="76" t="s">
        <v>289</v>
      </c>
      <c r="Q1" s="77" t="s">
        <v>238</v>
      </c>
      <c r="R1" s="76">
        <v>0.51</v>
      </c>
      <c r="S1" s="76"/>
      <c r="T1" s="76"/>
      <c r="Y1" s="75" t="s">
        <v>453</v>
      </c>
      <c r="Z1" s="766">
        <v>16410</v>
      </c>
      <c r="AA1" s="75" t="s">
        <v>556</v>
      </c>
      <c r="AB1" s="766">
        <v>0</v>
      </c>
      <c r="AC1" s="75" t="s">
        <v>546</v>
      </c>
      <c r="AD1" s="766">
        <v>112</v>
      </c>
      <c r="AF1" s="230"/>
      <c r="AG1" s="76"/>
    </row>
    <row r="2" spans="1:33" ht="12.75" customHeight="1" x14ac:dyDescent="0.25">
      <c r="A2" s="1486"/>
      <c r="B2" s="1645" t="s">
        <v>295</v>
      </c>
      <c r="C2" s="1655"/>
      <c r="D2" s="1655"/>
      <c r="E2" s="1655"/>
      <c r="F2" s="1655"/>
      <c r="G2" s="1655"/>
      <c r="H2" s="1655"/>
      <c r="I2" s="1655"/>
      <c r="J2" s="1655"/>
      <c r="K2" s="1645"/>
      <c r="L2" s="82"/>
      <c r="M2" s="83"/>
      <c r="N2" s="83"/>
      <c r="O2" s="84"/>
      <c r="P2" s="84"/>
      <c r="Q2" s="84"/>
      <c r="R2" s="84"/>
      <c r="S2" s="84"/>
      <c r="T2" s="84"/>
      <c r="U2" s="84"/>
      <c r="AE2" s="1652"/>
      <c r="AF2" s="1655"/>
      <c r="AG2" s="1655"/>
    </row>
    <row r="3" spans="1:33" ht="12.75" customHeight="1" x14ac:dyDescent="0.25">
      <c r="A3" s="1486"/>
      <c r="B3" s="1633"/>
      <c r="C3" s="1633"/>
      <c r="D3" s="1633"/>
      <c r="E3" s="1633"/>
      <c r="F3" s="1633"/>
      <c r="G3" s="1633"/>
      <c r="H3" s="1633"/>
      <c r="I3" s="1633"/>
      <c r="J3" s="1633"/>
      <c r="K3" s="1633"/>
      <c r="L3" s="87"/>
      <c r="M3" s="83"/>
      <c r="N3" s="83"/>
      <c r="O3" s="84"/>
      <c r="P3" s="84"/>
      <c r="Q3" s="84"/>
      <c r="R3" s="84"/>
      <c r="S3" s="84"/>
      <c r="T3" s="84"/>
      <c r="U3" s="84"/>
      <c r="AE3" s="1655"/>
      <c r="AF3" s="1655"/>
      <c r="AG3" s="1655"/>
    </row>
    <row r="4" spans="1:33" ht="70.5" customHeight="1" x14ac:dyDescent="0.2">
      <c r="A4" s="1589" t="s">
        <v>903</v>
      </c>
      <c r="B4" s="75" t="s">
        <v>241</v>
      </c>
      <c r="C4" s="90" t="s">
        <v>242</v>
      </c>
      <c r="D4" s="75" t="s">
        <v>231</v>
      </c>
      <c r="E4" s="91" t="s">
        <v>234</v>
      </c>
      <c r="F4" s="91" t="s">
        <v>243</v>
      </c>
      <c r="G4" s="75" t="s">
        <v>244</v>
      </c>
      <c r="H4" s="92" t="s">
        <v>245</v>
      </c>
      <c r="I4" s="75" t="s">
        <v>246</v>
      </c>
      <c r="J4" s="75" t="s">
        <v>247</v>
      </c>
      <c r="K4" s="75" t="s">
        <v>248</v>
      </c>
      <c r="L4" s="75" t="s">
        <v>249</v>
      </c>
      <c r="M4" s="84"/>
      <c r="N4" s="84"/>
      <c r="O4" s="84"/>
      <c r="P4" s="84"/>
      <c r="Q4" s="84"/>
      <c r="R4" s="84"/>
      <c r="S4" s="84"/>
      <c r="AA4" s="229"/>
      <c r="AB4" s="231"/>
      <c r="AE4" s="229"/>
    </row>
    <row r="5" spans="1:33" ht="14.25" customHeight="1" x14ac:dyDescent="0.2">
      <c r="A5" s="1491"/>
      <c r="B5" s="20" t="s">
        <v>223</v>
      </c>
      <c r="C5" s="106" t="s">
        <v>14</v>
      </c>
      <c r="D5" s="103">
        <f>I51/10</f>
        <v>6536.0784313725489</v>
      </c>
      <c r="E5" s="201">
        <f>H52</f>
        <v>3.7868473399762763</v>
      </c>
      <c r="F5" s="109">
        <v>1</v>
      </c>
      <c r="G5" s="103">
        <f t="shared" ref="G5:G27" si="0">D5*E5</f>
        <v>24751.13122171945</v>
      </c>
      <c r="H5" s="102">
        <f t="shared" ref="H5:H27" si="1">G5*F5</f>
        <v>24751.13122171945</v>
      </c>
      <c r="I5" s="65">
        <f>VLOOKUP(B5,All_Ingredients!$A$1:$F$156,6,FALSE())</f>
        <v>0.55000000000000004</v>
      </c>
      <c r="J5" s="101">
        <f>VLOOKUP(B5,All_Ingredients!$A$1:$J$156,10,FALSE())</f>
        <v>14.361111111111111</v>
      </c>
      <c r="K5" s="104">
        <f t="shared" ref="K5" si="2">(H5/I5)/1000</f>
        <v>45.002056766762628</v>
      </c>
      <c r="L5" s="104">
        <f t="shared" ref="L5" si="3">K5*J5</f>
        <v>646.27953745600769</v>
      </c>
      <c r="M5" s="84"/>
      <c r="N5" s="84"/>
      <c r="O5" s="84"/>
      <c r="P5" s="84"/>
      <c r="Q5" s="84"/>
      <c r="R5" s="84"/>
      <c r="S5" s="84"/>
      <c r="AA5" s="76"/>
      <c r="AB5" s="114"/>
      <c r="AE5" s="117"/>
    </row>
    <row r="6" spans="1:33" ht="14.25" customHeight="1" x14ac:dyDescent="0.25">
      <c r="A6" s="1475" t="s">
        <v>905</v>
      </c>
      <c r="B6" s="233" t="s">
        <v>12</v>
      </c>
      <c r="C6" s="106" t="s">
        <v>14</v>
      </c>
      <c r="D6" s="107">
        <v>150</v>
      </c>
      <c r="E6" s="201">
        <f t="shared" ref="E6:E28" si="4">$I$1</f>
        <v>3.7869230769230806</v>
      </c>
      <c r="F6" s="109">
        <v>0.95</v>
      </c>
      <c r="G6" s="103">
        <f t="shared" si="0"/>
        <v>568.03846153846212</v>
      </c>
      <c r="H6" s="102">
        <f t="shared" si="1"/>
        <v>539.63653846153898</v>
      </c>
      <c r="I6" s="65">
        <f>VLOOKUP(B6,All_Ingredients!$A$1:$F$156,6,FALSE())</f>
        <v>0.9</v>
      </c>
      <c r="J6" s="101">
        <f>VLOOKUP(B6,All_Ingredients!$A$1:$J$156,10,FALSE())</f>
        <v>3</v>
      </c>
      <c r="K6" s="104">
        <f t="shared" ref="K6:K27" si="5">(H6/I6)/1000</f>
        <v>0.59959615384615439</v>
      </c>
      <c r="L6" s="104">
        <f t="shared" ref="L6:L27" si="6">K6*J6</f>
        <v>1.7987884615384631</v>
      </c>
    </row>
    <row r="7" spans="1:33" ht="14.25" customHeight="1" x14ac:dyDescent="0.25">
      <c r="A7" s="1471" t="s">
        <v>919</v>
      </c>
      <c r="B7" s="233" t="s">
        <v>32</v>
      </c>
      <c r="C7" s="106" t="s">
        <v>14</v>
      </c>
      <c r="D7" s="107">
        <v>300</v>
      </c>
      <c r="E7" s="201">
        <f t="shared" si="4"/>
        <v>3.7869230769230806</v>
      </c>
      <c r="F7" s="109">
        <v>0.95</v>
      </c>
      <c r="G7" s="103">
        <f t="shared" si="0"/>
        <v>1136.0769230769242</v>
      </c>
      <c r="H7" s="102">
        <f t="shared" si="1"/>
        <v>1079.273076923078</v>
      </c>
      <c r="I7" s="65">
        <f>VLOOKUP(B7,All_Ingredients!$A$1:$F$156,6,FALSE())</f>
        <v>0.69</v>
      </c>
      <c r="J7" s="101">
        <f>VLOOKUP(B7,All_Ingredients!$A$1:$J$156,10,FALSE())</f>
        <v>4</v>
      </c>
      <c r="K7" s="104">
        <f t="shared" si="5"/>
        <v>1.5641638795986639</v>
      </c>
      <c r="L7" s="104">
        <f t="shared" si="6"/>
        <v>6.2566555183946555</v>
      </c>
    </row>
    <row r="8" spans="1:33" ht="14.25" customHeight="1" x14ac:dyDescent="0.25">
      <c r="A8" s="1471" t="s">
        <v>906</v>
      </c>
      <c r="B8" s="233" t="s">
        <v>54</v>
      </c>
      <c r="C8" s="106" t="s">
        <v>14</v>
      </c>
      <c r="D8" s="107">
        <v>50</v>
      </c>
      <c r="E8" s="201">
        <f t="shared" si="4"/>
        <v>3.7869230769230806</v>
      </c>
      <c r="F8" s="109">
        <v>1</v>
      </c>
      <c r="G8" s="103">
        <f t="shared" si="0"/>
        <v>189.34615384615404</v>
      </c>
      <c r="H8" s="102">
        <f t="shared" si="1"/>
        <v>189.34615384615404</v>
      </c>
      <c r="I8" s="65">
        <f>VLOOKUP(B8,All_Ingredients!$A$1:$F$156,6,FALSE())</f>
        <v>0.87</v>
      </c>
      <c r="J8" s="101">
        <f>VLOOKUP(B8,All_Ingredients!$A$1:$J$156,10,FALSE())</f>
        <v>7</v>
      </c>
      <c r="K8" s="104">
        <f t="shared" si="5"/>
        <v>0.21763925729442993</v>
      </c>
      <c r="L8" s="104">
        <f t="shared" si="6"/>
        <v>1.5234748010610095</v>
      </c>
    </row>
    <row r="9" spans="1:33" ht="14.25" customHeight="1" x14ac:dyDescent="0.25">
      <c r="A9" s="1471" t="s">
        <v>907</v>
      </c>
      <c r="B9" s="233" t="s">
        <v>727</v>
      </c>
      <c r="C9" s="106" t="s">
        <v>14</v>
      </c>
      <c r="D9" s="107">
        <v>50</v>
      </c>
      <c r="E9" s="201">
        <f t="shared" si="4"/>
        <v>3.7869230769230806</v>
      </c>
      <c r="F9" s="109">
        <v>1</v>
      </c>
      <c r="G9" s="103">
        <f t="shared" si="0"/>
        <v>189.34615384615404</v>
      </c>
      <c r="H9" s="102">
        <f t="shared" si="1"/>
        <v>189.34615384615404</v>
      </c>
      <c r="I9" s="65">
        <f>VLOOKUP(B9,All_Ingredients!$A$1:$F$156,6,FALSE())</f>
        <v>1</v>
      </c>
      <c r="J9" s="101">
        <f>VLOOKUP(B9,All_Ingredients!$A$1:$J$156,10,FALSE())</f>
        <v>10.5</v>
      </c>
      <c r="K9" s="104">
        <f t="shared" si="5"/>
        <v>0.18934615384615403</v>
      </c>
      <c r="L9" s="104">
        <f t="shared" si="6"/>
        <v>1.9881346153846173</v>
      </c>
    </row>
    <row r="10" spans="1:33" ht="14.25" customHeight="1" x14ac:dyDescent="0.25">
      <c r="A10" s="1471"/>
      <c r="B10" s="233" t="s">
        <v>192</v>
      </c>
      <c r="C10" s="106" t="s">
        <v>160</v>
      </c>
      <c r="D10" s="107">
        <v>50</v>
      </c>
      <c r="E10" s="201">
        <f t="shared" si="4"/>
        <v>3.7869230769230806</v>
      </c>
      <c r="F10" s="109">
        <v>0.75</v>
      </c>
      <c r="G10" s="103">
        <f t="shared" si="0"/>
        <v>189.34615384615404</v>
      </c>
      <c r="H10" s="102">
        <f t="shared" si="1"/>
        <v>142.00961538461553</v>
      </c>
      <c r="I10" s="65">
        <f>VLOOKUP(B10,All_Ingredients!$A$1:$F$156,6,FALSE())</f>
        <v>1</v>
      </c>
      <c r="J10" s="101">
        <f>VLOOKUP(B10,All_Ingredients!$A$1:$J$156,10,FALSE())</f>
        <v>58.685446009389672</v>
      </c>
      <c r="K10" s="104">
        <f t="shared" si="5"/>
        <v>0.14200961538461554</v>
      </c>
      <c r="L10" s="104">
        <f t="shared" si="6"/>
        <v>8.3338976164680485</v>
      </c>
    </row>
    <row r="11" spans="1:33" ht="14.25" customHeight="1" x14ac:dyDescent="0.25">
      <c r="A11" s="1471"/>
      <c r="B11" s="233" t="s">
        <v>193</v>
      </c>
      <c r="C11" s="106" t="s">
        <v>160</v>
      </c>
      <c r="D11" s="107">
        <v>40</v>
      </c>
      <c r="E11" s="201">
        <f t="shared" si="4"/>
        <v>3.7869230769230806</v>
      </c>
      <c r="F11" s="109">
        <v>0.75</v>
      </c>
      <c r="G11" s="103">
        <f t="shared" si="0"/>
        <v>151.47692307692321</v>
      </c>
      <c r="H11" s="102">
        <f t="shared" si="1"/>
        <v>113.60769230769242</v>
      </c>
      <c r="I11" s="65">
        <f>VLOOKUP(B11,All_Ingredients!$A$1:$F$156,6,FALSE())</f>
        <v>1</v>
      </c>
      <c r="J11" s="101">
        <f>VLOOKUP(B11,All_Ingredients!$A$1:$J$156,10,FALSE())</f>
        <v>37.001287001286997</v>
      </c>
      <c r="K11" s="104">
        <f t="shared" si="5"/>
        <v>0.11360769230769242</v>
      </c>
      <c r="L11" s="104">
        <f t="shared" si="6"/>
        <v>4.2036308286308328</v>
      </c>
    </row>
    <row r="12" spans="1:33" ht="14.25" customHeight="1" x14ac:dyDescent="0.25">
      <c r="A12" s="1471"/>
      <c r="B12" s="233" t="s">
        <v>196</v>
      </c>
      <c r="C12" s="106" t="s">
        <v>160</v>
      </c>
      <c r="D12" s="107">
        <v>200</v>
      </c>
      <c r="E12" s="201">
        <f t="shared" si="4"/>
        <v>3.7869230769230806</v>
      </c>
      <c r="F12" s="109">
        <v>0.95</v>
      </c>
      <c r="G12" s="103">
        <f t="shared" si="0"/>
        <v>757.38461538461615</v>
      </c>
      <c r="H12" s="102">
        <f t="shared" si="1"/>
        <v>719.5153846153853</v>
      </c>
      <c r="I12" s="65">
        <f>VLOOKUP(B12,All_Ingredients!$A$1:$F$156,6,FALSE())</f>
        <v>1</v>
      </c>
      <c r="J12" s="101">
        <f>VLOOKUP(B12,All_Ingredients!$A$1:$J$156,10,FALSE())</f>
        <v>14.861111111111111</v>
      </c>
      <c r="K12" s="104">
        <f t="shared" si="5"/>
        <v>0.71951538461538533</v>
      </c>
      <c r="L12" s="104">
        <f t="shared" si="6"/>
        <v>10.692798076923088</v>
      </c>
    </row>
    <row r="13" spans="1:33" ht="14.25" customHeight="1" x14ac:dyDescent="0.25">
      <c r="A13" s="1471"/>
      <c r="B13" s="233" t="s">
        <v>194</v>
      </c>
      <c r="C13" s="106" t="s">
        <v>160</v>
      </c>
      <c r="D13" s="107">
        <v>50</v>
      </c>
      <c r="E13" s="201">
        <f t="shared" si="4"/>
        <v>3.7869230769230806</v>
      </c>
      <c r="F13" s="109">
        <v>0.95</v>
      </c>
      <c r="G13" s="103">
        <f t="shared" si="0"/>
        <v>189.34615384615404</v>
      </c>
      <c r="H13" s="102">
        <f t="shared" si="1"/>
        <v>179.87884615384633</v>
      </c>
      <c r="I13" s="65">
        <f>VLOOKUP(B13,All_Ingredients!$A$1:$F$156,6,FALSE())</f>
        <v>1</v>
      </c>
      <c r="J13" s="101">
        <f>VLOOKUP(B13,All_Ingredients!$A$1:$J$156,10,FALSE())</f>
        <v>22.666666666666668</v>
      </c>
      <c r="K13" s="104">
        <f t="shared" si="5"/>
        <v>0.17987884615384633</v>
      </c>
      <c r="L13" s="104">
        <f t="shared" si="6"/>
        <v>4.0772538461538508</v>
      </c>
    </row>
    <row r="14" spans="1:33" ht="14.25" customHeight="1" x14ac:dyDescent="0.25">
      <c r="A14" s="1471"/>
      <c r="B14" s="233" t="s">
        <v>203</v>
      </c>
      <c r="C14" s="106" t="s">
        <v>160</v>
      </c>
      <c r="D14" s="107">
        <v>15</v>
      </c>
      <c r="E14" s="201">
        <f t="shared" si="4"/>
        <v>3.7869230769230806</v>
      </c>
      <c r="F14" s="109">
        <v>1</v>
      </c>
      <c r="G14" s="103">
        <f t="shared" si="0"/>
        <v>56.803846153846209</v>
      </c>
      <c r="H14" s="102">
        <f t="shared" si="1"/>
        <v>56.803846153846209</v>
      </c>
      <c r="I14" s="65">
        <f>VLOOKUP(B14,All_Ingredients!$A$1:$F$156,6,FALSE())</f>
        <v>1</v>
      </c>
      <c r="J14" s="101">
        <f>VLOOKUP(B14,All_Ingredients!$A$1:$J$156,10,FALSE())</f>
        <v>0</v>
      </c>
      <c r="K14" s="104">
        <f t="shared" si="5"/>
        <v>5.6803846153846212E-2</v>
      </c>
      <c r="L14" s="104">
        <f t="shared" si="6"/>
        <v>0</v>
      </c>
    </row>
    <row r="15" spans="1:33" ht="14.25" customHeight="1" x14ac:dyDescent="0.25">
      <c r="A15" s="1471"/>
      <c r="B15" s="233" t="s">
        <v>99</v>
      </c>
      <c r="C15" s="106" t="s">
        <v>14</v>
      </c>
      <c r="D15" s="107">
        <v>2</v>
      </c>
      <c r="E15" s="201">
        <f t="shared" si="4"/>
        <v>3.7869230769230806</v>
      </c>
      <c r="F15" s="109">
        <v>1</v>
      </c>
      <c r="G15" s="103">
        <f t="shared" si="0"/>
        <v>7.5738461538461612</v>
      </c>
      <c r="H15" s="102">
        <f t="shared" si="1"/>
        <v>7.5738461538461612</v>
      </c>
      <c r="I15" s="65">
        <f>VLOOKUP(B15,All_Ingredients!$A$1:$F$156,6,FALSE())</f>
        <v>1</v>
      </c>
      <c r="J15" s="101">
        <f>VLOOKUP(B15,All_Ingredients!$A$1:$J$156,10,FALSE())</f>
        <v>31</v>
      </c>
      <c r="K15" s="104">
        <f t="shared" si="5"/>
        <v>7.573846153846161E-3</v>
      </c>
      <c r="L15" s="104">
        <f t="shared" si="6"/>
        <v>0.234789230769231</v>
      </c>
    </row>
    <row r="16" spans="1:33" ht="14.25" customHeight="1" x14ac:dyDescent="0.25">
      <c r="A16" s="1471"/>
      <c r="B16" s="233" t="s">
        <v>187</v>
      </c>
      <c r="C16" s="106" t="s">
        <v>14</v>
      </c>
      <c r="D16" s="107">
        <v>25</v>
      </c>
      <c r="E16" s="201">
        <f t="shared" si="4"/>
        <v>3.7869230769230806</v>
      </c>
      <c r="F16" s="109">
        <v>0.75</v>
      </c>
      <c r="G16" s="103">
        <f t="shared" si="0"/>
        <v>94.673076923077019</v>
      </c>
      <c r="H16" s="102">
        <f t="shared" si="1"/>
        <v>71.004807692307764</v>
      </c>
      <c r="I16" s="65">
        <f>VLOOKUP(B16,All_Ingredients!$A$1:$F$156,6,FALSE())</f>
        <v>0.9</v>
      </c>
      <c r="J16" s="101">
        <f>VLOOKUP(B16,All_Ingredients!$A$1:$J$156,10,FALSE())</f>
        <v>2.3199999999999998</v>
      </c>
      <c r="K16" s="104">
        <f t="shared" si="5"/>
        <v>7.8894230769230841E-2</v>
      </c>
      <c r="L16" s="104">
        <f t="shared" si="6"/>
        <v>0.18303461538461555</v>
      </c>
    </row>
    <row r="17" spans="1:31" ht="14.25" customHeight="1" x14ac:dyDescent="0.25">
      <c r="A17" s="1471"/>
      <c r="B17" s="233" t="s">
        <v>179</v>
      </c>
      <c r="C17" s="106" t="s">
        <v>14</v>
      </c>
      <c r="D17" s="107">
        <v>15</v>
      </c>
      <c r="E17" s="201">
        <f t="shared" si="4"/>
        <v>3.7869230769230806</v>
      </c>
      <c r="F17" s="109">
        <v>1</v>
      </c>
      <c r="G17" s="103">
        <f t="shared" si="0"/>
        <v>56.803846153846209</v>
      </c>
      <c r="H17" s="102">
        <f t="shared" si="1"/>
        <v>56.803846153846209</v>
      </c>
      <c r="I17" s="65">
        <f>VLOOKUP(B17,All_Ingredients!$A$1:$F$156,6,FALSE())</f>
        <v>1</v>
      </c>
      <c r="J17" s="101">
        <f>VLOOKUP(B17,All_Ingredients!$A$1:$J$156,10,FALSE())</f>
        <v>2.7</v>
      </c>
      <c r="K17" s="104">
        <f t="shared" si="5"/>
        <v>5.6803846153846212E-2</v>
      </c>
      <c r="L17" s="104">
        <f t="shared" si="6"/>
        <v>0.15337038461538477</v>
      </c>
    </row>
    <row r="18" spans="1:31" ht="14.25" customHeight="1" x14ac:dyDescent="0.25">
      <c r="A18" s="1471"/>
      <c r="B18" s="233" t="s">
        <v>93</v>
      </c>
      <c r="C18" s="106" t="s">
        <v>14</v>
      </c>
      <c r="D18" s="107">
        <v>3</v>
      </c>
      <c r="E18" s="201">
        <f t="shared" si="4"/>
        <v>3.7869230769230806</v>
      </c>
      <c r="F18" s="109">
        <v>1</v>
      </c>
      <c r="G18" s="103">
        <f t="shared" si="0"/>
        <v>11.360769230769241</v>
      </c>
      <c r="H18" s="102">
        <f t="shared" si="1"/>
        <v>11.360769230769241</v>
      </c>
      <c r="I18" s="65">
        <f>VLOOKUP(B18,All_Ingredients!$A$1:$F$156,6,FALSE())</f>
        <v>1</v>
      </c>
      <c r="J18" s="101">
        <f>VLOOKUP(B18,All_Ingredients!$A$1:$J$156,10,FALSE())</f>
        <v>0.74</v>
      </c>
      <c r="K18" s="104">
        <f t="shared" si="5"/>
        <v>1.1360769230769242E-2</v>
      </c>
      <c r="L18" s="104">
        <f t="shared" si="6"/>
        <v>8.406969230769239E-3</v>
      </c>
    </row>
    <row r="19" spans="1:31" ht="14.25" customHeight="1" x14ac:dyDescent="0.25">
      <c r="A19" s="1471"/>
      <c r="B19" s="233" t="s">
        <v>152</v>
      </c>
      <c r="C19" s="106" t="s">
        <v>14</v>
      </c>
      <c r="D19" s="107">
        <v>30</v>
      </c>
      <c r="E19" s="201">
        <f t="shared" si="4"/>
        <v>3.7869230769230806</v>
      </c>
      <c r="F19" s="109">
        <v>1</v>
      </c>
      <c r="G19" s="103">
        <f t="shared" si="0"/>
        <v>113.60769230769242</v>
      </c>
      <c r="H19" s="102">
        <f t="shared" si="1"/>
        <v>113.60769230769242</v>
      </c>
      <c r="I19" s="65">
        <f>VLOOKUP(B19,All_Ingredients!$A$1:$F$156,6,FALSE())</f>
        <v>1</v>
      </c>
      <c r="J19" s="101">
        <f>VLOOKUP(B19,All_Ingredients!$A$1:$J$156,10,FALSE())</f>
        <v>30</v>
      </c>
      <c r="K19" s="104">
        <f t="shared" si="5"/>
        <v>0.11360769230769242</v>
      </c>
      <c r="L19" s="104">
        <f t="shared" si="6"/>
        <v>3.4082307692307725</v>
      </c>
    </row>
    <row r="20" spans="1:31" ht="14.25" customHeight="1" x14ac:dyDescent="0.25">
      <c r="A20" s="1471"/>
      <c r="B20" s="233" t="s">
        <v>97</v>
      </c>
      <c r="C20" s="106" t="s">
        <v>14</v>
      </c>
      <c r="D20" s="107">
        <v>2</v>
      </c>
      <c r="E20" s="201">
        <f t="shared" si="4"/>
        <v>3.7869230769230806</v>
      </c>
      <c r="F20" s="109">
        <v>1</v>
      </c>
      <c r="G20" s="103">
        <f t="shared" si="0"/>
        <v>7.5738461538461612</v>
      </c>
      <c r="H20" s="102">
        <f t="shared" si="1"/>
        <v>7.5738461538461612</v>
      </c>
      <c r="I20" s="65">
        <f>VLOOKUP(B20,All_Ingredients!$A$1:$F$156,6,FALSE())</f>
        <v>1</v>
      </c>
      <c r="J20" s="101">
        <f>VLOOKUP(B20,All_Ingredients!$A$1:$J$156,10,FALSE())</f>
        <v>38</v>
      </c>
      <c r="K20" s="104">
        <f t="shared" si="5"/>
        <v>7.573846153846161E-3</v>
      </c>
      <c r="L20" s="104">
        <f t="shared" si="6"/>
        <v>0.2878061538461541</v>
      </c>
    </row>
    <row r="21" spans="1:31" ht="14.25" customHeight="1" x14ac:dyDescent="0.25">
      <c r="A21" s="1471"/>
      <c r="B21" s="233" t="s">
        <v>103</v>
      </c>
      <c r="C21" s="106" t="s">
        <v>14</v>
      </c>
      <c r="D21" s="107">
        <v>2</v>
      </c>
      <c r="E21" s="201">
        <f t="shared" si="4"/>
        <v>3.7869230769230806</v>
      </c>
      <c r="F21" s="109">
        <v>1</v>
      </c>
      <c r="G21" s="103">
        <f t="shared" si="0"/>
        <v>7.5738461538461612</v>
      </c>
      <c r="H21" s="102">
        <f t="shared" si="1"/>
        <v>7.5738461538461612</v>
      </c>
      <c r="I21" s="65">
        <f>VLOOKUP(B21,All_Ingredients!$A$1:$F$156,6,FALSE())</f>
        <v>1</v>
      </c>
      <c r="J21" s="101">
        <f>VLOOKUP(B21,All_Ingredients!$A$1:$J$156,10,FALSE())</f>
        <v>19</v>
      </c>
      <c r="K21" s="104">
        <f t="shared" si="5"/>
        <v>7.573846153846161E-3</v>
      </c>
      <c r="L21" s="104">
        <f t="shared" si="6"/>
        <v>0.14390307692307705</v>
      </c>
    </row>
    <row r="22" spans="1:31" ht="14.25" customHeight="1" x14ac:dyDescent="0.25">
      <c r="A22" s="1471"/>
      <c r="B22" s="233" t="s">
        <v>124</v>
      </c>
      <c r="C22" s="106" t="s">
        <v>14</v>
      </c>
      <c r="D22" s="107">
        <v>2</v>
      </c>
      <c r="E22" s="201">
        <f t="shared" si="4"/>
        <v>3.7869230769230806</v>
      </c>
      <c r="F22" s="109">
        <v>1</v>
      </c>
      <c r="G22" s="103">
        <f t="shared" si="0"/>
        <v>7.5738461538461612</v>
      </c>
      <c r="H22" s="102">
        <f t="shared" si="1"/>
        <v>7.5738461538461612</v>
      </c>
      <c r="I22" s="65">
        <f>VLOOKUP(B22,All_Ingredients!$A$1:$F$156,6,FALSE())</f>
        <v>1</v>
      </c>
      <c r="J22" s="101">
        <f>VLOOKUP(B22,All_Ingredients!$A$1:$J$156,10,FALSE())</f>
        <v>37</v>
      </c>
      <c r="K22" s="104">
        <f t="shared" si="5"/>
        <v>7.573846153846161E-3</v>
      </c>
      <c r="L22" s="104">
        <f t="shared" si="6"/>
        <v>0.28023230769230795</v>
      </c>
      <c r="U22"/>
    </row>
    <row r="23" spans="1:31" ht="14.25" customHeight="1" x14ac:dyDescent="0.25">
      <c r="A23" s="1471"/>
      <c r="B23" s="233" t="s">
        <v>120</v>
      </c>
      <c r="C23" s="106" t="s">
        <v>14</v>
      </c>
      <c r="D23" s="107">
        <v>2</v>
      </c>
      <c r="E23" s="201">
        <f t="shared" si="4"/>
        <v>3.7869230769230806</v>
      </c>
      <c r="F23" s="109">
        <v>1</v>
      </c>
      <c r="G23" s="103">
        <f t="shared" si="0"/>
        <v>7.5738461538461612</v>
      </c>
      <c r="H23" s="102">
        <f t="shared" si="1"/>
        <v>7.5738461538461612</v>
      </c>
      <c r="I23" s="65">
        <f>VLOOKUP(B23,All_Ingredients!$A$1:$F$156,6,FALSE())</f>
        <v>1</v>
      </c>
      <c r="J23" s="101">
        <f>VLOOKUP(B23,All_Ingredients!$A$1:$J$156,10,FALSE())</f>
        <v>15</v>
      </c>
      <c r="K23" s="104">
        <f t="shared" si="5"/>
        <v>7.573846153846161E-3</v>
      </c>
      <c r="L23" s="104">
        <f t="shared" si="6"/>
        <v>0.11360769230769241</v>
      </c>
    </row>
    <row r="24" spans="1:31" ht="14.25" customHeight="1" x14ac:dyDescent="0.25">
      <c r="A24" s="1471"/>
      <c r="B24" s="233" t="s">
        <v>126</v>
      </c>
      <c r="C24" s="106" t="s">
        <v>14</v>
      </c>
      <c r="D24" s="107">
        <v>2</v>
      </c>
      <c r="E24" s="201">
        <f t="shared" si="4"/>
        <v>3.7869230769230806</v>
      </c>
      <c r="F24" s="109">
        <v>1</v>
      </c>
      <c r="G24" s="103">
        <f t="shared" si="0"/>
        <v>7.5738461538461612</v>
      </c>
      <c r="H24" s="102">
        <f t="shared" si="1"/>
        <v>7.5738461538461612</v>
      </c>
      <c r="I24" s="65">
        <f>VLOOKUP(B24,All_Ingredients!$A$1:$F$156,6,FALSE())</f>
        <v>1</v>
      </c>
      <c r="J24" s="101">
        <f>VLOOKUP(B24,All_Ingredients!$A$1:$J$156,10,FALSE())</f>
        <v>125</v>
      </c>
      <c r="K24" s="104">
        <f t="shared" si="5"/>
        <v>7.573846153846161E-3</v>
      </c>
      <c r="L24" s="104">
        <f t="shared" si="6"/>
        <v>0.94673076923077015</v>
      </c>
      <c r="Z24" s="1073"/>
    </row>
    <row r="25" spans="1:31" ht="14.25" customHeight="1" x14ac:dyDescent="0.25">
      <c r="A25" s="1471"/>
      <c r="B25" s="233" t="s">
        <v>129</v>
      </c>
      <c r="C25" s="106" t="s">
        <v>14</v>
      </c>
      <c r="D25" s="107">
        <v>1</v>
      </c>
      <c r="E25" s="201">
        <f t="shared" si="4"/>
        <v>3.7869230769230806</v>
      </c>
      <c r="F25" s="109">
        <v>1</v>
      </c>
      <c r="G25" s="103">
        <f t="shared" si="0"/>
        <v>3.7869230769230806</v>
      </c>
      <c r="H25" s="102">
        <f t="shared" si="1"/>
        <v>3.7869230769230806</v>
      </c>
      <c r="I25" s="65">
        <f>VLOOKUP(B25,All_Ingredients!$A$1:$F$156,6,FALSE())</f>
        <v>1</v>
      </c>
      <c r="J25" s="101">
        <f>VLOOKUP(B25,All_Ingredients!$A$1:$J$156,10,FALSE())</f>
        <v>31.5</v>
      </c>
      <c r="K25" s="104">
        <f t="shared" si="5"/>
        <v>3.7869230769230805E-3</v>
      </c>
      <c r="L25" s="104">
        <f t="shared" si="6"/>
        <v>0.11928807692307704</v>
      </c>
      <c r="R25" s="1640" t="s">
        <v>296</v>
      </c>
      <c r="S25" s="1633"/>
      <c r="T25" s="1633"/>
      <c r="U25" s="1633"/>
      <c r="Z25" s="122" t="s">
        <v>252</v>
      </c>
      <c r="AA25" s="1072">
        <v>1</v>
      </c>
      <c r="AB25" s="122" t="s">
        <v>249</v>
      </c>
      <c r="AC25" s="1075">
        <f>AE30*AA25</f>
        <v>4.2110516225881543E-2</v>
      </c>
    </row>
    <row r="26" spans="1:31" ht="14.25" customHeight="1" x14ac:dyDescent="0.25">
      <c r="A26" s="1471"/>
      <c r="B26" s="233" t="s">
        <v>93</v>
      </c>
      <c r="C26" s="106" t="s">
        <v>14</v>
      </c>
      <c r="D26" s="107">
        <v>5</v>
      </c>
      <c r="E26" s="201">
        <f t="shared" si="4"/>
        <v>3.7869230769230806</v>
      </c>
      <c r="F26" s="109">
        <v>1</v>
      </c>
      <c r="G26" s="103">
        <f t="shared" si="0"/>
        <v>18.934615384615402</v>
      </c>
      <c r="H26" s="102">
        <f t="shared" si="1"/>
        <v>18.934615384615402</v>
      </c>
      <c r="I26" s="65">
        <f>VLOOKUP(B26,All_Ingredients!$A$1:$F$156,6,FALSE())</f>
        <v>1</v>
      </c>
      <c r="J26" s="101">
        <f>VLOOKUP(B26,All_Ingredients!$A$1:$J$156,10,FALSE())</f>
        <v>0.74</v>
      </c>
      <c r="K26" s="104">
        <f t="shared" si="5"/>
        <v>1.89346153846154E-2</v>
      </c>
      <c r="L26" s="104">
        <f t="shared" si="6"/>
        <v>1.4011615384615397E-2</v>
      </c>
      <c r="R26" s="1638" t="s">
        <v>297</v>
      </c>
      <c r="S26" s="1639"/>
      <c r="T26" s="1639"/>
      <c r="U26" s="1639"/>
      <c r="V26"/>
    </row>
    <row r="27" spans="1:31" ht="14.25" customHeight="1" thickBot="1" x14ac:dyDescent="0.3">
      <c r="A27" s="1471" t="s">
        <v>907</v>
      </c>
      <c r="B27" s="233" t="s">
        <v>727</v>
      </c>
      <c r="C27" s="106" t="s">
        <v>14</v>
      </c>
      <c r="D27" s="107">
        <v>5</v>
      </c>
      <c r="E27" s="201">
        <f t="shared" si="4"/>
        <v>3.7869230769230806</v>
      </c>
      <c r="F27" s="109">
        <v>1</v>
      </c>
      <c r="G27" s="103">
        <f t="shared" si="0"/>
        <v>18.934615384615402</v>
      </c>
      <c r="H27" s="102">
        <f t="shared" si="1"/>
        <v>18.934615384615402</v>
      </c>
      <c r="I27" s="65">
        <f>VLOOKUP(B27,All_Ingredients!$A$1:$F$156,6,FALSE())</f>
        <v>1</v>
      </c>
      <c r="J27" s="101">
        <f>VLOOKUP(B27,All_Ingredients!$A$1:$J$156,10,FALSE())</f>
        <v>10.5</v>
      </c>
      <c r="K27" s="104">
        <f t="shared" si="5"/>
        <v>1.89346153846154E-2</v>
      </c>
      <c r="L27" s="104">
        <f t="shared" si="6"/>
        <v>0.19881346153846172</v>
      </c>
      <c r="R27" s="126" t="s">
        <v>254</v>
      </c>
      <c r="S27" s="127" t="s">
        <v>298</v>
      </c>
      <c r="T27" s="127" t="s">
        <v>256</v>
      </c>
      <c r="U27" s="127" t="s">
        <v>257</v>
      </c>
      <c r="V27" s="127" t="s">
        <v>779</v>
      </c>
      <c r="Z27" s="122" t="s">
        <v>258</v>
      </c>
      <c r="AA27" s="128" t="s">
        <v>259</v>
      </c>
      <c r="AB27" s="128" t="s">
        <v>260</v>
      </c>
      <c r="AC27" s="128" t="s">
        <v>261</v>
      </c>
      <c r="AD27" s="1032" t="s">
        <v>779</v>
      </c>
      <c r="AE27" s="128" t="s">
        <v>262</v>
      </c>
    </row>
    <row r="28" spans="1:31" ht="14.25" customHeight="1" thickBot="1" x14ac:dyDescent="0.3">
      <c r="B28" s="199" t="s">
        <v>207</v>
      </c>
      <c r="C28" s="106" t="s">
        <v>160</v>
      </c>
      <c r="D28" s="995">
        <v>300</v>
      </c>
      <c r="E28" s="201">
        <f t="shared" si="4"/>
        <v>3.7869230769230806</v>
      </c>
      <c r="F28" s="109">
        <v>1</v>
      </c>
      <c r="G28" s="103">
        <f t="shared" ref="G28" si="7">D28*E28</f>
        <v>1136.0769230769242</v>
      </c>
      <c r="H28" s="102">
        <f t="shared" ref="H28" si="8">G28*F28</f>
        <v>1136.0769230769242</v>
      </c>
      <c r="I28" s="65">
        <f>VLOOKUP(B28,All_Ingredients!$A$1:$F$156,6,FALSE())</f>
        <v>1</v>
      </c>
      <c r="J28" s="101">
        <f>VLOOKUP(B28,All_Ingredients!$A$1:$J$156,10,FALSE())</f>
        <v>0</v>
      </c>
      <c r="K28" s="104">
        <f t="shared" ref="K28" si="9">(H28/I28)/1000</f>
        <v>1.1360769230769243</v>
      </c>
      <c r="L28" s="104">
        <f t="shared" ref="L28" si="10">K28*J28</f>
        <v>0</v>
      </c>
      <c r="R28" s="129" t="s">
        <v>263</v>
      </c>
      <c r="S28" s="1215">
        <f>U28*S40</f>
        <v>12623.07692307692</v>
      </c>
      <c r="T28" s="1215">
        <f>U28*U40</f>
        <v>3786.9230769230808</v>
      </c>
      <c r="U28" s="1186">
        <f>$Z$1</f>
        <v>16410</v>
      </c>
      <c r="V28" s="130">
        <f>G37</f>
        <v>0</v>
      </c>
      <c r="Z28" s="132"/>
      <c r="AA28" s="133">
        <f>AA25*$S$40</f>
        <v>0.76923076923076905</v>
      </c>
      <c r="AB28" s="133">
        <f>AA25*U40</f>
        <v>0.230769230769231</v>
      </c>
      <c r="AC28" s="134"/>
      <c r="AD28" s="1034"/>
      <c r="AE28" s="135">
        <f>SUM(AA28:AC28)</f>
        <v>1</v>
      </c>
    </row>
    <row r="29" spans="1:31" ht="14.25" customHeight="1" thickBot="1" x14ac:dyDescent="0.3">
      <c r="R29" s="129" t="s">
        <v>264</v>
      </c>
      <c r="S29" s="1218"/>
      <c r="T29" s="690"/>
      <c r="U29" s="1215">
        <f>T29</f>
        <v>0</v>
      </c>
      <c r="V29" s="130"/>
      <c r="Z29" s="132"/>
      <c r="AA29" s="1067">
        <f>AA28/$AE$28</f>
        <v>0.76923076923076905</v>
      </c>
      <c r="AB29" s="1067">
        <f>AB28/$AE$28</f>
        <v>0.230769230769231</v>
      </c>
      <c r="AC29" s="137"/>
      <c r="AD29" s="1038"/>
      <c r="AE29" s="137">
        <f>AE28/$AE$28</f>
        <v>1</v>
      </c>
    </row>
    <row r="30" spans="1:31" ht="14.25" customHeight="1" thickBot="1" x14ac:dyDescent="0.3">
      <c r="R30" s="129" t="s">
        <v>265</v>
      </c>
      <c r="S30" s="1214">
        <f>U30*S40</f>
        <v>0</v>
      </c>
      <c r="T30" s="1215">
        <f>U30*U40</f>
        <v>0</v>
      </c>
      <c r="U30" s="1227">
        <f>$AB$1</f>
        <v>0</v>
      </c>
      <c r="V30" s="989"/>
      <c r="Z30" s="122" t="s">
        <v>266</v>
      </c>
      <c r="AA30" s="138">
        <f>S35/(S32)</f>
        <v>5.1198257080610009E-2</v>
      </c>
      <c r="AB30" s="139">
        <f>T35/T32</f>
        <v>1.1818046710120024E-2</v>
      </c>
      <c r="AC30" s="139"/>
      <c r="AD30" s="1044">
        <f>V35/U32</f>
        <v>3.3075516804950083E-5</v>
      </c>
      <c r="AE30" s="994">
        <f>SUMPRODUCT(AA30:AC30,AA29:AC29)</f>
        <v>4.2110516225881543E-2</v>
      </c>
    </row>
    <row r="31" spans="1:31" ht="14.25" customHeight="1" thickBot="1" x14ac:dyDescent="0.3">
      <c r="R31" s="129" t="s">
        <v>267</v>
      </c>
      <c r="S31" s="136"/>
      <c r="T31" s="130"/>
      <c r="U31" s="130"/>
      <c r="V31" s="130"/>
    </row>
    <row r="32" spans="1:31" ht="14.25" customHeight="1" thickBot="1" x14ac:dyDescent="0.3">
      <c r="R32" s="141" t="s">
        <v>257</v>
      </c>
      <c r="S32" s="130">
        <f>SUM(S28:S30)</f>
        <v>12623.07692307692</v>
      </c>
      <c r="T32" s="130">
        <f>SUM(T28:T30)</f>
        <v>3786.9230769230808</v>
      </c>
      <c r="U32" s="130">
        <f>SUM(U28:U30)</f>
        <v>16410</v>
      </c>
      <c r="V32" s="130">
        <f>SUM(V28:V30)</f>
        <v>0</v>
      </c>
    </row>
    <row r="33" spans="2:24" ht="14.25" customHeight="1" thickBot="1" x14ac:dyDescent="0.3">
      <c r="R33" s="142" t="s">
        <v>268</v>
      </c>
      <c r="S33" s="136"/>
      <c r="T33" s="136"/>
      <c r="U33" s="136"/>
      <c r="V33" s="136"/>
    </row>
    <row r="34" spans="2:24" ht="14.25" customHeight="1" thickBot="1" x14ac:dyDescent="0.3">
      <c r="R34" s="143" t="s">
        <v>269</v>
      </c>
      <c r="S34" s="136"/>
      <c r="T34" s="130"/>
      <c r="U34" s="136"/>
      <c r="V34" s="136"/>
    </row>
    <row r="35" spans="2:24" ht="20.25" customHeight="1" thickBot="1" x14ac:dyDescent="0.3">
      <c r="B35" s="1648" t="s">
        <v>631</v>
      </c>
      <c r="C35" s="1649"/>
      <c r="D35" s="1649"/>
      <c r="E35" s="1649"/>
      <c r="F35" s="1650"/>
      <c r="G35" s="803"/>
      <c r="H35" s="803"/>
      <c r="I35" s="803"/>
      <c r="J35" s="803"/>
      <c r="K35" s="803"/>
      <c r="L35" s="803"/>
      <c r="R35" s="144" t="s">
        <v>249</v>
      </c>
      <c r="S35" s="145">
        <f>$L$5</f>
        <v>646.27953745600769</v>
      </c>
      <c r="T35" s="145">
        <f>SUM(L6:L25)</f>
        <v>44.754033810708414</v>
      </c>
      <c r="U35" s="1077">
        <f>S35+T35</f>
        <v>691.03357126671608</v>
      </c>
      <c r="V35" s="1049">
        <f>SUM(L37)</f>
        <v>0.54276923076923089</v>
      </c>
    </row>
    <row r="36" spans="2:24" ht="24" customHeight="1" x14ac:dyDescent="0.25">
      <c r="B36" s="776" t="s">
        <v>241</v>
      </c>
      <c r="C36" s="776" t="s">
        <v>317</v>
      </c>
      <c r="D36" s="778" t="s">
        <v>622</v>
      </c>
      <c r="E36" s="775" t="s">
        <v>623</v>
      </c>
      <c r="F36" s="778" t="s">
        <v>624</v>
      </c>
      <c r="G36" s="797"/>
      <c r="H36" s="778" t="s">
        <v>624</v>
      </c>
      <c r="I36" s="778" t="s">
        <v>246</v>
      </c>
      <c r="J36" s="778" t="s">
        <v>247</v>
      </c>
      <c r="K36" s="778" t="s">
        <v>248</v>
      </c>
      <c r="L36" s="778" t="s">
        <v>249</v>
      </c>
    </row>
    <row r="37" spans="2:24" x14ac:dyDescent="0.25">
      <c r="B37" s="772" t="s">
        <v>686</v>
      </c>
      <c r="C37" s="773" t="s">
        <v>14</v>
      </c>
      <c r="D37" s="774">
        <v>7.0000000000000007E-2</v>
      </c>
      <c r="E37" s="772">
        <f>$AD$1</f>
        <v>112</v>
      </c>
      <c r="F37" s="772">
        <f>D37*E37</f>
        <v>7.8400000000000007</v>
      </c>
      <c r="G37" s="796"/>
      <c r="H37" s="772">
        <f>F37</f>
        <v>7.8400000000000007</v>
      </c>
      <c r="I37" s="772">
        <f>VLOOKUP(B37,All_Ingredients!$A$1:$F$156,6,FALSE())</f>
        <v>0.65</v>
      </c>
      <c r="J37" s="772">
        <f>VLOOKUP(B37,All_Ingredients!$A$1:$J$156,10,FALSE())</f>
        <v>45</v>
      </c>
      <c r="K37" s="772">
        <f>(H37/I37)/1000</f>
        <v>1.2061538461538464E-2</v>
      </c>
      <c r="L37" s="772">
        <f t="shared" ref="L37" si="11">K37*J37</f>
        <v>0.54276923076923089</v>
      </c>
      <c r="S37" s="234"/>
    </row>
    <row r="38" spans="2:24" x14ac:dyDescent="0.25">
      <c r="B38" s="772" t="s">
        <v>110</v>
      </c>
      <c r="C38" s="773" t="s">
        <v>14</v>
      </c>
      <c r="D38" s="774">
        <v>0.05</v>
      </c>
      <c r="E38" s="772">
        <f>$AD$1</f>
        <v>112</v>
      </c>
      <c r="F38" s="772">
        <f>D38*E38</f>
        <v>5.6000000000000005</v>
      </c>
      <c r="G38" s="796"/>
      <c r="H38" s="772">
        <f>F38</f>
        <v>5.6000000000000005</v>
      </c>
      <c r="I38" s="772">
        <f>VLOOKUP(B38,All_Ingredients!$A$1:$F$156,6,FALSE())</f>
        <v>1</v>
      </c>
      <c r="J38" s="772">
        <f>VLOOKUP(B38,All_Ingredients!$A$1:$J$156,10,FALSE())</f>
        <v>64.243759177679877</v>
      </c>
      <c r="K38" s="772">
        <f>(H38/I38)/1000</f>
        <v>5.6000000000000008E-3</v>
      </c>
      <c r="L38" s="772">
        <f t="shared" ref="L38" si="12">K38*J38</f>
        <v>0.35976505139500736</v>
      </c>
    </row>
    <row r="40" spans="2:24" ht="16.5" customHeight="1" x14ac:dyDescent="0.25">
      <c r="B40" s="347"/>
      <c r="C40" s="324"/>
      <c r="D40" s="241"/>
      <c r="E40" s="347"/>
      <c r="F40" s="347"/>
      <c r="G40" s="241"/>
      <c r="H40" s="53"/>
      <c r="R40" s="146" t="s">
        <v>270</v>
      </c>
      <c r="S40" s="147">
        <v>0.76923076923076905</v>
      </c>
      <c r="T40" s="146" t="s">
        <v>271</v>
      </c>
      <c r="U40" s="148">
        <v>0.230769230769231</v>
      </c>
      <c r="V40" s="149">
        <f>S40+U40</f>
        <v>1</v>
      </c>
    </row>
    <row r="41" spans="2:24" ht="14.25" customHeight="1" x14ac:dyDescent="0.25">
      <c r="U41" s="150"/>
    </row>
    <row r="43" spans="2:24" ht="14.25" customHeight="1" x14ac:dyDescent="0.25">
      <c r="Q43" s="151" t="s">
        <v>272</v>
      </c>
      <c r="R43" s="151" t="s">
        <v>273</v>
      </c>
      <c r="S43" s="151" t="s">
        <v>274</v>
      </c>
      <c r="T43" s="151" t="s">
        <v>275</v>
      </c>
      <c r="U43" s="151" t="s">
        <v>276</v>
      </c>
      <c r="V43" s="151" t="s">
        <v>277</v>
      </c>
      <c r="W43" s="235" t="s">
        <v>278</v>
      </c>
      <c r="X43" s="236"/>
    </row>
    <row r="44" spans="2:24" ht="14.25" customHeight="1" x14ac:dyDescent="0.25">
      <c r="Q44" s="153">
        <v>43334</v>
      </c>
      <c r="R44" s="154">
        <f>D51</f>
        <v>10000</v>
      </c>
      <c r="S44" s="155">
        <v>1</v>
      </c>
      <c r="T44" s="155">
        <v>0</v>
      </c>
      <c r="U44" s="220">
        <f>R44*S44</f>
        <v>10000</v>
      </c>
      <c r="V44" s="157">
        <f>R44*T44</f>
        <v>0</v>
      </c>
      <c r="W44" s="237">
        <f>Q44-U44</f>
        <v>33334</v>
      </c>
      <c r="X44" s="238"/>
    </row>
    <row r="50" spans="1:10" x14ac:dyDescent="0.25">
      <c r="B50" s="126"/>
      <c r="C50" s="126" t="s">
        <v>233</v>
      </c>
      <c r="D50" s="126" t="s">
        <v>279</v>
      </c>
      <c r="E50" s="84"/>
      <c r="F50" s="84"/>
      <c r="G50" s="126" t="s">
        <v>280</v>
      </c>
      <c r="H50" s="126" t="s">
        <v>233</v>
      </c>
      <c r="I50" s="126" t="s">
        <v>281</v>
      </c>
      <c r="J50" s="126" t="s">
        <v>282</v>
      </c>
    </row>
    <row r="51" spans="1:10" x14ac:dyDescent="0.25">
      <c r="B51" s="161" t="s">
        <v>283</v>
      </c>
      <c r="C51" s="162">
        <f>10/$K$1</f>
        <v>10</v>
      </c>
      <c r="D51" s="163">
        <f>$C$1*10</f>
        <v>10000</v>
      </c>
      <c r="E51" s="164"/>
      <c r="F51" s="84"/>
      <c r="G51" s="161" t="s">
        <v>283</v>
      </c>
      <c r="H51" s="162">
        <f>I51/$D$5</f>
        <v>10</v>
      </c>
      <c r="I51" s="162">
        <f>J51/$R$1</f>
        <v>65360.784313725489</v>
      </c>
      <c r="J51" s="162">
        <f>$W$44</f>
        <v>33334</v>
      </c>
    </row>
    <row r="52" spans="1:10" x14ac:dyDescent="0.25">
      <c r="B52" s="209" t="s">
        <v>262</v>
      </c>
      <c r="C52" s="210">
        <f>$I$1</f>
        <v>3.7869230769230806</v>
      </c>
      <c r="D52" s="211">
        <f>$E$1</f>
        <v>3786.9230769230808</v>
      </c>
      <c r="E52" s="164"/>
      <c r="F52" s="84"/>
      <c r="G52" s="129" t="s">
        <v>262</v>
      </c>
      <c r="H52" s="157">
        <f>I52/$D$5</f>
        <v>3.7868473399762763</v>
      </c>
      <c r="I52" s="157">
        <f>J52/$R$1</f>
        <v>24751.13122171945</v>
      </c>
      <c r="J52" s="165">
        <f>$S$32</f>
        <v>12623.07692307692</v>
      </c>
    </row>
    <row r="53" spans="1:10" x14ac:dyDescent="0.25">
      <c r="B53" s="209" t="s">
        <v>284</v>
      </c>
      <c r="C53" s="212">
        <f>MIN($C$52, $C$51)</f>
        <v>3.7869230769230806</v>
      </c>
      <c r="D53" s="211">
        <f>(C53*$K$1)*$C$1</f>
        <v>3786.9230769230808</v>
      </c>
      <c r="E53" s="84"/>
      <c r="F53" s="84"/>
      <c r="G53" s="129" t="s">
        <v>284</v>
      </c>
      <c r="H53" s="168">
        <f>MIN(H52,H51)</f>
        <v>3.7868473399762763</v>
      </c>
      <c r="I53" s="157">
        <f>J53/$R$1</f>
        <v>24751.13122171945</v>
      </c>
      <c r="J53" s="157">
        <f>MIN(J52,J51)</f>
        <v>12623.07692307692</v>
      </c>
    </row>
    <row r="54" spans="1:10" x14ac:dyDescent="0.25">
      <c r="B54" s="209" t="s">
        <v>285</v>
      </c>
      <c r="C54" s="212">
        <f>MIN(MAX($C$53-C52-C53,0),C51)</f>
        <v>0</v>
      </c>
      <c r="D54" s="211">
        <f>(C54*$K$1)*$C$1</f>
        <v>0</v>
      </c>
      <c r="E54" s="84"/>
      <c r="F54" s="84"/>
      <c r="G54" s="129" t="s">
        <v>285</v>
      </c>
      <c r="H54" s="168">
        <f>MIN(MAX(H52-H53),H51)</f>
        <v>0</v>
      </c>
      <c r="I54" s="157">
        <f>J54/$R$1</f>
        <v>0</v>
      </c>
      <c r="J54" s="157">
        <f>MIN(MAX(J52-J53),J51)</f>
        <v>0</v>
      </c>
    </row>
    <row r="55" spans="1:10" x14ac:dyDescent="0.25">
      <c r="B55" s="209" t="s">
        <v>286</v>
      </c>
      <c r="C55" s="212">
        <f>MIN(MAX($C$52-C53-C54,0),C51)</f>
        <v>0</v>
      </c>
      <c r="D55" s="211">
        <f>(C55*$K$1)*$C$1</f>
        <v>0</v>
      </c>
      <c r="E55" s="84"/>
      <c r="F55" s="84"/>
      <c r="G55" s="126" t="s">
        <v>286</v>
      </c>
      <c r="H55" s="168">
        <f>MIN(MAX(H52-H53-H54),H51)</f>
        <v>0</v>
      </c>
      <c r="I55" s="157">
        <f>J55/$R$1</f>
        <v>0</v>
      </c>
      <c r="J55" s="157">
        <f>MIN(MAX(J52-J53-J54),J51)</f>
        <v>0</v>
      </c>
    </row>
    <row r="61" spans="1:10" ht="14.25" customHeight="1" x14ac:dyDescent="0.25"/>
    <row r="62" spans="1:10" ht="18" customHeight="1" x14ac:dyDescent="0.25">
      <c r="A62" s="1473"/>
      <c r="B62" s="1642" t="str">
        <f>"بيف شيلي دراي الدفعة 1  / " &amp; COUNTIF($C$53:$C$55, "&gt;0")</f>
        <v>بيف شيلي دراي الدفعة 1  / 1</v>
      </c>
      <c r="C62" s="1642"/>
      <c r="D62" s="1642"/>
      <c r="E62" s="1642"/>
      <c r="F62" s="1642"/>
      <c r="G62" s="1642"/>
      <c r="H62" s="1642"/>
    </row>
    <row r="63" spans="1:10" ht="18" customHeight="1" x14ac:dyDescent="0.25">
      <c r="A63" s="1473"/>
      <c r="B63" s="1636" t="str">
        <f>"Beef Chili Dry 1 / " &amp; COUNTIF($C$53:$C$55, "&gt;0")</f>
        <v>Beef Chili Dry 1 / 1</v>
      </c>
      <c r="C63" s="1636"/>
      <c r="D63" s="1636"/>
      <c r="E63" s="1636"/>
      <c r="F63" s="1636"/>
      <c r="G63" s="1636"/>
      <c r="H63" s="1636"/>
    </row>
    <row r="64" spans="1:10" ht="48" customHeight="1" x14ac:dyDescent="0.2">
      <c r="A64" s="1587"/>
      <c r="B64" s="75" t="s">
        <v>241</v>
      </c>
      <c r="C64" s="90" t="s">
        <v>242</v>
      </c>
      <c r="D64" s="75" t="s">
        <v>231</v>
      </c>
      <c r="E64" s="91" t="s">
        <v>234</v>
      </c>
      <c r="F64" s="91" t="s">
        <v>243</v>
      </c>
      <c r="G64" s="75" t="s">
        <v>244</v>
      </c>
      <c r="H64" s="92" t="s">
        <v>245</v>
      </c>
    </row>
    <row r="65" spans="1:8" ht="18" customHeight="1" x14ac:dyDescent="0.25">
      <c r="A65" s="1471"/>
      <c r="B65" s="105" t="str">
        <f t="shared" ref="B65:D88" si="13">B5</f>
        <v>Indian Meat Alana  - لحم هندى ألانا</v>
      </c>
      <c r="C65" s="105" t="str">
        <f t="shared" si="13"/>
        <v>gm</v>
      </c>
      <c r="D65" s="240">
        <f t="shared" si="13"/>
        <v>6536.0784313725489</v>
      </c>
      <c r="E65" s="108">
        <f>H53</f>
        <v>3.7868473399762763</v>
      </c>
      <c r="F65" s="109">
        <f t="shared" ref="F65:F88" si="14">F5</f>
        <v>1</v>
      </c>
      <c r="G65" s="99">
        <f t="shared" ref="G65:G87" si="15">D65*E65</f>
        <v>24751.13122171945</v>
      </c>
      <c r="H65" s="102">
        <f t="shared" ref="H65:H87" si="16">G65*F65</f>
        <v>24751.13122171945</v>
      </c>
    </row>
    <row r="66" spans="1:8" x14ac:dyDescent="0.25">
      <c r="A66" s="1471" t="s">
        <v>905</v>
      </c>
      <c r="B66" s="105" t="str">
        <f t="shared" si="13"/>
        <v>Onion - بصل</v>
      </c>
      <c r="C66" s="105" t="str">
        <f t="shared" si="13"/>
        <v>gm</v>
      </c>
      <c r="D66" s="105">
        <f t="shared" si="13"/>
        <v>150</v>
      </c>
      <c r="E66" s="108">
        <f t="shared" ref="E66:E88" si="17">$C$53</f>
        <v>3.7869230769230806</v>
      </c>
      <c r="F66" s="109">
        <f t="shared" si="14"/>
        <v>0.95</v>
      </c>
      <c r="G66" s="99">
        <f t="shared" si="15"/>
        <v>568.03846153846212</v>
      </c>
      <c r="H66" s="102">
        <f t="shared" si="16"/>
        <v>539.63653846153898</v>
      </c>
    </row>
    <row r="67" spans="1:8" ht="14.25" customHeight="1" x14ac:dyDescent="0.25">
      <c r="A67" s="1471" t="s">
        <v>919</v>
      </c>
      <c r="B67" s="105" t="str">
        <f t="shared" si="13"/>
        <v>Green Bell Pepper - فلفل أخضر رومى</v>
      </c>
      <c r="C67" s="105" t="str">
        <f t="shared" si="13"/>
        <v>gm</v>
      </c>
      <c r="D67" s="105">
        <f t="shared" si="13"/>
        <v>300</v>
      </c>
      <c r="E67" s="108">
        <f t="shared" si="17"/>
        <v>3.7869230769230806</v>
      </c>
      <c r="F67" s="109">
        <f t="shared" si="14"/>
        <v>0.95</v>
      </c>
      <c r="G67" s="99">
        <f t="shared" si="15"/>
        <v>1136.0769230769242</v>
      </c>
      <c r="H67" s="102">
        <f t="shared" si="16"/>
        <v>1079.273076923078</v>
      </c>
    </row>
    <row r="68" spans="1:8" ht="14.25" customHeight="1" x14ac:dyDescent="0.25">
      <c r="A68" s="1471" t="s">
        <v>906</v>
      </c>
      <c r="B68" s="105" t="str">
        <f t="shared" si="13"/>
        <v>Ginger - زنجبيل</v>
      </c>
      <c r="C68" s="105" t="str">
        <f t="shared" si="13"/>
        <v>gm</v>
      </c>
      <c r="D68" s="105">
        <f t="shared" si="13"/>
        <v>50</v>
      </c>
      <c r="E68" s="108">
        <f t="shared" si="17"/>
        <v>3.7869230769230806</v>
      </c>
      <c r="F68" s="109">
        <f t="shared" si="14"/>
        <v>1</v>
      </c>
      <c r="G68" s="99">
        <f t="shared" si="15"/>
        <v>189.34615384615404</v>
      </c>
      <c r="H68" s="102">
        <f t="shared" si="16"/>
        <v>189.34615384615404</v>
      </c>
    </row>
    <row r="69" spans="1:8" ht="14.25" customHeight="1" x14ac:dyDescent="0.25">
      <c r="A69" s="1471" t="s">
        <v>907</v>
      </c>
      <c r="B69" s="105" t="str">
        <f t="shared" si="13"/>
        <v>Garlic - ثوم مقشر</v>
      </c>
      <c r="C69" s="105" t="str">
        <f t="shared" si="13"/>
        <v>gm</v>
      </c>
      <c r="D69" s="105">
        <f t="shared" si="13"/>
        <v>50</v>
      </c>
      <c r="E69" s="108">
        <f t="shared" si="17"/>
        <v>3.7869230769230806</v>
      </c>
      <c r="F69" s="109">
        <f t="shared" si="14"/>
        <v>1</v>
      </c>
      <c r="G69" s="99">
        <f t="shared" si="15"/>
        <v>189.34615384615404</v>
      </c>
      <c r="H69" s="102">
        <f t="shared" si="16"/>
        <v>189.34615384615404</v>
      </c>
    </row>
    <row r="70" spans="1:8" ht="14.25" customHeight="1" x14ac:dyDescent="0.25">
      <c r="A70" s="1471"/>
      <c r="B70" s="105" t="str">
        <f t="shared" si="13"/>
        <v>Sriracha Sauce - صوص سريراتشا</v>
      </c>
      <c r="C70" s="105" t="str">
        <f t="shared" si="13"/>
        <v>ml</v>
      </c>
      <c r="D70" s="105">
        <f t="shared" si="13"/>
        <v>50</v>
      </c>
      <c r="E70" s="108">
        <f t="shared" si="17"/>
        <v>3.7869230769230806</v>
      </c>
      <c r="F70" s="109">
        <f t="shared" si="14"/>
        <v>0.75</v>
      </c>
      <c r="G70" s="99">
        <f t="shared" si="15"/>
        <v>189.34615384615404</v>
      </c>
      <c r="H70" s="102">
        <f t="shared" si="16"/>
        <v>142.00961538461553</v>
      </c>
    </row>
    <row r="71" spans="1:8" ht="14.25" customHeight="1" x14ac:dyDescent="0.25">
      <c r="A71" s="1471"/>
      <c r="B71" s="105" t="str">
        <f t="shared" si="13"/>
        <v>Light Soy Sauce - صويا صوص خفيف</v>
      </c>
      <c r="C71" s="105" t="str">
        <f t="shared" si="13"/>
        <v>ml</v>
      </c>
      <c r="D71" s="105">
        <f t="shared" si="13"/>
        <v>40</v>
      </c>
      <c r="E71" s="108">
        <f t="shared" si="17"/>
        <v>3.7869230769230806</v>
      </c>
      <c r="F71" s="109">
        <f t="shared" si="14"/>
        <v>0.75</v>
      </c>
      <c r="G71" s="99">
        <f t="shared" si="15"/>
        <v>151.47692307692321</v>
      </c>
      <c r="H71" s="102">
        <f t="shared" si="16"/>
        <v>113.60769230769242</v>
      </c>
    </row>
    <row r="72" spans="1:8" ht="14.25" customHeight="1" x14ac:dyDescent="0.25">
      <c r="A72" s="1471"/>
      <c r="B72" s="105" t="str">
        <f t="shared" si="13"/>
        <v>Oyster Sauce - صوص محار</v>
      </c>
      <c r="C72" s="105" t="str">
        <f t="shared" si="13"/>
        <v>ml</v>
      </c>
      <c r="D72" s="105">
        <f t="shared" si="13"/>
        <v>200</v>
      </c>
      <c r="E72" s="108">
        <f t="shared" si="17"/>
        <v>3.7869230769230806</v>
      </c>
      <c r="F72" s="109">
        <f t="shared" si="14"/>
        <v>0.95</v>
      </c>
      <c r="G72" s="99">
        <f t="shared" si="15"/>
        <v>757.38461538461615</v>
      </c>
      <c r="H72" s="102">
        <f t="shared" si="16"/>
        <v>719.5153846153853</v>
      </c>
    </row>
    <row r="73" spans="1:8" ht="14.25" customHeight="1" x14ac:dyDescent="0.25">
      <c r="A73" s="1471"/>
      <c r="B73" s="105" t="str">
        <f t="shared" si="13"/>
        <v>Sweet Soy Sauce - صويا صوص حلو</v>
      </c>
      <c r="C73" s="105" t="str">
        <f t="shared" si="13"/>
        <v>ml</v>
      </c>
      <c r="D73" s="105">
        <f t="shared" si="13"/>
        <v>50</v>
      </c>
      <c r="E73" s="108">
        <f t="shared" si="17"/>
        <v>3.7869230769230806</v>
      </c>
      <c r="F73" s="109">
        <f t="shared" si="14"/>
        <v>0.95</v>
      </c>
      <c r="G73" s="99">
        <f t="shared" si="15"/>
        <v>189.34615384615404</v>
      </c>
      <c r="H73" s="102">
        <f t="shared" si="16"/>
        <v>179.87884615384633</v>
      </c>
    </row>
    <row r="74" spans="1:8" ht="14.25" customHeight="1" x14ac:dyDescent="0.25">
      <c r="A74" s="1471"/>
      <c r="B74" s="105" t="str">
        <f t="shared" si="13"/>
        <v>Water - ماء</v>
      </c>
      <c r="C74" s="105" t="str">
        <f t="shared" si="13"/>
        <v>ml</v>
      </c>
      <c r="D74" s="105">
        <f t="shared" si="13"/>
        <v>15</v>
      </c>
      <c r="E74" s="108">
        <f t="shared" si="17"/>
        <v>3.7869230769230806</v>
      </c>
      <c r="F74" s="109">
        <f t="shared" si="14"/>
        <v>1</v>
      </c>
      <c r="G74" s="99">
        <f t="shared" si="15"/>
        <v>56.803846153846209</v>
      </c>
      <c r="H74" s="102">
        <f t="shared" si="16"/>
        <v>56.803846153846209</v>
      </c>
    </row>
    <row r="75" spans="1:8" ht="14.25" customHeight="1" x14ac:dyDescent="0.25">
      <c r="A75" s="1471"/>
      <c r="B75" s="105" t="str">
        <f t="shared" si="13"/>
        <v>Black Pepper Powder - فلفل أسود مطحون</v>
      </c>
      <c r="C75" s="105" t="str">
        <f t="shared" si="13"/>
        <v>gm</v>
      </c>
      <c r="D75" s="105">
        <f t="shared" si="13"/>
        <v>2</v>
      </c>
      <c r="E75" s="108">
        <f t="shared" si="17"/>
        <v>3.7869230769230806</v>
      </c>
      <c r="F75" s="109">
        <f t="shared" si="14"/>
        <v>1</v>
      </c>
      <c r="G75" s="99">
        <f t="shared" si="15"/>
        <v>7.5738461538461612</v>
      </c>
      <c r="H75" s="102">
        <f t="shared" si="16"/>
        <v>7.5738461538461612</v>
      </c>
    </row>
    <row r="76" spans="1:8" ht="14.25" customHeight="1" x14ac:dyDescent="0.25">
      <c r="A76" s="1471"/>
      <c r="B76" s="105" t="str">
        <f t="shared" si="13"/>
        <v>Corn Starch - نشا ذرة</v>
      </c>
      <c r="C76" s="105" t="str">
        <f t="shared" si="13"/>
        <v>gm</v>
      </c>
      <c r="D76" s="105">
        <f t="shared" si="13"/>
        <v>25</v>
      </c>
      <c r="E76" s="108">
        <f t="shared" si="17"/>
        <v>3.7869230769230806</v>
      </c>
      <c r="F76" s="109">
        <f t="shared" si="14"/>
        <v>0.75</v>
      </c>
      <c r="G76" s="99">
        <f t="shared" si="15"/>
        <v>94.673076923077019</v>
      </c>
      <c r="H76" s="102">
        <f t="shared" si="16"/>
        <v>71.004807692307764</v>
      </c>
    </row>
    <row r="77" spans="1:8" ht="14.25" customHeight="1" x14ac:dyDescent="0.25">
      <c r="A77" s="1471"/>
      <c r="B77" s="105" t="str">
        <f t="shared" si="13"/>
        <v>Sugar - سكر</v>
      </c>
      <c r="C77" s="105" t="str">
        <f t="shared" si="13"/>
        <v>gm</v>
      </c>
      <c r="D77" s="105">
        <f t="shared" si="13"/>
        <v>15</v>
      </c>
      <c r="E77" s="108">
        <f t="shared" si="17"/>
        <v>3.7869230769230806</v>
      </c>
      <c r="F77" s="109">
        <f t="shared" si="14"/>
        <v>1</v>
      </c>
      <c r="G77" s="99">
        <f t="shared" si="15"/>
        <v>56.803846153846209</v>
      </c>
      <c r="H77" s="102">
        <f t="shared" si="16"/>
        <v>56.803846153846209</v>
      </c>
    </row>
    <row r="78" spans="1:8" ht="14.25" customHeight="1" x14ac:dyDescent="0.25">
      <c r="A78" s="1471"/>
      <c r="B78" s="105" t="str">
        <f t="shared" si="13"/>
        <v>Salt - ملح</v>
      </c>
      <c r="C78" s="105" t="str">
        <f t="shared" si="13"/>
        <v>gm</v>
      </c>
      <c r="D78" s="105">
        <f t="shared" si="13"/>
        <v>3</v>
      </c>
      <c r="E78" s="108">
        <f t="shared" si="17"/>
        <v>3.7869230769230806</v>
      </c>
      <c r="F78" s="109">
        <f t="shared" si="14"/>
        <v>1</v>
      </c>
      <c r="G78" s="99">
        <f t="shared" si="15"/>
        <v>11.360769230769241</v>
      </c>
      <c r="H78" s="102">
        <f t="shared" si="16"/>
        <v>11.360769230769241</v>
      </c>
    </row>
    <row r="79" spans="1:8" ht="14.25" customHeight="1" x14ac:dyDescent="0.25">
      <c r="A79" s="1471"/>
      <c r="B79" s="105" t="str">
        <f t="shared" si="13"/>
        <v>Butter - زبدة</v>
      </c>
      <c r="C79" s="105" t="str">
        <f t="shared" si="13"/>
        <v>gm</v>
      </c>
      <c r="D79" s="105">
        <f t="shared" si="13"/>
        <v>30</v>
      </c>
      <c r="E79" s="108">
        <f t="shared" si="17"/>
        <v>3.7869230769230806</v>
      </c>
      <c r="F79" s="109">
        <f t="shared" si="14"/>
        <v>1</v>
      </c>
      <c r="G79" s="99">
        <f t="shared" si="15"/>
        <v>113.60769230769242</v>
      </c>
      <c r="H79" s="102">
        <f t="shared" si="16"/>
        <v>113.60769230769242</v>
      </c>
    </row>
    <row r="80" spans="1:8" ht="14.25" customHeight="1" x14ac:dyDescent="0.25">
      <c r="A80" s="1471"/>
      <c r="B80" s="105" t="str">
        <f t="shared" si="13"/>
        <v>Black Pepper Whole - فلفل أسود حب</v>
      </c>
      <c r="C80" s="105" t="str">
        <f t="shared" si="13"/>
        <v>gm</v>
      </c>
      <c r="D80" s="105">
        <f t="shared" si="13"/>
        <v>2</v>
      </c>
      <c r="E80" s="108">
        <f t="shared" si="17"/>
        <v>3.7869230769230806</v>
      </c>
      <c r="F80" s="109">
        <f t="shared" si="14"/>
        <v>1</v>
      </c>
      <c r="G80" s="99">
        <f t="shared" si="15"/>
        <v>7.5738461538461612</v>
      </c>
      <c r="H80" s="102">
        <f t="shared" si="16"/>
        <v>7.5738461538461612</v>
      </c>
    </row>
    <row r="81" spans="1:10" ht="14.25" customHeight="1" x14ac:dyDescent="0.25">
      <c r="A81" s="1471"/>
      <c r="B81" s="105" t="str">
        <f t="shared" si="13"/>
        <v>Cumin Whole - كمون حب</v>
      </c>
      <c r="C81" s="105" t="str">
        <f t="shared" si="13"/>
        <v>gm</v>
      </c>
      <c r="D81" s="105">
        <f t="shared" si="13"/>
        <v>2</v>
      </c>
      <c r="E81" s="108">
        <f t="shared" si="17"/>
        <v>3.7869230769230806</v>
      </c>
      <c r="F81" s="109">
        <f t="shared" si="14"/>
        <v>1</v>
      </c>
      <c r="G81" s="99">
        <f t="shared" si="15"/>
        <v>7.5738461538461612</v>
      </c>
      <c r="H81" s="102">
        <f t="shared" si="16"/>
        <v>7.5738461538461612</v>
      </c>
    </row>
    <row r="82" spans="1:10" ht="14.25" customHeight="1" x14ac:dyDescent="0.25">
      <c r="A82" s="1471"/>
      <c r="B82" s="105" t="str">
        <f t="shared" si="13"/>
        <v>Cloves Whole - قرنفل حب</v>
      </c>
      <c r="C82" s="105" t="str">
        <f t="shared" si="13"/>
        <v>gm</v>
      </c>
      <c r="D82" s="105">
        <f t="shared" si="13"/>
        <v>2</v>
      </c>
      <c r="E82" s="108">
        <f t="shared" si="17"/>
        <v>3.7869230769230806</v>
      </c>
      <c r="F82" s="109">
        <f t="shared" si="14"/>
        <v>1</v>
      </c>
      <c r="G82" s="99">
        <f t="shared" si="15"/>
        <v>7.5738461538461612</v>
      </c>
      <c r="H82" s="102">
        <f t="shared" si="16"/>
        <v>7.5738461538461612</v>
      </c>
    </row>
    <row r="83" spans="1:10" ht="14.25" customHeight="1" x14ac:dyDescent="0.25">
      <c r="A83" s="1471"/>
      <c r="B83" s="105" t="str">
        <f t="shared" si="13"/>
        <v>Cinnamon Whole - قرفة أعواد</v>
      </c>
      <c r="C83" s="105" t="str">
        <f t="shared" si="13"/>
        <v>gm</v>
      </c>
      <c r="D83" s="105">
        <f t="shared" si="13"/>
        <v>2</v>
      </c>
      <c r="E83" s="108">
        <f t="shared" si="17"/>
        <v>3.7869230769230806</v>
      </c>
      <c r="F83" s="109">
        <f t="shared" si="14"/>
        <v>1</v>
      </c>
      <c r="G83" s="99">
        <f t="shared" si="15"/>
        <v>7.5738461538461612</v>
      </c>
      <c r="H83" s="102">
        <f t="shared" si="16"/>
        <v>7.5738461538461612</v>
      </c>
    </row>
    <row r="84" spans="1:10" ht="14.25" customHeight="1" x14ac:dyDescent="0.25">
      <c r="A84" s="1471"/>
      <c r="B84" s="105" t="str">
        <f t="shared" si="13"/>
        <v>Cardamom Whole - هيل حب</v>
      </c>
      <c r="C84" s="105" t="str">
        <f t="shared" si="13"/>
        <v>gm</v>
      </c>
      <c r="D84" s="105">
        <f t="shared" si="13"/>
        <v>2</v>
      </c>
      <c r="E84" s="108">
        <f t="shared" si="17"/>
        <v>3.7869230769230806</v>
      </c>
      <c r="F84" s="109">
        <f t="shared" si="14"/>
        <v>1</v>
      </c>
      <c r="G84" s="99">
        <f t="shared" si="15"/>
        <v>7.5738461538461612</v>
      </c>
      <c r="H84" s="102">
        <f t="shared" si="16"/>
        <v>7.5738461538461612</v>
      </c>
    </row>
    <row r="85" spans="1:10" ht="14.25" customHeight="1" x14ac:dyDescent="0.25">
      <c r="A85" s="1471"/>
      <c r="B85" s="105" t="str">
        <f t="shared" si="13"/>
        <v>Star Anise - ينسون نجمي</v>
      </c>
      <c r="C85" s="105" t="str">
        <f t="shared" si="13"/>
        <v>gm</v>
      </c>
      <c r="D85" s="105">
        <f t="shared" si="13"/>
        <v>1</v>
      </c>
      <c r="E85" s="108">
        <f t="shared" si="17"/>
        <v>3.7869230769230806</v>
      </c>
      <c r="F85" s="109">
        <f t="shared" si="14"/>
        <v>1</v>
      </c>
      <c r="G85" s="99">
        <f t="shared" si="15"/>
        <v>3.7869230769230806</v>
      </c>
      <c r="H85" s="102">
        <f t="shared" si="16"/>
        <v>3.7869230769230806</v>
      </c>
    </row>
    <row r="86" spans="1:10" ht="14.25" customHeight="1" x14ac:dyDescent="0.25">
      <c r="A86" s="1471"/>
      <c r="B86" s="105" t="str">
        <f t="shared" si="13"/>
        <v>Salt - ملح</v>
      </c>
      <c r="C86" s="105" t="str">
        <f t="shared" si="13"/>
        <v>gm</v>
      </c>
      <c r="D86" s="105">
        <f t="shared" si="13"/>
        <v>5</v>
      </c>
      <c r="E86" s="108">
        <f t="shared" si="17"/>
        <v>3.7869230769230806</v>
      </c>
      <c r="F86" s="109">
        <f t="shared" si="14"/>
        <v>1</v>
      </c>
      <c r="G86" s="99">
        <f t="shared" si="15"/>
        <v>18.934615384615402</v>
      </c>
      <c r="H86" s="102">
        <f t="shared" si="16"/>
        <v>18.934615384615402</v>
      </c>
    </row>
    <row r="87" spans="1:10" ht="14.25" customHeight="1" x14ac:dyDescent="0.25">
      <c r="A87" s="1471" t="s">
        <v>907</v>
      </c>
      <c r="B87" s="105" t="str">
        <f t="shared" si="13"/>
        <v>Garlic - ثوم مقشر</v>
      </c>
      <c r="C87" s="105" t="str">
        <f t="shared" si="13"/>
        <v>gm</v>
      </c>
      <c r="D87" s="105">
        <f t="shared" si="13"/>
        <v>5</v>
      </c>
      <c r="E87" s="108">
        <f t="shared" si="17"/>
        <v>3.7869230769230806</v>
      </c>
      <c r="F87" s="109">
        <f t="shared" si="14"/>
        <v>1</v>
      </c>
      <c r="G87" s="99">
        <f t="shared" si="15"/>
        <v>18.934615384615402</v>
      </c>
      <c r="H87" s="102">
        <f t="shared" si="16"/>
        <v>18.934615384615402</v>
      </c>
    </row>
    <row r="88" spans="1:10" ht="14.25" customHeight="1" x14ac:dyDescent="0.25">
      <c r="A88" s="1471"/>
      <c r="B88" s="105" t="str">
        <f t="shared" si="13"/>
        <v>Beef Stock - مرق لحم بقري</v>
      </c>
      <c r="C88" s="105" t="str">
        <f t="shared" si="13"/>
        <v>ml</v>
      </c>
      <c r="D88" s="105">
        <f t="shared" si="13"/>
        <v>300</v>
      </c>
      <c r="E88" s="108">
        <f t="shared" si="17"/>
        <v>3.7869230769230806</v>
      </c>
      <c r="F88" s="109">
        <f t="shared" si="14"/>
        <v>1</v>
      </c>
      <c r="G88" s="99">
        <f t="shared" ref="G88" si="18">D88*E88</f>
        <v>1136.0769230769242</v>
      </c>
      <c r="H88" s="102">
        <f t="shared" ref="H88" si="19">G88*F88</f>
        <v>1136.0769230769242</v>
      </c>
    </row>
    <row r="89" spans="1:10" ht="20.25" customHeight="1" x14ac:dyDescent="0.3">
      <c r="A89" s="1458"/>
      <c r="B89" s="178" t="s">
        <v>287</v>
      </c>
      <c r="C89" s="180" t="s">
        <v>273</v>
      </c>
      <c r="E89" s="180" t="s">
        <v>288</v>
      </c>
      <c r="G89" s="804" t="s">
        <v>264</v>
      </c>
      <c r="H89" s="804" t="s">
        <v>673</v>
      </c>
      <c r="I89" s="184"/>
      <c r="J89" s="183"/>
    </row>
    <row r="90" spans="1:10" ht="24" customHeight="1" x14ac:dyDescent="0.3">
      <c r="A90" s="1458"/>
      <c r="B90" s="179">
        <f>$J$53</f>
        <v>12623.07692307692</v>
      </c>
      <c r="C90" s="179">
        <f>E90+G90</f>
        <v>3786.9230769230808</v>
      </c>
      <c r="D90" s="839"/>
      <c r="E90" s="179">
        <f>$D$53*$S$44</f>
        <v>3786.9230769230808</v>
      </c>
      <c r="F90" s="843"/>
      <c r="G90" s="179">
        <f>$D$53*$T$44</f>
        <v>0</v>
      </c>
      <c r="H90" s="179">
        <f>B90+E90</f>
        <v>16410</v>
      </c>
    </row>
    <row r="91" spans="1:10" ht="20.25" customHeight="1" x14ac:dyDescent="0.25"/>
  </sheetData>
  <mergeCells count="8">
    <mergeCell ref="B62:H62"/>
    <mergeCell ref="B63:H63"/>
    <mergeCell ref="B2:J3"/>
    <mergeCell ref="AE2:AG3"/>
    <mergeCell ref="R26:U26"/>
    <mergeCell ref="R25:U25"/>
    <mergeCell ref="K2:K3"/>
    <mergeCell ref="B35:F35"/>
  </mergeCells>
  <printOptions horizontalCentered="1"/>
  <pageMargins left="0.5" right="0.5" top="1" bottom="0.5" header="0.3" footer="0.511811023622047"/>
  <pageSetup paperSize="9" scale="31"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B050"/>
    <pageSetUpPr fitToPage="1"/>
  </sheetPr>
  <dimension ref="A1:AE148"/>
  <sheetViews>
    <sheetView topLeftCell="M1" zoomScale="70" zoomScaleNormal="70" workbookViewId="0">
      <selection activeCell="X23" sqref="X23:Y23"/>
    </sheetView>
  </sheetViews>
  <sheetFormatPr defaultColWidth="12.5" defaultRowHeight="15" x14ac:dyDescent="0.25"/>
  <cols>
    <col min="1" max="1" width="12.5" style="62"/>
    <col min="2" max="2" width="33.75" customWidth="1"/>
    <col min="3" max="3" width="23.875" customWidth="1"/>
    <col min="4" max="4" width="19" customWidth="1"/>
    <col min="5" max="5" width="16.125" customWidth="1"/>
    <col min="6" max="6" width="23.125" customWidth="1"/>
    <col min="7" max="7" width="25.125" customWidth="1"/>
    <col min="8" max="8" width="36.125" customWidth="1"/>
    <col min="12" max="12" width="8.375" customWidth="1"/>
    <col min="13" max="14" width="4.5" customWidth="1"/>
    <col min="18" max="18" width="30.5" customWidth="1"/>
    <col min="27" max="27" width="13.25" bestFit="1" customWidth="1"/>
    <col min="28" max="28" width="10.375" bestFit="1" customWidth="1"/>
  </cols>
  <sheetData>
    <row r="1" spans="1:30" ht="35.25" customHeight="1" x14ac:dyDescent="0.25">
      <c r="B1" s="64" t="s">
        <v>231</v>
      </c>
      <c r="C1" s="65">
        <v>1000</v>
      </c>
      <c r="D1" s="66" t="s">
        <v>232</v>
      </c>
      <c r="E1" s="99">
        <f>T32</f>
        <v>21277.384615384617</v>
      </c>
      <c r="F1" s="64" t="s">
        <v>233</v>
      </c>
      <c r="G1" s="103">
        <f>E1/C1</f>
        <v>21.277384615384616</v>
      </c>
      <c r="H1" s="64" t="s">
        <v>234</v>
      </c>
      <c r="I1" s="259">
        <f>(G1/K1)</f>
        <v>22.397246963562754</v>
      </c>
      <c r="J1" s="70" t="s">
        <v>235</v>
      </c>
      <c r="K1" s="260">
        <f>9.5/10</f>
        <v>0.95</v>
      </c>
      <c r="L1" s="84"/>
      <c r="M1" s="73"/>
      <c r="N1" s="74"/>
      <c r="O1" s="75" t="s">
        <v>236</v>
      </c>
      <c r="P1" s="76" t="s">
        <v>289</v>
      </c>
      <c r="Q1" s="77" t="s">
        <v>238</v>
      </c>
      <c r="R1" s="76">
        <v>0.51</v>
      </c>
      <c r="Y1" s="75" t="s">
        <v>453</v>
      </c>
      <c r="Z1" s="766">
        <v>22860</v>
      </c>
      <c r="AA1" s="75" t="s">
        <v>556</v>
      </c>
      <c r="AB1" s="766">
        <v>1000</v>
      </c>
      <c r="AC1" s="75" t="s">
        <v>546</v>
      </c>
      <c r="AD1" s="766">
        <v>169</v>
      </c>
    </row>
    <row r="2" spans="1:30" ht="12.75" customHeight="1" x14ac:dyDescent="0.25">
      <c r="A2" s="1479"/>
      <c r="B2" s="1645" t="s">
        <v>304</v>
      </c>
      <c r="C2" s="1653"/>
      <c r="D2" s="1653"/>
      <c r="E2" s="1653"/>
      <c r="F2" s="1653"/>
      <c r="G2" s="1653"/>
      <c r="H2" s="1653"/>
      <c r="I2" s="1653"/>
      <c r="J2" s="1653"/>
      <c r="K2" s="1653"/>
      <c r="L2" s="82"/>
      <c r="Q2" s="84"/>
      <c r="R2" s="84"/>
    </row>
    <row r="3" spans="1:30" ht="12.75" customHeight="1" x14ac:dyDescent="0.25">
      <c r="A3" s="1479"/>
      <c r="B3" s="1633"/>
      <c r="C3" s="1633"/>
      <c r="D3" s="1633"/>
      <c r="E3" s="1633"/>
      <c r="F3" s="1633"/>
      <c r="G3" s="1633"/>
      <c r="H3" s="1633"/>
      <c r="I3" s="1633"/>
      <c r="J3" s="1633"/>
      <c r="K3" s="1633"/>
      <c r="L3" s="87"/>
      <c r="Q3" s="84"/>
      <c r="R3" s="84"/>
    </row>
    <row r="4" spans="1:30" ht="35.25" customHeight="1" x14ac:dyDescent="0.2">
      <c r="A4" s="1589" t="s">
        <v>903</v>
      </c>
      <c r="B4" s="75" t="s">
        <v>241</v>
      </c>
      <c r="C4" s="90" t="s">
        <v>242</v>
      </c>
      <c r="D4" s="75" t="s">
        <v>231</v>
      </c>
      <c r="E4" s="91" t="s">
        <v>234</v>
      </c>
      <c r="F4" s="91" t="s">
        <v>243</v>
      </c>
      <c r="G4" s="75" t="s">
        <v>244</v>
      </c>
      <c r="H4" s="92" t="s">
        <v>245</v>
      </c>
      <c r="I4" s="75" t="s">
        <v>246</v>
      </c>
      <c r="J4" s="75" t="s">
        <v>247</v>
      </c>
      <c r="K4" s="75" t="s">
        <v>248</v>
      </c>
      <c r="L4" s="75" t="s">
        <v>249</v>
      </c>
      <c r="AA4" s="229"/>
      <c r="AB4" s="231"/>
    </row>
    <row r="5" spans="1:30" ht="14.25" customHeight="1" x14ac:dyDescent="0.2">
      <c r="A5" s="1454"/>
      <c r="B5" s="199" t="s">
        <v>223</v>
      </c>
      <c r="C5" s="106" t="s">
        <v>14</v>
      </c>
      <c r="D5" s="103">
        <f>I51/10</f>
        <v>1620.7843137254902</v>
      </c>
      <c r="E5" s="201">
        <f>H52</f>
        <v>21.273427757821654</v>
      </c>
      <c r="F5" s="109">
        <v>1</v>
      </c>
      <c r="G5" s="101">
        <f t="shared" ref="G5:G19" si="0">D5*E5</f>
        <v>34479.638009049762</v>
      </c>
      <c r="H5" s="102">
        <f t="shared" ref="H5:H19" si="1">G5*F5</f>
        <v>34479.638009049762</v>
      </c>
      <c r="I5" s="65">
        <f>VLOOKUP(B5,All_Ingredients!$A$1:$F$156,6,FALSE())</f>
        <v>0.55000000000000004</v>
      </c>
      <c r="J5" s="101">
        <f>VLOOKUP(B5,All_Ingredients!$A$1:$J$156,10,FALSE())</f>
        <v>14.361111111111111</v>
      </c>
      <c r="K5" s="104">
        <f t="shared" ref="K5" si="2">(H5/I5)/1000</f>
        <v>62.690250925545023</v>
      </c>
      <c r="L5" s="104">
        <f t="shared" ref="L5" si="3">K5*J5</f>
        <v>900.30165912518817</v>
      </c>
      <c r="AA5" s="76"/>
      <c r="AB5" s="114"/>
    </row>
    <row r="6" spans="1:30" ht="14.25" customHeight="1" x14ac:dyDescent="0.25">
      <c r="A6" s="1455" t="s">
        <v>920</v>
      </c>
      <c r="B6" s="199" t="s">
        <v>12</v>
      </c>
      <c r="C6" s="106" t="s">
        <v>14</v>
      </c>
      <c r="D6" s="107">
        <v>150</v>
      </c>
      <c r="E6" s="201">
        <f t="shared" ref="E6:E19" si="4">$I$1</f>
        <v>22.397246963562754</v>
      </c>
      <c r="F6" s="109">
        <v>1</v>
      </c>
      <c r="G6" s="101">
        <f t="shared" si="0"/>
        <v>3359.5870445344131</v>
      </c>
      <c r="H6" s="102">
        <f t="shared" si="1"/>
        <v>3359.5870445344131</v>
      </c>
      <c r="I6" s="65">
        <f>VLOOKUP(B6,All_Ingredients!$A$1:$F$156,6,FALSE())</f>
        <v>0.9</v>
      </c>
      <c r="J6" s="101">
        <f>VLOOKUP(B6,All_Ingredients!$A$1:$J$156,10,FALSE())</f>
        <v>3</v>
      </c>
      <c r="K6" s="104">
        <f t="shared" ref="K6:K19" si="5">(H6/I6)/1000</f>
        <v>3.7328744939271257</v>
      </c>
      <c r="L6" s="104">
        <f t="shared" ref="L6:L19" si="6">K6*J6</f>
        <v>11.198623481781377</v>
      </c>
    </row>
    <row r="7" spans="1:30" ht="14.25" customHeight="1" x14ac:dyDescent="0.25">
      <c r="A7" s="1455" t="s">
        <v>909</v>
      </c>
      <c r="B7" s="199" t="s">
        <v>17</v>
      </c>
      <c r="C7" s="106" t="s">
        <v>14</v>
      </c>
      <c r="D7" s="107">
        <v>400</v>
      </c>
      <c r="E7" s="201">
        <f t="shared" si="4"/>
        <v>22.397246963562754</v>
      </c>
      <c r="F7" s="109">
        <v>1</v>
      </c>
      <c r="G7" s="101">
        <f t="shared" si="0"/>
        <v>8958.8987854251009</v>
      </c>
      <c r="H7" s="102">
        <f t="shared" si="1"/>
        <v>8958.8987854251009</v>
      </c>
      <c r="I7" s="65">
        <f>VLOOKUP(B7,All_Ingredients!$A$1:$F$156,6,FALSE())</f>
        <v>0.98</v>
      </c>
      <c r="J7" s="101">
        <f>VLOOKUP(B7,All_Ingredients!$A$1:$J$156,10,FALSE())</f>
        <v>3.5</v>
      </c>
      <c r="K7" s="104">
        <f t="shared" si="5"/>
        <v>9.1417334545154105</v>
      </c>
      <c r="L7" s="104">
        <f t="shared" si="6"/>
        <v>31.996067090803937</v>
      </c>
    </row>
    <row r="8" spans="1:30" ht="14.25" customHeight="1" x14ac:dyDescent="0.25">
      <c r="A8" s="1455" t="s">
        <v>907</v>
      </c>
      <c r="B8" s="199" t="s">
        <v>727</v>
      </c>
      <c r="C8" s="106" t="s">
        <v>14</v>
      </c>
      <c r="D8" s="107">
        <v>35</v>
      </c>
      <c r="E8" s="201">
        <f t="shared" si="4"/>
        <v>22.397246963562754</v>
      </c>
      <c r="F8" s="109">
        <v>1</v>
      </c>
      <c r="G8" s="101">
        <f t="shared" si="0"/>
        <v>783.90364372469639</v>
      </c>
      <c r="H8" s="102">
        <f t="shared" si="1"/>
        <v>783.90364372469639</v>
      </c>
      <c r="I8" s="65">
        <f>VLOOKUP(B8,All_Ingredients!$A$1:$F$156,6,FALSE())</f>
        <v>1</v>
      </c>
      <c r="J8" s="101">
        <f>VLOOKUP(B8,All_Ingredients!$A$1:$J$156,10,FALSE())</f>
        <v>10.5</v>
      </c>
      <c r="K8" s="104">
        <f t="shared" si="5"/>
        <v>0.78390364372469634</v>
      </c>
      <c r="L8" s="104">
        <f t="shared" si="6"/>
        <v>8.2309882591093118</v>
      </c>
    </row>
    <row r="9" spans="1:30" ht="14.25" customHeight="1" x14ac:dyDescent="0.25">
      <c r="A9" s="1455"/>
      <c r="B9" s="199" t="s">
        <v>99</v>
      </c>
      <c r="C9" s="106" t="s">
        <v>14</v>
      </c>
      <c r="D9" s="107">
        <v>3</v>
      </c>
      <c r="E9" s="201">
        <f t="shared" si="4"/>
        <v>22.397246963562754</v>
      </c>
      <c r="F9" s="109">
        <v>1</v>
      </c>
      <c r="G9" s="101">
        <f t="shared" si="0"/>
        <v>67.191740890688266</v>
      </c>
      <c r="H9" s="102">
        <f t="shared" si="1"/>
        <v>67.191740890688266</v>
      </c>
      <c r="I9" s="65">
        <f>VLOOKUP(B9,All_Ingredients!$A$1:$F$156,6,FALSE())</f>
        <v>1</v>
      </c>
      <c r="J9" s="101">
        <f>VLOOKUP(B9,All_Ingredients!$A$1:$J$156,10,FALSE())</f>
        <v>31</v>
      </c>
      <c r="K9" s="104">
        <f t="shared" si="5"/>
        <v>6.7191740890688259E-2</v>
      </c>
      <c r="L9" s="104">
        <f t="shared" si="6"/>
        <v>2.0829439676113362</v>
      </c>
    </row>
    <row r="10" spans="1:30" ht="14.25" customHeight="1" x14ac:dyDescent="0.25">
      <c r="A10" s="1455"/>
      <c r="B10" s="199" t="s">
        <v>105</v>
      </c>
      <c r="C10" s="106" t="s">
        <v>14</v>
      </c>
      <c r="D10" s="107">
        <v>5</v>
      </c>
      <c r="E10" s="201">
        <f t="shared" si="4"/>
        <v>22.397246963562754</v>
      </c>
      <c r="F10" s="109">
        <v>0.75</v>
      </c>
      <c r="G10" s="101">
        <f t="shared" si="0"/>
        <v>111.98623481781377</v>
      </c>
      <c r="H10" s="102">
        <f t="shared" si="1"/>
        <v>83.989676113360332</v>
      </c>
      <c r="I10" s="65">
        <f>VLOOKUP(B10,All_Ingredients!$A$1:$F$156,6,FALSE())</f>
        <v>1</v>
      </c>
      <c r="J10" s="101">
        <f>VLOOKUP(B10,All_Ingredients!$A$1:$J$156,10,FALSE())</f>
        <v>15</v>
      </c>
      <c r="K10" s="104">
        <f t="shared" si="5"/>
        <v>8.3989676113360334E-2</v>
      </c>
      <c r="L10" s="104">
        <f t="shared" si="6"/>
        <v>1.2598451417004051</v>
      </c>
    </row>
    <row r="11" spans="1:30" ht="14.25" customHeight="1" x14ac:dyDescent="0.25">
      <c r="A11" s="1455"/>
      <c r="B11" s="199" t="s">
        <v>107</v>
      </c>
      <c r="C11" s="106" t="s">
        <v>14</v>
      </c>
      <c r="D11" s="107">
        <v>5</v>
      </c>
      <c r="E11" s="201">
        <f t="shared" si="4"/>
        <v>22.397246963562754</v>
      </c>
      <c r="F11" s="109">
        <v>0.75</v>
      </c>
      <c r="G11" s="101">
        <f t="shared" si="0"/>
        <v>111.98623481781377</v>
      </c>
      <c r="H11" s="102">
        <f t="shared" si="1"/>
        <v>83.989676113360332</v>
      </c>
      <c r="I11" s="65">
        <f>VLOOKUP(B11,All_Ingredients!$A$1:$F$156,6,FALSE())</f>
        <v>1</v>
      </c>
      <c r="J11" s="101">
        <f>VLOOKUP(B11,All_Ingredients!$A$1:$J$156,10,FALSE())</f>
        <v>8</v>
      </c>
      <c r="K11" s="104">
        <f t="shared" si="5"/>
        <v>8.3989676113360334E-2</v>
      </c>
      <c r="L11" s="104">
        <f t="shared" si="6"/>
        <v>0.67191740890688267</v>
      </c>
    </row>
    <row r="12" spans="1:30" ht="14.25" customHeight="1" x14ac:dyDescent="0.25">
      <c r="A12" s="1455"/>
      <c r="B12" s="199" t="s">
        <v>122</v>
      </c>
      <c r="C12" s="106" t="s">
        <v>14</v>
      </c>
      <c r="D12" s="107">
        <v>2</v>
      </c>
      <c r="E12" s="201">
        <f t="shared" si="4"/>
        <v>22.397246963562754</v>
      </c>
      <c r="F12" s="109">
        <v>0.75</v>
      </c>
      <c r="G12" s="101">
        <f t="shared" si="0"/>
        <v>44.794493927125508</v>
      </c>
      <c r="H12" s="102">
        <f t="shared" si="1"/>
        <v>33.595870445344133</v>
      </c>
      <c r="I12" s="65">
        <f>VLOOKUP(B12,All_Ingredients!$A$1:$F$156,6,FALSE())</f>
        <v>1</v>
      </c>
      <c r="J12" s="101">
        <f>VLOOKUP(B12,All_Ingredients!$A$1:$J$156,10,FALSE())</f>
        <v>14</v>
      </c>
      <c r="K12" s="104">
        <f t="shared" si="5"/>
        <v>3.359587044534413E-2</v>
      </c>
      <c r="L12" s="104">
        <f t="shared" si="6"/>
        <v>0.47034218623481783</v>
      </c>
    </row>
    <row r="13" spans="1:30" ht="14.25" customHeight="1" x14ac:dyDescent="0.25">
      <c r="A13" s="1455"/>
      <c r="B13" s="199" t="s">
        <v>93</v>
      </c>
      <c r="C13" s="106" t="s">
        <v>14</v>
      </c>
      <c r="D13" s="107">
        <v>11</v>
      </c>
      <c r="E13" s="201">
        <f t="shared" si="4"/>
        <v>22.397246963562754</v>
      </c>
      <c r="F13" s="109">
        <v>0.75</v>
      </c>
      <c r="G13" s="101">
        <f t="shared" si="0"/>
        <v>246.3697165991903</v>
      </c>
      <c r="H13" s="102">
        <f t="shared" si="1"/>
        <v>184.77728744939273</v>
      </c>
      <c r="I13" s="65">
        <f>VLOOKUP(B13,All_Ingredients!$A$1:$F$156,6,FALSE())</f>
        <v>1</v>
      </c>
      <c r="J13" s="101">
        <f>VLOOKUP(B13,All_Ingredients!$A$1:$J$156,10,FALSE())</f>
        <v>0.74</v>
      </c>
      <c r="K13" s="104">
        <f t="shared" si="5"/>
        <v>0.18477728744939273</v>
      </c>
      <c r="L13" s="104">
        <f t="shared" si="6"/>
        <v>0.13673519271255061</v>
      </c>
    </row>
    <row r="14" spans="1:30" ht="14.25" customHeight="1" x14ac:dyDescent="0.25">
      <c r="A14" s="1455"/>
      <c r="B14" s="199" t="s">
        <v>698</v>
      </c>
      <c r="C14" s="106" t="s">
        <v>14</v>
      </c>
      <c r="D14" s="107">
        <v>250</v>
      </c>
      <c r="E14" s="201">
        <f t="shared" si="4"/>
        <v>22.397246963562754</v>
      </c>
      <c r="F14" s="109">
        <v>1</v>
      </c>
      <c r="G14" s="101">
        <f t="shared" si="0"/>
        <v>5599.3117408906883</v>
      </c>
      <c r="H14" s="102">
        <f t="shared" si="1"/>
        <v>5599.3117408906883</v>
      </c>
      <c r="I14" s="65">
        <f>VLOOKUP(B14,All_Ingredients!$A$1:$F$156,6,FALSE())</f>
        <v>1</v>
      </c>
      <c r="J14" s="101">
        <f>VLOOKUP(B14,All_Ingredients!$A$1:$J$156,10,FALSE())</f>
        <v>8.1520833333333336</v>
      </c>
      <c r="K14" s="104">
        <f t="shared" si="5"/>
        <v>5.5993117408906885</v>
      </c>
      <c r="L14" s="104">
        <f t="shared" si="6"/>
        <v>45.646055921052636</v>
      </c>
    </row>
    <row r="15" spans="1:30" ht="14.25" customHeight="1" x14ac:dyDescent="0.25">
      <c r="A15" s="1455"/>
      <c r="B15" s="199" t="s">
        <v>700</v>
      </c>
      <c r="C15" s="106" t="s">
        <v>14</v>
      </c>
      <c r="D15" s="107">
        <v>400</v>
      </c>
      <c r="E15" s="201">
        <f t="shared" si="4"/>
        <v>22.397246963562754</v>
      </c>
      <c r="F15" s="109">
        <v>1</v>
      </c>
      <c r="G15" s="101">
        <f t="shared" si="0"/>
        <v>8958.8987854251009</v>
      </c>
      <c r="H15" s="102">
        <f t="shared" si="1"/>
        <v>8958.8987854251009</v>
      </c>
      <c r="I15" s="65">
        <f>VLOOKUP(B15,All_Ingredients!$A$1:$F$156,6,FALSE())</f>
        <v>1</v>
      </c>
      <c r="J15" s="101">
        <f>VLOOKUP(B15,All_Ingredients!$A$1:$J$156,10,FALSE())</f>
        <v>16.25</v>
      </c>
      <c r="K15" s="104">
        <f t="shared" si="5"/>
        <v>8.9588987854251005</v>
      </c>
      <c r="L15" s="104">
        <f t="shared" si="6"/>
        <v>145.58210526315787</v>
      </c>
    </row>
    <row r="16" spans="1:30" ht="14.25" customHeight="1" x14ac:dyDescent="0.25">
      <c r="A16" s="1455"/>
      <c r="B16" s="199" t="s">
        <v>207</v>
      </c>
      <c r="C16" s="106" t="s">
        <v>160</v>
      </c>
      <c r="D16" s="107">
        <v>500</v>
      </c>
      <c r="E16" s="201">
        <f t="shared" si="4"/>
        <v>22.397246963562754</v>
      </c>
      <c r="F16" s="109">
        <v>1</v>
      </c>
      <c r="G16" s="101">
        <f t="shared" si="0"/>
        <v>11198.623481781377</v>
      </c>
      <c r="H16" s="102">
        <f t="shared" si="1"/>
        <v>11198.623481781377</v>
      </c>
      <c r="I16" s="65">
        <f>VLOOKUP(B16,All_Ingredients!$A$1:$F$156,6,FALSE())</f>
        <v>1</v>
      </c>
      <c r="J16" s="101">
        <f>VLOOKUP(B16,All_Ingredients!$A$1:$J$156,10,FALSE())</f>
        <v>0</v>
      </c>
      <c r="K16" s="104">
        <f t="shared" si="5"/>
        <v>11.198623481781377</v>
      </c>
      <c r="L16" s="104">
        <f t="shared" si="6"/>
        <v>0</v>
      </c>
    </row>
    <row r="17" spans="1:31" ht="14.25" customHeight="1" x14ac:dyDescent="0.25">
      <c r="A17" s="1455"/>
      <c r="B17" s="199" t="s">
        <v>152</v>
      </c>
      <c r="C17" s="106" t="s">
        <v>14</v>
      </c>
      <c r="D17" s="107">
        <v>15</v>
      </c>
      <c r="E17" s="201">
        <f t="shared" si="4"/>
        <v>22.397246963562754</v>
      </c>
      <c r="F17" s="109">
        <v>1</v>
      </c>
      <c r="G17" s="101">
        <f t="shared" si="0"/>
        <v>335.95870445344133</v>
      </c>
      <c r="H17" s="102">
        <f t="shared" si="1"/>
        <v>335.95870445344133</v>
      </c>
      <c r="I17" s="65">
        <f>VLOOKUP(B17,All_Ingredients!$A$1:$F$156,6,FALSE())</f>
        <v>1</v>
      </c>
      <c r="J17" s="101">
        <f>VLOOKUP(B17,All_Ingredients!$A$1:$J$156,10,FALSE())</f>
        <v>30</v>
      </c>
      <c r="K17" s="104">
        <f t="shared" si="5"/>
        <v>0.33595870445344134</v>
      </c>
      <c r="L17" s="104">
        <f t="shared" si="6"/>
        <v>10.078761133603241</v>
      </c>
    </row>
    <row r="18" spans="1:31" ht="14.25" customHeight="1" x14ac:dyDescent="0.25">
      <c r="A18" s="1455"/>
      <c r="B18" s="199" t="s">
        <v>139</v>
      </c>
      <c r="C18" s="106" t="s">
        <v>14</v>
      </c>
      <c r="D18" s="107">
        <v>10</v>
      </c>
      <c r="E18" s="201">
        <f t="shared" si="4"/>
        <v>22.397246963562754</v>
      </c>
      <c r="F18" s="109">
        <v>0.75</v>
      </c>
      <c r="G18" s="101">
        <f t="shared" si="0"/>
        <v>223.97246963562753</v>
      </c>
      <c r="H18" s="102">
        <f t="shared" si="1"/>
        <v>167.97935222672066</v>
      </c>
      <c r="I18" s="65">
        <f>VLOOKUP(B18,All_Ingredients!$A$1:$F$156,6,FALSE())</f>
        <v>1</v>
      </c>
      <c r="J18" s="101">
        <f>VLOOKUP(B18,All_Ingredients!$A$1:$J$156,10,FALSE())</f>
        <v>15.277777777777779</v>
      </c>
      <c r="K18" s="104">
        <f t="shared" si="5"/>
        <v>0.16797935222672067</v>
      </c>
      <c r="L18" s="104">
        <f t="shared" si="6"/>
        <v>2.5663512145748992</v>
      </c>
    </row>
    <row r="19" spans="1:31" ht="14.25" customHeight="1" x14ac:dyDescent="0.25">
      <c r="A19" s="1455"/>
      <c r="B19" s="199" t="s">
        <v>93</v>
      </c>
      <c r="C19" s="106" t="s">
        <v>14</v>
      </c>
      <c r="D19" s="107">
        <v>5</v>
      </c>
      <c r="E19" s="201">
        <f t="shared" si="4"/>
        <v>22.397246963562754</v>
      </c>
      <c r="F19" s="109">
        <v>1</v>
      </c>
      <c r="G19" s="101">
        <f t="shared" si="0"/>
        <v>111.98623481781377</v>
      </c>
      <c r="H19" s="102">
        <f t="shared" si="1"/>
        <v>111.98623481781377</v>
      </c>
      <c r="I19" s="65">
        <f>VLOOKUP(B19,All_Ingredients!$A$1:$F$156,6,FALSE())</f>
        <v>1</v>
      </c>
      <c r="J19" s="101">
        <f>VLOOKUP(B19,All_Ingredients!$A$1:$J$156,10,FALSE())</f>
        <v>0.74</v>
      </c>
      <c r="K19" s="104">
        <f t="shared" si="5"/>
        <v>0.11198623481781377</v>
      </c>
      <c r="L19" s="104">
        <f t="shared" si="6"/>
        <v>8.2869813765182182E-2</v>
      </c>
    </row>
    <row r="20" spans="1:31" ht="14.25" customHeight="1" x14ac:dyDescent="0.25">
      <c r="B20" s="84"/>
      <c r="E20" s="84"/>
      <c r="F20" s="84"/>
      <c r="L20" s="189"/>
    </row>
    <row r="21" spans="1:31" ht="14.25" customHeight="1" x14ac:dyDescent="0.25">
      <c r="B21" s="84"/>
      <c r="E21" s="84"/>
      <c r="F21" s="84"/>
      <c r="L21" s="189"/>
    </row>
    <row r="22" spans="1:31" ht="14.25" customHeight="1" x14ac:dyDescent="0.25">
      <c r="L22" s="189"/>
    </row>
    <row r="23" spans="1:31" ht="14.25" customHeight="1" x14ac:dyDescent="0.25">
      <c r="L23" s="189"/>
    </row>
    <row r="24" spans="1:31" ht="14.25" customHeight="1" x14ac:dyDescent="0.25">
      <c r="L24" s="189"/>
      <c r="R24" s="5"/>
      <c r="Z24" s="1124"/>
    </row>
    <row r="25" spans="1:31" ht="14.25" customHeight="1" x14ac:dyDescent="0.25">
      <c r="L25" s="189"/>
      <c r="R25" s="1640" t="s">
        <v>633</v>
      </c>
      <c r="S25" s="1633"/>
      <c r="T25" s="1633"/>
      <c r="U25" s="1633"/>
      <c r="Z25" s="122" t="s">
        <v>252</v>
      </c>
      <c r="AA25" s="123">
        <v>1</v>
      </c>
      <c r="AB25" s="122" t="s">
        <v>249</v>
      </c>
      <c r="AC25" s="1200">
        <f>(AA25*(17/10))*AE30</f>
        <v>5.0792837497821638E-2</v>
      </c>
      <c r="AD25" s="14"/>
    </row>
    <row r="26" spans="1:31" ht="14.25" customHeight="1" x14ac:dyDescent="0.25">
      <c r="L26" s="189"/>
      <c r="R26" s="1654" t="s">
        <v>305</v>
      </c>
      <c r="S26" s="1633"/>
      <c r="T26" s="1633"/>
      <c r="U26" s="1633"/>
      <c r="Z26" s="14"/>
      <c r="AA26" s="14"/>
      <c r="AB26" s="14"/>
      <c r="AC26" s="14"/>
      <c r="AD26" s="14"/>
    </row>
    <row r="27" spans="1:31" ht="14.25" customHeight="1" thickBot="1" x14ac:dyDescent="0.3">
      <c r="R27" s="126" t="s">
        <v>254</v>
      </c>
      <c r="S27" s="127" t="s">
        <v>306</v>
      </c>
      <c r="T27" s="127" t="s">
        <v>256</v>
      </c>
      <c r="U27" s="127" t="s">
        <v>257</v>
      </c>
      <c r="V27" s="127" t="s">
        <v>779</v>
      </c>
      <c r="Z27" s="122" t="s">
        <v>258</v>
      </c>
      <c r="AA27" s="128" t="s">
        <v>259</v>
      </c>
      <c r="AB27" s="128" t="s">
        <v>260</v>
      </c>
      <c r="AC27" s="128" t="s">
        <v>261</v>
      </c>
      <c r="AD27" s="1032" t="s">
        <v>779</v>
      </c>
      <c r="AE27" s="128" t="s">
        <v>262</v>
      </c>
    </row>
    <row r="28" spans="1:31" ht="14.25" customHeight="1" thickBot="1" x14ac:dyDescent="0.3">
      <c r="B28" s="84"/>
      <c r="E28" s="84"/>
      <c r="F28" s="84"/>
      <c r="R28" s="129" t="s">
        <v>263</v>
      </c>
      <c r="S28" s="1215">
        <f>U28*S40</f>
        <v>17584.615384615379</v>
      </c>
      <c r="T28" s="1215">
        <f>U28*U40</f>
        <v>5275.3846153846207</v>
      </c>
      <c r="U28" s="1186">
        <f>$Z$1</f>
        <v>22860</v>
      </c>
      <c r="V28" s="130">
        <f>H37</f>
        <v>11.830000000000002</v>
      </c>
      <c r="Z28" s="132"/>
      <c r="AA28" s="133">
        <f>AA25*$S$40</f>
        <v>0.76923076923076905</v>
      </c>
      <c r="AB28" s="133">
        <f>AA25-AA28</f>
        <v>0.23076923076923095</v>
      </c>
      <c r="AC28" s="134">
        <f>AA25*0.7</f>
        <v>0.7</v>
      </c>
      <c r="AD28" s="1034"/>
      <c r="AE28" s="135">
        <f>SUM(AA28:AC28)</f>
        <v>1.7</v>
      </c>
    </row>
    <row r="29" spans="1:31" ht="14.25" customHeight="1" thickBot="1" x14ac:dyDescent="0.3">
      <c r="B29" s="84"/>
      <c r="E29" s="84"/>
      <c r="F29" s="84"/>
      <c r="R29" s="129" t="s">
        <v>264</v>
      </c>
      <c r="S29" s="1218"/>
      <c r="T29" s="130">
        <f>U28*0.7</f>
        <v>16001.999999999998</v>
      </c>
      <c r="U29" s="1215">
        <f>T29</f>
        <v>16001.999999999998</v>
      </c>
      <c r="V29" s="130"/>
      <c r="Z29" s="132"/>
      <c r="AA29" s="137">
        <f>AA28/$AE$28</f>
        <v>0.45248868778280532</v>
      </c>
      <c r="AB29" s="137">
        <f>AB28/$AE$28</f>
        <v>0.13574660633484173</v>
      </c>
      <c r="AC29" s="137">
        <f>AC28/$AE$28</f>
        <v>0.41176470588235292</v>
      </c>
      <c r="AD29" s="1038"/>
      <c r="AE29" s="137">
        <f>AE28/$AE$28</f>
        <v>1</v>
      </c>
    </row>
    <row r="30" spans="1:31" ht="15" customHeight="1" thickBot="1" x14ac:dyDescent="0.3">
      <c r="R30" s="129" t="s">
        <v>265</v>
      </c>
      <c r="S30" s="1214">
        <f>U30*S40</f>
        <v>0</v>
      </c>
      <c r="T30" s="1214">
        <f>U30*U40</f>
        <v>0</v>
      </c>
      <c r="U30" s="1227"/>
      <c r="V30" s="989"/>
      <c r="Z30" s="122" t="s">
        <v>266</v>
      </c>
      <c r="AA30" s="138">
        <f>S35/(S32)</f>
        <v>5.1198257080610016E-2</v>
      </c>
      <c r="AB30" s="139">
        <f>T35/T32</f>
        <v>1.2219716416040098E-2</v>
      </c>
      <c r="AC30" s="139">
        <f>T35/T32</f>
        <v>1.2219716416040098E-2</v>
      </c>
      <c r="AD30" s="1045">
        <f>V35/U32</f>
        <v>2.1074571560907834E-5</v>
      </c>
      <c r="AE30" s="1047">
        <f>SUMPRODUCT(AA30:AC30,AA29:AC29)+(AD30)</f>
        <v>2.9878139704600966E-2</v>
      </c>
    </row>
    <row r="31" spans="1:31" ht="42.75" customHeight="1" thickBot="1" x14ac:dyDescent="0.3">
      <c r="K31" s="261"/>
      <c r="R31" s="129" t="s">
        <v>267</v>
      </c>
      <c r="S31" s="136"/>
      <c r="T31" s="130"/>
      <c r="U31" s="130"/>
      <c r="V31" s="130"/>
    </row>
    <row r="32" spans="1:31" ht="25.5" customHeight="1" thickBot="1" x14ac:dyDescent="0.3">
      <c r="K32" s="239"/>
      <c r="R32" s="141" t="s">
        <v>257</v>
      </c>
      <c r="S32" s="130">
        <f>SUM(S28:S30)</f>
        <v>17584.615384615379</v>
      </c>
      <c r="T32" s="130">
        <f>SUM(T28:T30)</f>
        <v>21277.384615384617</v>
      </c>
      <c r="U32" s="130">
        <f>SUM(U28:U30)</f>
        <v>38862</v>
      </c>
      <c r="V32" s="130">
        <f>SUM(V28:V30)</f>
        <v>11.830000000000002</v>
      </c>
    </row>
    <row r="33" spans="2:24" ht="14.25" customHeight="1" thickBot="1" x14ac:dyDescent="0.3">
      <c r="B33" s="84"/>
      <c r="E33" s="84"/>
      <c r="F33" s="84"/>
      <c r="R33" s="142" t="s">
        <v>268</v>
      </c>
      <c r="S33" s="136"/>
      <c r="T33" s="136"/>
      <c r="U33" s="136"/>
      <c r="V33" s="136"/>
    </row>
    <row r="34" spans="2:24" ht="14.25" customHeight="1" thickBot="1" x14ac:dyDescent="0.3">
      <c r="R34" s="262" t="s">
        <v>269</v>
      </c>
      <c r="S34" s="136"/>
      <c r="T34" s="130"/>
      <c r="U34" s="136"/>
      <c r="V34" s="136"/>
    </row>
    <row r="35" spans="2:24" ht="14.25" customHeight="1" thickBot="1" x14ac:dyDescent="0.3">
      <c r="B35" s="1648" t="s">
        <v>632</v>
      </c>
      <c r="C35" s="1649"/>
      <c r="D35" s="1649"/>
      <c r="E35" s="1649"/>
      <c r="F35" s="1650"/>
      <c r="G35" s="803"/>
      <c r="H35" s="803"/>
      <c r="I35" s="803"/>
      <c r="J35" s="803"/>
      <c r="K35" s="803"/>
      <c r="L35" s="803"/>
      <c r="R35" s="144" t="s">
        <v>249</v>
      </c>
      <c r="S35" s="990">
        <f>$L$5</f>
        <v>900.30165912518817</v>
      </c>
      <c r="T35" s="990">
        <f>SUM(L6:L19)</f>
        <v>260.00360607501443</v>
      </c>
      <c r="U35" s="1049">
        <f>S35+T35+V35</f>
        <v>1161.1242652002024</v>
      </c>
      <c r="V35" s="1049">
        <f>SUM(L37)</f>
        <v>0.81900000000000017</v>
      </c>
    </row>
    <row r="36" spans="2:24" ht="47.25" x14ac:dyDescent="0.25">
      <c r="B36" s="776" t="s">
        <v>241</v>
      </c>
      <c r="C36" s="776" t="s">
        <v>317</v>
      </c>
      <c r="D36" s="778" t="s">
        <v>622</v>
      </c>
      <c r="E36" s="775" t="s">
        <v>623</v>
      </c>
      <c r="F36" s="778" t="s">
        <v>624</v>
      </c>
      <c r="G36" s="797"/>
      <c r="H36" s="778" t="s">
        <v>624</v>
      </c>
      <c r="I36" s="778" t="s">
        <v>246</v>
      </c>
      <c r="J36" s="778" t="s">
        <v>247</v>
      </c>
      <c r="K36" s="778" t="s">
        <v>248</v>
      </c>
      <c r="L36" s="778" t="s">
        <v>249</v>
      </c>
    </row>
    <row r="37" spans="2:24" x14ac:dyDescent="0.25">
      <c r="B37" s="772" t="s">
        <v>686</v>
      </c>
      <c r="C37" s="773" t="s">
        <v>14</v>
      </c>
      <c r="D37" s="774">
        <v>7.0000000000000007E-2</v>
      </c>
      <c r="E37" s="772">
        <f>$AD$1</f>
        <v>169</v>
      </c>
      <c r="F37" s="772">
        <f>D37*E37</f>
        <v>11.830000000000002</v>
      </c>
      <c r="H37" s="772">
        <f>F37</f>
        <v>11.830000000000002</v>
      </c>
      <c r="I37" s="772">
        <f>VLOOKUP(B37,All_Ingredients!$A$1:$F$156,6,FALSE())</f>
        <v>0.65</v>
      </c>
      <c r="J37" s="772">
        <f>VLOOKUP(B37,All_Ingredients!$A$1:$J$156,10,FALSE())</f>
        <v>45</v>
      </c>
      <c r="K37" s="772">
        <f>(H37/I37)/1000</f>
        <v>1.8200000000000004E-2</v>
      </c>
      <c r="L37" s="772">
        <f t="shared" ref="L37" si="7">K37*J37</f>
        <v>0.81900000000000017</v>
      </c>
    </row>
    <row r="40" spans="2:24" ht="13.5" customHeight="1" x14ac:dyDescent="0.25">
      <c r="Q40" s="14"/>
      <c r="R40" s="146" t="s">
        <v>270</v>
      </c>
      <c r="S40" s="147">
        <v>0.76923076923076905</v>
      </c>
      <c r="T40" s="146" t="s">
        <v>271</v>
      </c>
      <c r="U40" s="148">
        <v>0.230769230769231</v>
      </c>
      <c r="V40" s="149">
        <f>S40+U40</f>
        <v>1</v>
      </c>
      <c r="W40" s="14"/>
      <c r="X40" s="14"/>
    </row>
    <row r="41" spans="2:24" ht="14.25" customHeight="1" x14ac:dyDescent="0.25">
      <c r="Q41" s="14"/>
      <c r="R41" s="14"/>
      <c r="S41" s="14"/>
      <c r="T41" s="14"/>
      <c r="U41" s="150"/>
      <c r="V41" s="14"/>
      <c r="W41" s="14"/>
      <c r="X41" s="14"/>
    </row>
    <row r="42" spans="2:24" ht="14.25" customHeight="1" x14ac:dyDescent="0.25">
      <c r="Q42" s="14"/>
      <c r="R42" s="14"/>
      <c r="S42" s="14"/>
      <c r="T42" s="14"/>
      <c r="U42" s="14"/>
      <c r="V42" s="14"/>
      <c r="W42" s="14"/>
      <c r="X42" s="14"/>
    </row>
    <row r="43" spans="2:24" ht="14.25" customHeight="1" x14ac:dyDescent="0.25">
      <c r="Q43" s="151" t="s">
        <v>272</v>
      </c>
      <c r="R43" s="151" t="s">
        <v>273</v>
      </c>
      <c r="S43" s="151" t="s">
        <v>274</v>
      </c>
      <c r="T43" s="151" t="s">
        <v>275</v>
      </c>
      <c r="U43" s="151" t="s">
        <v>276</v>
      </c>
      <c r="V43" s="151" t="s">
        <v>277</v>
      </c>
      <c r="W43" s="235" t="s">
        <v>278</v>
      </c>
      <c r="X43" s="298"/>
    </row>
    <row r="44" spans="2:24" ht="14.25" customHeight="1" x14ac:dyDescent="0.25">
      <c r="Q44" s="153">
        <v>10745</v>
      </c>
      <c r="R44" s="154">
        <f>D51</f>
        <v>10000</v>
      </c>
      <c r="S44" s="155">
        <v>0.24790000000000001</v>
      </c>
      <c r="T44" s="155">
        <v>0.75209999999999999</v>
      </c>
      <c r="U44" s="220">
        <f>R44*S44</f>
        <v>2479</v>
      </c>
      <c r="V44" s="157">
        <f>R44*T44</f>
        <v>7521</v>
      </c>
      <c r="W44" s="237">
        <f>Q44-U44</f>
        <v>8266</v>
      </c>
      <c r="X44" s="275"/>
    </row>
    <row r="50" spans="1:10" x14ac:dyDescent="0.25">
      <c r="B50" s="126"/>
      <c r="C50" s="126" t="s">
        <v>233</v>
      </c>
      <c r="D50" s="126" t="s">
        <v>279</v>
      </c>
      <c r="E50" s="164"/>
      <c r="F50" s="84"/>
      <c r="G50" s="126" t="s">
        <v>280</v>
      </c>
      <c r="H50" s="126" t="s">
        <v>233</v>
      </c>
      <c r="I50" s="126" t="s">
        <v>281</v>
      </c>
      <c r="J50" s="126" t="s">
        <v>282</v>
      </c>
    </row>
    <row r="51" spans="1:10" x14ac:dyDescent="0.25">
      <c r="B51" s="161" t="s">
        <v>283</v>
      </c>
      <c r="C51" s="162">
        <f>10/$K$1</f>
        <v>10.526315789473685</v>
      </c>
      <c r="D51" s="163">
        <f>$C$1*10</f>
        <v>10000</v>
      </c>
      <c r="E51" s="84"/>
      <c r="F51" s="84"/>
      <c r="G51" s="161" t="s">
        <v>283</v>
      </c>
      <c r="H51" s="254">
        <f>I51/$D$5</f>
        <v>10</v>
      </c>
      <c r="I51" s="162">
        <f t="shared" ref="I51:I56" si="8">J51/$R$1</f>
        <v>16207.843137254902</v>
      </c>
      <c r="J51" s="162">
        <f>$W$44</f>
        <v>8266</v>
      </c>
    </row>
    <row r="52" spans="1:10" ht="17.25" customHeight="1" x14ac:dyDescent="0.25">
      <c r="B52" s="209" t="s">
        <v>262</v>
      </c>
      <c r="C52" s="210">
        <f>$I$1</f>
        <v>22.397246963562754</v>
      </c>
      <c r="D52" s="211">
        <f>$E$1</f>
        <v>21277.384615384617</v>
      </c>
      <c r="E52" s="84"/>
      <c r="F52" s="84"/>
      <c r="G52" s="129" t="s">
        <v>262</v>
      </c>
      <c r="H52" s="190">
        <f>I52/$D$5</f>
        <v>21.273427757821654</v>
      </c>
      <c r="I52" s="157">
        <f t="shared" si="8"/>
        <v>34479.638009049762</v>
      </c>
      <c r="J52" s="165">
        <f>$S$32</f>
        <v>17584.615384615379</v>
      </c>
    </row>
    <row r="53" spans="1:10" ht="22.5" customHeight="1" x14ac:dyDescent="0.25">
      <c r="B53" s="209" t="s">
        <v>284</v>
      </c>
      <c r="C53" s="212">
        <f>MIN(C52, C51)</f>
        <v>10.526315789473685</v>
      </c>
      <c r="D53" s="211">
        <f>(C53*$K$1)*$C$1</f>
        <v>10000</v>
      </c>
      <c r="E53" s="84"/>
      <c r="F53" s="84"/>
      <c r="G53" s="129" t="s">
        <v>284</v>
      </c>
      <c r="H53" s="168">
        <f>MIN(H52,H51)</f>
        <v>10</v>
      </c>
      <c r="I53" s="157">
        <f t="shared" si="8"/>
        <v>16207.843137254902</v>
      </c>
      <c r="J53" s="157">
        <f>MIN(J52,J51)</f>
        <v>8266</v>
      </c>
    </row>
    <row r="54" spans="1:10" x14ac:dyDescent="0.25">
      <c r="B54" s="209" t="s">
        <v>285</v>
      </c>
      <c r="C54" s="212">
        <f>MIN(MAX(C52-C53,0),C51)</f>
        <v>10.526315789473685</v>
      </c>
      <c r="D54" s="211">
        <f>(C54*$K$1)*$C$1</f>
        <v>10000</v>
      </c>
      <c r="E54" s="84"/>
      <c r="F54" s="84"/>
      <c r="G54" s="129" t="s">
        <v>285</v>
      </c>
      <c r="H54" s="168">
        <f>MIN(MAX(H52-H53),H51)</f>
        <v>10</v>
      </c>
      <c r="I54" s="157">
        <f t="shared" si="8"/>
        <v>16207.843137254902</v>
      </c>
      <c r="J54" s="157">
        <f>MIN(MAX(J52-J53),J51)</f>
        <v>8266</v>
      </c>
    </row>
    <row r="55" spans="1:10" x14ac:dyDescent="0.25">
      <c r="B55" s="209" t="s">
        <v>286</v>
      </c>
      <c r="C55" s="212">
        <f>MIN(MAX(C52-C53-C54,0),C51)</f>
        <v>1.3446153846153841</v>
      </c>
      <c r="D55" s="211">
        <f>(C55*$K$1)*$C$1</f>
        <v>1277.3846153846148</v>
      </c>
      <c r="E55" s="84"/>
      <c r="F55" s="84"/>
      <c r="G55" s="126" t="s">
        <v>286</v>
      </c>
      <c r="H55" s="168">
        <f>MIN(MAX(H52-H53-H54),H51)</f>
        <v>1.2734277578216542</v>
      </c>
      <c r="I55" s="157">
        <f t="shared" si="8"/>
        <v>2063.9517345399595</v>
      </c>
      <c r="J55" s="157">
        <f>MIN(MAX(J52-J53-J54),J51)</f>
        <v>1052.6153846153793</v>
      </c>
    </row>
    <row r="56" spans="1:10" x14ac:dyDescent="0.25">
      <c r="B56" s="209" t="s">
        <v>293</v>
      </c>
      <c r="C56" s="212">
        <f>MIN(MAX(C52-C53-C54-C55,0),C51)</f>
        <v>0</v>
      </c>
      <c r="D56" s="211">
        <f>(C56*$K$1)*$C$1</f>
        <v>0</v>
      </c>
      <c r="G56" s="126" t="s">
        <v>293</v>
      </c>
      <c r="H56" s="168">
        <f>MIN(MAX(H52-H53-H54-H55),H51)</f>
        <v>0</v>
      </c>
      <c r="I56" s="157">
        <f t="shared" si="8"/>
        <v>0</v>
      </c>
      <c r="J56" s="157">
        <f>MIN(MAX(J52-J53-J54-J55),J51)</f>
        <v>0</v>
      </c>
    </row>
    <row r="62" spans="1:10" ht="18" customHeight="1" x14ac:dyDescent="0.25">
      <c r="A62" s="1456"/>
      <c r="B62" s="1642" t="str">
        <f>"بامية لحم 1 / " &amp; COUNTIF($C$53:$C$56, "&gt;0")</f>
        <v>بامية لحم 1 / 3</v>
      </c>
      <c r="C62" s="1651"/>
      <c r="D62" s="1651"/>
      <c r="E62" s="1651"/>
      <c r="F62" s="1651"/>
      <c r="G62" s="1651"/>
      <c r="H62" s="1651"/>
    </row>
    <row r="63" spans="1:10" ht="18" customHeight="1" x14ac:dyDescent="0.25">
      <c r="A63" s="1456"/>
      <c r="B63" s="1636" t="str">
        <f>"Meat with Bamiya 1 / " &amp; COUNTIF($C$53:$C$56, "&gt;0")</f>
        <v>Meat with Bamiya 1 / 3</v>
      </c>
      <c r="C63" s="1637"/>
      <c r="D63" s="1637"/>
      <c r="E63" s="1637"/>
      <c r="F63" s="1637"/>
      <c r="G63" s="1637"/>
      <c r="H63" s="1637"/>
    </row>
    <row r="64" spans="1:10" ht="52.5" customHeight="1" x14ac:dyDescent="0.2">
      <c r="A64" s="1589"/>
      <c r="B64" s="75" t="s">
        <v>241</v>
      </c>
      <c r="C64" s="90" t="s">
        <v>242</v>
      </c>
      <c r="D64" s="75" t="s">
        <v>231</v>
      </c>
      <c r="E64" s="91" t="s">
        <v>234</v>
      </c>
      <c r="F64" s="91" t="s">
        <v>243</v>
      </c>
      <c r="G64" s="75" t="s">
        <v>244</v>
      </c>
      <c r="H64" s="92" t="s">
        <v>245</v>
      </c>
    </row>
    <row r="65" spans="1:10" ht="14.25" customHeight="1" x14ac:dyDescent="0.2">
      <c r="A65" s="1459"/>
      <c r="B65" s="263" t="str">
        <f t="shared" ref="B65:C79" si="9">B5</f>
        <v>Indian Meat Alana  - لحم هندى ألانا</v>
      </c>
      <c r="C65" s="263" t="str">
        <f t="shared" si="9"/>
        <v>gm</v>
      </c>
      <c r="D65" s="264">
        <f>H53</f>
        <v>10</v>
      </c>
      <c r="E65" s="98">
        <f>H53</f>
        <v>10</v>
      </c>
      <c r="F65" s="109">
        <f t="shared" ref="F65:F79" si="10">F5</f>
        <v>1</v>
      </c>
      <c r="G65" s="101">
        <f t="shared" ref="G65:G79" si="11">D65*E65</f>
        <v>100</v>
      </c>
      <c r="H65" s="102">
        <f t="shared" ref="H65:H79" si="12">G65*F65</f>
        <v>100</v>
      </c>
    </row>
    <row r="66" spans="1:10" ht="14.25" customHeight="1" x14ac:dyDescent="0.25">
      <c r="A66" s="1455" t="s">
        <v>920</v>
      </c>
      <c r="B66" s="263" t="str">
        <f t="shared" si="9"/>
        <v>Onion - بصل</v>
      </c>
      <c r="C66" s="263" t="str">
        <f t="shared" si="9"/>
        <v>gm</v>
      </c>
      <c r="D66" s="263">
        <f t="shared" ref="D66:D79" si="13">D6</f>
        <v>150</v>
      </c>
      <c r="E66" s="98">
        <f t="shared" ref="E66:E79" si="14">$C$53</f>
        <v>10.526315789473685</v>
      </c>
      <c r="F66" s="109">
        <f t="shared" si="10"/>
        <v>1</v>
      </c>
      <c r="G66" s="101">
        <f t="shared" si="11"/>
        <v>1578.9473684210527</v>
      </c>
      <c r="H66" s="102">
        <f t="shared" si="12"/>
        <v>1578.9473684210527</v>
      </c>
    </row>
    <row r="67" spans="1:10" ht="14.25" customHeight="1" x14ac:dyDescent="0.25">
      <c r="A67" s="1455" t="s">
        <v>909</v>
      </c>
      <c r="B67" s="263" t="str">
        <f t="shared" si="9"/>
        <v>Tomato - طماطم</v>
      </c>
      <c r="C67" s="263" t="str">
        <f t="shared" si="9"/>
        <v>gm</v>
      </c>
      <c r="D67" s="263">
        <f t="shared" si="13"/>
        <v>400</v>
      </c>
      <c r="E67" s="98">
        <f t="shared" si="14"/>
        <v>10.526315789473685</v>
      </c>
      <c r="F67" s="109">
        <f t="shared" si="10"/>
        <v>1</v>
      </c>
      <c r="G67" s="101">
        <f t="shared" si="11"/>
        <v>4210.5263157894742</v>
      </c>
      <c r="H67" s="102">
        <f t="shared" si="12"/>
        <v>4210.5263157894742</v>
      </c>
    </row>
    <row r="68" spans="1:10" ht="14.25" customHeight="1" x14ac:dyDescent="0.25">
      <c r="A68" s="1455" t="s">
        <v>907</v>
      </c>
      <c r="B68" s="263" t="str">
        <f t="shared" si="9"/>
        <v>Garlic - ثوم مقشر</v>
      </c>
      <c r="C68" s="263" t="str">
        <f t="shared" si="9"/>
        <v>gm</v>
      </c>
      <c r="D68" s="263">
        <f t="shared" si="13"/>
        <v>35</v>
      </c>
      <c r="E68" s="98">
        <f t="shared" si="14"/>
        <v>10.526315789473685</v>
      </c>
      <c r="F68" s="109">
        <f t="shared" si="10"/>
        <v>1</v>
      </c>
      <c r="G68" s="101">
        <f t="shared" si="11"/>
        <v>368.42105263157896</v>
      </c>
      <c r="H68" s="102">
        <f t="shared" si="12"/>
        <v>368.42105263157896</v>
      </c>
    </row>
    <row r="69" spans="1:10" ht="14.25" customHeight="1" x14ac:dyDescent="0.25">
      <c r="A69" s="1455"/>
      <c r="B69" s="263" t="str">
        <f t="shared" si="9"/>
        <v>Black Pepper Powder - فلفل أسود مطحون</v>
      </c>
      <c r="C69" s="263" t="str">
        <f t="shared" si="9"/>
        <v>gm</v>
      </c>
      <c r="D69" s="263">
        <f t="shared" si="13"/>
        <v>3</v>
      </c>
      <c r="E69" s="98">
        <f t="shared" si="14"/>
        <v>10.526315789473685</v>
      </c>
      <c r="F69" s="109">
        <f t="shared" si="10"/>
        <v>1</v>
      </c>
      <c r="G69" s="101">
        <f t="shared" si="11"/>
        <v>31.578947368421055</v>
      </c>
      <c r="H69" s="102">
        <f t="shared" si="12"/>
        <v>31.578947368421055</v>
      </c>
    </row>
    <row r="70" spans="1:10" ht="14.25" customHeight="1" x14ac:dyDescent="0.25">
      <c r="A70" s="1455"/>
      <c r="B70" s="263" t="str">
        <f t="shared" si="9"/>
        <v>Cumin Powder - كمون مطحون</v>
      </c>
      <c r="C70" s="263" t="str">
        <f t="shared" si="9"/>
        <v>gm</v>
      </c>
      <c r="D70" s="263">
        <f t="shared" si="13"/>
        <v>5</v>
      </c>
      <c r="E70" s="98">
        <f t="shared" si="14"/>
        <v>10.526315789473685</v>
      </c>
      <c r="F70" s="109">
        <f t="shared" si="10"/>
        <v>0.75</v>
      </c>
      <c r="G70" s="101">
        <f t="shared" si="11"/>
        <v>52.631578947368425</v>
      </c>
      <c r="H70" s="102">
        <f t="shared" si="12"/>
        <v>39.473684210526315</v>
      </c>
    </row>
    <row r="71" spans="1:10" ht="14.25" customHeight="1" x14ac:dyDescent="0.25">
      <c r="A71" s="1455"/>
      <c r="B71" s="263" t="str">
        <f t="shared" si="9"/>
        <v>Coriander Powder - كزبرة مطحونة</v>
      </c>
      <c r="C71" s="263" t="str">
        <f t="shared" si="9"/>
        <v>gm</v>
      </c>
      <c r="D71" s="263">
        <f t="shared" si="13"/>
        <v>5</v>
      </c>
      <c r="E71" s="98">
        <f t="shared" si="14"/>
        <v>10.526315789473685</v>
      </c>
      <c r="F71" s="109">
        <f t="shared" si="10"/>
        <v>0.75</v>
      </c>
      <c r="G71" s="101">
        <f t="shared" si="11"/>
        <v>52.631578947368425</v>
      </c>
      <c r="H71" s="102">
        <f t="shared" si="12"/>
        <v>39.473684210526315</v>
      </c>
    </row>
    <row r="72" spans="1:10" ht="14.25" customHeight="1" x14ac:dyDescent="0.25">
      <c r="A72" s="1455"/>
      <c r="B72" s="263" t="str">
        <f t="shared" si="9"/>
        <v>Cinnamon Powder - قرفة مطحونة</v>
      </c>
      <c r="C72" s="263" t="str">
        <f t="shared" si="9"/>
        <v>gm</v>
      </c>
      <c r="D72" s="263">
        <f t="shared" si="13"/>
        <v>2</v>
      </c>
      <c r="E72" s="98">
        <f t="shared" si="14"/>
        <v>10.526315789473685</v>
      </c>
      <c r="F72" s="109">
        <f t="shared" si="10"/>
        <v>0.75</v>
      </c>
      <c r="G72" s="101">
        <f t="shared" si="11"/>
        <v>21.05263157894737</v>
      </c>
      <c r="H72" s="102">
        <f t="shared" si="12"/>
        <v>15.789473684210527</v>
      </c>
    </row>
    <row r="73" spans="1:10" ht="14.25" customHeight="1" x14ac:dyDescent="0.25">
      <c r="A73" s="1455"/>
      <c r="B73" s="263" t="str">
        <f t="shared" si="9"/>
        <v>Salt - ملح</v>
      </c>
      <c r="C73" s="263" t="str">
        <f t="shared" si="9"/>
        <v>gm</v>
      </c>
      <c r="D73" s="263">
        <f t="shared" si="13"/>
        <v>11</v>
      </c>
      <c r="E73" s="98">
        <f t="shared" si="14"/>
        <v>10.526315789473685</v>
      </c>
      <c r="F73" s="109">
        <f t="shared" si="10"/>
        <v>0.75</v>
      </c>
      <c r="G73" s="101">
        <f t="shared" si="11"/>
        <v>115.78947368421053</v>
      </c>
      <c r="H73" s="102">
        <f t="shared" si="12"/>
        <v>86.842105263157904</v>
      </c>
    </row>
    <row r="74" spans="1:10" ht="14.25" customHeight="1" x14ac:dyDescent="0.25">
      <c r="A74" s="1455"/>
      <c r="B74" s="263" t="str">
        <f t="shared" si="9"/>
        <v>Tomato Paste - صلصة طماطم</v>
      </c>
      <c r="C74" s="263" t="str">
        <f t="shared" si="9"/>
        <v>gm</v>
      </c>
      <c r="D74" s="263">
        <f t="shared" si="13"/>
        <v>250</v>
      </c>
      <c r="E74" s="98">
        <f t="shared" si="14"/>
        <v>10.526315789473685</v>
      </c>
      <c r="F74" s="109">
        <f t="shared" si="10"/>
        <v>1</v>
      </c>
      <c r="G74" s="101">
        <f t="shared" si="11"/>
        <v>2631.5789473684213</v>
      </c>
      <c r="H74" s="102">
        <f t="shared" si="12"/>
        <v>2631.5789473684213</v>
      </c>
    </row>
    <row r="75" spans="1:10" ht="14.25" customHeight="1" x14ac:dyDescent="0.25">
      <c r="A75" s="1455"/>
      <c r="B75" s="263" t="str">
        <f t="shared" si="9"/>
        <v>Frozen Okra - بامية مجمدة</v>
      </c>
      <c r="C75" s="263" t="str">
        <f t="shared" si="9"/>
        <v>gm</v>
      </c>
      <c r="D75" s="263">
        <f t="shared" si="13"/>
        <v>400</v>
      </c>
      <c r="E75" s="98">
        <f t="shared" si="14"/>
        <v>10.526315789473685</v>
      </c>
      <c r="F75" s="109">
        <f t="shared" si="10"/>
        <v>1</v>
      </c>
      <c r="G75" s="101">
        <f t="shared" si="11"/>
        <v>4210.5263157894742</v>
      </c>
      <c r="H75" s="102">
        <f t="shared" si="12"/>
        <v>4210.5263157894742</v>
      </c>
    </row>
    <row r="76" spans="1:10" ht="14.25" customHeight="1" x14ac:dyDescent="0.25">
      <c r="A76" s="1455"/>
      <c r="B76" s="263" t="str">
        <f t="shared" si="9"/>
        <v>Beef Stock - مرق لحم بقري</v>
      </c>
      <c r="C76" s="263" t="str">
        <f t="shared" si="9"/>
        <v>ml</v>
      </c>
      <c r="D76" s="263">
        <f t="shared" si="13"/>
        <v>500</v>
      </c>
      <c r="E76" s="98">
        <f t="shared" si="14"/>
        <v>10.526315789473685</v>
      </c>
      <c r="F76" s="109">
        <f t="shared" si="10"/>
        <v>1</v>
      </c>
      <c r="G76" s="101">
        <f t="shared" si="11"/>
        <v>5263.1578947368425</v>
      </c>
      <c r="H76" s="102">
        <f t="shared" si="12"/>
        <v>5263.1578947368425</v>
      </c>
    </row>
    <row r="77" spans="1:10" ht="14.25" customHeight="1" x14ac:dyDescent="0.25">
      <c r="A77" s="1455"/>
      <c r="B77" s="263" t="str">
        <f t="shared" si="9"/>
        <v>Butter - زبدة</v>
      </c>
      <c r="C77" s="263" t="str">
        <f t="shared" si="9"/>
        <v>gm</v>
      </c>
      <c r="D77" s="263">
        <f t="shared" si="13"/>
        <v>15</v>
      </c>
      <c r="E77" s="98">
        <f t="shared" si="14"/>
        <v>10.526315789473685</v>
      </c>
      <c r="F77" s="109">
        <f t="shared" si="10"/>
        <v>1</v>
      </c>
      <c r="G77" s="101">
        <f t="shared" si="11"/>
        <v>157.89473684210526</v>
      </c>
      <c r="H77" s="102">
        <f t="shared" si="12"/>
        <v>157.89473684210526</v>
      </c>
    </row>
    <row r="78" spans="1:10" ht="14.25" customHeight="1" x14ac:dyDescent="0.25">
      <c r="A78" s="1455"/>
      <c r="B78" s="263" t="str">
        <f t="shared" si="9"/>
        <v>Maggi Cubes - مكعبات ماجي</v>
      </c>
      <c r="C78" s="263" t="str">
        <f t="shared" si="9"/>
        <v>gm</v>
      </c>
      <c r="D78" s="263">
        <f t="shared" si="13"/>
        <v>10</v>
      </c>
      <c r="E78" s="98">
        <f t="shared" si="14"/>
        <v>10.526315789473685</v>
      </c>
      <c r="F78" s="109">
        <f t="shared" si="10"/>
        <v>0.75</v>
      </c>
      <c r="G78" s="101">
        <f t="shared" si="11"/>
        <v>105.26315789473685</v>
      </c>
      <c r="H78" s="102">
        <f t="shared" si="12"/>
        <v>78.94736842105263</v>
      </c>
    </row>
    <row r="79" spans="1:10" ht="20.25" customHeight="1" x14ac:dyDescent="0.3">
      <c r="A79" s="1455"/>
      <c r="B79" s="263" t="str">
        <f t="shared" si="9"/>
        <v>Salt - ملح</v>
      </c>
      <c r="C79" s="263" t="str">
        <f t="shared" si="9"/>
        <v>gm</v>
      </c>
      <c r="D79" s="263">
        <f t="shared" si="13"/>
        <v>5</v>
      </c>
      <c r="E79" s="98">
        <f t="shared" si="14"/>
        <v>10.526315789473685</v>
      </c>
      <c r="F79" s="109">
        <f t="shared" si="10"/>
        <v>1</v>
      </c>
      <c r="G79" s="101">
        <f t="shared" si="11"/>
        <v>52.631578947368425</v>
      </c>
      <c r="H79" s="102">
        <f t="shared" si="12"/>
        <v>52.631578947368425</v>
      </c>
      <c r="I79" s="184"/>
      <c r="J79" s="183"/>
    </row>
    <row r="80" spans="1:10" ht="20.25" customHeight="1" x14ac:dyDescent="0.25">
      <c r="A80" s="1458"/>
      <c r="B80" s="178" t="s">
        <v>287</v>
      </c>
      <c r="C80" s="180" t="s">
        <v>273</v>
      </c>
      <c r="D80" s="14"/>
      <c r="E80" s="180" t="s">
        <v>288</v>
      </c>
      <c r="F80" s="14"/>
      <c r="G80" s="804" t="s">
        <v>264</v>
      </c>
      <c r="H80" s="804" t="s">
        <v>673</v>
      </c>
      <c r="I80" s="14"/>
      <c r="J80" s="14"/>
    </row>
    <row r="81" spans="1:8" ht="23.25" customHeight="1" x14ac:dyDescent="0.3">
      <c r="A81" s="1458"/>
      <c r="B81" s="179">
        <f>$J$53</f>
        <v>8266</v>
      </c>
      <c r="C81" s="179">
        <f>E81+G81</f>
        <v>10000</v>
      </c>
      <c r="D81" s="839"/>
      <c r="E81" s="179">
        <f>$D$53*$S$44</f>
        <v>2479</v>
      </c>
      <c r="F81" s="843"/>
      <c r="G81" s="179">
        <f>$D$53*$T$44</f>
        <v>7521</v>
      </c>
      <c r="H81" s="179">
        <f>B81+E81</f>
        <v>10745</v>
      </c>
    </row>
    <row r="82" spans="1:8" ht="14.25" customHeight="1" x14ac:dyDescent="0.25">
      <c r="B82" s="84"/>
      <c r="E82" s="84"/>
      <c r="F82" s="84"/>
    </row>
    <row r="83" spans="1:8" ht="14.25" customHeight="1" x14ac:dyDescent="0.25">
      <c r="B83" s="84"/>
      <c r="E83" s="84"/>
      <c r="F83" s="84"/>
    </row>
    <row r="84" spans="1:8" ht="14.25" customHeight="1" x14ac:dyDescent="0.25">
      <c r="B84" s="84"/>
      <c r="E84" s="84"/>
      <c r="F84" s="84"/>
    </row>
    <row r="85" spans="1:8" ht="18" customHeight="1" x14ac:dyDescent="0.25">
      <c r="A85" s="1456"/>
      <c r="B85" s="1642" t="str">
        <f>"بامية لحم 2 / " &amp; COUNTIF($C$53:$C$56, "&gt;0")</f>
        <v>بامية لحم 2 / 3</v>
      </c>
      <c r="C85" s="1651"/>
      <c r="D85" s="1651"/>
      <c r="E85" s="1651"/>
      <c r="F85" s="1651"/>
      <c r="G85" s="1651"/>
      <c r="H85" s="1651"/>
    </row>
    <row r="86" spans="1:8" ht="23.25" customHeight="1" x14ac:dyDescent="0.25">
      <c r="A86" s="1456"/>
      <c r="B86" s="1636" t="str">
        <f>"Meat with Bamiya 2 / " &amp; COUNTIF($C$53:$C$56, "&gt;0")</f>
        <v>Meat with Bamiya 2 / 3</v>
      </c>
      <c r="C86" s="1636"/>
      <c r="D86" s="1636"/>
      <c r="E86" s="1636"/>
      <c r="F86" s="1636"/>
      <c r="G86" s="1636"/>
      <c r="H86" s="1636"/>
    </row>
    <row r="87" spans="1:8" ht="46.5" customHeight="1" x14ac:dyDescent="0.2">
      <c r="A87" s="1589"/>
      <c r="B87" s="75" t="s">
        <v>241</v>
      </c>
      <c r="C87" s="90" t="s">
        <v>242</v>
      </c>
      <c r="D87" s="75" t="s">
        <v>231</v>
      </c>
      <c r="E87" s="91" t="s">
        <v>234</v>
      </c>
      <c r="F87" s="91" t="s">
        <v>243</v>
      </c>
      <c r="G87" s="75" t="s">
        <v>244</v>
      </c>
      <c r="H87" s="92" t="s">
        <v>245</v>
      </c>
    </row>
    <row r="88" spans="1:8" ht="14.25" customHeight="1" x14ac:dyDescent="0.25">
      <c r="A88" s="1455"/>
      <c r="B88" s="263" t="str">
        <f t="shared" ref="B88:C102" si="15">B5</f>
        <v>Indian Meat Alana  - لحم هندى ألانا</v>
      </c>
      <c r="C88" s="263" t="str">
        <f t="shared" si="15"/>
        <v>gm</v>
      </c>
      <c r="D88" s="265">
        <f>H54</f>
        <v>10</v>
      </c>
      <c r="E88" s="177">
        <f>H54</f>
        <v>10</v>
      </c>
      <c r="F88" s="109">
        <f t="shared" ref="F88:F102" si="16">F5</f>
        <v>1</v>
      </c>
      <c r="G88" s="101">
        <f t="shared" ref="G88:G102" si="17">D88*E88</f>
        <v>100</v>
      </c>
      <c r="H88" s="102">
        <f t="shared" ref="H88:H102" si="18">G88*F88</f>
        <v>100</v>
      </c>
    </row>
    <row r="89" spans="1:8" ht="14.25" customHeight="1" x14ac:dyDescent="0.25">
      <c r="A89" s="1455" t="s">
        <v>920</v>
      </c>
      <c r="B89" s="263" t="str">
        <f t="shared" si="15"/>
        <v>Onion - بصل</v>
      </c>
      <c r="C89" s="263" t="str">
        <f t="shared" si="15"/>
        <v>gm</v>
      </c>
      <c r="D89" s="263">
        <f t="shared" ref="D89:D102" si="19">D6</f>
        <v>150</v>
      </c>
      <c r="E89" s="177">
        <f t="shared" ref="E89:E102" si="20">$C$54</f>
        <v>10.526315789473685</v>
      </c>
      <c r="F89" s="109">
        <f t="shared" si="16"/>
        <v>1</v>
      </c>
      <c r="G89" s="101">
        <f t="shared" si="17"/>
        <v>1578.9473684210527</v>
      </c>
      <c r="H89" s="102">
        <f t="shared" si="18"/>
        <v>1578.9473684210527</v>
      </c>
    </row>
    <row r="90" spans="1:8" ht="14.25" customHeight="1" x14ac:dyDescent="0.25">
      <c r="A90" s="1455" t="s">
        <v>909</v>
      </c>
      <c r="B90" s="263" t="str">
        <f t="shared" si="15"/>
        <v>Tomato - طماطم</v>
      </c>
      <c r="C90" s="263" t="str">
        <f t="shared" si="15"/>
        <v>gm</v>
      </c>
      <c r="D90" s="263">
        <f t="shared" si="19"/>
        <v>400</v>
      </c>
      <c r="E90" s="177">
        <f t="shared" si="20"/>
        <v>10.526315789473685</v>
      </c>
      <c r="F90" s="109">
        <f t="shared" si="16"/>
        <v>1</v>
      </c>
      <c r="G90" s="101">
        <f t="shared" si="17"/>
        <v>4210.5263157894742</v>
      </c>
      <c r="H90" s="102">
        <f t="shared" si="18"/>
        <v>4210.5263157894742</v>
      </c>
    </row>
    <row r="91" spans="1:8" ht="14.25" customHeight="1" x14ac:dyDescent="0.25">
      <c r="A91" s="1455" t="s">
        <v>907</v>
      </c>
      <c r="B91" s="263" t="str">
        <f t="shared" si="15"/>
        <v>Garlic - ثوم مقشر</v>
      </c>
      <c r="C91" s="263" t="str">
        <f t="shared" si="15"/>
        <v>gm</v>
      </c>
      <c r="D91" s="263">
        <f t="shared" si="19"/>
        <v>35</v>
      </c>
      <c r="E91" s="177">
        <f t="shared" si="20"/>
        <v>10.526315789473685</v>
      </c>
      <c r="F91" s="109">
        <f t="shared" si="16"/>
        <v>1</v>
      </c>
      <c r="G91" s="101">
        <f t="shared" si="17"/>
        <v>368.42105263157896</v>
      </c>
      <c r="H91" s="102">
        <f t="shared" si="18"/>
        <v>368.42105263157896</v>
      </c>
    </row>
    <row r="92" spans="1:8" ht="14.25" customHeight="1" x14ac:dyDescent="0.25">
      <c r="A92" s="1455"/>
      <c r="B92" s="263" t="str">
        <f t="shared" si="15"/>
        <v>Black Pepper Powder - فلفل أسود مطحون</v>
      </c>
      <c r="C92" s="263" t="str">
        <f t="shared" si="15"/>
        <v>gm</v>
      </c>
      <c r="D92" s="263">
        <f t="shared" si="19"/>
        <v>3</v>
      </c>
      <c r="E92" s="177">
        <f t="shared" si="20"/>
        <v>10.526315789473685</v>
      </c>
      <c r="F92" s="109">
        <f t="shared" si="16"/>
        <v>1</v>
      </c>
      <c r="G92" s="101">
        <f t="shared" si="17"/>
        <v>31.578947368421055</v>
      </c>
      <c r="H92" s="102">
        <f t="shared" si="18"/>
        <v>31.578947368421055</v>
      </c>
    </row>
    <row r="93" spans="1:8" ht="14.25" customHeight="1" x14ac:dyDescent="0.25">
      <c r="A93" s="1455"/>
      <c r="B93" s="263" t="str">
        <f t="shared" si="15"/>
        <v>Cumin Powder - كمون مطحون</v>
      </c>
      <c r="C93" s="263" t="str">
        <f t="shared" si="15"/>
        <v>gm</v>
      </c>
      <c r="D93" s="263">
        <f t="shared" si="19"/>
        <v>5</v>
      </c>
      <c r="E93" s="177">
        <f t="shared" si="20"/>
        <v>10.526315789473685</v>
      </c>
      <c r="F93" s="109">
        <f t="shared" si="16"/>
        <v>0.75</v>
      </c>
      <c r="G93" s="101">
        <f t="shared" si="17"/>
        <v>52.631578947368425</v>
      </c>
      <c r="H93" s="102">
        <f t="shared" si="18"/>
        <v>39.473684210526315</v>
      </c>
    </row>
    <row r="94" spans="1:8" ht="14.25" customHeight="1" x14ac:dyDescent="0.25">
      <c r="A94" s="1455"/>
      <c r="B94" s="263" t="str">
        <f t="shared" si="15"/>
        <v>Coriander Powder - كزبرة مطحونة</v>
      </c>
      <c r="C94" s="263" t="str">
        <f t="shared" si="15"/>
        <v>gm</v>
      </c>
      <c r="D94" s="263">
        <f t="shared" si="19"/>
        <v>5</v>
      </c>
      <c r="E94" s="177">
        <f t="shared" si="20"/>
        <v>10.526315789473685</v>
      </c>
      <c r="F94" s="109">
        <f t="shared" si="16"/>
        <v>0.75</v>
      </c>
      <c r="G94" s="101">
        <f t="shared" si="17"/>
        <v>52.631578947368425</v>
      </c>
      <c r="H94" s="102">
        <f t="shared" si="18"/>
        <v>39.473684210526315</v>
      </c>
    </row>
    <row r="95" spans="1:8" ht="14.25" customHeight="1" x14ac:dyDescent="0.25">
      <c r="A95" s="1455"/>
      <c r="B95" s="263" t="str">
        <f t="shared" si="15"/>
        <v>Cinnamon Powder - قرفة مطحونة</v>
      </c>
      <c r="C95" s="263" t="str">
        <f t="shared" si="15"/>
        <v>gm</v>
      </c>
      <c r="D95" s="263">
        <f t="shared" si="19"/>
        <v>2</v>
      </c>
      <c r="E95" s="177">
        <f t="shared" si="20"/>
        <v>10.526315789473685</v>
      </c>
      <c r="F95" s="109">
        <f t="shared" si="16"/>
        <v>0.75</v>
      </c>
      <c r="G95" s="101">
        <f t="shared" si="17"/>
        <v>21.05263157894737</v>
      </c>
      <c r="H95" s="102">
        <f t="shared" si="18"/>
        <v>15.789473684210527</v>
      </c>
    </row>
    <row r="96" spans="1:8" ht="14.25" customHeight="1" x14ac:dyDescent="0.25">
      <c r="A96" s="1455"/>
      <c r="B96" s="263" t="str">
        <f t="shared" si="15"/>
        <v>Salt - ملح</v>
      </c>
      <c r="C96" s="263" t="str">
        <f t="shared" si="15"/>
        <v>gm</v>
      </c>
      <c r="D96" s="263">
        <f t="shared" si="19"/>
        <v>11</v>
      </c>
      <c r="E96" s="177">
        <f t="shared" si="20"/>
        <v>10.526315789473685</v>
      </c>
      <c r="F96" s="109">
        <f t="shared" si="16"/>
        <v>0.75</v>
      </c>
      <c r="G96" s="101">
        <f t="shared" si="17"/>
        <v>115.78947368421053</v>
      </c>
      <c r="H96" s="102">
        <f t="shared" si="18"/>
        <v>86.842105263157904</v>
      </c>
    </row>
    <row r="97" spans="1:8" ht="14.25" customHeight="1" x14ac:dyDescent="0.25">
      <c r="A97" s="1455"/>
      <c r="B97" s="263" t="str">
        <f t="shared" si="15"/>
        <v>Tomato Paste - صلصة طماطم</v>
      </c>
      <c r="C97" s="263" t="str">
        <f t="shared" si="15"/>
        <v>gm</v>
      </c>
      <c r="D97" s="263">
        <f t="shared" si="19"/>
        <v>250</v>
      </c>
      <c r="E97" s="177">
        <f t="shared" si="20"/>
        <v>10.526315789473685</v>
      </c>
      <c r="F97" s="109">
        <f t="shared" si="16"/>
        <v>1</v>
      </c>
      <c r="G97" s="101">
        <f t="shared" si="17"/>
        <v>2631.5789473684213</v>
      </c>
      <c r="H97" s="102">
        <f t="shared" si="18"/>
        <v>2631.5789473684213</v>
      </c>
    </row>
    <row r="98" spans="1:8" ht="14.25" customHeight="1" x14ac:dyDescent="0.25">
      <c r="A98" s="1455"/>
      <c r="B98" s="263" t="str">
        <f t="shared" si="15"/>
        <v>Frozen Okra - بامية مجمدة</v>
      </c>
      <c r="C98" s="263" t="str">
        <f t="shared" si="15"/>
        <v>gm</v>
      </c>
      <c r="D98" s="263">
        <f t="shared" si="19"/>
        <v>400</v>
      </c>
      <c r="E98" s="177">
        <f t="shared" si="20"/>
        <v>10.526315789473685</v>
      </c>
      <c r="F98" s="109">
        <f t="shared" si="16"/>
        <v>1</v>
      </c>
      <c r="G98" s="101">
        <f t="shared" si="17"/>
        <v>4210.5263157894742</v>
      </c>
      <c r="H98" s="102">
        <f t="shared" si="18"/>
        <v>4210.5263157894742</v>
      </c>
    </row>
    <row r="99" spans="1:8" ht="14.25" customHeight="1" x14ac:dyDescent="0.25">
      <c r="A99" s="1455"/>
      <c r="B99" s="263" t="str">
        <f t="shared" si="15"/>
        <v>Beef Stock - مرق لحم بقري</v>
      </c>
      <c r="C99" s="263" t="str">
        <f t="shared" si="15"/>
        <v>ml</v>
      </c>
      <c r="D99" s="263">
        <f t="shared" si="19"/>
        <v>500</v>
      </c>
      <c r="E99" s="177">
        <f t="shared" si="20"/>
        <v>10.526315789473685</v>
      </c>
      <c r="F99" s="109">
        <f t="shared" si="16"/>
        <v>1</v>
      </c>
      <c r="G99" s="101">
        <f t="shared" si="17"/>
        <v>5263.1578947368425</v>
      </c>
      <c r="H99" s="102">
        <f t="shared" si="18"/>
        <v>5263.1578947368425</v>
      </c>
    </row>
    <row r="100" spans="1:8" ht="14.25" customHeight="1" x14ac:dyDescent="0.25">
      <c r="A100" s="1455"/>
      <c r="B100" s="263" t="str">
        <f t="shared" si="15"/>
        <v>Butter - زبدة</v>
      </c>
      <c r="C100" s="263" t="str">
        <f t="shared" si="15"/>
        <v>gm</v>
      </c>
      <c r="D100" s="263">
        <f t="shared" si="19"/>
        <v>15</v>
      </c>
      <c r="E100" s="177">
        <f t="shared" si="20"/>
        <v>10.526315789473685</v>
      </c>
      <c r="F100" s="109">
        <f t="shared" si="16"/>
        <v>1</v>
      </c>
      <c r="G100" s="101">
        <f t="shared" si="17"/>
        <v>157.89473684210526</v>
      </c>
      <c r="H100" s="102">
        <f t="shared" si="18"/>
        <v>157.89473684210526</v>
      </c>
    </row>
    <row r="101" spans="1:8" ht="14.25" customHeight="1" x14ac:dyDescent="0.25">
      <c r="A101" s="1455"/>
      <c r="B101" s="263" t="str">
        <f t="shared" si="15"/>
        <v>Maggi Cubes - مكعبات ماجي</v>
      </c>
      <c r="C101" s="263" t="str">
        <f t="shared" si="15"/>
        <v>gm</v>
      </c>
      <c r="D101" s="263">
        <f t="shared" si="19"/>
        <v>10</v>
      </c>
      <c r="E101" s="177">
        <f t="shared" si="20"/>
        <v>10.526315789473685</v>
      </c>
      <c r="F101" s="109">
        <f t="shared" si="16"/>
        <v>0.75</v>
      </c>
      <c r="G101" s="101">
        <f t="shared" si="17"/>
        <v>105.26315789473685</v>
      </c>
      <c r="H101" s="102">
        <f t="shared" si="18"/>
        <v>78.94736842105263</v>
      </c>
    </row>
    <row r="102" spans="1:8" ht="14.25" customHeight="1" x14ac:dyDescent="0.25">
      <c r="A102" s="1455"/>
      <c r="B102" s="263" t="str">
        <f t="shared" si="15"/>
        <v>Salt - ملح</v>
      </c>
      <c r="C102" s="263" t="str">
        <f t="shared" si="15"/>
        <v>gm</v>
      </c>
      <c r="D102" s="263">
        <f t="shared" si="19"/>
        <v>5</v>
      </c>
      <c r="E102" s="177">
        <f t="shared" si="20"/>
        <v>10.526315789473685</v>
      </c>
      <c r="F102" s="109">
        <f t="shared" si="16"/>
        <v>1</v>
      </c>
      <c r="G102" s="101">
        <f t="shared" si="17"/>
        <v>52.631578947368425</v>
      </c>
      <c r="H102" s="102">
        <f t="shared" si="18"/>
        <v>52.631578947368425</v>
      </c>
    </row>
    <row r="103" spans="1:8" ht="20.25" customHeight="1" x14ac:dyDescent="0.25">
      <c r="A103" s="1458"/>
      <c r="B103" s="178" t="s">
        <v>287</v>
      </c>
      <c r="C103" s="180" t="s">
        <v>273</v>
      </c>
      <c r="D103" s="14"/>
      <c r="E103" s="180" t="s">
        <v>288</v>
      </c>
      <c r="F103" s="14"/>
      <c r="G103" s="804" t="s">
        <v>264</v>
      </c>
      <c r="H103" s="804" t="s">
        <v>673</v>
      </c>
    </row>
    <row r="104" spans="1:8" ht="20.25" x14ac:dyDescent="0.3">
      <c r="A104" s="1458"/>
      <c r="B104" s="179">
        <f>$J$54</f>
        <v>8266</v>
      </c>
      <c r="C104" s="179">
        <f>E104+G104</f>
        <v>10000</v>
      </c>
      <c r="D104" s="839"/>
      <c r="E104" s="179">
        <f>$D$54*$S$44</f>
        <v>2479</v>
      </c>
      <c r="F104" s="843"/>
      <c r="G104" s="179">
        <f>$D$54*$T$44</f>
        <v>7521</v>
      </c>
      <c r="H104" s="179">
        <f>B104+E104</f>
        <v>10745</v>
      </c>
    </row>
    <row r="106" spans="1:8" x14ac:dyDescent="0.25">
      <c r="A106" s="1456"/>
      <c r="B106" s="1642" t="str">
        <f>"بامية لحم 3 / " &amp; COUNTIF($C$53:$C$56, "&gt;0")</f>
        <v>بامية لحم 3 / 3</v>
      </c>
      <c r="C106" s="1651"/>
      <c r="D106" s="1651"/>
      <c r="E106" s="1651"/>
      <c r="F106" s="1651"/>
      <c r="G106" s="1651"/>
      <c r="H106" s="1651"/>
    </row>
    <row r="107" spans="1:8" ht="28.5" customHeight="1" x14ac:dyDescent="0.25">
      <c r="A107" s="1456"/>
      <c r="B107" s="1636" t="str">
        <f>"Meat with Bamiya 3 / " &amp; COUNTIF($C$53:$C$56, "&gt;0")</f>
        <v>Meat with Bamiya 3 / 3</v>
      </c>
      <c r="C107" s="1636"/>
      <c r="D107" s="1636"/>
      <c r="E107" s="1636"/>
      <c r="F107" s="1636"/>
      <c r="G107" s="1636"/>
      <c r="H107" s="1636"/>
    </row>
    <row r="108" spans="1:8" ht="41.25" customHeight="1" x14ac:dyDescent="0.2">
      <c r="A108" s="1589"/>
      <c r="B108" s="75" t="s">
        <v>241</v>
      </c>
      <c r="C108" s="90" t="s">
        <v>242</v>
      </c>
      <c r="D108" s="75" t="s">
        <v>231</v>
      </c>
      <c r="E108" s="91" t="s">
        <v>234</v>
      </c>
      <c r="F108" s="91" t="s">
        <v>243</v>
      </c>
      <c r="G108" s="75" t="s">
        <v>244</v>
      </c>
      <c r="H108" s="92" t="s">
        <v>245</v>
      </c>
    </row>
    <row r="109" spans="1:8" x14ac:dyDescent="0.25">
      <c r="A109" s="1455"/>
      <c r="B109" s="263" t="str">
        <f t="shared" ref="B109:D123" si="21">B5</f>
        <v>Indian Meat Alana  - لحم هندى ألانا</v>
      </c>
      <c r="C109" s="263" t="str">
        <f t="shared" si="21"/>
        <v>gm</v>
      </c>
      <c r="D109" s="263">
        <f t="shared" si="21"/>
        <v>1620.7843137254902</v>
      </c>
      <c r="E109" s="585">
        <f>H55</f>
        <v>1.2734277578216542</v>
      </c>
      <c r="F109" s="584">
        <f t="shared" ref="F109:F123" si="22">F5</f>
        <v>1</v>
      </c>
      <c r="G109" s="101">
        <f t="shared" ref="G109:G123" si="23">D109*E109</f>
        <v>2063.9517345399595</v>
      </c>
      <c r="H109" s="102">
        <f t="shared" ref="H109:H123" si="24">G109*F109</f>
        <v>2063.9517345399595</v>
      </c>
    </row>
    <row r="110" spans="1:8" x14ac:dyDescent="0.25">
      <c r="A110" s="1455" t="s">
        <v>920</v>
      </c>
      <c r="B110" s="263" t="str">
        <f t="shared" si="21"/>
        <v>Onion - بصل</v>
      </c>
      <c r="C110" s="263" t="str">
        <f t="shared" si="21"/>
        <v>gm</v>
      </c>
      <c r="D110" s="263">
        <f t="shared" si="21"/>
        <v>150</v>
      </c>
      <c r="E110" s="585">
        <f t="shared" ref="E110:E123" si="25">$C$55</f>
        <v>1.3446153846153841</v>
      </c>
      <c r="F110" s="584">
        <f t="shared" si="22"/>
        <v>1</v>
      </c>
      <c r="G110" s="101">
        <f t="shared" si="23"/>
        <v>201.69230769230762</v>
      </c>
      <c r="H110" s="102">
        <f t="shared" si="24"/>
        <v>201.69230769230762</v>
      </c>
    </row>
    <row r="111" spans="1:8" x14ac:dyDescent="0.25">
      <c r="A111" s="1455" t="s">
        <v>909</v>
      </c>
      <c r="B111" s="263" t="str">
        <f t="shared" si="21"/>
        <v>Tomato - طماطم</v>
      </c>
      <c r="C111" s="263" t="str">
        <f t="shared" si="21"/>
        <v>gm</v>
      </c>
      <c r="D111" s="263">
        <f t="shared" si="21"/>
        <v>400</v>
      </c>
      <c r="E111" s="585">
        <f t="shared" si="25"/>
        <v>1.3446153846153841</v>
      </c>
      <c r="F111" s="584">
        <f t="shared" si="22"/>
        <v>1</v>
      </c>
      <c r="G111" s="101">
        <f t="shared" si="23"/>
        <v>537.84615384615358</v>
      </c>
      <c r="H111" s="102">
        <f t="shared" si="24"/>
        <v>537.84615384615358</v>
      </c>
    </row>
    <row r="112" spans="1:8" x14ac:dyDescent="0.25">
      <c r="A112" s="1455" t="s">
        <v>907</v>
      </c>
      <c r="B112" s="263" t="str">
        <f t="shared" si="21"/>
        <v>Garlic - ثوم مقشر</v>
      </c>
      <c r="C112" s="263" t="str">
        <f t="shared" si="21"/>
        <v>gm</v>
      </c>
      <c r="D112" s="263">
        <f t="shared" si="21"/>
        <v>35</v>
      </c>
      <c r="E112" s="585">
        <f t="shared" si="25"/>
        <v>1.3446153846153841</v>
      </c>
      <c r="F112" s="584">
        <f t="shared" si="22"/>
        <v>1</v>
      </c>
      <c r="G112" s="101">
        <f t="shared" si="23"/>
        <v>47.061538461538447</v>
      </c>
      <c r="H112" s="102">
        <f t="shared" si="24"/>
        <v>47.061538461538447</v>
      </c>
    </row>
    <row r="113" spans="1:8" x14ac:dyDescent="0.25">
      <c r="A113" s="1455"/>
      <c r="B113" s="263" t="str">
        <f t="shared" si="21"/>
        <v>Black Pepper Powder - فلفل أسود مطحون</v>
      </c>
      <c r="C113" s="263" t="str">
        <f t="shared" si="21"/>
        <v>gm</v>
      </c>
      <c r="D113" s="263">
        <f t="shared" si="21"/>
        <v>3</v>
      </c>
      <c r="E113" s="585">
        <f t="shared" si="25"/>
        <v>1.3446153846153841</v>
      </c>
      <c r="F113" s="584">
        <f t="shared" si="22"/>
        <v>1</v>
      </c>
      <c r="G113" s="101">
        <f t="shared" si="23"/>
        <v>4.0338461538461523</v>
      </c>
      <c r="H113" s="102">
        <f t="shared" si="24"/>
        <v>4.0338461538461523</v>
      </c>
    </row>
    <row r="114" spans="1:8" x14ac:dyDescent="0.25">
      <c r="A114" s="1455"/>
      <c r="B114" s="263" t="str">
        <f t="shared" si="21"/>
        <v>Cumin Powder - كمون مطحون</v>
      </c>
      <c r="C114" s="263" t="str">
        <f t="shared" si="21"/>
        <v>gm</v>
      </c>
      <c r="D114" s="263">
        <f t="shared" si="21"/>
        <v>5</v>
      </c>
      <c r="E114" s="585">
        <f t="shared" si="25"/>
        <v>1.3446153846153841</v>
      </c>
      <c r="F114" s="584">
        <f t="shared" si="22"/>
        <v>0.75</v>
      </c>
      <c r="G114" s="101">
        <f t="shared" si="23"/>
        <v>6.7230769230769205</v>
      </c>
      <c r="H114" s="102">
        <f t="shared" si="24"/>
        <v>5.0423076923076904</v>
      </c>
    </row>
    <row r="115" spans="1:8" x14ac:dyDescent="0.25">
      <c r="A115" s="1455"/>
      <c r="B115" s="263" t="str">
        <f t="shared" si="21"/>
        <v>Coriander Powder - كزبرة مطحونة</v>
      </c>
      <c r="C115" s="263" t="str">
        <f t="shared" si="21"/>
        <v>gm</v>
      </c>
      <c r="D115" s="263">
        <f t="shared" si="21"/>
        <v>5</v>
      </c>
      <c r="E115" s="585">
        <f t="shared" si="25"/>
        <v>1.3446153846153841</v>
      </c>
      <c r="F115" s="584">
        <f t="shared" si="22"/>
        <v>0.75</v>
      </c>
      <c r="G115" s="101">
        <f t="shared" si="23"/>
        <v>6.7230769230769205</v>
      </c>
      <c r="H115" s="102">
        <f t="shared" si="24"/>
        <v>5.0423076923076904</v>
      </c>
    </row>
    <row r="116" spans="1:8" x14ac:dyDescent="0.25">
      <c r="A116" s="1455"/>
      <c r="B116" s="263" t="str">
        <f t="shared" si="21"/>
        <v>Cinnamon Powder - قرفة مطحونة</v>
      </c>
      <c r="C116" s="263" t="str">
        <f t="shared" si="21"/>
        <v>gm</v>
      </c>
      <c r="D116" s="263">
        <f t="shared" si="21"/>
        <v>2</v>
      </c>
      <c r="E116" s="585">
        <f t="shared" si="25"/>
        <v>1.3446153846153841</v>
      </c>
      <c r="F116" s="584">
        <f t="shared" si="22"/>
        <v>0.75</v>
      </c>
      <c r="G116" s="101">
        <f t="shared" si="23"/>
        <v>2.6892307692307682</v>
      </c>
      <c r="H116" s="102">
        <f t="shared" si="24"/>
        <v>2.0169230769230762</v>
      </c>
    </row>
    <row r="117" spans="1:8" x14ac:dyDescent="0.25">
      <c r="A117" s="1455"/>
      <c r="B117" s="263" t="str">
        <f t="shared" si="21"/>
        <v>Salt - ملح</v>
      </c>
      <c r="C117" s="263" t="str">
        <f t="shared" si="21"/>
        <v>gm</v>
      </c>
      <c r="D117" s="263">
        <f t="shared" si="21"/>
        <v>11</v>
      </c>
      <c r="E117" s="585">
        <f t="shared" si="25"/>
        <v>1.3446153846153841</v>
      </c>
      <c r="F117" s="584">
        <f t="shared" si="22"/>
        <v>0.75</v>
      </c>
      <c r="G117" s="101">
        <f t="shared" si="23"/>
        <v>14.790769230769225</v>
      </c>
      <c r="H117" s="102">
        <f t="shared" si="24"/>
        <v>11.093076923076918</v>
      </c>
    </row>
    <row r="118" spans="1:8" x14ac:dyDescent="0.25">
      <c r="A118" s="1455"/>
      <c r="B118" s="263" t="str">
        <f t="shared" si="21"/>
        <v>Tomato Paste - صلصة طماطم</v>
      </c>
      <c r="C118" s="263" t="str">
        <f t="shared" si="21"/>
        <v>gm</v>
      </c>
      <c r="D118" s="263">
        <f t="shared" si="21"/>
        <v>250</v>
      </c>
      <c r="E118" s="585">
        <f t="shared" si="25"/>
        <v>1.3446153846153841</v>
      </c>
      <c r="F118" s="584">
        <f t="shared" si="22"/>
        <v>1</v>
      </c>
      <c r="G118" s="101">
        <f t="shared" si="23"/>
        <v>336.15384615384602</v>
      </c>
      <c r="H118" s="102">
        <f t="shared" si="24"/>
        <v>336.15384615384602</v>
      </c>
    </row>
    <row r="119" spans="1:8" x14ac:dyDescent="0.25">
      <c r="A119" s="1455"/>
      <c r="B119" s="263" t="str">
        <f t="shared" si="21"/>
        <v>Frozen Okra - بامية مجمدة</v>
      </c>
      <c r="C119" s="263" t="str">
        <f t="shared" si="21"/>
        <v>gm</v>
      </c>
      <c r="D119" s="263">
        <f t="shared" si="21"/>
        <v>400</v>
      </c>
      <c r="E119" s="585">
        <f t="shared" si="25"/>
        <v>1.3446153846153841</v>
      </c>
      <c r="F119" s="584">
        <f t="shared" si="22"/>
        <v>1</v>
      </c>
      <c r="G119" s="101">
        <f t="shared" si="23"/>
        <v>537.84615384615358</v>
      </c>
      <c r="H119" s="102">
        <f t="shared" si="24"/>
        <v>537.84615384615358</v>
      </c>
    </row>
    <row r="120" spans="1:8" x14ac:dyDescent="0.25">
      <c r="A120" s="1455"/>
      <c r="B120" s="263" t="str">
        <f t="shared" si="21"/>
        <v>Beef Stock - مرق لحم بقري</v>
      </c>
      <c r="C120" s="263" t="str">
        <f t="shared" si="21"/>
        <v>ml</v>
      </c>
      <c r="D120" s="263">
        <f t="shared" si="21"/>
        <v>500</v>
      </c>
      <c r="E120" s="585">
        <f t="shared" si="25"/>
        <v>1.3446153846153841</v>
      </c>
      <c r="F120" s="584">
        <f t="shared" si="22"/>
        <v>1</v>
      </c>
      <c r="G120" s="101">
        <f t="shared" si="23"/>
        <v>672.30769230769204</v>
      </c>
      <c r="H120" s="102">
        <f t="shared" si="24"/>
        <v>672.30769230769204</v>
      </c>
    </row>
    <row r="121" spans="1:8" x14ac:dyDescent="0.25">
      <c r="A121" s="1455"/>
      <c r="B121" s="263" t="str">
        <f t="shared" si="21"/>
        <v>Butter - زبدة</v>
      </c>
      <c r="C121" s="263" t="str">
        <f t="shared" si="21"/>
        <v>gm</v>
      </c>
      <c r="D121" s="263">
        <f t="shared" si="21"/>
        <v>15</v>
      </c>
      <c r="E121" s="585">
        <f t="shared" si="25"/>
        <v>1.3446153846153841</v>
      </c>
      <c r="F121" s="584">
        <f t="shared" si="22"/>
        <v>1</v>
      </c>
      <c r="G121" s="101">
        <f t="shared" si="23"/>
        <v>20.169230769230762</v>
      </c>
      <c r="H121" s="102">
        <f t="shared" si="24"/>
        <v>20.169230769230762</v>
      </c>
    </row>
    <row r="122" spans="1:8" x14ac:dyDescent="0.25">
      <c r="A122" s="1455"/>
      <c r="B122" s="263" t="str">
        <f t="shared" si="21"/>
        <v>Maggi Cubes - مكعبات ماجي</v>
      </c>
      <c r="C122" s="263" t="str">
        <f t="shared" si="21"/>
        <v>gm</v>
      </c>
      <c r="D122" s="263">
        <f t="shared" si="21"/>
        <v>10</v>
      </c>
      <c r="E122" s="585">
        <f t="shared" si="25"/>
        <v>1.3446153846153841</v>
      </c>
      <c r="F122" s="584">
        <f t="shared" si="22"/>
        <v>0.75</v>
      </c>
      <c r="G122" s="101">
        <f t="shared" si="23"/>
        <v>13.446153846153841</v>
      </c>
      <c r="H122" s="102">
        <f t="shared" si="24"/>
        <v>10.084615384615381</v>
      </c>
    </row>
    <row r="123" spans="1:8" x14ac:dyDescent="0.25">
      <c r="A123" s="1455"/>
      <c r="B123" s="263" t="str">
        <f t="shared" si="21"/>
        <v>Salt - ملح</v>
      </c>
      <c r="C123" s="263" t="str">
        <f t="shared" si="21"/>
        <v>gm</v>
      </c>
      <c r="D123" s="263">
        <f t="shared" si="21"/>
        <v>5</v>
      </c>
      <c r="E123" s="585">
        <f t="shared" si="25"/>
        <v>1.3446153846153841</v>
      </c>
      <c r="F123" s="584">
        <f t="shared" si="22"/>
        <v>1</v>
      </c>
      <c r="G123" s="101">
        <f t="shared" si="23"/>
        <v>6.7230769230769205</v>
      </c>
      <c r="H123" s="102">
        <f t="shared" si="24"/>
        <v>6.7230769230769205</v>
      </c>
    </row>
    <row r="124" spans="1:8" ht="18" x14ac:dyDescent="0.25">
      <c r="A124" s="1472"/>
      <c r="B124" s="178" t="s">
        <v>287</v>
      </c>
      <c r="C124" s="180" t="s">
        <v>273</v>
      </c>
      <c r="D124" s="14"/>
      <c r="E124" s="180" t="s">
        <v>288</v>
      </c>
      <c r="F124" s="14"/>
      <c r="G124" s="804" t="s">
        <v>264</v>
      </c>
      <c r="H124" s="804" t="s">
        <v>673</v>
      </c>
    </row>
    <row r="125" spans="1:8" ht="20.25" x14ac:dyDescent="0.3">
      <c r="A125" s="1472"/>
      <c r="B125" s="179">
        <f>$J$55</f>
        <v>1052.6153846153793</v>
      </c>
      <c r="C125" s="179">
        <f>E125+G125</f>
        <v>1277.3846153846148</v>
      </c>
      <c r="D125" s="850"/>
      <c r="E125" s="179">
        <f>$D$55*$S$44</f>
        <v>316.663646153846</v>
      </c>
      <c r="F125" s="850"/>
      <c r="G125" s="179">
        <f>$D$55*$T$44</f>
        <v>960.72096923076879</v>
      </c>
      <c r="H125" s="179">
        <f>B125+E125</f>
        <v>1369.2790307692253</v>
      </c>
    </row>
    <row r="129" spans="1:8" x14ac:dyDescent="0.25">
      <c r="A129" s="1456"/>
      <c r="B129" s="1642" t="str">
        <f>"بامية لحم 4 / " &amp; COUNTIF($C$53:$C$56, "&gt;0")</f>
        <v>بامية لحم 4 / 3</v>
      </c>
      <c r="C129" s="1651"/>
      <c r="D129" s="1651"/>
      <c r="E129" s="1651"/>
      <c r="F129" s="1651"/>
      <c r="G129" s="1651"/>
      <c r="H129" s="1651"/>
    </row>
    <row r="130" spans="1:8" ht="18" x14ac:dyDescent="0.25">
      <c r="A130" s="1456"/>
      <c r="B130" s="1636" t="str">
        <f>"Meat with Bamiya 4 / " &amp; COUNTIF($C$53:$C$56, "&gt;0")</f>
        <v>Meat with Bamiya 4 / 3</v>
      </c>
      <c r="C130" s="1636"/>
      <c r="D130" s="1636"/>
      <c r="E130" s="1636"/>
      <c r="F130" s="1636"/>
      <c r="G130" s="1636"/>
      <c r="H130" s="1636"/>
    </row>
    <row r="131" spans="1:8" ht="25.5" x14ac:dyDescent="0.2">
      <c r="A131" s="1589"/>
      <c r="B131" s="75" t="s">
        <v>241</v>
      </c>
      <c r="C131" s="90" t="s">
        <v>242</v>
      </c>
      <c r="D131" s="75" t="s">
        <v>231</v>
      </c>
      <c r="E131" s="91" t="s">
        <v>234</v>
      </c>
      <c r="F131" s="91" t="s">
        <v>243</v>
      </c>
      <c r="G131" s="75" t="s">
        <v>244</v>
      </c>
      <c r="H131" s="92" t="s">
        <v>245</v>
      </c>
    </row>
    <row r="132" spans="1:8" x14ac:dyDescent="0.25">
      <c r="A132" s="1455"/>
      <c r="B132" s="263" t="str">
        <f t="shared" ref="B132:D146" si="26">B5</f>
        <v>Indian Meat Alana  - لحم هندى ألانا</v>
      </c>
      <c r="C132" s="263" t="str">
        <f t="shared" si="26"/>
        <v>gm</v>
      </c>
      <c r="D132" s="263">
        <f t="shared" si="26"/>
        <v>1620.7843137254902</v>
      </c>
      <c r="E132" s="585">
        <f>H56</f>
        <v>0</v>
      </c>
      <c r="F132" s="584">
        <f>F5</f>
        <v>1</v>
      </c>
      <c r="G132" s="101">
        <f t="shared" ref="G132:G146" si="27">D132*E132</f>
        <v>0</v>
      </c>
      <c r="H132" s="102">
        <f t="shared" ref="H132:H146" si="28">G132*F132</f>
        <v>0</v>
      </c>
    </row>
    <row r="133" spans="1:8" x14ac:dyDescent="0.25">
      <c r="A133" s="1455" t="s">
        <v>920</v>
      </c>
      <c r="B133" s="263" t="str">
        <f t="shared" si="26"/>
        <v>Onion - بصل</v>
      </c>
      <c r="C133" s="263" t="str">
        <f t="shared" si="26"/>
        <v>gm</v>
      </c>
      <c r="D133" s="263">
        <f t="shared" si="26"/>
        <v>150</v>
      </c>
      <c r="E133" s="585">
        <f>$C$56</f>
        <v>0</v>
      </c>
      <c r="F133" s="584">
        <f t="shared" ref="F133:F146" si="29">F6</f>
        <v>1</v>
      </c>
      <c r="G133" s="101">
        <f t="shared" si="27"/>
        <v>0</v>
      </c>
      <c r="H133" s="102">
        <f t="shared" si="28"/>
        <v>0</v>
      </c>
    </row>
    <row r="134" spans="1:8" x14ac:dyDescent="0.25">
      <c r="A134" s="1455" t="s">
        <v>909</v>
      </c>
      <c r="B134" s="263" t="str">
        <f t="shared" si="26"/>
        <v>Tomato - طماطم</v>
      </c>
      <c r="C134" s="263" t="str">
        <f t="shared" si="26"/>
        <v>gm</v>
      </c>
      <c r="D134" s="263">
        <f t="shared" si="26"/>
        <v>400</v>
      </c>
      <c r="E134" s="585">
        <f t="shared" ref="E134:E146" si="30">$C$56</f>
        <v>0</v>
      </c>
      <c r="F134" s="584">
        <f t="shared" si="29"/>
        <v>1</v>
      </c>
      <c r="G134" s="101">
        <f t="shared" si="27"/>
        <v>0</v>
      </c>
      <c r="H134" s="102">
        <f t="shared" si="28"/>
        <v>0</v>
      </c>
    </row>
    <row r="135" spans="1:8" x14ac:dyDescent="0.25">
      <c r="A135" s="1455" t="s">
        <v>907</v>
      </c>
      <c r="B135" s="263" t="str">
        <f t="shared" si="26"/>
        <v>Garlic - ثوم مقشر</v>
      </c>
      <c r="C135" s="263" t="str">
        <f t="shared" si="26"/>
        <v>gm</v>
      </c>
      <c r="D135" s="263">
        <f t="shared" si="26"/>
        <v>35</v>
      </c>
      <c r="E135" s="585">
        <f t="shared" si="30"/>
        <v>0</v>
      </c>
      <c r="F135" s="584">
        <f t="shared" si="29"/>
        <v>1</v>
      </c>
      <c r="G135" s="101">
        <f t="shared" si="27"/>
        <v>0</v>
      </c>
      <c r="H135" s="102">
        <f t="shared" si="28"/>
        <v>0</v>
      </c>
    </row>
    <row r="136" spans="1:8" x14ac:dyDescent="0.25">
      <c r="A136" s="1455"/>
      <c r="B136" s="263" t="str">
        <f t="shared" si="26"/>
        <v>Black Pepper Powder - فلفل أسود مطحون</v>
      </c>
      <c r="C136" s="263" t="str">
        <f t="shared" si="26"/>
        <v>gm</v>
      </c>
      <c r="D136" s="263">
        <f t="shared" si="26"/>
        <v>3</v>
      </c>
      <c r="E136" s="585">
        <f t="shared" si="30"/>
        <v>0</v>
      </c>
      <c r="F136" s="584">
        <f t="shared" si="29"/>
        <v>1</v>
      </c>
      <c r="G136" s="101">
        <f t="shared" si="27"/>
        <v>0</v>
      </c>
      <c r="H136" s="102">
        <f t="shared" si="28"/>
        <v>0</v>
      </c>
    </row>
    <row r="137" spans="1:8" x14ac:dyDescent="0.25">
      <c r="A137" s="1455"/>
      <c r="B137" s="263" t="str">
        <f t="shared" si="26"/>
        <v>Cumin Powder - كمون مطحون</v>
      </c>
      <c r="C137" s="263" t="str">
        <f t="shared" si="26"/>
        <v>gm</v>
      </c>
      <c r="D137" s="263">
        <f t="shared" si="26"/>
        <v>5</v>
      </c>
      <c r="E137" s="585">
        <f t="shared" si="30"/>
        <v>0</v>
      </c>
      <c r="F137" s="584">
        <f t="shared" si="29"/>
        <v>0.75</v>
      </c>
      <c r="G137" s="101">
        <f t="shared" si="27"/>
        <v>0</v>
      </c>
      <c r="H137" s="102">
        <f t="shared" si="28"/>
        <v>0</v>
      </c>
    </row>
    <row r="138" spans="1:8" x14ac:dyDescent="0.25">
      <c r="A138" s="1455"/>
      <c r="B138" s="263" t="str">
        <f t="shared" si="26"/>
        <v>Coriander Powder - كزبرة مطحونة</v>
      </c>
      <c r="C138" s="263" t="str">
        <f t="shared" si="26"/>
        <v>gm</v>
      </c>
      <c r="D138" s="263">
        <f t="shared" si="26"/>
        <v>5</v>
      </c>
      <c r="E138" s="585">
        <f t="shared" si="30"/>
        <v>0</v>
      </c>
      <c r="F138" s="584">
        <f t="shared" si="29"/>
        <v>0.75</v>
      </c>
      <c r="G138" s="101">
        <f t="shared" si="27"/>
        <v>0</v>
      </c>
      <c r="H138" s="102">
        <f t="shared" si="28"/>
        <v>0</v>
      </c>
    </row>
    <row r="139" spans="1:8" x14ac:dyDescent="0.25">
      <c r="A139" s="1455"/>
      <c r="B139" s="263" t="str">
        <f t="shared" si="26"/>
        <v>Cinnamon Powder - قرفة مطحونة</v>
      </c>
      <c r="C139" s="263" t="str">
        <f t="shared" si="26"/>
        <v>gm</v>
      </c>
      <c r="D139" s="263">
        <f t="shared" si="26"/>
        <v>2</v>
      </c>
      <c r="E139" s="585">
        <f t="shared" si="30"/>
        <v>0</v>
      </c>
      <c r="F139" s="584">
        <f t="shared" si="29"/>
        <v>0.75</v>
      </c>
      <c r="G139" s="101">
        <f t="shared" si="27"/>
        <v>0</v>
      </c>
      <c r="H139" s="102">
        <f t="shared" si="28"/>
        <v>0</v>
      </c>
    </row>
    <row r="140" spans="1:8" x14ac:dyDescent="0.25">
      <c r="A140" s="1455"/>
      <c r="B140" s="263" t="str">
        <f t="shared" si="26"/>
        <v>Salt - ملح</v>
      </c>
      <c r="C140" s="263" t="str">
        <f t="shared" si="26"/>
        <v>gm</v>
      </c>
      <c r="D140" s="263">
        <f t="shared" si="26"/>
        <v>11</v>
      </c>
      <c r="E140" s="585">
        <f t="shared" si="30"/>
        <v>0</v>
      </c>
      <c r="F140" s="584">
        <f t="shared" si="29"/>
        <v>0.75</v>
      </c>
      <c r="G140" s="101">
        <f t="shared" si="27"/>
        <v>0</v>
      </c>
      <c r="H140" s="102">
        <f t="shared" si="28"/>
        <v>0</v>
      </c>
    </row>
    <row r="141" spans="1:8" x14ac:dyDescent="0.25">
      <c r="A141" s="1455"/>
      <c r="B141" s="263" t="str">
        <f t="shared" si="26"/>
        <v>Tomato Paste - صلصة طماطم</v>
      </c>
      <c r="C141" s="263" t="str">
        <f t="shared" si="26"/>
        <v>gm</v>
      </c>
      <c r="D141" s="263">
        <f t="shared" si="26"/>
        <v>250</v>
      </c>
      <c r="E141" s="585">
        <f t="shared" si="30"/>
        <v>0</v>
      </c>
      <c r="F141" s="584">
        <f t="shared" si="29"/>
        <v>1</v>
      </c>
      <c r="G141" s="101">
        <f t="shared" si="27"/>
        <v>0</v>
      </c>
      <c r="H141" s="102">
        <f t="shared" si="28"/>
        <v>0</v>
      </c>
    </row>
    <row r="142" spans="1:8" x14ac:dyDescent="0.25">
      <c r="A142" s="1455"/>
      <c r="B142" s="263" t="str">
        <f t="shared" si="26"/>
        <v>Frozen Okra - بامية مجمدة</v>
      </c>
      <c r="C142" s="263" t="str">
        <f t="shared" si="26"/>
        <v>gm</v>
      </c>
      <c r="D142" s="263">
        <f t="shared" si="26"/>
        <v>400</v>
      </c>
      <c r="E142" s="585">
        <f t="shared" si="30"/>
        <v>0</v>
      </c>
      <c r="F142" s="584">
        <f t="shared" si="29"/>
        <v>1</v>
      </c>
      <c r="G142" s="101">
        <f t="shared" si="27"/>
        <v>0</v>
      </c>
      <c r="H142" s="102">
        <f t="shared" si="28"/>
        <v>0</v>
      </c>
    </row>
    <row r="143" spans="1:8" x14ac:dyDescent="0.25">
      <c r="A143" s="1455"/>
      <c r="B143" s="263" t="str">
        <f t="shared" si="26"/>
        <v>Beef Stock - مرق لحم بقري</v>
      </c>
      <c r="C143" s="263" t="str">
        <f t="shared" si="26"/>
        <v>ml</v>
      </c>
      <c r="D143" s="263">
        <f t="shared" si="26"/>
        <v>500</v>
      </c>
      <c r="E143" s="585">
        <f t="shared" si="30"/>
        <v>0</v>
      </c>
      <c r="F143" s="584">
        <f t="shared" si="29"/>
        <v>1</v>
      </c>
      <c r="G143" s="101">
        <f t="shared" si="27"/>
        <v>0</v>
      </c>
      <c r="H143" s="102">
        <f t="shared" si="28"/>
        <v>0</v>
      </c>
    </row>
    <row r="144" spans="1:8" x14ac:dyDescent="0.25">
      <c r="A144" s="1455"/>
      <c r="B144" s="263" t="str">
        <f t="shared" si="26"/>
        <v>Butter - زبدة</v>
      </c>
      <c r="C144" s="263" t="str">
        <f t="shared" si="26"/>
        <v>gm</v>
      </c>
      <c r="D144" s="263">
        <f t="shared" si="26"/>
        <v>15</v>
      </c>
      <c r="E144" s="585">
        <f t="shared" si="30"/>
        <v>0</v>
      </c>
      <c r="F144" s="584">
        <f t="shared" si="29"/>
        <v>1</v>
      </c>
      <c r="G144" s="101">
        <f t="shared" si="27"/>
        <v>0</v>
      </c>
      <c r="H144" s="102">
        <f t="shared" si="28"/>
        <v>0</v>
      </c>
    </row>
    <row r="145" spans="1:8" x14ac:dyDescent="0.25">
      <c r="A145" s="1455"/>
      <c r="B145" s="263" t="str">
        <f t="shared" si="26"/>
        <v>Maggi Cubes - مكعبات ماجي</v>
      </c>
      <c r="C145" s="263" t="str">
        <f t="shared" si="26"/>
        <v>gm</v>
      </c>
      <c r="D145" s="263">
        <f t="shared" si="26"/>
        <v>10</v>
      </c>
      <c r="E145" s="585">
        <f t="shared" si="30"/>
        <v>0</v>
      </c>
      <c r="F145" s="584">
        <f t="shared" si="29"/>
        <v>0.75</v>
      </c>
      <c r="G145" s="101">
        <f t="shared" si="27"/>
        <v>0</v>
      </c>
      <c r="H145" s="102">
        <f t="shared" si="28"/>
        <v>0</v>
      </c>
    </row>
    <row r="146" spans="1:8" x14ac:dyDescent="0.25">
      <c r="A146" s="1455"/>
      <c r="B146" s="263" t="str">
        <f t="shared" si="26"/>
        <v>Salt - ملح</v>
      </c>
      <c r="C146" s="263" t="str">
        <f t="shared" si="26"/>
        <v>gm</v>
      </c>
      <c r="D146" s="263">
        <f t="shared" si="26"/>
        <v>5</v>
      </c>
      <c r="E146" s="585">
        <f t="shared" si="30"/>
        <v>0</v>
      </c>
      <c r="F146" s="584">
        <f t="shared" si="29"/>
        <v>1</v>
      </c>
      <c r="G146" s="101">
        <f t="shared" si="27"/>
        <v>0</v>
      </c>
      <c r="H146" s="102">
        <f t="shared" si="28"/>
        <v>0</v>
      </c>
    </row>
    <row r="147" spans="1:8" ht="18" x14ac:dyDescent="0.25">
      <c r="A147" s="1472"/>
      <c r="B147" s="178" t="s">
        <v>287</v>
      </c>
      <c r="C147" s="180" t="s">
        <v>273</v>
      </c>
      <c r="D147" s="14"/>
      <c r="E147" s="180" t="s">
        <v>288</v>
      </c>
      <c r="F147" s="14"/>
      <c r="G147" s="804" t="s">
        <v>264</v>
      </c>
      <c r="H147" s="804" t="s">
        <v>673</v>
      </c>
    </row>
    <row r="148" spans="1:8" ht="20.25" x14ac:dyDescent="0.3">
      <c r="A148" s="1472"/>
      <c r="B148" s="179">
        <f>$J$56</f>
        <v>0</v>
      </c>
      <c r="C148" s="179">
        <f>E148+G148</f>
        <v>0</v>
      </c>
      <c r="D148" s="850"/>
      <c r="E148" s="179">
        <f>$D$56*$S$44</f>
        <v>0</v>
      </c>
      <c r="F148" s="850"/>
      <c r="G148" s="179">
        <f>$D$56*$T$44</f>
        <v>0</v>
      </c>
      <c r="H148" s="179">
        <f>B148+E148</f>
        <v>0</v>
      </c>
    </row>
  </sheetData>
  <mergeCells count="12">
    <mergeCell ref="R26:U26"/>
    <mergeCell ref="B62:H62"/>
    <mergeCell ref="R25:U25"/>
    <mergeCell ref="B106:H106"/>
    <mergeCell ref="B107:H107"/>
    <mergeCell ref="B86:H86"/>
    <mergeCell ref="B130:H130"/>
    <mergeCell ref="B2:K3"/>
    <mergeCell ref="B63:H63"/>
    <mergeCell ref="B85:H85"/>
    <mergeCell ref="B35:F35"/>
    <mergeCell ref="B129:H129"/>
  </mergeCells>
  <printOptions horizontalCentered="1"/>
  <pageMargins left="0.5" right="0.5" top="1" bottom="0.5" header="0.3" footer="0.511811023622047"/>
  <pageSetup paperSize="9" scale="31"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50"/>
    <pageSetUpPr fitToPage="1"/>
  </sheetPr>
  <dimension ref="A1:AT135"/>
  <sheetViews>
    <sheetView topLeftCell="Q6" zoomScaleNormal="100" workbookViewId="0">
      <selection activeCell="M17" sqref="M17"/>
    </sheetView>
  </sheetViews>
  <sheetFormatPr defaultColWidth="12.5" defaultRowHeight="15" x14ac:dyDescent="0.25"/>
  <cols>
    <col min="1" max="1" width="12.5" style="1472"/>
    <col min="2" max="2" width="33.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9" width="21.625" style="14" customWidth="1"/>
    <col min="10" max="10" width="13.125" style="14" customWidth="1"/>
    <col min="11" max="11" width="12.5" style="14" customWidth="1"/>
    <col min="12" max="12" width="8.375" style="14" customWidth="1"/>
    <col min="13" max="13" width="9.625" style="14" customWidth="1"/>
    <col min="14" max="14" width="9.125" style="14" customWidth="1"/>
    <col min="15" max="17" width="12.5" style="14" customWidth="1"/>
    <col min="18" max="18" width="33.75" style="14" customWidth="1"/>
    <col min="19" max="19" width="12.5" style="14" customWidth="1"/>
    <col min="20" max="20" width="20.375" style="14" customWidth="1"/>
    <col min="21" max="22" width="12.5" style="14" customWidth="1"/>
    <col min="23" max="23" width="20.875" style="14" customWidth="1"/>
    <col min="24" max="24" width="12.875" style="14" bestFit="1" customWidth="1"/>
    <col min="25" max="25" width="9.125" style="14" customWidth="1"/>
    <col min="26" max="26" width="12.5" style="14" customWidth="1"/>
    <col min="27" max="27" width="12.5" style="14"/>
    <col min="28" max="28" width="13.375" style="14" bestFit="1" customWidth="1"/>
    <col min="29" max="29" width="10" style="14" bestFit="1" customWidth="1"/>
    <col min="30" max="30" width="18.125" style="14" bestFit="1" customWidth="1"/>
    <col min="31" max="31" width="9.125" style="14" bestFit="1" customWidth="1"/>
    <col min="32" max="32" width="9.625" style="14" customWidth="1"/>
    <col min="33" max="34" width="4.625" style="14" customWidth="1"/>
    <col min="35" max="35" width="12.5" style="14"/>
    <col min="36" max="36" width="31.5" style="14" customWidth="1"/>
    <col min="37" max="37" width="12.5" style="14"/>
    <col min="38" max="38" width="13.875" style="14" customWidth="1"/>
    <col min="39" max="41" width="12.5" style="14"/>
    <col min="42" max="42" width="17.625" style="14" customWidth="1"/>
    <col min="43" max="16384" width="12.5" style="14"/>
  </cols>
  <sheetData>
    <row r="1" spans="1:46" ht="48.75" customHeight="1" x14ac:dyDescent="0.25">
      <c r="B1" s="64" t="s">
        <v>231</v>
      </c>
      <c r="C1" s="65">
        <v>1000</v>
      </c>
      <c r="D1" s="66" t="s">
        <v>232</v>
      </c>
      <c r="E1" s="67">
        <f>T32</f>
        <v>14548.205128205132</v>
      </c>
      <c r="F1" s="64" t="s">
        <v>233</v>
      </c>
      <c r="G1" s="266">
        <f>E1/C1</f>
        <v>14.548205128205133</v>
      </c>
      <c r="H1" s="64" t="s">
        <v>234</v>
      </c>
      <c r="I1" s="69">
        <f>(G1/K1)</f>
        <v>17.115535444947216</v>
      </c>
      <c r="J1" s="70" t="s">
        <v>235</v>
      </c>
      <c r="K1" s="267">
        <v>0.85</v>
      </c>
      <c r="L1" s="268" t="s">
        <v>308</v>
      </c>
      <c r="M1" s="73"/>
      <c r="N1" s="74"/>
      <c r="O1" s="75" t="s">
        <v>236</v>
      </c>
      <c r="P1" s="76" t="s">
        <v>237</v>
      </c>
      <c r="Q1" s="77" t="s">
        <v>238</v>
      </c>
      <c r="R1" s="76">
        <v>0.59</v>
      </c>
      <c r="Y1" s="75" t="s">
        <v>453</v>
      </c>
      <c r="Z1" s="766">
        <v>25790</v>
      </c>
      <c r="AA1" s="75" t="s">
        <v>556</v>
      </c>
      <c r="AB1" s="766">
        <v>500</v>
      </c>
      <c r="AC1" s="75" t="s">
        <v>546</v>
      </c>
      <c r="AD1" s="766">
        <v>189</v>
      </c>
      <c r="AE1" s="228"/>
      <c r="AF1" s="230"/>
      <c r="AG1" s="76"/>
      <c r="AI1" s="63"/>
      <c r="AJ1" s="78" t="s">
        <v>250</v>
      </c>
      <c r="AK1" s="78">
        <v>10000</v>
      </c>
      <c r="AL1" s="561" t="s">
        <v>483</v>
      </c>
      <c r="AM1" s="562">
        <f>$S$32</f>
        <v>19838.461538461535</v>
      </c>
      <c r="AN1" s="78" t="s">
        <v>239</v>
      </c>
      <c r="AO1" s="305">
        <f>(($S$32)/$R$1)/$AK$1</f>
        <v>3.3624511082138198</v>
      </c>
      <c r="AP1" s="79"/>
    </row>
    <row r="2" spans="1:46" ht="12.75" customHeight="1" x14ac:dyDescent="0.25">
      <c r="A2" s="1486"/>
      <c r="B2" s="1645" t="s">
        <v>27</v>
      </c>
      <c r="C2" s="1655"/>
      <c r="D2" s="1655"/>
      <c r="E2" s="1655"/>
      <c r="F2" s="1655"/>
      <c r="G2" s="1655"/>
      <c r="H2" s="1655"/>
      <c r="I2" s="1655"/>
      <c r="J2" s="1655"/>
      <c r="K2" s="1657"/>
      <c r="L2" s="270"/>
      <c r="P2" s="84"/>
      <c r="Q2" s="84"/>
      <c r="R2" s="84"/>
      <c r="AC2" s="83"/>
      <c r="AD2" s="83"/>
      <c r="AE2" s="1652"/>
      <c r="AF2" s="1655"/>
      <c r="AG2" s="1655"/>
      <c r="AI2" s="63"/>
      <c r="AJ2" s="85"/>
      <c r="AK2" s="1631" t="s">
        <v>504</v>
      </c>
      <c r="AL2" s="1631"/>
      <c r="AM2" s="1631"/>
      <c r="AN2" s="86"/>
      <c r="AO2" s="85"/>
      <c r="AP2" s="85"/>
    </row>
    <row r="3" spans="1:46" ht="12.75" customHeight="1" x14ac:dyDescent="0.25">
      <c r="A3" s="1486"/>
      <c r="B3" s="1633"/>
      <c r="C3" s="1633"/>
      <c r="D3" s="1633"/>
      <c r="E3" s="1633"/>
      <c r="F3" s="1633"/>
      <c r="G3" s="1633"/>
      <c r="H3" s="1633"/>
      <c r="I3" s="1633"/>
      <c r="J3" s="1633"/>
      <c r="K3" s="1658"/>
      <c r="L3" s="270"/>
      <c r="P3" s="84"/>
      <c r="Q3" s="84"/>
      <c r="R3" s="84"/>
      <c r="AC3" s="83"/>
      <c r="AD3" s="83"/>
      <c r="AE3" s="1655"/>
      <c r="AF3" s="1655"/>
      <c r="AG3" s="1655"/>
      <c r="AI3" s="63"/>
      <c r="AJ3" s="88"/>
      <c r="AK3" s="88"/>
      <c r="AL3" s="89"/>
      <c r="AM3" s="89"/>
      <c r="AN3" s="89"/>
      <c r="AO3" s="88"/>
      <c r="AP3" s="88"/>
    </row>
    <row r="4" spans="1:46" ht="69" customHeight="1" x14ac:dyDescent="0.25">
      <c r="A4" s="1589" t="s">
        <v>903</v>
      </c>
      <c r="B4" s="75" t="s">
        <v>241</v>
      </c>
      <c r="C4" s="90" t="s">
        <v>242</v>
      </c>
      <c r="D4" s="75" t="s">
        <v>231</v>
      </c>
      <c r="E4" s="91" t="s">
        <v>234</v>
      </c>
      <c r="F4" s="91" t="s">
        <v>243</v>
      </c>
      <c r="G4" s="75" t="s">
        <v>244</v>
      </c>
      <c r="H4" s="92" t="s">
        <v>245</v>
      </c>
      <c r="I4" s="75" t="s">
        <v>246</v>
      </c>
      <c r="J4" s="75" t="s">
        <v>247</v>
      </c>
      <c r="K4" s="75" t="s">
        <v>248</v>
      </c>
      <c r="L4" s="75" t="s">
        <v>249</v>
      </c>
      <c r="M4" s="84"/>
      <c r="N4" s="84"/>
      <c r="O4" s="84"/>
      <c r="P4" s="84"/>
      <c r="AA4" s="229"/>
      <c r="AB4" s="231"/>
      <c r="AC4" s="229"/>
      <c r="AD4" s="229"/>
      <c r="AE4" s="229"/>
      <c r="AI4" s="63"/>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105" t="s">
        <v>220</v>
      </c>
      <c r="C5" s="97" t="s">
        <v>14</v>
      </c>
      <c r="D5" s="103">
        <f>I51/10</f>
        <v>2311.3713405238827</v>
      </c>
      <c r="E5" s="99">
        <f>H52</f>
        <v>14.547429265310978</v>
      </c>
      <c r="F5" s="100">
        <v>1</v>
      </c>
      <c r="G5" s="101">
        <f t="shared" ref="G5:G23" si="0">D5*E5</f>
        <v>33624.511082138197</v>
      </c>
      <c r="H5" s="102">
        <f t="shared" ref="H5:H23" si="1">G5*F5</f>
        <v>33624.511082138197</v>
      </c>
      <c r="I5" s="65">
        <f>VLOOKUP(B5,All_Ingredients!$A$1:$F$156,6,FALSE())</f>
        <v>0.86</v>
      </c>
      <c r="J5" s="101">
        <f>VLOOKUP(B5,All_Ingredients!$A$1:$J$156,10,FALSE())</f>
        <v>17.100000000000001</v>
      </c>
      <c r="K5" s="104">
        <f t="shared" ref="K5" si="2">(H5/I5)/1000</f>
        <v>39.098268700160695</v>
      </c>
      <c r="L5" s="104">
        <f t="shared" ref="L5" si="3">K5*J5</f>
        <v>668.58039477274792</v>
      </c>
      <c r="M5" s="84"/>
      <c r="N5" s="84"/>
      <c r="O5" s="84"/>
      <c r="P5" s="84"/>
      <c r="AA5" s="76"/>
      <c r="AB5" s="114"/>
      <c r="AC5" s="232"/>
      <c r="AD5" s="116"/>
      <c r="AE5" s="117"/>
      <c r="AI5" s="63"/>
      <c r="AJ5" s="105" t="s">
        <v>220</v>
      </c>
      <c r="AK5" s="106" t="s">
        <v>227</v>
      </c>
      <c r="AL5" s="107">
        <v>10</v>
      </c>
      <c r="AM5" s="177">
        <f>$AO$1</f>
        <v>3.3624511082138198</v>
      </c>
      <c r="AN5" s="109">
        <v>1</v>
      </c>
      <c r="AO5" s="101">
        <f>AL5*AM5</f>
        <v>33.624511082138199</v>
      </c>
      <c r="AP5" s="102">
        <f>AN5*AO5</f>
        <v>33.624511082138199</v>
      </c>
      <c r="AR5" s="993"/>
      <c r="AS5" s="514"/>
      <c r="AT5" s="991"/>
    </row>
    <row r="6" spans="1:46" ht="14.25" customHeight="1" x14ac:dyDescent="0.25">
      <c r="A6" s="1471" t="s">
        <v>920</v>
      </c>
      <c r="B6" s="271" t="s">
        <v>12</v>
      </c>
      <c r="C6" s="106" t="s">
        <v>14</v>
      </c>
      <c r="D6" s="107">
        <v>150</v>
      </c>
      <c r="E6" s="177">
        <f t="shared" ref="E6:E23" si="4">$I$1</f>
        <v>17.115535444947216</v>
      </c>
      <c r="F6" s="109">
        <v>0.95</v>
      </c>
      <c r="G6" s="101">
        <f t="shared" si="0"/>
        <v>2567.3303167420822</v>
      </c>
      <c r="H6" s="102">
        <f t="shared" si="1"/>
        <v>2438.9638009049781</v>
      </c>
      <c r="I6" s="65">
        <f>VLOOKUP(B6,All_Ingredients!$A$1:$F$156,6,FALSE())</f>
        <v>0.9</v>
      </c>
      <c r="J6" s="101">
        <f>VLOOKUP(B6,All_Ingredients!$A$1:$J$156,10,FALSE())</f>
        <v>3</v>
      </c>
      <c r="K6" s="104">
        <f t="shared" ref="K6:K23" si="5">(H6/I6)/1000</f>
        <v>2.709959778783309</v>
      </c>
      <c r="L6" s="104">
        <f t="shared" ref="L6:L23" si="6">K6*J6</f>
        <v>8.1298793363499264</v>
      </c>
      <c r="AI6" s="63" t="s">
        <v>55</v>
      </c>
      <c r="AJ6" s="200" t="s">
        <v>54</v>
      </c>
      <c r="AK6" s="106" t="s">
        <v>14</v>
      </c>
      <c r="AL6" s="107">
        <v>300</v>
      </c>
      <c r="AM6" s="177">
        <f t="shared" ref="AM6:AM12" si="7">$AO$1</f>
        <v>3.3624511082138198</v>
      </c>
      <c r="AN6" s="109">
        <v>1</v>
      </c>
      <c r="AO6" s="101">
        <f t="shared" ref="AO6:AO11" si="8">AL6*AM6</f>
        <v>1008.7353324641459</v>
      </c>
      <c r="AP6" s="102">
        <f t="shared" ref="AP6:AP11" si="9">AN6*AO6</f>
        <v>1008.7353324641459</v>
      </c>
      <c r="AQ6" s="991">
        <f>VLOOKUP(AJ6,Marination_Ordering!$A:$J,6,FALSE)</f>
        <v>0.87</v>
      </c>
      <c r="AR6" s="991">
        <f>VLOOKUP(AJ6,Marination_Ordering!$A:$J,10,FALSE)</f>
        <v>7</v>
      </c>
      <c r="AS6" s="514">
        <f>AP6/AQ6</f>
        <v>1159.4658993840758</v>
      </c>
      <c r="AT6" s="991">
        <f>AR6*(AS6/1000)</f>
        <v>8.1162612956885312</v>
      </c>
    </row>
    <row r="7" spans="1:46" ht="14.25" customHeight="1" x14ac:dyDescent="0.25">
      <c r="A7" s="1471" t="s">
        <v>919</v>
      </c>
      <c r="B7" s="271" t="s">
        <v>32</v>
      </c>
      <c r="C7" s="106" t="s">
        <v>14</v>
      </c>
      <c r="D7" s="107">
        <v>50</v>
      </c>
      <c r="E7" s="177">
        <f t="shared" si="4"/>
        <v>17.115535444947216</v>
      </c>
      <c r="F7" s="109">
        <v>0.95</v>
      </c>
      <c r="G7" s="101">
        <f t="shared" si="0"/>
        <v>855.77677224736078</v>
      </c>
      <c r="H7" s="102">
        <f t="shared" si="1"/>
        <v>812.98793363499271</v>
      </c>
      <c r="I7" s="65">
        <f>VLOOKUP(B7,All_Ingredients!$A$1:$F$156,6,FALSE())</f>
        <v>0.69</v>
      </c>
      <c r="J7" s="101">
        <f>VLOOKUP(B7,All_Ingredients!$A$1:$J$156,10,FALSE())</f>
        <v>4</v>
      </c>
      <c r="K7" s="104">
        <f t="shared" si="5"/>
        <v>1.1782433820796996</v>
      </c>
      <c r="L7" s="104">
        <f t="shared" si="6"/>
        <v>4.7129735283187983</v>
      </c>
      <c r="AI7" s="63" t="s">
        <v>13</v>
      </c>
      <c r="AJ7" s="200" t="s">
        <v>727</v>
      </c>
      <c r="AK7" s="106" t="s">
        <v>14</v>
      </c>
      <c r="AL7" s="107">
        <v>100</v>
      </c>
      <c r="AM7" s="177">
        <f t="shared" si="7"/>
        <v>3.3624511082138198</v>
      </c>
      <c r="AN7" s="109">
        <v>1</v>
      </c>
      <c r="AO7" s="101">
        <f t="shared" si="8"/>
        <v>336.24511082138196</v>
      </c>
      <c r="AP7" s="102">
        <f t="shared" si="9"/>
        <v>336.24511082138196</v>
      </c>
      <c r="AQ7" s="991">
        <f>VLOOKUP(AJ7,Marination_Ordering!$A:$J,6,FALSE)</f>
        <v>1</v>
      </c>
      <c r="AR7" s="991">
        <f>VLOOKUP(AJ7,Marination_Ordering!$A:$J,10,FALSE)</f>
        <v>10.5</v>
      </c>
      <c r="AS7" s="514">
        <f t="shared" ref="AS7:AS12" si="10">AP7/AQ7</f>
        <v>336.24511082138196</v>
      </c>
      <c r="AT7" s="991">
        <f t="shared" ref="AT7:AT12" si="11">AR7*(AS7/1000)</f>
        <v>3.5305736636245109</v>
      </c>
    </row>
    <row r="8" spans="1:46" ht="14.25" customHeight="1" x14ac:dyDescent="0.25">
      <c r="A8" s="1471" t="s">
        <v>919</v>
      </c>
      <c r="B8" s="272" t="s">
        <v>28</v>
      </c>
      <c r="C8" s="106" t="s">
        <v>14</v>
      </c>
      <c r="D8" s="107">
        <v>50</v>
      </c>
      <c r="E8" s="177">
        <f t="shared" si="4"/>
        <v>17.115535444947216</v>
      </c>
      <c r="F8" s="109">
        <v>0.95</v>
      </c>
      <c r="G8" s="101">
        <f t="shared" si="0"/>
        <v>855.77677224736078</v>
      </c>
      <c r="H8" s="102">
        <f t="shared" si="1"/>
        <v>812.98793363499271</v>
      </c>
      <c r="I8" s="65">
        <f>VLOOKUP(B8,All_Ingredients!$A$1:$F$156,6,FALSE())</f>
        <v>0.73</v>
      </c>
      <c r="J8" s="101">
        <f>VLOOKUP(B8,All_Ingredients!$A$1:$J$156,10,FALSE())</f>
        <v>8.5</v>
      </c>
      <c r="K8" s="104">
        <f t="shared" si="5"/>
        <v>1.113682100869853</v>
      </c>
      <c r="L8" s="104">
        <f t="shared" si="6"/>
        <v>9.4662978573937497</v>
      </c>
      <c r="AI8" s="63" t="s">
        <v>204</v>
      </c>
      <c r="AJ8" s="271" t="s">
        <v>212</v>
      </c>
      <c r="AK8" s="106" t="s">
        <v>160</v>
      </c>
      <c r="AL8" s="107">
        <v>350</v>
      </c>
      <c r="AM8" s="177">
        <f t="shared" si="7"/>
        <v>3.3624511082138198</v>
      </c>
      <c r="AN8" s="109">
        <v>1</v>
      </c>
      <c r="AO8" s="101">
        <f t="shared" si="8"/>
        <v>1176.8578878748369</v>
      </c>
      <c r="AP8" s="102">
        <f t="shared" si="9"/>
        <v>1176.8578878748369</v>
      </c>
      <c r="AQ8" s="991">
        <f>VLOOKUP(AJ8,Marination_Ordering!$A:$J,6,FALSE)</f>
        <v>1</v>
      </c>
      <c r="AR8" s="991">
        <f>VLOOKUP(AJ8,Marination_Ordering!$A:$J,10,FALSE)</f>
        <v>5</v>
      </c>
      <c r="AS8" s="514">
        <f t="shared" si="10"/>
        <v>1176.8578878748369</v>
      </c>
      <c r="AT8" s="991">
        <f t="shared" si="11"/>
        <v>5.8842894393741849</v>
      </c>
    </row>
    <row r="9" spans="1:46" ht="14.25" customHeight="1" x14ac:dyDescent="0.25">
      <c r="A9" s="1471"/>
      <c r="B9" s="272" t="s">
        <v>30</v>
      </c>
      <c r="C9" s="106" t="s">
        <v>14</v>
      </c>
      <c r="D9" s="107">
        <v>50</v>
      </c>
      <c r="E9" s="177">
        <f t="shared" si="4"/>
        <v>17.115535444947216</v>
      </c>
      <c r="F9" s="109">
        <v>0.95</v>
      </c>
      <c r="G9" s="101">
        <f t="shared" si="0"/>
        <v>855.77677224736078</v>
      </c>
      <c r="H9" s="102">
        <f t="shared" si="1"/>
        <v>812.98793363499271</v>
      </c>
      <c r="I9" s="65">
        <f>VLOOKUP(B9,All_Ingredients!$A$1:$F$156,6,FALSE())</f>
        <v>0.71</v>
      </c>
      <c r="J9" s="101">
        <f>VLOOKUP(B9,All_Ingredients!$A$1:$J$156,10,FALSE())</f>
        <v>8.5</v>
      </c>
      <c r="K9" s="104">
        <f t="shared" si="5"/>
        <v>1.1450534276549194</v>
      </c>
      <c r="L9" s="104">
        <f t="shared" si="6"/>
        <v>9.7329541350668141</v>
      </c>
      <c r="AI9" s="63" t="s">
        <v>204</v>
      </c>
      <c r="AJ9" s="271" t="s">
        <v>208</v>
      </c>
      <c r="AK9" s="106" t="s">
        <v>160</v>
      </c>
      <c r="AL9" s="107">
        <v>70</v>
      </c>
      <c r="AM9" s="177">
        <f t="shared" si="7"/>
        <v>3.3624511082138198</v>
      </c>
      <c r="AN9" s="109">
        <v>1</v>
      </c>
      <c r="AO9" s="101">
        <f t="shared" si="8"/>
        <v>235.37157757496738</v>
      </c>
      <c r="AP9" s="102">
        <f t="shared" si="9"/>
        <v>235.37157757496738</v>
      </c>
      <c r="AQ9" s="991">
        <f>VLOOKUP(AJ9,Marination_Ordering!$A:$J,6,FALSE)</f>
        <v>1</v>
      </c>
      <c r="AR9" s="991">
        <f>VLOOKUP(AJ9,Marination_Ordering!$A:$J,10,FALSE)</f>
        <v>2.1621621621621623</v>
      </c>
      <c r="AS9" s="514">
        <f t="shared" si="10"/>
        <v>235.37157757496738</v>
      </c>
      <c r="AT9" s="991">
        <f t="shared" si="11"/>
        <v>0.50891151908101062</v>
      </c>
    </row>
    <row r="10" spans="1:46" ht="14.25" customHeight="1" x14ac:dyDescent="0.25">
      <c r="A10" s="1471" t="s">
        <v>907</v>
      </c>
      <c r="B10" s="271" t="s">
        <v>727</v>
      </c>
      <c r="C10" s="106" t="s">
        <v>14</v>
      </c>
      <c r="D10" s="107">
        <v>40</v>
      </c>
      <c r="E10" s="177">
        <f t="shared" si="4"/>
        <v>17.115535444947216</v>
      </c>
      <c r="F10" s="109">
        <v>0.9</v>
      </c>
      <c r="G10" s="101">
        <f t="shared" si="0"/>
        <v>684.62141779788863</v>
      </c>
      <c r="H10" s="102">
        <f t="shared" si="1"/>
        <v>616.15927601809983</v>
      </c>
      <c r="I10" s="65">
        <f>VLOOKUP(B10,All_Ingredients!$A$1:$F$156,6,FALSE())</f>
        <v>1</v>
      </c>
      <c r="J10" s="101">
        <f>VLOOKUP(B10,All_Ingredients!$A$1:$J$156,10,FALSE())</f>
        <v>10.5</v>
      </c>
      <c r="K10" s="104">
        <f t="shared" si="5"/>
        <v>0.61615927601809983</v>
      </c>
      <c r="L10" s="104">
        <f t="shared" si="6"/>
        <v>6.4696723981900481</v>
      </c>
      <c r="AI10" s="63" t="s">
        <v>94</v>
      </c>
      <c r="AJ10" s="271" t="s">
        <v>93</v>
      </c>
      <c r="AK10" s="106" t="s">
        <v>14</v>
      </c>
      <c r="AL10" s="107">
        <v>2</v>
      </c>
      <c r="AM10" s="177">
        <f t="shared" si="7"/>
        <v>3.3624511082138198</v>
      </c>
      <c r="AN10" s="109">
        <v>1</v>
      </c>
      <c r="AO10" s="101">
        <f t="shared" si="8"/>
        <v>6.7249022164276395</v>
      </c>
      <c r="AP10" s="102">
        <f t="shared" si="9"/>
        <v>6.7249022164276395</v>
      </c>
      <c r="AQ10" s="991">
        <f>VLOOKUP(AJ10,Marination_Ordering!$A:$J,6,FALSE)</f>
        <v>1</v>
      </c>
      <c r="AR10" s="991">
        <f>VLOOKUP(AJ10,Marination_Ordering!$A:$J,10,FALSE)</f>
        <v>0.74</v>
      </c>
      <c r="AS10" s="514">
        <f t="shared" si="10"/>
        <v>6.7249022164276395</v>
      </c>
      <c r="AT10" s="991">
        <f t="shared" si="11"/>
        <v>4.9764276401564533E-3</v>
      </c>
    </row>
    <row r="11" spans="1:46" ht="14.25" customHeight="1" x14ac:dyDescent="0.25">
      <c r="A11" s="1471" t="s">
        <v>906</v>
      </c>
      <c r="B11" s="271" t="s">
        <v>54</v>
      </c>
      <c r="C11" s="106" t="s">
        <v>14</v>
      </c>
      <c r="D11" s="107">
        <v>25</v>
      </c>
      <c r="E11" s="177">
        <f t="shared" si="4"/>
        <v>17.115535444947216</v>
      </c>
      <c r="F11" s="109">
        <v>0.6</v>
      </c>
      <c r="G11" s="101">
        <f t="shared" si="0"/>
        <v>427.88838612368039</v>
      </c>
      <c r="H11" s="102">
        <f t="shared" si="1"/>
        <v>256.73303167420823</v>
      </c>
      <c r="I11" s="65">
        <f>VLOOKUP(B11,All_Ingredients!$A$1:$F$156,6,FALSE())</f>
        <v>0.87</v>
      </c>
      <c r="J11" s="101">
        <f>VLOOKUP(B11,All_Ingredients!$A$1:$J$156,10,FALSE())</f>
        <v>7</v>
      </c>
      <c r="K11" s="104">
        <f t="shared" si="5"/>
        <v>0.29509543870598648</v>
      </c>
      <c r="L11" s="104">
        <f t="shared" si="6"/>
        <v>2.0656680709419053</v>
      </c>
      <c r="AI11" s="63" t="s">
        <v>94</v>
      </c>
      <c r="AJ11" s="271" t="s">
        <v>99</v>
      </c>
      <c r="AK11" s="106" t="s">
        <v>14</v>
      </c>
      <c r="AL11" s="107">
        <v>3</v>
      </c>
      <c r="AM11" s="177">
        <f t="shared" si="7"/>
        <v>3.3624511082138198</v>
      </c>
      <c r="AN11" s="109">
        <v>1</v>
      </c>
      <c r="AO11" s="101">
        <f t="shared" si="8"/>
        <v>10.087353324641459</v>
      </c>
      <c r="AP11" s="102">
        <f t="shared" si="9"/>
        <v>10.087353324641459</v>
      </c>
      <c r="AQ11" s="991">
        <f>VLOOKUP(AJ11,Marination_Ordering!$A:$J,6,FALSE)</f>
        <v>1</v>
      </c>
      <c r="AR11" s="991">
        <f>VLOOKUP(AJ11,Marination_Ordering!$A:$J,10,FALSE)</f>
        <v>31</v>
      </c>
      <c r="AS11" s="514">
        <f t="shared" si="10"/>
        <v>10.087353324641459</v>
      </c>
      <c r="AT11" s="991">
        <f t="shared" si="11"/>
        <v>0.31270795306388521</v>
      </c>
    </row>
    <row r="12" spans="1:46" ht="14.25" customHeight="1" x14ac:dyDescent="0.25">
      <c r="A12" s="1471"/>
      <c r="B12" s="271" t="s">
        <v>193</v>
      </c>
      <c r="C12" s="106" t="s">
        <v>160</v>
      </c>
      <c r="D12" s="107">
        <v>25</v>
      </c>
      <c r="E12" s="177">
        <f t="shared" si="4"/>
        <v>17.115535444947216</v>
      </c>
      <c r="F12" s="109">
        <v>0.9</v>
      </c>
      <c r="G12" s="101">
        <f t="shared" si="0"/>
        <v>427.88838612368039</v>
      </c>
      <c r="H12" s="102">
        <f t="shared" si="1"/>
        <v>385.09954751131238</v>
      </c>
      <c r="I12" s="65">
        <f>VLOOKUP(B12,All_Ingredients!$A$1:$F$156,6,FALSE())</f>
        <v>1</v>
      </c>
      <c r="J12" s="101">
        <f>VLOOKUP(B12,All_Ingredients!$A$1:$J$156,10,FALSE())</f>
        <v>37.001287001286997</v>
      </c>
      <c r="K12" s="104">
        <f t="shared" si="5"/>
        <v>0.38509954751131237</v>
      </c>
      <c r="L12" s="104">
        <f t="shared" si="6"/>
        <v>14.249178881531826</v>
      </c>
      <c r="AI12" s="63" t="s">
        <v>213</v>
      </c>
      <c r="AJ12" s="271" t="s">
        <v>214</v>
      </c>
      <c r="AK12" s="106" t="s">
        <v>14</v>
      </c>
      <c r="AL12" s="107">
        <v>5</v>
      </c>
      <c r="AM12" s="177">
        <f t="shared" si="7"/>
        <v>3.3624511082138198</v>
      </c>
      <c r="AN12" s="109">
        <v>1</v>
      </c>
      <c r="AO12" s="101">
        <f>AL12*AM12</f>
        <v>16.812255541069099</v>
      </c>
      <c r="AP12" s="102">
        <f>AN12*AO12</f>
        <v>16.812255541069099</v>
      </c>
      <c r="AQ12" s="991">
        <f>VLOOKUP(AJ12,Marination_Ordering!$A:$J,6,FALSE)</f>
        <v>1</v>
      </c>
      <c r="AR12" s="991">
        <f>VLOOKUP(AJ12,Marination_Ordering!$A:$J,10,FALSE)</f>
        <v>35</v>
      </c>
      <c r="AS12" s="514">
        <f t="shared" si="10"/>
        <v>16.812255541069099</v>
      </c>
      <c r="AT12" s="991">
        <f t="shared" si="11"/>
        <v>0.58842894393741851</v>
      </c>
    </row>
    <row r="13" spans="1:46" ht="14.25" customHeight="1" x14ac:dyDescent="0.25">
      <c r="A13" s="1471"/>
      <c r="B13" s="271" t="s">
        <v>194</v>
      </c>
      <c r="C13" s="106" t="s">
        <v>160</v>
      </c>
      <c r="D13" s="107">
        <v>17</v>
      </c>
      <c r="E13" s="177">
        <f t="shared" si="4"/>
        <v>17.115535444947216</v>
      </c>
      <c r="F13" s="109">
        <v>1</v>
      </c>
      <c r="G13" s="101">
        <f t="shared" si="0"/>
        <v>290.96410256410269</v>
      </c>
      <c r="H13" s="102">
        <f t="shared" si="1"/>
        <v>290.96410256410269</v>
      </c>
      <c r="I13" s="65">
        <f>VLOOKUP(B13,All_Ingredients!$A$1:$F$156,6,FALSE())</f>
        <v>1</v>
      </c>
      <c r="J13" s="101">
        <f>VLOOKUP(B13,All_Ingredients!$A$1:$J$156,10,FALSE())</f>
        <v>22.666666666666668</v>
      </c>
      <c r="K13" s="104">
        <f t="shared" si="5"/>
        <v>0.29096410256410271</v>
      </c>
      <c r="L13" s="104">
        <f t="shared" si="6"/>
        <v>6.5951863247863285</v>
      </c>
      <c r="AR13" s="993"/>
      <c r="AS13" s="514"/>
      <c r="AT13" s="991"/>
    </row>
    <row r="14" spans="1:46" ht="14.25" customHeight="1" x14ac:dyDescent="0.25">
      <c r="A14" s="1471"/>
      <c r="B14" s="271" t="s">
        <v>192</v>
      </c>
      <c r="C14" s="106" t="s">
        <v>160</v>
      </c>
      <c r="D14" s="107">
        <v>35</v>
      </c>
      <c r="E14" s="177">
        <f t="shared" si="4"/>
        <v>17.115535444947216</v>
      </c>
      <c r="F14" s="109">
        <v>0.75</v>
      </c>
      <c r="G14" s="101">
        <f t="shared" si="0"/>
        <v>599.0437405731526</v>
      </c>
      <c r="H14" s="102">
        <f t="shared" si="1"/>
        <v>449.28280542986442</v>
      </c>
      <c r="I14" s="65">
        <f>VLOOKUP(B14,All_Ingredients!$A$1:$F$156,6,FALSE())</f>
        <v>1</v>
      </c>
      <c r="J14" s="101">
        <f>VLOOKUP(B14,All_Ingredients!$A$1:$J$156,10,FALSE())</f>
        <v>58.685446009389672</v>
      </c>
      <c r="K14" s="104">
        <f t="shared" si="5"/>
        <v>0.44928280542986443</v>
      </c>
      <c r="L14" s="104">
        <f t="shared" si="6"/>
        <v>26.366361821001433</v>
      </c>
    </row>
    <row r="15" spans="1:46" ht="14.25" customHeight="1" x14ac:dyDescent="0.25">
      <c r="A15" s="1471"/>
      <c r="B15" s="271" t="s">
        <v>208</v>
      </c>
      <c r="C15" s="106" t="s">
        <v>160</v>
      </c>
      <c r="D15" s="107">
        <v>15</v>
      </c>
      <c r="E15" s="177">
        <f t="shared" si="4"/>
        <v>17.115535444947216</v>
      </c>
      <c r="F15" s="109">
        <v>1</v>
      </c>
      <c r="G15" s="101">
        <f t="shared" si="0"/>
        <v>256.73303167420823</v>
      </c>
      <c r="H15" s="102">
        <f t="shared" si="1"/>
        <v>256.73303167420823</v>
      </c>
      <c r="I15" s="65">
        <f>VLOOKUP(B15,All_Ingredients!$A$1:$F$156,6,FALSE())</f>
        <v>1</v>
      </c>
      <c r="J15" s="101">
        <f>VLOOKUP(B15,All_Ingredients!$A$1:$J$156,10,FALSE())</f>
        <v>2.1621621621621623</v>
      </c>
      <c r="K15" s="104">
        <f t="shared" si="5"/>
        <v>0.25673303167420825</v>
      </c>
      <c r="L15" s="104">
        <f t="shared" si="6"/>
        <v>0.55509844686315302</v>
      </c>
    </row>
    <row r="16" spans="1:46" ht="14.25" customHeight="1" x14ac:dyDescent="0.25">
      <c r="A16" s="1471"/>
      <c r="B16" s="271" t="s">
        <v>203</v>
      </c>
      <c r="C16" s="106" t="s">
        <v>160</v>
      </c>
      <c r="D16" s="107">
        <v>150</v>
      </c>
      <c r="E16" s="177">
        <f t="shared" si="4"/>
        <v>17.115535444947216</v>
      </c>
      <c r="F16" s="109">
        <v>1</v>
      </c>
      <c r="G16" s="101">
        <f t="shared" si="0"/>
        <v>2567.3303167420822</v>
      </c>
      <c r="H16" s="102">
        <f t="shared" si="1"/>
        <v>2567.3303167420822</v>
      </c>
      <c r="I16" s="65">
        <f>VLOOKUP(B16,All_Ingredients!$A$1:$F$156,6,FALSE())</f>
        <v>1</v>
      </c>
      <c r="J16" s="101">
        <f>VLOOKUP(B16,All_Ingredients!$A$1:$J$156,10,FALSE())</f>
        <v>0</v>
      </c>
      <c r="K16" s="104">
        <f t="shared" si="5"/>
        <v>2.5673303167420825</v>
      </c>
      <c r="L16" s="104">
        <f t="shared" si="6"/>
        <v>0</v>
      </c>
    </row>
    <row r="17" spans="1:32" ht="14.25" customHeight="1" x14ac:dyDescent="0.25">
      <c r="A17" s="1471"/>
      <c r="B17" s="271" t="s">
        <v>198</v>
      </c>
      <c r="C17" s="906" t="s">
        <v>160</v>
      </c>
      <c r="D17" s="107">
        <v>350</v>
      </c>
      <c r="E17" s="177">
        <f t="shared" si="4"/>
        <v>17.115535444947216</v>
      </c>
      <c r="F17" s="109">
        <v>1</v>
      </c>
      <c r="G17" s="101">
        <f t="shared" si="0"/>
        <v>5990.4374057315254</v>
      </c>
      <c r="H17" s="102">
        <f t="shared" si="1"/>
        <v>5990.4374057315254</v>
      </c>
      <c r="I17" s="65">
        <f>VLOOKUP(B17,All_Ingredients!$A$1:$F$156,6,FALSE())</f>
        <v>1</v>
      </c>
      <c r="J17" s="101">
        <f>VLOOKUP(B17,All_Ingredients!$A$1:$J$156,10,FALSE())</f>
        <v>3.25</v>
      </c>
      <c r="K17" s="104">
        <f t="shared" si="5"/>
        <v>5.9904374057315257</v>
      </c>
      <c r="L17" s="104">
        <f t="shared" si="6"/>
        <v>19.468921568627458</v>
      </c>
    </row>
    <row r="18" spans="1:32" ht="14.25" customHeight="1" x14ac:dyDescent="0.25">
      <c r="A18" s="1471"/>
      <c r="B18" s="271" t="s">
        <v>214</v>
      </c>
      <c r="C18" s="106" t="s">
        <v>14</v>
      </c>
      <c r="D18" s="107">
        <v>2</v>
      </c>
      <c r="E18" s="177">
        <f t="shared" si="4"/>
        <v>17.115535444947216</v>
      </c>
      <c r="F18" s="109">
        <v>0.75</v>
      </c>
      <c r="G18" s="101">
        <f t="shared" si="0"/>
        <v>34.231070889894433</v>
      </c>
      <c r="H18" s="102">
        <f t="shared" si="1"/>
        <v>25.673303167420826</v>
      </c>
      <c r="I18" s="65">
        <f>VLOOKUP(B18,All_Ingredients!$A$1:$F$156,6,FALSE())</f>
        <v>1</v>
      </c>
      <c r="J18" s="101">
        <f>VLOOKUP(B18,All_Ingredients!$A$1:$J$156,10,FALSE())</f>
        <v>35</v>
      </c>
      <c r="K18" s="104">
        <f t="shared" si="5"/>
        <v>2.5673303167420825E-2</v>
      </c>
      <c r="L18" s="104">
        <f t="shared" si="6"/>
        <v>0.89856561085972886</v>
      </c>
    </row>
    <row r="19" spans="1:32" ht="14.25" customHeight="1" x14ac:dyDescent="0.25">
      <c r="A19" s="1471"/>
      <c r="B19" s="271" t="s">
        <v>187</v>
      </c>
      <c r="C19" s="106" t="s">
        <v>14</v>
      </c>
      <c r="D19" s="107">
        <v>30</v>
      </c>
      <c r="E19" s="177">
        <f t="shared" si="4"/>
        <v>17.115535444947216</v>
      </c>
      <c r="F19" s="109">
        <v>1</v>
      </c>
      <c r="G19" s="101">
        <f t="shared" si="0"/>
        <v>513.46606334841647</v>
      </c>
      <c r="H19" s="102">
        <f t="shared" si="1"/>
        <v>513.46606334841647</v>
      </c>
      <c r="I19" s="65">
        <f>VLOOKUP(B19,All_Ingredients!$A$1:$F$156,6,FALSE())</f>
        <v>0.9</v>
      </c>
      <c r="J19" s="101">
        <f>VLOOKUP(B19,All_Ingredients!$A$1:$J$156,10,FALSE())</f>
        <v>2.3199999999999998</v>
      </c>
      <c r="K19" s="104">
        <f t="shared" si="5"/>
        <v>0.57051784816490714</v>
      </c>
      <c r="L19" s="104">
        <f t="shared" si="6"/>
        <v>1.3236014077425844</v>
      </c>
    </row>
    <row r="20" spans="1:32" ht="14.25" customHeight="1" x14ac:dyDescent="0.25">
      <c r="A20" s="1471"/>
      <c r="B20" s="271" t="s">
        <v>93</v>
      </c>
      <c r="C20" s="106" t="s">
        <v>14</v>
      </c>
      <c r="D20" s="107">
        <v>3</v>
      </c>
      <c r="E20" s="177">
        <f t="shared" si="4"/>
        <v>17.115535444947216</v>
      </c>
      <c r="F20" s="109">
        <v>0.75</v>
      </c>
      <c r="G20" s="101">
        <f t="shared" si="0"/>
        <v>51.346606334841653</v>
      </c>
      <c r="H20" s="102">
        <f t="shared" si="1"/>
        <v>38.509954751131239</v>
      </c>
      <c r="I20" s="65">
        <f>VLOOKUP(B20,All_Ingredients!$A$1:$F$156,6,FALSE())</f>
        <v>1</v>
      </c>
      <c r="J20" s="101">
        <f>VLOOKUP(B20,All_Ingredients!$A$1:$J$156,10,FALSE())</f>
        <v>0.74</v>
      </c>
      <c r="K20" s="104">
        <f t="shared" si="5"/>
        <v>3.850995475113124E-2</v>
      </c>
      <c r="L20" s="104">
        <f t="shared" si="6"/>
        <v>2.8497366515837116E-2</v>
      </c>
    </row>
    <row r="21" spans="1:32" ht="14.25" customHeight="1" x14ac:dyDescent="0.25">
      <c r="A21" s="1471"/>
      <c r="B21" s="271" t="s">
        <v>99</v>
      </c>
      <c r="C21" s="106" t="s">
        <v>14</v>
      </c>
      <c r="D21" s="107">
        <v>3</v>
      </c>
      <c r="E21" s="177">
        <f t="shared" si="4"/>
        <v>17.115535444947216</v>
      </c>
      <c r="F21" s="109">
        <v>0.75</v>
      </c>
      <c r="G21" s="101">
        <f t="shared" si="0"/>
        <v>51.346606334841653</v>
      </c>
      <c r="H21" s="102">
        <f t="shared" si="1"/>
        <v>38.509954751131239</v>
      </c>
      <c r="I21" s="65">
        <f>VLOOKUP(B21,All_Ingredients!$A$1:$F$156,6,FALSE())</f>
        <v>1</v>
      </c>
      <c r="J21" s="101">
        <f>VLOOKUP(B21,All_Ingredients!$A$1:$J$156,10,FALSE())</f>
        <v>31</v>
      </c>
      <c r="K21" s="104">
        <f t="shared" si="5"/>
        <v>3.850995475113124E-2</v>
      </c>
      <c r="L21" s="104">
        <f t="shared" si="6"/>
        <v>1.1938085972850685</v>
      </c>
    </row>
    <row r="22" spans="1:32" ht="14.25" customHeight="1" x14ac:dyDescent="0.25">
      <c r="A22" s="1471"/>
      <c r="B22" s="271" t="s">
        <v>152</v>
      </c>
      <c r="C22" s="106" t="s">
        <v>14</v>
      </c>
      <c r="D22" s="107">
        <v>20</v>
      </c>
      <c r="E22" s="177">
        <f t="shared" si="4"/>
        <v>17.115535444947216</v>
      </c>
      <c r="F22" s="109">
        <v>1</v>
      </c>
      <c r="G22" s="101">
        <f t="shared" si="0"/>
        <v>342.31070889894431</v>
      </c>
      <c r="H22" s="102">
        <f t="shared" si="1"/>
        <v>342.31070889894431</v>
      </c>
      <c r="I22" s="65">
        <f>VLOOKUP(B22,All_Ingredients!$A$1:$F$156,6,FALSE())</f>
        <v>1</v>
      </c>
      <c r="J22" s="101">
        <f>VLOOKUP(B22,All_Ingredients!$A$1:$J$156,10,FALSE())</f>
        <v>30</v>
      </c>
      <c r="K22" s="104">
        <f t="shared" si="5"/>
        <v>0.34231070889894433</v>
      </c>
      <c r="L22" s="104">
        <f t="shared" si="6"/>
        <v>10.26932126696833</v>
      </c>
    </row>
    <row r="23" spans="1:32" ht="14.25" customHeight="1" x14ac:dyDescent="0.25">
      <c r="A23" s="1471"/>
      <c r="B23" s="272" t="s">
        <v>183</v>
      </c>
      <c r="C23" s="106" t="s">
        <v>14</v>
      </c>
      <c r="D23" s="107">
        <v>50</v>
      </c>
      <c r="E23" s="177">
        <f t="shared" si="4"/>
        <v>17.115535444947216</v>
      </c>
      <c r="F23" s="109">
        <v>1</v>
      </c>
      <c r="G23" s="101">
        <f t="shared" si="0"/>
        <v>855.77677224736078</v>
      </c>
      <c r="H23" s="102">
        <f t="shared" si="1"/>
        <v>855.77677224736078</v>
      </c>
      <c r="I23" s="65">
        <f>VLOOKUP(B23,All_Ingredients!$A$1:$F$156,6,FALSE())</f>
        <v>1</v>
      </c>
      <c r="J23" s="101">
        <f>VLOOKUP(B23,All_Ingredients!$A$1:$J$156,10,FALSE())</f>
        <v>17</v>
      </c>
      <c r="K23" s="104">
        <f t="shared" si="5"/>
        <v>0.85577677224736082</v>
      </c>
      <c r="L23" s="104">
        <f t="shared" si="6"/>
        <v>14.548205128205133</v>
      </c>
      <c r="P23"/>
      <c r="R23" s="252" t="s">
        <v>309</v>
      </c>
    </row>
    <row r="24" spans="1:32" ht="14.25" customHeight="1" x14ac:dyDescent="0.25">
      <c r="I24" s="76"/>
      <c r="J24" s="120"/>
      <c r="K24" s="76"/>
      <c r="L24" s="118"/>
      <c r="M24" s="112"/>
      <c r="N24" s="112"/>
      <c r="Z24" s="1073"/>
    </row>
    <row r="25" spans="1:32" ht="15.75" customHeight="1" x14ac:dyDescent="0.25">
      <c r="I25" s="76"/>
      <c r="J25" s="120"/>
      <c r="K25" s="76"/>
      <c r="L25" s="118"/>
      <c r="M25" s="112"/>
      <c r="N25" s="112"/>
      <c r="R25" s="1640" t="s">
        <v>504</v>
      </c>
      <c r="S25" s="1633"/>
      <c r="T25" s="1633"/>
      <c r="U25" s="1633"/>
      <c r="V25" s="997"/>
      <c r="Z25" s="122" t="s">
        <v>252</v>
      </c>
      <c r="AA25" s="1069">
        <v>1</v>
      </c>
      <c r="AB25" s="122" t="s">
        <v>249</v>
      </c>
      <c r="AC25" s="124">
        <f>(AA25*(4/3))*AF30+(AA30*(AB28/R1))</f>
        <v>3.1994219032133731E-2</v>
      </c>
    </row>
    <row r="26" spans="1:32" ht="14.25" customHeight="1" x14ac:dyDescent="0.25">
      <c r="I26" s="76"/>
      <c r="J26" s="120"/>
      <c r="K26" s="76"/>
      <c r="L26" s="118"/>
      <c r="M26" s="112"/>
      <c r="N26" s="112"/>
      <c r="R26" s="1654" t="s">
        <v>253</v>
      </c>
      <c r="S26" s="1633"/>
      <c r="T26" s="1633"/>
      <c r="U26" s="1633"/>
      <c r="V26" s="997"/>
    </row>
    <row r="27" spans="1:32" ht="14.25" customHeight="1" thickBot="1" x14ac:dyDescent="0.3">
      <c r="B27" s="84"/>
      <c r="C27" s="777"/>
      <c r="D27" s="777"/>
      <c r="E27" s="777"/>
      <c r="F27" s="777"/>
      <c r="G27" s="777"/>
      <c r="H27"/>
      <c r="I27" s="76"/>
      <c r="J27" s="120"/>
      <c r="K27" s="76"/>
      <c r="L27" s="118"/>
      <c r="M27" s="112"/>
      <c r="N27" s="112"/>
      <c r="R27" s="126" t="s">
        <v>254</v>
      </c>
      <c r="S27" s="127" t="s">
        <v>255</v>
      </c>
      <c r="T27" s="127" t="s">
        <v>256</v>
      </c>
      <c r="U27" s="127" t="s">
        <v>257</v>
      </c>
      <c r="V27" s="127" t="s">
        <v>772</v>
      </c>
      <c r="W27" s="127" t="s">
        <v>779</v>
      </c>
      <c r="Z27" s="122" t="s">
        <v>258</v>
      </c>
      <c r="AA27" s="1031" t="s">
        <v>312</v>
      </c>
      <c r="AB27" s="128" t="s">
        <v>259</v>
      </c>
      <c r="AC27" s="128" t="s">
        <v>260</v>
      </c>
      <c r="AD27" s="128" t="s">
        <v>261</v>
      </c>
      <c r="AE27" s="1032" t="s">
        <v>779</v>
      </c>
      <c r="AF27" s="128" t="s">
        <v>262</v>
      </c>
    </row>
    <row r="28" spans="1:32" ht="14.25" customHeight="1" thickBot="1" x14ac:dyDescent="0.3">
      <c r="B28" s="347"/>
      <c r="C28" s="324"/>
      <c r="D28" s="241"/>
      <c r="E28" s="347"/>
      <c r="F28" s="347"/>
      <c r="G28" s="241"/>
      <c r="H28" s="53"/>
      <c r="I28" s="76"/>
      <c r="J28" s="120"/>
      <c r="K28" s="76"/>
      <c r="L28" s="118"/>
      <c r="M28" s="112"/>
      <c r="N28" s="112"/>
      <c r="R28" s="129" t="s">
        <v>263</v>
      </c>
      <c r="S28" s="1215">
        <f>U28*S40</f>
        <v>19838.461538461535</v>
      </c>
      <c r="T28" s="1215">
        <f>U28*U40</f>
        <v>5951.5384615384673</v>
      </c>
      <c r="U28" s="1186">
        <f>$Z$1</f>
        <v>25790</v>
      </c>
      <c r="V28" s="130">
        <f>SUM(AP5:AP13)</f>
        <v>2824.4589308996087</v>
      </c>
      <c r="W28" s="130">
        <f>SUM(H37:H38)</f>
        <v>202.23</v>
      </c>
      <c r="Z28" s="132"/>
      <c r="AA28" s="1034"/>
      <c r="AB28" s="1046">
        <f>AA25*$S$40</f>
        <v>0.76923076923076905</v>
      </c>
      <c r="AC28" s="133">
        <f>AA25*U40</f>
        <v>0.230769230769231</v>
      </c>
      <c r="AD28" s="1071">
        <f>AA25*(1/3)</f>
        <v>0.33333333333333331</v>
      </c>
      <c r="AE28" s="1034"/>
      <c r="AF28" s="135">
        <f>SUM(AB28:AD28)</f>
        <v>1.3333333333333333</v>
      </c>
    </row>
    <row r="29" spans="1:32" ht="14.25" customHeight="1" thickBot="1" x14ac:dyDescent="0.3">
      <c r="B29" s="347"/>
      <c r="C29" s="324"/>
      <c r="D29" s="241"/>
      <c r="E29" s="347"/>
      <c r="F29" s="347"/>
      <c r="G29" s="241"/>
      <c r="H29" s="53"/>
      <c r="I29" s="76"/>
      <c r="J29" s="120"/>
      <c r="K29" s="76"/>
      <c r="L29" s="118"/>
      <c r="M29" s="112"/>
      <c r="N29" s="112"/>
      <c r="R29" s="129" t="s">
        <v>264</v>
      </c>
      <c r="S29" s="1218"/>
      <c r="T29" s="130">
        <f>U28*(1/3)</f>
        <v>8596.6666666666661</v>
      </c>
      <c r="U29" s="1215">
        <f>T29</f>
        <v>8596.6666666666661</v>
      </c>
      <c r="V29" s="130"/>
      <c r="W29" s="130"/>
      <c r="Z29" s="132"/>
      <c r="AA29" s="1038"/>
      <c r="AB29" s="137">
        <f>AB28/$AF$28</f>
        <v>0.57692307692307687</v>
      </c>
      <c r="AC29" s="137">
        <f>AC28/$AF$28</f>
        <v>0.17307692307692327</v>
      </c>
      <c r="AD29" s="1070">
        <f>AD28/$AF$28</f>
        <v>0.25</v>
      </c>
      <c r="AE29" s="1038"/>
      <c r="AF29" s="137">
        <f>AF28/$AF$28</f>
        <v>1</v>
      </c>
    </row>
    <row r="30" spans="1:32" ht="14.25" customHeight="1" thickBot="1" x14ac:dyDescent="0.3">
      <c r="I30" s="76"/>
      <c r="J30" s="120"/>
      <c r="K30" s="76"/>
      <c r="L30" s="118"/>
      <c r="M30" s="112"/>
      <c r="N30" s="112"/>
      <c r="R30" s="129" t="s">
        <v>265</v>
      </c>
      <c r="S30" s="1225">
        <f>U30*S40</f>
        <v>0</v>
      </c>
      <c r="T30" s="1215">
        <f>(U30*U40)+(U30*0.3)</f>
        <v>0</v>
      </c>
      <c r="U30" s="1186"/>
      <c r="V30" s="989"/>
      <c r="W30" s="989"/>
      <c r="Z30" s="122" t="s">
        <v>266</v>
      </c>
      <c r="AA30" s="1042">
        <f>V35/(S32/R1)</f>
        <v>5.6346244547996274E-4</v>
      </c>
      <c r="AB30" s="138">
        <f>S35/(S32)</f>
        <v>3.3701221915648408E-2</v>
      </c>
      <c r="AC30" s="139">
        <f>T35/T32</f>
        <v>9.3533319435286314E-3</v>
      </c>
      <c r="AD30" s="139">
        <f>T35/T32</f>
        <v>9.3533319435286314E-3</v>
      </c>
      <c r="AE30" s="1045">
        <f>W35/U32</f>
        <v>4.4499023175351207E-5</v>
      </c>
      <c r="AF30" s="1053">
        <f>SUMPRODUCT(AB30:AD30,AB29:AD29)+AE30</f>
        <v>2.3444690566003856E-2</v>
      </c>
    </row>
    <row r="31" spans="1:32" ht="14.25" customHeight="1" thickBot="1" x14ac:dyDescent="0.3">
      <c r="I31" s="76"/>
      <c r="J31" s="120"/>
      <c r="K31" s="76"/>
      <c r="L31" s="118"/>
      <c r="M31" s="112"/>
      <c r="N31" s="112"/>
      <c r="R31" s="129" t="s">
        <v>267</v>
      </c>
      <c r="S31" s="136"/>
      <c r="T31" s="130"/>
      <c r="U31" s="130"/>
      <c r="V31" s="130"/>
      <c r="W31" s="130"/>
    </row>
    <row r="32" spans="1:32" ht="39" customHeight="1" thickBot="1" x14ac:dyDescent="0.3">
      <c r="I32" s="76"/>
      <c r="J32" s="120"/>
      <c r="K32" s="76"/>
      <c r="L32" s="118"/>
      <c r="M32" s="112"/>
      <c r="N32" s="112"/>
      <c r="R32" s="141" t="s">
        <v>257</v>
      </c>
      <c r="S32" s="130">
        <f>SUM(S28:S30)</f>
        <v>19838.461538461535</v>
      </c>
      <c r="T32" s="130">
        <f>SUM(T28:T30)</f>
        <v>14548.205128205132</v>
      </c>
      <c r="U32" s="1058">
        <f>SUM(U28:U30)</f>
        <v>34386.666666666664</v>
      </c>
      <c r="V32" s="130"/>
      <c r="W32" s="130">
        <f>SUM(W28:W30)</f>
        <v>202.23</v>
      </c>
      <c r="AB32" s="14">
        <f>AB28*AB30</f>
        <v>2.5924016858191078E-2</v>
      </c>
      <c r="AC32" s="14">
        <f>AC28*AC30</f>
        <v>2.1584612177373789E-3</v>
      </c>
      <c r="AD32" s="14">
        <f>AD28*AD30</f>
        <v>3.1177773145095438E-3</v>
      </c>
    </row>
    <row r="33" spans="2:23" ht="14.25" customHeight="1" thickBot="1" x14ac:dyDescent="0.3">
      <c r="I33" s="76"/>
      <c r="J33" s="120"/>
      <c r="K33" s="76"/>
      <c r="L33" s="118"/>
      <c r="M33" s="112"/>
      <c r="N33" s="112"/>
      <c r="R33" s="142" t="s">
        <v>268</v>
      </c>
      <c r="S33" s="136"/>
      <c r="T33" s="136"/>
      <c r="U33" s="136"/>
      <c r="V33" s="136"/>
      <c r="W33" s="136"/>
    </row>
    <row r="34" spans="2:23" ht="14.25" customHeight="1" thickBot="1" x14ac:dyDescent="0.3">
      <c r="I34" s="76"/>
      <c r="J34" s="120"/>
      <c r="K34" s="76"/>
      <c r="L34" s="118"/>
      <c r="M34" s="112"/>
      <c r="N34" s="112"/>
      <c r="R34" s="143" t="s">
        <v>269</v>
      </c>
      <c r="S34" s="136"/>
      <c r="T34" s="130"/>
      <c r="U34" s="136"/>
      <c r="V34" s="136"/>
      <c r="W34" s="136"/>
    </row>
    <row r="35" spans="2:23" ht="14.25" customHeight="1" thickBot="1" x14ac:dyDescent="0.3">
      <c r="B35" s="1641" t="s">
        <v>626</v>
      </c>
      <c r="C35" s="1641"/>
      <c r="D35" s="1641"/>
      <c r="E35" s="1641"/>
      <c r="F35" s="1641"/>
      <c r="G35" s="803"/>
      <c r="H35" s="803"/>
      <c r="I35" s="803"/>
      <c r="J35" s="803"/>
      <c r="K35" s="803"/>
      <c r="L35" s="803"/>
      <c r="M35" s="112"/>
      <c r="N35" s="112"/>
      <c r="R35" s="144" t="s">
        <v>249</v>
      </c>
      <c r="S35" s="145">
        <f>$L$5</f>
        <v>668.58039477274792</v>
      </c>
      <c r="T35" s="145">
        <f>SUM(L6:L23)</f>
        <v>136.07419174664813</v>
      </c>
      <c r="U35" s="1076">
        <f>S35+T35+V35+W35</f>
        <v>825.13090883872883</v>
      </c>
      <c r="V35" s="990">
        <f>SUM(AT6:AT12)</f>
        <v>18.946149242409696</v>
      </c>
      <c r="W35" s="1049">
        <f>SUM(L37:L38)</f>
        <v>1.5301730769230768</v>
      </c>
    </row>
    <row r="36" spans="2:23" ht="14.25" customHeight="1" x14ac:dyDescent="0.25">
      <c r="B36" s="776" t="s">
        <v>241</v>
      </c>
      <c r="C36" s="776" t="s">
        <v>317</v>
      </c>
      <c r="D36" s="778" t="s">
        <v>622</v>
      </c>
      <c r="E36" s="775" t="s">
        <v>623</v>
      </c>
      <c r="F36" s="778" t="s">
        <v>624</v>
      </c>
      <c r="G36" s="797"/>
      <c r="H36" s="778" t="s">
        <v>624</v>
      </c>
      <c r="I36" s="778" t="s">
        <v>246</v>
      </c>
      <c r="J36" s="778" t="s">
        <v>247</v>
      </c>
      <c r="K36" s="778" t="s">
        <v>248</v>
      </c>
      <c r="L36" s="778" t="s">
        <v>249</v>
      </c>
      <c r="M36" s="112"/>
      <c r="N36" s="112"/>
    </row>
    <row r="37" spans="2:23" ht="19.5" customHeight="1" x14ac:dyDescent="0.25">
      <c r="B37" s="772" t="s">
        <v>686</v>
      </c>
      <c r="C37" s="773" t="s">
        <v>14</v>
      </c>
      <c r="D37" s="774">
        <v>7.0000000000000007E-2</v>
      </c>
      <c r="E37" s="772">
        <f>$AD$1</f>
        <v>189</v>
      </c>
      <c r="F37" s="772">
        <f>D37*E37</f>
        <v>13.23</v>
      </c>
      <c r="G37"/>
      <c r="H37" s="772">
        <f>F37</f>
        <v>13.23</v>
      </c>
      <c r="I37" s="772">
        <f>VLOOKUP(B37,All_Ingredients!$A$1:$F$156,6,FALSE())</f>
        <v>0.65</v>
      </c>
      <c r="J37" s="772">
        <f>VLOOKUP(B37,All_Ingredients!$A$1:$J$156,10,FALSE())</f>
        <v>45</v>
      </c>
      <c r="K37" s="772">
        <f>(H37/I37)/1000</f>
        <v>2.0353846153846153E-2</v>
      </c>
      <c r="L37" s="772">
        <f t="shared" ref="L37" si="12">K37*J37</f>
        <v>0.91592307692307684</v>
      </c>
      <c r="M37" s="112"/>
      <c r="N37" s="112"/>
    </row>
    <row r="38" spans="2:23" ht="14.25" customHeight="1" x14ac:dyDescent="0.25">
      <c r="B38" s="772" t="s">
        <v>19</v>
      </c>
      <c r="C38" s="773" t="s">
        <v>14</v>
      </c>
      <c r="D38" s="774">
        <v>1</v>
      </c>
      <c r="E38" s="772">
        <f>$AD$1</f>
        <v>189</v>
      </c>
      <c r="F38" s="772">
        <f>D38*E38</f>
        <v>189</v>
      </c>
      <c r="H38" s="772">
        <f>F38</f>
        <v>189</v>
      </c>
      <c r="I38" s="772">
        <f>VLOOKUP(B38,All_Ingredients!$A$1:$F$156,6,FALSE())</f>
        <v>0.8</v>
      </c>
      <c r="J38" s="772">
        <f>VLOOKUP(B38,All_Ingredients!$A$1:$J$156,10,FALSE())</f>
        <v>2.6</v>
      </c>
      <c r="K38" s="772">
        <f>(H38/I38)/1000</f>
        <v>0.23624999999999999</v>
      </c>
      <c r="L38" s="772">
        <f t="shared" ref="L38" si="13">K38*J38</f>
        <v>0.61424999999999996</v>
      </c>
      <c r="M38" s="112"/>
      <c r="N38" s="112"/>
    </row>
    <row r="39" spans="2:23" ht="14.25" customHeight="1" x14ac:dyDescent="0.25">
      <c r="B39"/>
      <c r="C39" s="114"/>
      <c r="D39" s="232"/>
      <c r="E39" s="273"/>
      <c r="F39" s="117"/>
      <c r="G39" s="118"/>
      <c r="H39" s="119"/>
      <c r="I39" s="76"/>
      <c r="J39" s="120"/>
      <c r="K39" s="76"/>
      <c r="L39" s="118"/>
      <c r="M39" s="112"/>
      <c r="N39" s="112"/>
    </row>
    <row r="40" spans="2:23" ht="18" customHeight="1" x14ac:dyDescent="0.25">
      <c r="B40"/>
      <c r="C40" s="114"/>
      <c r="D40" s="232"/>
      <c r="E40" s="273"/>
      <c r="F40" s="117"/>
      <c r="G40" s="118"/>
      <c r="H40" s="119"/>
      <c r="I40" s="76"/>
      <c r="J40" s="120"/>
      <c r="K40" s="76"/>
      <c r="L40" s="118"/>
      <c r="M40" s="112"/>
      <c r="N40" s="112"/>
      <c r="R40" s="146" t="s">
        <v>270</v>
      </c>
      <c r="S40" s="147">
        <v>0.76923076923076905</v>
      </c>
      <c r="T40" s="146" t="s">
        <v>271</v>
      </c>
      <c r="U40" s="148">
        <v>0.230769230769231</v>
      </c>
      <c r="V40" s="149">
        <f>S40+U40</f>
        <v>1</v>
      </c>
    </row>
    <row r="41" spans="2:23" ht="15.75" customHeight="1" x14ac:dyDescent="0.25">
      <c r="B41"/>
      <c r="C41" s="114"/>
      <c r="D41" s="232"/>
      <c r="E41" s="273"/>
      <c r="F41" s="117"/>
      <c r="G41" s="118"/>
      <c r="H41" s="119"/>
      <c r="I41" s="76"/>
      <c r="J41" s="120"/>
      <c r="K41" s="76"/>
      <c r="L41" s="118"/>
      <c r="M41" s="112"/>
      <c r="N41" s="112"/>
      <c r="U41" s="150"/>
    </row>
    <row r="42" spans="2:23" ht="14.25" customHeight="1" x14ac:dyDescent="0.25">
      <c r="B42"/>
      <c r="C42" s="114"/>
      <c r="D42" s="232"/>
      <c r="E42" s="273"/>
      <c r="F42" s="117"/>
      <c r="G42" s="118"/>
      <c r="H42" s="119"/>
      <c r="I42" s="76"/>
      <c r="J42" s="120"/>
      <c r="K42" s="76"/>
      <c r="L42" s="118"/>
      <c r="M42" s="112"/>
      <c r="N42" s="112"/>
    </row>
    <row r="43" spans="2:23" ht="14.25" customHeight="1" thickBot="1" x14ac:dyDescent="0.3">
      <c r="B43"/>
      <c r="C43" s="114"/>
      <c r="D43" s="232"/>
      <c r="E43" s="273"/>
      <c r="F43" s="117"/>
      <c r="G43" s="118"/>
      <c r="H43" s="119"/>
      <c r="I43" s="76"/>
      <c r="J43" s="120"/>
      <c r="K43" s="76"/>
      <c r="L43" s="118"/>
      <c r="M43" s="112"/>
      <c r="N43" s="112"/>
      <c r="Q43" s="151" t="s">
        <v>272</v>
      </c>
      <c r="R43" s="151" t="s">
        <v>273</v>
      </c>
      <c r="S43" s="151" t="s">
        <v>274</v>
      </c>
      <c r="T43" s="151" t="s">
        <v>275</v>
      </c>
      <c r="U43" s="151" t="s">
        <v>276</v>
      </c>
      <c r="V43" s="151" t="s">
        <v>277</v>
      </c>
      <c r="W43" s="151" t="s">
        <v>278</v>
      </c>
    </row>
    <row r="44" spans="2:23" ht="14.25" customHeight="1" thickBot="1" x14ac:dyDescent="0.3">
      <c r="B44"/>
      <c r="C44" s="114"/>
      <c r="D44" s="232"/>
      <c r="E44" s="273"/>
      <c r="F44" s="117"/>
      <c r="G44" s="118"/>
      <c r="H44" s="119"/>
      <c r="I44" s="76"/>
      <c r="J44" s="120"/>
      <c r="K44" s="76"/>
      <c r="L44" s="118"/>
      <c r="M44" s="112"/>
      <c r="N44" s="112"/>
      <c r="Q44" s="1182">
        <v>17728</v>
      </c>
      <c r="R44" s="154">
        <f>D51</f>
        <v>10000</v>
      </c>
      <c r="S44" s="1184">
        <v>0.40909090909090912</v>
      </c>
      <c r="T44" s="1184">
        <v>0.59090909090909094</v>
      </c>
      <c r="U44" s="220">
        <f>R44*S44</f>
        <v>4090.909090909091</v>
      </c>
      <c r="V44" s="157">
        <f>R44*T44</f>
        <v>5909.090909090909</v>
      </c>
      <c r="W44" s="157">
        <f>Q44-U44</f>
        <v>13637.090909090908</v>
      </c>
    </row>
    <row r="45" spans="2:23" ht="14.25" customHeight="1" x14ac:dyDescent="0.25">
      <c r="B45"/>
      <c r="C45" s="114"/>
      <c r="D45" s="232"/>
      <c r="E45" s="273"/>
      <c r="F45" s="117"/>
      <c r="G45" s="118"/>
      <c r="H45" s="119"/>
      <c r="I45" s="76"/>
      <c r="J45" s="120"/>
      <c r="K45" s="76"/>
      <c r="L45" s="118"/>
      <c r="M45" s="112"/>
      <c r="N45" s="112"/>
    </row>
    <row r="46" spans="2:23" ht="14.25" customHeight="1" x14ac:dyDescent="0.25">
      <c r="B46"/>
      <c r="C46" s="114"/>
      <c r="D46" s="232"/>
      <c r="E46" s="273"/>
      <c r="F46" s="117"/>
      <c r="G46" s="118"/>
      <c r="H46" s="119"/>
      <c r="I46" s="76"/>
      <c r="J46" s="120"/>
      <c r="K46" s="76"/>
      <c r="L46" s="118"/>
      <c r="M46" s="112"/>
      <c r="N46" s="112"/>
    </row>
    <row r="47" spans="2:23" ht="14.25" customHeight="1" x14ac:dyDescent="0.25">
      <c r="B47"/>
      <c r="C47" s="114"/>
      <c r="D47" s="232"/>
      <c r="E47" s="273"/>
      <c r="F47" s="117"/>
      <c r="G47" s="118"/>
      <c r="H47" s="119"/>
      <c r="I47" s="76"/>
      <c r="J47" s="120"/>
      <c r="K47" s="76"/>
      <c r="L47" s="118"/>
      <c r="M47" s="112"/>
      <c r="N47" s="112"/>
    </row>
    <row r="48" spans="2:23" ht="14.25" customHeight="1" x14ac:dyDescent="0.25">
      <c r="B48"/>
      <c r="C48" s="114"/>
      <c r="D48" s="232"/>
      <c r="E48" s="273"/>
      <c r="F48" s="117"/>
      <c r="G48" s="118"/>
      <c r="H48" s="119"/>
      <c r="I48" s="76"/>
      <c r="J48" s="120"/>
      <c r="K48" s="76"/>
      <c r="L48" s="118"/>
      <c r="M48" s="112" t="s">
        <v>816</v>
      </c>
      <c r="N48" s="112" t="s">
        <v>815</v>
      </c>
      <c r="O48" s="339">
        <v>46193</v>
      </c>
    </row>
    <row r="49" spans="1:14" ht="14.25" customHeight="1" x14ac:dyDescent="0.25">
      <c r="B49" s="84"/>
      <c r="C49" s="152"/>
      <c r="D49" s="152"/>
      <c r="E49" s="84"/>
      <c r="F49" s="84"/>
      <c r="G49" s="152"/>
      <c r="L49" s="274" t="s">
        <v>812</v>
      </c>
      <c r="M49" s="14" t="s">
        <v>813</v>
      </c>
      <c r="N49" s="14" t="s">
        <v>814</v>
      </c>
    </row>
    <row r="50" spans="1:14" ht="14.25" customHeight="1" x14ac:dyDescent="0.25">
      <c r="B50" s="126"/>
      <c r="C50" s="126" t="s">
        <v>233</v>
      </c>
      <c r="D50" s="126" t="s">
        <v>279</v>
      </c>
      <c r="E50" s="164"/>
      <c r="F50" s="160"/>
      <c r="G50" s="126" t="s">
        <v>280</v>
      </c>
      <c r="H50" s="126" t="s">
        <v>233</v>
      </c>
      <c r="I50" s="126" t="s">
        <v>281</v>
      </c>
      <c r="J50" s="126" t="s">
        <v>282</v>
      </c>
      <c r="L50" s="274"/>
    </row>
    <row r="51" spans="1:14" ht="14.25" customHeight="1" x14ac:dyDescent="0.25">
      <c r="B51" s="161" t="s">
        <v>283</v>
      </c>
      <c r="C51" s="162">
        <f>10/K1</f>
        <v>11.764705882352942</v>
      </c>
      <c r="D51" s="163">
        <f>C1*10</f>
        <v>10000</v>
      </c>
      <c r="E51" s="164"/>
      <c r="F51" s="84"/>
      <c r="G51" s="161" t="s">
        <v>283</v>
      </c>
      <c r="H51" s="162">
        <f>I51/$D$5</f>
        <v>10</v>
      </c>
      <c r="I51" s="162">
        <f>J51/R1</f>
        <v>23113.713405238828</v>
      </c>
      <c r="J51" s="162">
        <f>$W$44</f>
        <v>13637.090909090908</v>
      </c>
      <c r="L51" s="274">
        <v>43000</v>
      </c>
      <c r="M51" s="14">
        <v>43000</v>
      </c>
      <c r="N51" s="14">
        <v>40000</v>
      </c>
    </row>
    <row r="52" spans="1:14" ht="14.25" customHeight="1" x14ac:dyDescent="0.25">
      <c r="B52" s="129" t="s">
        <v>262</v>
      </c>
      <c r="C52" s="165">
        <f>I1</f>
        <v>17.115535444947216</v>
      </c>
      <c r="D52" s="166">
        <f>E1</f>
        <v>14548.205128205132</v>
      </c>
      <c r="E52" s="84"/>
      <c r="F52" s="84"/>
      <c r="G52" s="129" t="s">
        <v>262</v>
      </c>
      <c r="H52" s="157">
        <f>I52/D5</f>
        <v>14.547429265310978</v>
      </c>
      <c r="I52" s="1251">
        <f>J52/$R$1</f>
        <v>33624.511082138197</v>
      </c>
      <c r="J52" s="165">
        <f>$S$32</f>
        <v>19838.461538461535</v>
      </c>
      <c r="K52" s="1250">
        <v>22000</v>
      </c>
      <c r="L52" s="274"/>
    </row>
    <row r="53" spans="1:14" ht="14.25" customHeight="1" x14ac:dyDescent="0.25">
      <c r="B53" s="209" t="s">
        <v>284</v>
      </c>
      <c r="C53" s="212">
        <f>MIN(C52, C51)</f>
        <v>11.764705882352942</v>
      </c>
      <c r="D53" s="211">
        <f>(C53*$K$1)*$C$1</f>
        <v>10000</v>
      </c>
      <c r="E53" s="84"/>
      <c r="F53" s="84"/>
      <c r="G53" s="129" t="s">
        <v>284</v>
      </c>
      <c r="H53" s="168">
        <f>MIN(H52,H51)</f>
        <v>10</v>
      </c>
      <c r="I53" s="157">
        <f>J53/$R$1</f>
        <v>23113.713405238828</v>
      </c>
      <c r="J53" s="157">
        <f>MIN(J52,J51)</f>
        <v>13637.090909090908</v>
      </c>
      <c r="L53" s="274"/>
    </row>
    <row r="54" spans="1:14" ht="14.25" customHeight="1" x14ac:dyDescent="0.25">
      <c r="B54" s="209" t="s">
        <v>285</v>
      </c>
      <c r="C54" s="212">
        <f>MIN(MAX(C52-C53,0),C51)</f>
        <v>5.3508295625942743</v>
      </c>
      <c r="D54" s="211">
        <f>(C54*$K$1)*$C$1</f>
        <v>4548.2051282051334</v>
      </c>
      <c r="F54" s="84"/>
      <c r="G54" s="129" t="s">
        <v>285</v>
      </c>
      <c r="H54" s="168">
        <f>MIN(MAX(H52-H53),H51)</f>
        <v>4.5474292653109778</v>
      </c>
      <c r="I54" s="157">
        <f>J54/$R$1</f>
        <v>10510.797676899369</v>
      </c>
      <c r="J54" s="157">
        <f>MIN(MAX(J52-J53),J51)</f>
        <v>6201.3706293706273</v>
      </c>
      <c r="L54" s="274" t="s">
        <v>817</v>
      </c>
      <c r="M54" s="14" t="s">
        <v>818</v>
      </c>
    </row>
    <row r="55" spans="1:14" ht="14.25" customHeight="1" x14ac:dyDescent="0.25">
      <c r="B55" s="209" t="s">
        <v>286</v>
      </c>
      <c r="C55" s="212">
        <f>MIN(MAX(C52-C53-C54,0),C51)</f>
        <v>0</v>
      </c>
      <c r="D55" s="211">
        <f>(C55*$K$1)*$C$1</f>
        <v>0</v>
      </c>
      <c r="E55" s="84"/>
      <c r="F55" s="84"/>
      <c r="G55" s="126" t="s">
        <v>286</v>
      </c>
      <c r="H55" s="168">
        <f>MIN(MAX(H52-H53-H54),H51)</f>
        <v>0</v>
      </c>
      <c r="I55" s="157">
        <f>J55/$R$1</f>
        <v>0</v>
      </c>
      <c r="J55" s="157">
        <f>MIN(MAX(J52-J53-J54),J51)</f>
        <v>0</v>
      </c>
    </row>
    <row r="56" spans="1:14" ht="14.25" customHeight="1" x14ac:dyDescent="0.25">
      <c r="B56" s="84"/>
      <c r="E56" s="84"/>
      <c r="F56" s="84"/>
      <c r="L56" s="14" t="s">
        <v>819</v>
      </c>
      <c r="M56" s="275"/>
    </row>
    <row r="57" spans="1:14" ht="14.25" customHeight="1" x14ac:dyDescent="0.25">
      <c r="B57" s="84"/>
      <c r="E57" s="84"/>
      <c r="F57" s="84"/>
      <c r="M57" s="275"/>
    </row>
    <row r="58" spans="1:14" ht="14.25" customHeight="1" x14ac:dyDescent="0.25">
      <c r="B58" s="84"/>
      <c r="E58" s="84"/>
      <c r="F58" s="84"/>
    </row>
    <row r="59" spans="1:14" ht="14.25" customHeight="1" x14ac:dyDescent="0.25">
      <c r="B59" s="84"/>
      <c r="E59" s="84"/>
      <c r="F59" s="84"/>
    </row>
    <row r="60" spans="1:14" ht="14.25" customHeight="1" x14ac:dyDescent="0.25">
      <c r="B60" s="84"/>
      <c r="E60" s="84"/>
      <c r="F60" s="84"/>
    </row>
    <row r="61" spans="1:14" ht="14.25" customHeight="1" x14ac:dyDescent="0.25">
      <c r="B61" s="84"/>
      <c r="E61" s="84"/>
      <c r="F61" s="84"/>
    </row>
    <row r="62" spans="1:14" ht="18" customHeight="1" x14ac:dyDescent="0.25">
      <c r="A62" s="1473"/>
      <c r="B62" s="1642" t="str">
        <f>"دجاج صيني دفعة 1 / " &amp; COUNTIF($C$53:$C$55, "&gt;0")</f>
        <v>دجاج صيني دفعة 1 / 2</v>
      </c>
      <c r="C62" s="1656"/>
      <c r="D62" s="1656"/>
      <c r="E62" s="1656"/>
      <c r="F62" s="1656"/>
      <c r="G62" s="1656"/>
      <c r="H62" s="1656"/>
    </row>
    <row r="63" spans="1:14" ht="18" customHeight="1" x14ac:dyDescent="0.25">
      <c r="A63" s="1473"/>
      <c r="B63" s="1636" t="str">
        <f>"Chinese Chicken 1 / " &amp; COUNTIF($C$53:$C$55, "&gt;0")</f>
        <v>Chinese Chicken 1 / 2</v>
      </c>
      <c r="C63" s="1637"/>
      <c r="D63" s="1637"/>
      <c r="E63" s="1637"/>
      <c r="F63" s="1637"/>
      <c r="G63" s="1637"/>
      <c r="H63" s="1637"/>
    </row>
    <row r="64" spans="1:14" ht="44.25" customHeight="1" x14ac:dyDescent="0.2">
      <c r="A64" s="1589"/>
      <c r="B64" s="75" t="s">
        <v>241</v>
      </c>
      <c r="C64" s="90" t="s">
        <v>242</v>
      </c>
      <c r="D64" s="75" t="s">
        <v>231</v>
      </c>
      <c r="E64" s="91" t="s">
        <v>234</v>
      </c>
      <c r="F64" s="91" t="s">
        <v>243</v>
      </c>
      <c r="G64" s="75" t="s">
        <v>244</v>
      </c>
      <c r="H64" s="92" t="s">
        <v>245</v>
      </c>
    </row>
    <row r="65" spans="1:8" ht="14.25" customHeight="1" x14ac:dyDescent="0.25">
      <c r="A65" s="1471"/>
      <c r="B65" s="271" t="str">
        <f t="shared" ref="B65:D83" si="14">B5</f>
        <v>Chicken - دجاج</v>
      </c>
      <c r="C65" s="106" t="str">
        <f t="shared" si="14"/>
        <v>gm</v>
      </c>
      <c r="D65" s="98">
        <f t="shared" si="14"/>
        <v>2311.3713405238827</v>
      </c>
      <c r="E65" s="257">
        <f>H53</f>
        <v>10</v>
      </c>
      <c r="F65" s="276">
        <f t="shared" ref="F65:F83" si="15">F5</f>
        <v>1</v>
      </c>
      <c r="G65" s="101">
        <f t="shared" ref="G65:G83" si="16">D65*E65</f>
        <v>23113.713405238828</v>
      </c>
      <c r="H65" s="187">
        <f t="shared" ref="H65:H83" si="17">G65*F65</f>
        <v>23113.713405238828</v>
      </c>
    </row>
    <row r="66" spans="1:8" ht="14.25" customHeight="1" x14ac:dyDescent="0.25">
      <c r="A66" s="1471" t="s">
        <v>920</v>
      </c>
      <c r="B66" s="271" t="str">
        <f t="shared" si="14"/>
        <v>Onion - بصل</v>
      </c>
      <c r="C66" s="106" t="str">
        <f t="shared" si="14"/>
        <v>gm</v>
      </c>
      <c r="D66" s="98">
        <f t="shared" si="14"/>
        <v>150</v>
      </c>
      <c r="E66" s="257">
        <f t="shared" ref="E66:E83" si="18">$C$53</f>
        <v>11.764705882352942</v>
      </c>
      <c r="F66" s="276">
        <f t="shared" si="15"/>
        <v>0.95</v>
      </c>
      <c r="G66" s="101">
        <f t="shared" si="16"/>
        <v>1764.7058823529412</v>
      </c>
      <c r="H66" s="187">
        <f t="shared" si="17"/>
        <v>1676.4705882352941</v>
      </c>
    </row>
    <row r="67" spans="1:8" ht="14.25" customHeight="1" x14ac:dyDescent="0.25">
      <c r="A67" s="1471" t="s">
        <v>919</v>
      </c>
      <c r="B67" s="271" t="str">
        <f t="shared" si="14"/>
        <v>Green Bell Pepper - فلفل أخضر رومى</v>
      </c>
      <c r="C67" s="106" t="str">
        <f t="shared" si="14"/>
        <v>gm</v>
      </c>
      <c r="D67" s="98">
        <f t="shared" si="14"/>
        <v>50</v>
      </c>
      <c r="E67" s="257">
        <f t="shared" si="18"/>
        <v>11.764705882352942</v>
      </c>
      <c r="F67" s="276">
        <f t="shared" si="15"/>
        <v>0.95</v>
      </c>
      <c r="G67" s="101">
        <f t="shared" si="16"/>
        <v>588.23529411764707</v>
      </c>
      <c r="H67" s="187">
        <f t="shared" si="17"/>
        <v>558.82352941176464</v>
      </c>
    </row>
    <row r="68" spans="1:8" ht="14.25" customHeight="1" x14ac:dyDescent="0.25">
      <c r="A68" s="1471" t="s">
        <v>919</v>
      </c>
      <c r="B68" s="271" t="str">
        <f t="shared" si="14"/>
        <v xml:space="preserve">Red Bell Pepper - فلفل أحمر </v>
      </c>
      <c r="C68" s="106" t="str">
        <f t="shared" si="14"/>
        <v>gm</v>
      </c>
      <c r="D68" s="98">
        <f t="shared" si="14"/>
        <v>50</v>
      </c>
      <c r="E68" s="257">
        <f t="shared" si="18"/>
        <v>11.764705882352942</v>
      </c>
      <c r="F68" s="276">
        <f t="shared" si="15"/>
        <v>0.95</v>
      </c>
      <c r="G68" s="101">
        <f t="shared" si="16"/>
        <v>588.23529411764707</v>
      </c>
      <c r="H68" s="187">
        <f t="shared" si="17"/>
        <v>558.82352941176464</v>
      </c>
    </row>
    <row r="69" spans="1:8" ht="14.25" customHeight="1" x14ac:dyDescent="0.25">
      <c r="A69" s="1471"/>
      <c r="B69" s="271" t="str">
        <f t="shared" si="14"/>
        <v xml:space="preserve">Yellow Bell Pepper - فلفل أصفر </v>
      </c>
      <c r="C69" s="106" t="str">
        <f t="shared" si="14"/>
        <v>gm</v>
      </c>
      <c r="D69" s="98">
        <f t="shared" si="14"/>
        <v>50</v>
      </c>
      <c r="E69" s="257">
        <f t="shared" si="18"/>
        <v>11.764705882352942</v>
      </c>
      <c r="F69" s="276">
        <f t="shared" si="15"/>
        <v>0.95</v>
      </c>
      <c r="G69" s="101">
        <f t="shared" si="16"/>
        <v>588.23529411764707</v>
      </c>
      <c r="H69" s="187">
        <f t="shared" si="17"/>
        <v>558.82352941176464</v>
      </c>
    </row>
    <row r="70" spans="1:8" ht="14.25" customHeight="1" x14ac:dyDescent="0.25">
      <c r="A70" s="1471" t="s">
        <v>907</v>
      </c>
      <c r="B70" s="271" t="str">
        <f t="shared" si="14"/>
        <v>Garlic - ثوم مقشر</v>
      </c>
      <c r="C70" s="106" t="str">
        <f t="shared" si="14"/>
        <v>gm</v>
      </c>
      <c r="D70" s="98">
        <f t="shared" si="14"/>
        <v>40</v>
      </c>
      <c r="E70" s="257">
        <f t="shared" si="18"/>
        <v>11.764705882352942</v>
      </c>
      <c r="F70" s="276">
        <f t="shared" si="15"/>
        <v>0.9</v>
      </c>
      <c r="G70" s="101">
        <f t="shared" si="16"/>
        <v>470.58823529411768</v>
      </c>
      <c r="H70" s="187">
        <f t="shared" si="17"/>
        <v>423.52941176470591</v>
      </c>
    </row>
    <row r="71" spans="1:8" ht="14.25" customHeight="1" x14ac:dyDescent="0.25">
      <c r="A71" s="1471" t="s">
        <v>906</v>
      </c>
      <c r="B71" s="271" t="str">
        <f t="shared" si="14"/>
        <v>Ginger - زنجبيل</v>
      </c>
      <c r="C71" s="106" t="str">
        <f t="shared" si="14"/>
        <v>gm</v>
      </c>
      <c r="D71" s="98">
        <f t="shared" si="14"/>
        <v>25</v>
      </c>
      <c r="E71" s="257">
        <f t="shared" si="18"/>
        <v>11.764705882352942</v>
      </c>
      <c r="F71" s="276">
        <f t="shared" si="15"/>
        <v>0.6</v>
      </c>
      <c r="G71" s="101">
        <f t="shared" si="16"/>
        <v>294.11764705882354</v>
      </c>
      <c r="H71" s="187">
        <f t="shared" si="17"/>
        <v>176.47058823529412</v>
      </c>
    </row>
    <row r="72" spans="1:8" ht="14.25" customHeight="1" x14ac:dyDescent="0.25">
      <c r="A72" s="1471"/>
      <c r="B72" s="271" t="str">
        <f t="shared" si="14"/>
        <v>Light Soy Sauce - صويا صوص خفيف</v>
      </c>
      <c r="C72" s="106" t="str">
        <f t="shared" si="14"/>
        <v>ml</v>
      </c>
      <c r="D72" s="98">
        <f t="shared" si="14"/>
        <v>25</v>
      </c>
      <c r="E72" s="257">
        <f t="shared" si="18"/>
        <v>11.764705882352942</v>
      </c>
      <c r="F72" s="276">
        <f t="shared" si="15"/>
        <v>0.9</v>
      </c>
      <c r="G72" s="101">
        <f t="shared" si="16"/>
        <v>294.11764705882354</v>
      </c>
      <c r="H72" s="187">
        <f t="shared" si="17"/>
        <v>264.70588235294122</v>
      </c>
    </row>
    <row r="73" spans="1:8" ht="14.25" customHeight="1" x14ac:dyDescent="0.25">
      <c r="A73" s="1471"/>
      <c r="B73" s="271" t="str">
        <f t="shared" si="14"/>
        <v>Sweet Soy Sauce - صويا صوص حلو</v>
      </c>
      <c r="C73" s="106" t="str">
        <f t="shared" si="14"/>
        <v>ml</v>
      </c>
      <c r="D73" s="98">
        <f t="shared" si="14"/>
        <v>17</v>
      </c>
      <c r="E73" s="257">
        <f t="shared" si="18"/>
        <v>11.764705882352942</v>
      </c>
      <c r="F73" s="276">
        <f t="shared" si="15"/>
        <v>1</v>
      </c>
      <c r="G73" s="101">
        <f t="shared" si="16"/>
        <v>200</v>
      </c>
      <c r="H73" s="187">
        <f t="shared" si="17"/>
        <v>200</v>
      </c>
    </row>
    <row r="74" spans="1:8" ht="14.25" customHeight="1" x14ac:dyDescent="0.25">
      <c r="A74" s="1471"/>
      <c r="B74" s="271" t="str">
        <f t="shared" si="14"/>
        <v>Sriracha Sauce - صوص سريراتشا</v>
      </c>
      <c r="C74" s="106" t="str">
        <f t="shared" si="14"/>
        <v>ml</v>
      </c>
      <c r="D74" s="98">
        <f t="shared" si="14"/>
        <v>35</v>
      </c>
      <c r="E74" s="257">
        <f t="shared" si="18"/>
        <v>11.764705882352942</v>
      </c>
      <c r="F74" s="276">
        <f t="shared" si="15"/>
        <v>0.75</v>
      </c>
      <c r="G74" s="101">
        <f t="shared" si="16"/>
        <v>411.76470588235298</v>
      </c>
      <c r="H74" s="187">
        <f t="shared" si="17"/>
        <v>308.82352941176475</v>
      </c>
    </row>
    <row r="75" spans="1:8" ht="14.25" customHeight="1" x14ac:dyDescent="0.25">
      <c r="A75" s="1471"/>
      <c r="B75" s="271" t="str">
        <f t="shared" si="14"/>
        <v>Vinegar - خل</v>
      </c>
      <c r="C75" s="106" t="str">
        <f t="shared" si="14"/>
        <v>ml</v>
      </c>
      <c r="D75" s="98">
        <f t="shared" si="14"/>
        <v>15</v>
      </c>
      <c r="E75" s="257">
        <f t="shared" si="18"/>
        <v>11.764705882352942</v>
      </c>
      <c r="F75" s="276">
        <f t="shared" si="15"/>
        <v>1</v>
      </c>
      <c r="G75" s="101">
        <f t="shared" si="16"/>
        <v>176.47058823529414</v>
      </c>
      <c r="H75" s="187">
        <f t="shared" si="17"/>
        <v>176.47058823529414</v>
      </c>
    </row>
    <row r="76" spans="1:8" ht="14.25" customHeight="1" x14ac:dyDescent="0.25">
      <c r="A76" s="1471"/>
      <c r="B76" s="271" t="str">
        <f t="shared" si="14"/>
        <v>Water - ماء</v>
      </c>
      <c r="C76" s="106" t="str">
        <f t="shared" si="14"/>
        <v>ml</v>
      </c>
      <c r="D76" s="98">
        <f t="shared" si="14"/>
        <v>150</v>
      </c>
      <c r="E76" s="257">
        <f t="shared" si="18"/>
        <v>11.764705882352942</v>
      </c>
      <c r="F76" s="276">
        <f t="shared" si="15"/>
        <v>1</v>
      </c>
      <c r="G76" s="101">
        <f t="shared" si="16"/>
        <v>1764.7058823529412</v>
      </c>
      <c r="H76" s="187">
        <f t="shared" si="17"/>
        <v>1764.7058823529412</v>
      </c>
    </row>
    <row r="77" spans="1:8" ht="14.25" customHeight="1" x14ac:dyDescent="0.25">
      <c r="A77" s="1471"/>
      <c r="B77" s="271" t="str">
        <f t="shared" si="14"/>
        <v>Tomato Ketchup - كاتشب طماطم</v>
      </c>
      <c r="C77" s="106" t="str">
        <f t="shared" si="14"/>
        <v>ml</v>
      </c>
      <c r="D77" s="98">
        <f t="shared" si="14"/>
        <v>350</v>
      </c>
      <c r="E77" s="257">
        <f t="shared" si="18"/>
        <v>11.764705882352942</v>
      </c>
      <c r="F77" s="276">
        <f t="shared" si="15"/>
        <v>1</v>
      </c>
      <c r="G77" s="101">
        <f t="shared" si="16"/>
        <v>4117.6470588235297</v>
      </c>
      <c r="H77" s="187">
        <f t="shared" si="17"/>
        <v>4117.6470588235297</v>
      </c>
    </row>
    <row r="78" spans="1:8" ht="14.25" customHeight="1" x14ac:dyDescent="0.25">
      <c r="A78" s="1471"/>
      <c r="B78" s="271" t="str">
        <f t="shared" si="14"/>
        <v>Orange Color - لون برتقالي</v>
      </c>
      <c r="C78" s="106" t="str">
        <f t="shared" si="14"/>
        <v>gm</v>
      </c>
      <c r="D78" s="98">
        <f t="shared" si="14"/>
        <v>2</v>
      </c>
      <c r="E78" s="257">
        <f t="shared" si="18"/>
        <v>11.764705882352942</v>
      </c>
      <c r="F78" s="276">
        <f t="shared" si="15"/>
        <v>0.75</v>
      </c>
      <c r="G78" s="101">
        <f t="shared" si="16"/>
        <v>23.529411764705884</v>
      </c>
      <c r="H78" s="187">
        <f t="shared" si="17"/>
        <v>17.647058823529413</v>
      </c>
    </row>
    <row r="79" spans="1:8" ht="14.25" customHeight="1" x14ac:dyDescent="0.25">
      <c r="A79" s="1471"/>
      <c r="B79" s="271" t="str">
        <f t="shared" si="14"/>
        <v>Corn Starch - نشا ذرة</v>
      </c>
      <c r="C79" s="106" t="str">
        <f t="shared" si="14"/>
        <v>gm</v>
      </c>
      <c r="D79" s="98">
        <f t="shared" si="14"/>
        <v>30</v>
      </c>
      <c r="E79" s="257">
        <f t="shared" si="18"/>
        <v>11.764705882352942</v>
      </c>
      <c r="F79" s="276">
        <f t="shared" si="15"/>
        <v>1</v>
      </c>
      <c r="G79" s="101">
        <f t="shared" si="16"/>
        <v>352.94117647058829</v>
      </c>
      <c r="H79" s="187">
        <f t="shared" si="17"/>
        <v>352.94117647058829</v>
      </c>
    </row>
    <row r="80" spans="1:8" ht="14.25" customHeight="1" x14ac:dyDescent="0.25">
      <c r="A80" s="1471"/>
      <c r="B80" s="271" t="str">
        <f t="shared" si="14"/>
        <v>Salt - ملح</v>
      </c>
      <c r="C80" s="106" t="str">
        <f t="shared" si="14"/>
        <v>gm</v>
      </c>
      <c r="D80" s="98">
        <f t="shared" si="14"/>
        <v>3</v>
      </c>
      <c r="E80" s="257">
        <f t="shared" si="18"/>
        <v>11.764705882352942</v>
      </c>
      <c r="F80" s="276">
        <f t="shared" si="15"/>
        <v>0.75</v>
      </c>
      <c r="G80" s="101">
        <f t="shared" si="16"/>
        <v>35.294117647058826</v>
      </c>
      <c r="H80" s="187">
        <f t="shared" si="17"/>
        <v>26.47058823529412</v>
      </c>
    </row>
    <row r="81" spans="1:8" ht="14.25" customHeight="1" x14ac:dyDescent="0.25">
      <c r="A81" s="1471"/>
      <c r="B81" s="271" t="str">
        <f t="shared" si="14"/>
        <v>Black Pepper Powder - فلفل أسود مطحون</v>
      </c>
      <c r="C81" s="106" t="str">
        <f t="shared" si="14"/>
        <v>gm</v>
      </c>
      <c r="D81" s="98">
        <f t="shared" si="14"/>
        <v>3</v>
      </c>
      <c r="E81" s="257">
        <f t="shared" si="18"/>
        <v>11.764705882352942</v>
      </c>
      <c r="F81" s="276">
        <f t="shared" si="15"/>
        <v>0.75</v>
      </c>
      <c r="G81" s="101">
        <f t="shared" si="16"/>
        <v>35.294117647058826</v>
      </c>
      <c r="H81" s="187">
        <f t="shared" si="17"/>
        <v>26.47058823529412</v>
      </c>
    </row>
    <row r="82" spans="1:8" ht="14.25" customHeight="1" x14ac:dyDescent="0.25">
      <c r="A82" s="1471"/>
      <c r="B82" s="271" t="str">
        <f t="shared" si="14"/>
        <v>Butter - زبدة</v>
      </c>
      <c r="C82" s="106" t="str">
        <f t="shared" si="14"/>
        <v>gm</v>
      </c>
      <c r="D82" s="98">
        <f t="shared" si="14"/>
        <v>20</v>
      </c>
      <c r="E82" s="257">
        <f t="shared" si="18"/>
        <v>11.764705882352942</v>
      </c>
      <c r="F82" s="276">
        <f t="shared" si="15"/>
        <v>1</v>
      </c>
      <c r="G82" s="101">
        <f t="shared" si="16"/>
        <v>235.29411764705884</v>
      </c>
      <c r="H82" s="187">
        <f t="shared" si="17"/>
        <v>235.29411764705884</v>
      </c>
    </row>
    <row r="83" spans="1:8" ht="14.25" customHeight="1" x14ac:dyDescent="0.25">
      <c r="B83" s="271" t="str">
        <f t="shared" si="14"/>
        <v>Honey - عسل</v>
      </c>
      <c r="C83" s="106" t="str">
        <f t="shared" si="14"/>
        <v>gm</v>
      </c>
      <c r="D83" s="98">
        <f t="shared" si="14"/>
        <v>50</v>
      </c>
      <c r="E83" s="257">
        <f t="shared" si="18"/>
        <v>11.764705882352942</v>
      </c>
      <c r="F83" s="276">
        <f t="shared" si="15"/>
        <v>1</v>
      </c>
      <c r="G83" s="101">
        <f t="shared" si="16"/>
        <v>588.23529411764707</v>
      </c>
      <c r="H83" s="187">
        <f t="shared" si="17"/>
        <v>588.23529411764707</v>
      </c>
    </row>
    <row r="84" spans="1:8" ht="20.25" customHeight="1" x14ac:dyDescent="0.25">
      <c r="A84" s="1458"/>
      <c r="B84" s="178" t="s">
        <v>287</v>
      </c>
      <c r="C84" s="180" t="s">
        <v>273</v>
      </c>
      <c r="E84" s="180" t="s">
        <v>288</v>
      </c>
      <c r="G84" s="804" t="s">
        <v>264</v>
      </c>
      <c r="H84" s="804" t="s">
        <v>673</v>
      </c>
    </row>
    <row r="85" spans="1:8" ht="21.75" customHeight="1" x14ac:dyDescent="0.3">
      <c r="A85" s="1458"/>
      <c r="B85" s="179">
        <f>$J$53</f>
        <v>13637.090909090908</v>
      </c>
      <c r="C85" s="179">
        <f>E85+G85</f>
        <v>10000</v>
      </c>
      <c r="D85" s="839"/>
      <c r="E85" s="179">
        <f>$D$53*$S$44</f>
        <v>4090.909090909091</v>
      </c>
      <c r="F85" s="843"/>
      <c r="G85" s="179">
        <f>$D$53*$T$44</f>
        <v>5909.090909090909</v>
      </c>
      <c r="H85" s="179">
        <f>B85+E85</f>
        <v>17728</v>
      </c>
    </row>
    <row r="86" spans="1:8" ht="14.25" customHeight="1" x14ac:dyDescent="0.25">
      <c r="B86" s="84"/>
      <c r="E86" s="84"/>
      <c r="F86" s="84"/>
    </row>
    <row r="87" spans="1:8" ht="18" customHeight="1" x14ac:dyDescent="0.25">
      <c r="A87" s="1473"/>
      <c r="B87" s="1642" t="str">
        <f>"دجاج صيني دفعة 2 / " &amp; COUNTIF($C$53:$C$55, "&gt;0")</f>
        <v>دجاج صيني دفعة 2 / 2</v>
      </c>
      <c r="C87" s="1656"/>
      <c r="D87" s="1656"/>
      <c r="E87" s="1656"/>
      <c r="F87" s="1656"/>
      <c r="G87" s="1656"/>
      <c r="H87" s="1656"/>
    </row>
    <row r="88" spans="1:8" ht="18" customHeight="1" x14ac:dyDescent="0.25">
      <c r="A88" s="1473"/>
      <c r="B88" s="1636" t="str">
        <f>"Chinese Chicken 2 / " &amp; COUNTIF($C$53:$C$55, "&gt;0")</f>
        <v>Chinese Chicken 2 / 2</v>
      </c>
      <c r="C88" s="1637"/>
      <c r="D88" s="1637"/>
      <c r="E88" s="1637"/>
      <c r="F88" s="1637"/>
      <c r="G88" s="1637"/>
      <c r="H88" s="1637"/>
    </row>
    <row r="89" spans="1:8" ht="52.5" customHeight="1" x14ac:dyDescent="0.2">
      <c r="A89" s="1589"/>
      <c r="B89" s="75" t="s">
        <v>241</v>
      </c>
      <c r="C89" s="90" t="s">
        <v>242</v>
      </c>
      <c r="D89" s="75" t="s">
        <v>231</v>
      </c>
      <c r="E89" s="91" t="s">
        <v>234</v>
      </c>
      <c r="F89" s="91" t="s">
        <v>243</v>
      </c>
      <c r="G89" s="75" t="s">
        <v>244</v>
      </c>
      <c r="H89" s="92" t="s">
        <v>245</v>
      </c>
    </row>
    <row r="90" spans="1:8" ht="14.25" customHeight="1" x14ac:dyDescent="0.25">
      <c r="A90" s="1471"/>
      <c r="B90" s="271" t="str">
        <f t="shared" ref="B90:D108" si="19">B5</f>
        <v>Chicken - دجاج</v>
      </c>
      <c r="C90" s="106" t="str">
        <f t="shared" si="19"/>
        <v>gm</v>
      </c>
      <c r="D90" s="98">
        <f t="shared" si="19"/>
        <v>2311.3713405238827</v>
      </c>
      <c r="E90" s="201">
        <f>H54</f>
        <v>4.5474292653109778</v>
      </c>
      <c r="F90" s="276">
        <f t="shared" ref="F90:F108" si="20">F5</f>
        <v>1</v>
      </c>
      <c r="G90" s="101">
        <f t="shared" ref="G90:G108" si="21">D90*E90</f>
        <v>10510.79767689937</v>
      </c>
      <c r="H90" s="187">
        <f t="shared" ref="H90:H108" si="22">G90*F90</f>
        <v>10510.79767689937</v>
      </c>
    </row>
    <row r="91" spans="1:8" ht="14.25" customHeight="1" x14ac:dyDescent="0.25">
      <c r="A91" s="1471" t="s">
        <v>920</v>
      </c>
      <c r="B91" s="271" t="str">
        <f t="shared" si="19"/>
        <v>Onion - بصل</v>
      </c>
      <c r="C91" s="106" t="str">
        <f t="shared" si="19"/>
        <v>gm</v>
      </c>
      <c r="D91" s="107">
        <f t="shared" si="19"/>
        <v>150</v>
      </c>
      <c r="E91" s="201">
        <f t="shared" ref="E91:E108" si="23">$C$54</f>
        <v>5.3508295625942743</v>
      </c>
      <c r="F91" s="276">
        <f t="shared" si="20"/>
        <v>0.95</v>
      </c>
      <c r="G91" s="101">
        <f t="shared" si="21"/>
        <v>802.62443438914113</v>
      </c>
      <c r="H91" s="187">
        <f t="shared" si="22"/>
        <v>762.493212669684</v>
      </c>
    </row>
    <row r="92" spans="1:8" ht="14.25" customHeight="1" x14ac:dyDescent="0.25">
      <c r="A92" s="1471" t="s">
        <v>919</v>
      </c>
      <c r="B92" s="271" t="str">
        <f t="shared" si="19"/>
        <v>Green Bell Pepper - فلفل أخضر رومى</v>
      </c>
      <c r="C92" s="106" t="str">
        <f t="shared" si="19"/>
        <v>gm</v>
      </c>
      <c r="D92" s="107">
        <f t="shared" si="19"/>
        <v>50</v>
      </c>
      <c r="E92" s="201">
        <f t="shared" si="23"/>
        <v>5.3508295625942743</v>
      </c>
      <c r="F92" s="276">
        <f t="shared" si="20"/>
        <v>0.95</v>
      </c>
      <c r="G92" s="101">
        <f t="shared" si="21"/>
        <v>267.54147812971371</v>
      </c>
      <c r="H92" s="187">
        <f t="shared" si="22"/>
        <v>254.16440422322802</v>
      </c>
    </row>
    <row r="93" spans="1:8" ht="14.25" customHeight="1" x14ac:dyDescent="0.25">
      <c r="A93" s="1471" t="s">
        <v>919</v>
      </c>
      <c r="B93" s="271" t="str">
        <f t="shared" si="19"/>
        <v xml:space="preserve">Red Bell Pepper - فلفل أحمر </v>
      </c>
      <c r="C93" s="106" t="str">
        <f t="shared" si="19"/>
        <v>gm</v>
      </c>
      <c r="D93" s="107">
        <f t="shared" si="19"/>
        <v>50</v>
      </c>
      <c r="E93" s="201">
        <f t="shared" si="23"/>
        <v>5.3508295625942743</v>
      </c>
      <c r="F93" s="276">
        <f t="shared" si="20"/>
        <v>0.95</v>
      </c>
      <c r="G93" s="101">
        <f t="shared" si="21"/>
        <v>267.54147812971371</v>
      </c>
      <c r="H93" s="187">
        <f t="shared" si="22"/>
        <v>254.16440422322802</v>
      </c>
    </row>
    <row r="94" spans="1:8" ht="14.25" customHeight="1" x14ac:dyDescent="0.25">
      <c r="A94" s="1471"/>
      <c r="B94" s="271" t="str">
        <f t="shared" si="19"/>
        <v xml:space="preserve">Yellow Bell Pepper - فلفل أصفر </v>
      </c>
      <c r="C94" s="106" t="str">
        <f t="shared" si="19"/>
        <v>gm</v>
      </c>
      <c r="D94" s="107">
        <f t="shared" si="19"/>
        <v>50</v>
      </c>
      <c r="E94" s="201">
        <f t="shared" si="23"/>
        <v>5.3508295625942743</v>
      </c>
      <c r="F94" s="276">
        <f t="shared" si="20"/>
        <v>0.95</v>
      </c>
      <c r="G94" s="101">
        <f t="shared" si="21"/>
        <v>267.54147812971371</v>
      </c>
      <c r="H94" s="187">
        <f t="shared" si="22"/>
        <v>254.16440422322802</v>
      </c>
    </row>
    <row r="95" spans="1:8" ht="14.25" customHeight="1" x14ac:dyDescent="0.25">
      <c r="A95" s="1471" t="s">
        <v>907</v>
      </c>
      <c r="B95" s="271" t="str">
        <f t="shared" si="19"/>
        <v>Garlic - ثوم مقشر</v>
      </c>
      <c r="C95" s="106" t="str">
        <f t="shared" si="19"/>
        <v>gm</v>
      </c>
      <c r="D95" s="107">
        <f t="shared" si="19"/>
        <v>40</v>
      </c>
      <c r="E95" s="201">
        <f t="shared" si="23"/>
        <v>5.3508295625942743</v>
      </c>
      <c r="F95" s="276">
        <f t="shared" si="20"/>
        <v>0.9</v>
      </c>
      <c r="G95" s="101">
        <f t="shared" si="21"/>
        <v>214.03318250377097</v>
      </c>
      <c r="H95" s="187">
        <f t="shared" si="22"/>
        <v>192.62986425339389</v>
      </c>
    </row>
    <row r="96" spans="1:8" ht="14.25" customHeight="1" x14ac:dyDescent="0.25">
      <c r="A96" s="1471" t="s">
        <v>906</v>
      </c>
      <c r="B96" s="271" t="str">
        <f t="shared" si="19"/>
        <v>Ginger - زنجبيل</v>
      </c>
      <c r="C96" s="106" t="str">
        <f t="shared" si="19"/>
        <v>gm</v>
      </c>
      <c r="D96" s="107">
        <f t="shared" si="19"/>
        <v>25</v>
      </c>
      <c r="E96" s="201">
        <f t="shared" si="23"/>
        <v>5.3508295625942743</v>
      </c>
      <c r="F96" s="276">
        <f t="shared" si="20"/>
        <v>0.6</v>
      </c>
      <c r="G96" s="101">
        <f t="shared" si="21"/>
        <v>133.77073906485685</v>
      </c>
      <c r="H96" s="187">
        <f t="shared" si="22"/>
        <v>80.262443438914104</v>
      </c>
    </row>
    <row r="97" spans="1:8" ht="14.25" customHeight="1" x14ac:dyDescent="0.25">
      <c r="A97" s="1471"/>
      <c r="B97" s="271" t="str">
        <f t="shared" si="19"/>
        <v>Light Soy Sauce - صويا صوص خفيف</v>
      </c>
      <c r="C97" s="106" t="str">
        <f t="shared" si="19"/>
        <v>ml</v>
      </c>
      <c r="D97" s="107">
        <f t="shared" si="19"/>
        <v>25</v>
      </c>
      <c r="E97" s="201">
        <f t="shared" si="23"/>
        <v>5.3508295625942743</v>
      </c>
      <c r="F97" s="276">
        <f t="shared" si="20"/>
        <v>0.9</v>
      </c>
      <c r="G97" s="101">
        <f t="shared" si="21"/>
        <v>133.77073906485685</v>
      </c>
      <c r="H97" s="187">
        <f t="shared" si="22"/>
        <v>120.39366515837118</v>
      </c>
    </row>
    <row r="98" spans="1:8" ht="14.25" customHeight="1" x14ac:dyDescent="0.25">
      <c r="A98" s="1471"/>
      <c r="B98" s="271" t="str">
        <f t="shared" si="19"/>
        <v>Sweet Soy Sauce - صويا صوص حلو</v>
      </c>
      <c r="C98" s="106" t="str">
        <f t="shared" si="19"/>
        <v>ml</v>
      </c>
      <c r="D98" s="107">
        <f t="shared" si="19"/>
        <v>17</v>
      </c>
      <c r="E98" s="201">
        <f t="shared" si="23"/>
        <v>5.3508295625942743</v>
      </c>
      <c r="F98" s="276">
        <f t="shared" si="20"/>
        <v>1</v>
      </c>
      <c r="G98" s="101">
        <f t="shared" si="21"/>
        <v>90.96410256410266</v>
      </c>
      <c r="H98" s="187">
        <f t="shared" si="22"/>
        <v>90.96410256410266</v>
      </c>
    </row>
    <row r="99" spans="1:8" ht="14.25" customHeight="1" x14ac:dyDescent="0.25">
      <c r="A99" s="1471"/>
      <c r="B99" s="271" t="str">
        <f t="shared" si="19"/>
        <v>Sriracha Sauce - صوص سريراتشا</v>
      </c>
      <c r="C99" s="106" t="str">
        <f t="shared" si="19"/>
        <v>ml</v>
      </c>
      <c r="D99" s="107">
        <f t="shared" si="19"/>
        <v>35</v>
      </c>
      <c r="E99" s="201">
        <f t="shared" si="23"/>
        <v>5.3508295625942743</v>
      </c>
      <c r="F99" s="276">
        <f t="shared" si="20"/>
        <v>0.75</v>
      </c>
      <c r="G99" s="101">
        <f t="shared" si="21"/>
        <v>187.27903469079959</v>
      </c>
      <c r="H99" s="187">
        <f t="shared" si="22"/>
        <v>140.4592760180997</v>
      </c>
    </row>
    <row r="100" spans="1:8" ht="14.25" customHeight="1" x14ac:dyDescent="0.25">
      <c r="A100" s="1471"/>
      <c r="B100" s="271" t="str">
        <f t="shared" si="19"/>
        <v>Vinegar - خل</v>
      </c>
      <c r="C100" s="106" t="str">
        <f t="shared" si="19"/>
        <v>ml</v>
      </c>
      <c r="D100" s="107">
        <f t="shared" si="19"/>
        <v>15</v>
      </c>
      <c r="E100" s="201">
        <f t="shared" si="23"/>
        <v>5.3508295625942743</v>
      </c>
      <c r="F100" s="276">
        <f t="shared" si="20"/>
        <v>1</v>
      </c>
      <c r="G100" s="101">
        <f t="shared" si="21"/>
        <v>80.262443438914119</v>
      </c>
      <c r="H100" s="187">
        <f t="shared" si="22"/>
        <v>80.262443438914119</v>
      </c>
    </row>
    <row r="101" spans="1:8" ht="14.25" customHeight="1" x14ac:dyDescent="0.25">
      <c r="A101" s="1471"/>
      <c r="B101" s="271" t="str">
        <f t="shared" si="19"/>
        <v>Water - ماء</v>
      </c>
      <c r="C101" s="106" t="str">
        <f t="shared" si="19"/>
        <v>ml</v>
      </c>
      <c r="D101" s="107">
        <f t="shared" si="19"/>
        <v>150</v>
      </c>
      <c r="E101" s="201">
        <f t="shared" si="23"/>
        <v>5.3508295625942743</v>
      </c>
      <c r="F101" s="276">
        <f t="shared" si="20"/>
        <v>1</v>
      </c>
      <c r="G101" s="101">
        <f t="shared" si="21"/>
        <v>802.62443438914113</v>
      </c>
      <c r="H101" s="187">
        <f t="shared" si="22"/>
        <v>802.62443438914113</v>
      </c>
    </row>
    <row r="102" spans="1:8" ht="14.25" customHeight="1" x14ac:dyDescent="0.25">
      <c r="A102" s="1471"/>
      <c r="B102" s="271" t="str">
        <f t="shared" si="19"/>
        <v>Tomato Ketchup - كاتشب طماطم</v>
      </c>
      <c r="C102" s="106" t="str">
        <f t="shared" si="19"/>
        <v>ml</v>
      </c>
      <c r="D102" s="107">
        <f t="shared" si="19"/>
        <v>350</v>
      </c>
      <c r="E102" s="201">
        <f t="shared" si="23"/>
        <v>5.3508295625942743</v>
      </c>
      <c r="F102" s="276">
        <f t="shared" si="20"/>
        <v>1</v>
      </c>
      <c r="G102" s="101">
        <f t="shared" si="21"/>
        <v>1872.7903469079961</v>
      </c>
      <c r="H102" s="187">
        <f t="shared" si="22"/>
        <v>1872.7903469079961</v>
      </c>
    </row>
    <row r="103" spans="1:8" ht="14.25" customHeight="1" x14ac:dyDescent="0.25">
      <c r="A103" s="1471"/>
      <c r="B103" s="271" t="str">
        <f t="shared" si="19"/>
        <v>Orange Color - لون برتقالي</v>
      </c>
      <c r="C103" s="106" t="str">
        <f t="shared" si="19"/>
        <v>gm</v>
      </c>
      <c r="D103" s="107">
        <f t="shared" si="19"/>
        <v>2</v>
      </c>
      <c r="E103" s="201">
        <f t="shared" si="23"/>
        <v>5.3508295625942743</v>
      </c>
      <c r="F103" s="276">
        <f t="shared" si="20"/>
        <v>0.75</v>
      </c>
      <c r="G103" s="101">
        <f t="shared" si="21"/>
        <v>10.701659125188549</v>
      </c>
      <c r="H103" s="187">
        <f t="shared" si="22"/>
        <v>8.0262443438914115</v>
      </c>
    </row>
    <row r="104" spans="1:8" ht="14.25" customHeight="1" x14ac:dyDescent="0.25">
      <c r="A104" s="1471"/>
      <c r="B104" s="271" t="str">
        <f t="shared" si="19"/>
        <v>Corn Starch - نشا ذرة</v>
      </c>
      <c r="C104" s="106" t="str">
        <f t="shared" si="19"/>
        <v>gm</v>
      </c>
      <c r="D104" s="107">
        <f t="shared" si="19"/>
        <v>30</v>
      </c>
      <c r="E104" s="201">
        <f t="shared" si="23"/>
        <v>5.3508295625942743</v>
      </c>
      <c r="F104" s="276">
        <f t="shared" si="20"/>
        <v>1</v>
      </c>
      <c r="G104" s="101">
        <f t="shared" si="21"/>
        <v>160.52488687782824</v>
      </c>
      <c r="H104" s="187">
        <f t="shared" si="22"/>
        <v>160.52488687782824</v>
      </c>
    </row>
    <row r="105" spans="1:8" ht="14.25" customHeight="1" x14ac:dyDescent="0.25">
      <c r="A105" s="1471"/>
      <c r="B105" s="271" t="str">
        <f t="shared" si="19"/>
        <v>Salt - ملح</v>
      </c>
      <c r="C105" s="106" t="str">
        <f t="shared" si="19"/>
        <v>gm</v>
      </c>
      <c r="D105" s="107">
        <f t="shared" si="19"/>
        <v>3</v>
      </c>
      <c r="E105" s="201">
        <f t="shared" si="23"/>
        <v>5.3508295625942743</v>
      </c>
      <c r="F105" s="276">
        <f t="shared" si="20"/>
        <v>0.75</v>
      </c>
      <c r="G105" s="101">
        <f t="shared" si="21"/>
        <v>16.052488687782823</v>
      </c>
      <c r="H105" s="187">
        <f t="shared" si="22"/>
        <v>12.039366515837116</v>
      </c>
    </row>
    <row r="106" spans="1:8" ht="14.25" customHeight="1" x14ac:dyDescent="0.25">
      <c r="A106" s="1471"/>
      <c r="B106" s="271" t="str">
        <f t="shared" si="19"/>
        <v>Black Pepper Powder - فلفل أسود مطحون</v>
      </c>
      <c r="C106" s="106" t="str">
        <f t="shared" si="19"/>
        <v>gm</v>
      </c>
      <c r="D106" s="107">
        <f t="shared" si="19"/>
        <v>3</v>
      </c>
      <c r="E106" s="201">
        <f t="shared" si="23"/>
        <v>5.3508295625942743</v>
      </c>
      <c r="F106" s="276">
        <f t="shared" si="20"/>
        <v>0.75</v>
      </c>
      <c r="G106" s="101">
        <f t="shared" si="21"/>
        <v>16.052488687782823</v>
      </c>
      <c r="H106" s="187">
        <f t="shared" si="22"/>
        <v>12.039366515837116</v>
      </c>
    </row>
    <row r="107" spans="1:8" ht="14.25" customHeight="1" x14ac:dyDescent="0.25">
      <c r="A107" s="1471"/>
      <c r="B107" s="271" t="str">
        <f t="shared" si="19"/>
        <v>Butter - زبدة</v>
      </c>
      <c r="C107" s="106" t="str">
        <f t="shared" si="19"/>
        <v>gm</v>
      </c>
      <c r="D107" s="107">
        <f t="shared" si="19"/>
        <v>20</v>
      </c>
      <c r="E107" s="201">
        <f t="shared" si="23"/>
        <v>5.3508295625942743</v>
      </c>
      <c r="F107" s="276">
        <f t="shared" si="20"/>
        <v>1</v>
      </c>
      <c r="G107" s="101">
        <f t="shared" si="21"/>
        <v>107.01659125188549</v>
      </c>
      <c r="H107" s="187">
        <f t="shared" si="22"/>
        <v>107.01659125188549</v>
      </c>
    </row>
    <row r="108" spans="1:8" ht="14.25" customHeight="1" x14ac:dyDescent="0.25">
      <c r="B108" s="271" t="str">
        <f t="shared" si="19"/>
        <v>Honey - عسل</v>
      </c>
      <c r="C108" s="106" t="str">
        <f t="shared" si="19"/>
        <v>gm</v>
      </c>
      <c r="D108" s="107">
        <f t="shared" si="19"/>
        <v>50</v>
      </c>
      <c r="E108" s="201">
        <f t="shared" si="23"/>
        <v>5.3508295625942743</v>
      </c>
      <c r="F108" s="276">
        <f t="shared" si="20"/>
        <v>1</v>
      </c>
      <c r="G108" s="101">
        <f t="shared" si="21"/>
        <v>267.54147812971371</v>
      </c>
      <c r="H108" s="187">
        <f t="shared" si="22"/>
        <v>267.54147812971371</v>
      </c>
    </row>
    <row r="109" spans="1:8" ht="20.25" customHeight="1" x14ac:dyDescent="0.25">
      <c r="A109" s="1458"/>
      <c r="B109" s="178" t="s">
        <v>287</v>
      </c>
      <c r="C109" s="180" t="s">
        <v>273</v>
      </c>
      <c r="E109" s="180" t="s">
        <v>288</v>
      </c>
      <c r="G109" s="804" t="s">
        <v>264</v>
      </c>
      <c r="H109" s="804" t="s">
        <v>673</v>
      </c>
    </row>
    <row r="110" spans="1:8" ht="20.25" x14ac:dyDescent="0.3">
      <c r="A110" s="1458"/>
      <c r="B110" s="179">
        <f>$J$54</f>
        <v>6201.3706293706273</v>
      </c>
      <c r="C110" s="179">
        <f>E110+G110</f>
        <v>4548.2051282051334</v>
      </c>
      <c r="D110" s="839"/>
      <c r="E110" s="179">
        <f>$D$54*$S$44</f>
        <v>1860.6293706293729</v>
      </c>
      <c r="F110" s="843"/>
      <c r="G110" s="179">
        <f>$D$54*$T$44</f>
        <v>2687.5757575757607</v>
      </c>
      <c r="H110" s="179">
        <f>B110+E110</f>
        <v>8062</v>
      </c>
    </row>
    <row r="112" spans="1:8" x14ac:dyDescent="0.25">
      <c r="A112" s="1473"/>
      <c r="B112" s="1642" t="str">
        <f>"دجاج صيني دفعة 3 / " &amp; COUNTIF($C$53:$C$55, "&gt;0")</f>
        <v>دجاج صيني دفعة 3 / 2</v>
      </c>
      <c r="C112" s="1656"/>
      <c r="D112" s="1656"/>
      <c r="E112" s="1656"/>
      <c r="F112" s="1656"/>
      <c r="G112" s="1656"/>
      <c r="H112" s="1656"/>
    </row>
    <row r="113" spans="1:8" x14ac:dyDescent="0.25">
      <c r="A113" s="1473"/>
      <c r="B113" s="1636" t="str">
        <f>"Chinese Chicken 3 / " &amp; COUNTIF($C$53:$C$55, "&gt;0")</f>
        <v>Chinese Chicken 3 / 2</v>
      </c>
      <c r="C113" s="1637"/>
      <c r="D113" s="1637"/>
      <c r="E113" s="1637"/>
      <c r="F113" s="1637"/>
      <c r="G113" s="1637"/>
      <c r="H113" s="1637"/>
    </row>
    <row r="114" spans="1:8" ht="25.5" x14ac:dyDescent="0.2">
      <c r="A114" s="1589"/>
      <c r="B114" s="75" t="s">
        <v>241</v>
      </c>
      <c r="C114" s="90" t="s">
        <v>242</v>
      </c>
      <c r="D114" s="75" t="s">
        <v>231</v>
      </c>
      <c r="E114" s="91" t="s">
        <v>234</v>
      </c>
      <c r="F114" s="91" t="s">
        <v>243</v>
      </c>
      <c r="G114" s="75" t="s">
        <v>244</v>
      </c>
      <c r="H114" s="92" t="s">
        <v>245</v>
      </c>
    </row>
    <row r="115" spans="1:8" x14ac:dyDescent="0.25">
      <c r="A115" s="1471"/>
      <c r="B115" s="271" t="str">
        <f>B5</f>
        <v>Chicken - دجاج</v>
      </c>
      <c r="C115" s="271" t="str">
        <f t="shared" ref="C115:D115" si="24">C5</f>
        <v>gm</v>
      </c>
      <c r="D115" s="271">
        <f t="shared" si="24"/>
        <v>2311.3713405238827</v>
      </c>
      <c r="E115" s="327">
        <f>H55</f>
        <v>0</v>
      </c>
      <c r="F115" s="276">
        <f>F5</f>
        <v>1</v>
      </c>
      <c r="G115" s="101">
        <f t="shared" ref="G115:G133" si="25">D115*E115</f>
        <v>0</v>
      </c>
      <c r="H115" s="187">
        <f t="shared" ref="H115:H133" si="26">G115*F115</f>
        <v>0</v>
      </c>
    </row>
    <row r="116" spans="1:8" x14ac:dyDescent="0.25">
      <c r="A116" s="1471" t="s">
        <v>920</v>
      </c>
      <c r="B116" s="271" t="str">
        <f t="shared" ref="B116:D116" si="27">B6</f>
        <v>Onion - بصل</v>
      </c>
      <c r="C116" s="271" t="str">
        <f t="shared" si="27"/>
        <v>gm</v>
      </c>
      <c r="D116" s="271">
        <f t="shared" si="27"/>
        <v>150</v>
      </c>
      <c r="E116" s="327">
        <f>$C$55</f>
        <v>0</v>
      </c>
      <c r="F116" s="276">
        <f t="shared" ref="F116:F133" si="28">F6</f>
        <v>0.95</v>
      </c>
      <c r="G116" s="101">
        <f t="shared" si="25"/>
        <v>0</v>
      </c>
      <c r="H116" s="187">
        <f t="shared" si="26"/>
        <v>0</v>
      </c>
    </row>
    <row r="117" spans="1:8" x14ac:dyDescent="0.25">
      <c r="A117" s="1471" t="s">
        <v>919</v>
      </c>
      <c r="B117" s="271" t="str">
        <f t="shared" ref="B117:D117" si="29">B7</f>
        <v>Green Bell Pepper - فلفل أخضر رومى</v>
      </c>
      <c r="C117" s="271" t="str">
        <f t="shared" si="29"/>
        <v>gm</v>
      </c>
      <c r="D117" s="271">
        <f t="shared" si="29"/>
        <v>50</v>
      </c>
      <c r="E117" s="327">
        <f t="shared" ref="E117:E133" si="30">$C$55</f>
        <v>0</v>
      </c>
      <c r="F117" s="276">
        <f t="shared" si="28"/>
        <v>0.95</v>
      </c>
      <c r="G117" s="101">
        <f t="shared" si="25"/>
        <v>0</v>
      </c>
      <c r="H117" s="187">
        <f t="shared" si="26"/>
        <v>0</v>
      </c>
    </row>
    <row r="118" spans="1:8" x14ac:dyDescent="0.25">
      <c r="A118" s="1471" t="s">
        <v>919</v>
      </c>
      <c r="B118" s="271" t="str">
        <f t="shared" ref="B118:D118" si="31">B8</f>
        <v xml:space="preserve">Red Bell Pepper - فلفل أحمر </v>
      </c>
      <c r="C118" s="271" t="str">
        <f t="shared" si="31"/>
        <v>gm</v>
      </c>
      <c r="D118" s="271">
        <f t="shared" si="31"/>
        <v>50</v>
      </c>
      <c r="E118" s="327">
        <f t="shared" si="30"/>
        <v>0</v>
      </c>
      <c r="F118" s="276">
        <f t="shared" si="28"/>
        <v>0.95</v>
      </c>
      <c r="G118" s="101">
        <f t="shared" si="25"/>
        <v>0</v>
      </c>
      <c r="H118" s="187">
        <f t="shared" si="26"/>
        <v>0</v>
      </c>
    </row>
    <row r="119" spans="1:8" x14ac:dyDescent="0.25">
      <c r="A119" s="1471"/>
      <c r="B119" s="271" t="str">
        <f t="shared" ref="B119:D119" si="32">B9</f>
        <v xml:space="preserve">Yellow Bell Pepper - فلفل أصفر </v>
      </c>
      <c r="C119" s="271" t="str">
        <f t="shared" si="32"/>
        <v>gm</v>
      </c>
      <c r="D119" s="271">
        <f t="shared" si="32"/>
        <v>50</v>
      </c>
      <c r="E119" s="327">
        <f t="shared" si="30"/>
        <v>0</v>
      </c>
      <c r="F119" s="276">
        <f t="shared" si="28"/>
        <v>0.95</v>
      </c>
      <c r="G119" s="101">
        <f t="shared" si="25"/>
        <v>0</v>
      </c>
      <c r="H119" s="187">
        <f t="shared" si="26"/>
        <v>0</v>
      </c>
    </row>
    <row r="120" spans="1:8" x14ac:dyDescent="0.25">
      <c r="A120" s="1471" t="s">
        <v>907</v>
      </c>
      <c r="B120" s="271" t="str">
        <f t="shared" ref="B120:D120" si="33">B10</f>
        <v>Garlic - ثوم مقشر</v>
      </c>
      <c r="C120" s="271" t="str">
        <f t="shared" si="33"/>
        <v>gm</v>
      </c>
      <c r="D120" s="271">
        <f t="shared" si="33"/>
        <v>40</v>
      </c>
      <c r="E120" s="327">
        <f t="shared" si="30"/>
        <v>0</v>
      </c>
      <c r="F120" s="276">
        <f t="shared" si="28"/>
        <v>0.9</v>
      </c>
      <c r="G120" s="101">
        <f t="shared" si="25"/>
        <v>0</v>
      </c>
      <c r="H120" s="187">
        <f t="shared" si="26"/>
        <v>0</v>
      </c>
    </row>
    <row r="121" spans="1:8" x14ac:dyDescent="0.25">
      <c r="A121" s="1471" t="s">
        <v>906</v>
      </c>
      <c r="B121" s="271" t="str">
        <f t="shared" ref="B121:D121" si="34">B11</f>
        <v>Ginger - زنجبيل</v>
      </c>
      <c r="C121" s="271" t="str">
        <f t="shared" si="34"/>
        <v>gm</v>
      </c>
      <c r="D121" s="271">
        <f t="shared" si="34"/>
        <v>25</v>
      </c>
      <c r="E121" s="327">
        <f t="shared" si="30"/>
        <v>0</v>
      </c>
      <c r="F121" s="276">
        <f t="shared" si="28"/>
        <v>0.6</v>
      </c>
      <c r="G121" s="101">
        <f t="shared" si="25"/>
        <v>0</v>
      </c>
      <c r="H121" s="187">
        <f t="shared" si="26"/>
        <v>0</v>
      </c>
    </row>
    <row r="122" spans="1:8" x14ac:dyDescent="0.25">
      <c r="A122" s="1471"/>
      <c r="B122" s="271" t="str">
        <f t="shared" ref="B122:D122" si="35">B12</f>
        <v>Light Soy Sauce - صويا صوص خفيف</v>
      </c>
      <c r="C122" s="271" t="str">
        <f t="shared" si="35"/>
        <v>ml</v>
      </c>
      <c r="D122" s="271">
        <f t="shared" si="35"/>
        <v>25</v>
      </c>
      <c r="E122" s="327">
        <f t="shared" si="30"/>
        <v>0</v>
      </c>
      <c r="F122" s="276">
        <f t="shared" si="28"/>
        <v>0.9</v>
      </c>
      <c r="G122" s="101">
        <f t="shared" si="25"/>
        <v>0</v>
      </c>
      <c r="H122" s="187">
        <f t="shared" si="26"/>
        <v>0</v>
      </c>
    </row>
    <row r="123" spans="1:8" x14ac:dyDescent="0.25">
      <c r="A123" s="1471"/>
      <c r="B123" s="271" t="str">
        <f t="shared" ref="B123:D123" si="36">B13</f>
        <v>Sweet Soy Sauce - صويا صوص حلو</v>
      </c>
      <c r="C123" s="271" t="str">
        <f t="shared" si="36"/>
        <v>ml</v>
      </c>
      <c r="D123" s="271">
        <f t="shared" si="36"/>
        <v>17</v>
      </c>
      <c r="E123" s="327">
        <f t="shared" si="30"/>
        <v>0</v>
      </c>
      <c r="F123" s="276">
        <f t="shared" si="28"/>
        <v>1</v>
      </c>
      <c r="G123" s="101">
        <f t="shared" si="25"/>
        <v>0</v>
      </c>
      <c r="H123" s="187">
        <f t="shared" si="26"/>
        <v>0</v>
      </c>
    </row>
    <row r="124" spans="1:8" x14ac:dyDescent="0.25">
      <c r="A124" s="1471"/>
      <c r="B124" s="271" t="str">
        <f t="shared" ref="B124:D124" si="37">B14</f>
        <v>Sriracha Sauce - صوص سريراتشا</v>
      </c>
      <c r="C124" s="271" t="str">
        <f t="shared" si="37"/>
        <v>ml</v>
      </c>
      <c r="D124" s="271">
        <f t="shared" si="37"/>
        <v>35</v>
      </c>
      <c r="E124" s="327">
        <f t="shared" si="30"/>
        <v>0</v>
      </c>
      <c r="F124" s="276">
        <f t="shared" si="28"/>
        <v>0.75</v>
      </c>
      <c r="G124" s="101">
        <f t="shared" si="25"/>
        <v>0</v>
      </c>
      <c r="H124" s="187">
        <f t="shared" si="26"/>
        <v>0</v>
      </c>
    </row>
    <row r="125" spans="1:8" x14ac:dyDescent="0.25">
      <c r="A125" s="1471"/>
      <c r="B125" s="271" t="str">
        <f t="shared" ref="B125:D125" si="38">B15</f>
        <v>Vinegar - خل</v>
      </c>
      <c r="C125" s="271" t="str">
        <f t="shared" si="38"/>
        <v>ml</v>
      </c>
      <c r="D125" s="271">
        <f t="shared" si="38"/>
        <v>15</v>
      </c>
      <c r="E125" s="327">
        <f t="shared" si="30"/>
        <v>0</v>
      </c>
      <c r="F125" s="276">
        <f t="shared" si="28"/>
        <v>1</v>
      </c>
      <c r="G125" s="101">
        <f t="shared" si="25"/>
        <v>0</v>
      </c>
      <c r="H125" s="187">
        <f t="shared" si="26"/>
        <v>0</v>
      </c>
    </row>
    <row r="126" spans="1:8" x14ac:dyDescent="0.25">
      <c r="A126" s="1471"/>
      <c r="B126" s="271" t="str">
        <f t="shared" ref="B126:D126" si="39">B16</f>
        <v>Water - ماء</v>
      </c>
      <c r="C126" s="271" t="str">
        <f t="shared" si="39"/>
        <v>ml</v>
      </c>
      <c r="D126" s="271">
        <f t="shared" si="39"/>
        <v>150</v>
      </c>
      <c r="E126" s="327">
        <f t="shared" si="30"/>
        <v>0</v>
      </c>
      <c r="F126" s="276">
        <f t="shared" si="28"/>
        <v>1</v>
      </c>
      <c r="G126" s="101">
        <f t="shared" si="25"/>
        <v>0</v>
      </c>
      <c r="H126" s="187">
        <f t="shared" si="26"/>
        <v>0</v>
      </c>
    </row>
    <row r="127" spans="1:8" x14ac:dyDescent="0.25">
      <c r="A127" s="1471"/>
      <c r="B127" s="271" t="str">
        <f t="shared" ref="B127:D127" si="40">B17</f>
        <v>Tomato Ketchup - كاتشب طماطم</v>
      </c>
      <c r="C127" s="271" t="str">
        <f t="shared" si="40"/>
        <v>ml</v>
      </c>
      <c r="D127" s="271">
        <f t="shared" si="40"/>
        <v>350</v>
      </c>
      <c r="E127" s="327">
        <f t="shared" si="30"/>
        <v>0</v>
      </c>
      <c r="F127" s="276">
        <f t="shared" si="28"/>
        <v>1</v>
      </c>
      <c r="G127" s="101">
        <f t="shared" si="25"/>
        <v>0</v>
      </c>
      <c r="H127" s="187">
        <f t="shared" si="26"/>
        <v>0</v>
      </c>
    </row>
    <row r="128" spans="1:8" x14ac:dyDescent="0.25">
      <c r="A128" s="1471"/>
      <c r="B128" s="271" t="str">
        <f t="shared" ref="B128:D128" si="41">B18</f>
        <v>Orange Color - لون برتقالي</v>
      </c>
      <c r="C128" s="271" t="str">
        <f t="shared" si="41"/>
        <v>gm</v>
      </c>
      <c r="D128" s="271">
        <f t="shared" si="41"/>
        <v>2</v>
      </c>
      <c r="E128" s="327">
        <f t="shared" si="30"/>
        <v>0</v>
      </c>
      <c r="F128" s="276">
        <f t="shared" si="28"/>
        <v>0.75</v>
      </c>
      <c r="G128" s="101">
        <f t="shared" si="25"/>
        <v>0</v>
      </c>
      <c r="H128" s="187">
        <f t="shared" si="26"/>
        <v>0</v>
      </c>
    </row>
    <row r="129" spans="1:8" x14ac:dyDescent="0.25">
      <c r="A129" s="1471"/>
      <c r="B129" s="271" t="str">
        <f t="shared" ref="B129:D129" si="42">B19</f>
        <v>Corn Starch - نشا ذرة</v>
      </c>
      <c r="C129" s="271" t="str">
        <f t="shared" si="42"/>
        <v>gm</v>
      </c>
      <c r="D129" s="271">
        <f t="shared" si="42"/>
        <v>30</v>
      </c>
      <c r="E129" s="327">
        <f t="shared" si="30"/>
        <v>0</v>
      </c>
      <c r="F129" s="276">
        <f t="shared" si="28"/>
        <v>1</v>
      </c>
      <c r="G129" s="101">
        <f t="shared" si="25"/>
        <v>0</v>
      </c>
      <c r="H129" s="187">
        <f t="shared" si="26"/>
        <v>0</v>
      </c>
    </row>
    <row r="130" spans="1:8" x14ac:dyDescent="0.25">
      <c r="A130" s="1471"/>
      <c r="B130" s="271" t="str">
        <f t="shared" ref="B130:D130" si="43">B20</f>
        <v>Salt - ملح</v>
      </c>
      <c r="C130" s="271" t="str">
        <f t="shared" si="43"/>
        <v>gm</v>
      </c>
      <c r="D130" s="271">
        <f t="shared" si="43"/>
        <v>3</v>
      </c>
      <c r="E130" s="327">
        <f t="shared" si="30"/>
        <v>0</v>
      </c>
      <c r="F130" s="276">
        <f t="shared" si="28"/>
        <v>0.75</v>
      </c>
      <c r="G130" s="101">
        <f t="shared" si="25"/>
        <v>0</v>
      </c>
      <c r="H130" s="187">
        <f t="shared" si="26"/>
        <v>0</v>
      </c>
    </row>
    <row r="131" spans="1:8" x14ac:dyDescent="0.25">
      <c r="A131" s="1471"/>
      <c r="B131" s="271" t="str">
        <f t="shared" ref="B131:D131" si="44">B21</f>
        <v>Black Pepper Powder - فلفل أسود مطحون</v>
      </c>
      <c r="C131" s="271" t="str">
        <f t="shared" si="44"/>
        <v>gm</v>
      </c>
      <c r="D131" s="271">
        <f t="shared" si="44"/>
        <v>3</v>
      </c>
      <c r="E131" s="327">
        <f t="shared" si="30"/>
        <v>0</v>
      </c>
      <c r="F131" s="276">
        <f t="shared" si="28"/>
        <v>0.75</v>
      </c>
      <c r="G131" s="101">
        <f t="shared" si="25"/>
        <v>0</v>
      </c>
      <c r="H131" s="187">
        <f t="shared" si="26"/>
        <v>0</v>
      </c>
    </row>
    <row r="132" spans="1:8" x14ac:dyDescent="0.25">
      <c r="A132" s="1471"/>
      <c r="B132" s="271" t="str">
        <f t="shared" ref="B132:D132" si="45">B22</f>
        <v>Butter - زبدة</v>
      </c>
      <c r="C132" s="271" t="str">
        <f t="shared" si="45"/>
        <v>gm</v>
      </c>
      <c r="D132" s="271">
        <f t="shared" si="45"/>
        <v>20</v>
      </c>
      <c r="E132" s="327">
        <f t="shared" si="30"/>
        <v>0</v>
      </c>
      <c r="F132" s="276">
        <f t="shared" si="28"/>
        <v>1</v>
      </c>
      <c r="G132" s="101">
        <f t="shared" si="25"/>
        <v>0</v>
      </c>
      <c r="H132" s="187">
        <f t="shared" si="26"/>
        <v>0</v>
      </c>
    </row>
    <row r="133" spans="1:8" x14ac:dyDescent="0.25">
      <c r="B133" s="271" t="str">
        <f t="shared" ref="B133:D133" si="46">B23</f>
        <v>Honey - عسل</v>
      </c>
      <c r="C133" s="271" t="str">
        <f t="shared" si="46"/>
        <v>gm</v>
      </c>
      <c r="D133" s="271">
        <f t="shared" si="46"/>
        <v>50</v>
      </c>
      <c r="E133" s="327">
        <f t="shared" si="30"/>
        <v>0</v>
      </c>
      <c r="F133" s="276">
        <f t="shared" si="28"/>
        <v>1</v>
      </c>
      <c r="G133" s="101">
        <f t="shared" si="25"/>
        <v>0</v>
      </c>
      <c r="H133" s="187">
        <f t="shared" si="26"/>
        <v>0</v>
      </c>
    </row>
    <row r="134" spans="1:8" ht="18" x14ac:dyDescent="0.25">
      <c r="A134" s="1458"/>
      <c r="B134" s="178" t="s">
        <v>287</v>
      </c>
      <c r="C134" s="180" t="s">
        <v>273</v>
      </c>
      <c r="E134" s="180" t="s">
        <v>288</v>
      </c>
      <c r="G134" s="804" t="s">
        <v>264</v>
      </c>
      <c r="H134" s="804" t="s">
        <v>673</v>
      </c>
    </row>
    <row r="135" spans="1:8" ht="20.25" x14ac:dyDescent="0.3">
      <c r="A135" s="1458"/>
      <c r="B135" s="179">
        <f>$J$55</f>
        <v>0</v>
      </c>
      <c r="C135" s="179">
        <f>E135+G135</f>
        <v>0</v>
      </c>
      <c r="D135" s="839"/>
      <c r="E135" s="179">
        <f>$D$55*$S$44</f>
        <v>0</v>
      </c>
      <c r="F135" s="843"/>
      <c r="G135" s="179">
        <f>$D$55*$T$44</f>
        <v>0</v>
      </c>
      <c r="H135" s="179">
        <f>B135+E135</f>
        <v>0</v>
      </c>
    </row>
  </sheetData>
  <mergeCells count="13">
    <mergeCell ref="B112:H112"/>
    <mergeCell ref="B113:H113"/>
    <mergeCell ref="AK2:AM2"/>
    <mergeCell ref="B2:J3"/>
    <mergeCell ref="AE2:AG3"/>
    <mergeCell ref="B88:H88"/>
    <mergeCell ref="R26:U26"/>
    <mergeCell ref="B87:H87"/>
    <mergeCell ref="R25:U25"/>
    <mergeCell ref="B62:H62"/>
    <mergeCell ref="K2:K3"/>
    <mergeCell ref="B63:H63"/>
    <mergeCell ref="B35:F35"/>
  </mergeCells>
  <printOptions horizontalCentered="1"/>
  <pageMargins left="0.4" right="0.4" top="1" bottom="0.5" header="0.3" footer="0.511811023622047"/>
  <pageSetup paperSize="9" scale="44"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50"/>
    <pageSetUpPr fitToPage="1"/>
  </sheetPr>
  <dimension ref="A1:AT105"/>
  <sheetViews>
    <sheetView topLeftCell="L1" zoomScale="55" zoomScaleNormal="55" workbookViewId="0">
      <selection activeCell="M17" sqref="M17"/>
    </sheetView>
  </sheetViews>
  <sheetFormatPr defaultColWidth="12.5" defaultRowHeight="15" x14ac:dyDescent="0.25"/>
  <cols>
    <col min="1" max="1" width="12.5" style="1472"/>
    <col min="2" max="2" width="32" style="27"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75" style="14" customWidth="1"/>
    <col min="15" max="17" width="12.5" style="14" customWidth="1"/>
    <col min="18" max="18" width="32.875" style="14" customWidth="1"/>
    <col min="19" max="27" width="12.5" style="14" customWidth="1"/>
    <col min="28" max="28" width="13.125" style="14" bestFit="1" customWidth="1"/>
    <col min="29" max="29" width="9.875" style="14" bestFit="1" customWidth="1"/>
    <col min="30" max="30" width="10.125" style="14" bestFit="1" customWidth="1"/>
    <col min="31" max="31" width="9.875" style="14" bestFit="1" customWidth="1"/>
    <col min="32" max="32" width="8.875" style="14" bestFit="1" customWidth="1"/>
    <col min="33" max="35" width="4.125" style="14" customWidth="1"/>
    <col min="36" max="36" width="41.375" style="14" customWidth="1"/>
    <col min="37" max="37" width="12.5" style="14" customWidth="1"/>
    <col min="38" max="38" width="16.125" style="14" customWidth="1"/>
    <col min="39" max="41" width="12.5" style="14"/>
    <col min="42" max="42" width="24.25" style="14" customWidth="1"/>
    <col min="43" max="16384" width="12.5" style="14"/>
  </cols>
  <sheetData>
    <row r="1" spans="1:46" s="228" customFormat="1" ht="53.25" customHeight="1" x14ac:dyDescent="0.2">
      <c r="A1" s="1592"/>
      <c r="B1" s="277" t="s">
        <v>231</v>
      </c>
      <c r="C1" s="65">
        <v>1000</v>
      </c>
      <c r="D1" s="66" t="s">
        <v>232</v>
      </c>
      <c r="E1" s="99">
        <f>U32</f>
        <v>18530</v>
      </c>
      <c r="F1" s="64" t="s">
        <v>233</v>
      </c>
      <c r="G1" s="99">
        <f>E1/C1</f>
        <v>18.53</v>
      </c>
      <c r="H1" s="64" t="s">
        <v>234</v>
      </c>
      <c r="I1" s="227">
        <f>(G1/K1)</f>
        <v>18.812182741116754</v>
      </c>
      <c r="J1" s="70" t="s">
        <v>235</v>
      </c>
      <c r="K1" s="65">
        <v>0.98499999999999999</v>
      </c>
      <c r="L1" s="76"/>
      <c r="M1" s="73"/>
      <c r="N1" s="74"/>
      <c r="O1" s="75" t="s">
        <v>236</v>
      </c>
      <c r="P1" s="76" t="s">
        <v>237</v>
      </c>
      <c r="Q1" s="77" t="s">
        <v>238</v>
      </c>
      <c r="R1" s="76">
        <v>0.59</v>
      </c>
      <c r="Y1" s="75" t="s">
        <v>453</v>
      </c>
      <c r="Z1" s="766">
        <v>17530</v>
      </c>
      <c r="AA1" s="75" t="s">
        <v>556</v>
      </c>
      <c r="AB1" s="766">
        <v>1000</v>
      </c>
      <c r="AC1" s="75" t="s">
        <v>546</v>
      </c>
      <c r="AD1" s="766">
        <v>119</v>
      </c>
      <c r="AF1" s="230"/>
      <c r="AG1" s="76"/>
      <c r="AJ1" s="78" t="s">
        <v>250</v>
      </c>
      <c r="AK1" s="78">
        <v>10000</v>
      </c>
      <c r="AL1" s="561" t="s">
        <v>483</v>
      </c>
      <c r="AM1" s="562">
        <f>$S$32</f>
        <v>18530</v>
      </c>
      <c r="AN1" s="78" t="s">
        <v>239</v>
      </c>
      <c r="AO1" s="305">
        <f>(($S$32)/$R$1)/$AK$1</f>
        <v>3.1406779661016948</v>
      </c>
      <c r="AP1" s="79"/>
    </row>
    <row r="2" spans="1:46" ht="12.75" customHeight="1" x14ac:dyDescent="0.25">
      <c r="A2" s="1486"/>
      <c r="B2" s="1632" t="s">
        <v>29</v>
      </c>
      <c r="C2" s="1661"/>
      <c r="D2" s="1661"/>
      <c r="E2" s="1661"/>
      <c r="F2" s="1661"/>
      <c r="G2" s="1661"/>
      <c r="H2" s="1661"/>
      <c r="I2" s="82"/>
      <c r="J2" s="82"/>
      <c r="K2" s="82"/>
      <c r="L2" s="82"/>
      <c r="P2" s="84"/>
      <c r="Q2" s="84"/>
      <c r="R2" s="84"/>
      <c r="AC2" s="83"/>
      <c r="AD2" s="83"/>
      <c r="AE2" s="1652"/>
      <c r="AF2" s="1655"/>
      <c r="AG2" s="1655"/>
      <c r="AJ2" s="85"/>
      <c r="AK2" s="85"/>
      <c r="AL2" s="1631" t="s">
        <v>311</v>
      </c>
      <c r="AM2" s="1631"/>
      <c r="AN2" s="86"/>
      <c r="AO2" s="85"/>
      <c r="AP2" s="85"/>
    </row>
    <row r="3" spans="1:46" ht="12.75" customHeight="1" x14ac:dyDescent="0.25">
      <c r="A3" s="1486"/>
      <c r="B3" s="1633"/>
      <c r="C3" s="1633"/>
      <c r="D3" s="1633"/>
      <c r="E3" s="1633"/>
      <c r="F3" s="1633"/>
      <c r="G3" s="1633"/>
      <c r="H3" s="1633"/>
      <c r="I3" s="87"/>
      <c r="J3" s="87"/>
      <c r="K3" s="87"/>
      <c r="L3" s="87"/>
      <c r="P3" s="84"/>
      <c r="Q3" s="84"/>
      <c r="R3" s="84"/>
      <c r="AC3" s="83"/>
      <c r="AD3" s="83"/>
      <c r="AE3" s="1655"/>
      <c r="AF3" s="1655"/>
      <c r="AG3" s="1655"/>
      <c r="AJ3" s="88"/>
      <c r="AK3" s="88"/>
      <c r="AL3" s="89"/>
      <c r="AM3" s="89"/>
      <c r="AN3" s="89"/>
      <c r="AO3" s="88"/>
      <c r="AP3" s="88"/>
    </row>
    <row r="4" spans="1:46" ht="69" customHeight="1" x14ac:dyDescent="0.2">
      <c r="A4" s="1589" t="s">
        <v>903</v>
      </c>
      <c r="B4" s="75" t="s">
        <v>241</v>
      </c>
      <c r="C4" s="90" t="s">
        <v>242</v>
      </c>
      <c r="D4" s="75" t="s">
        <v>231</v>
      </c>
      <c r="E4" s="91" t="s">
        <v>234</v>
      </c>
      <c r="F4" s="91" t="s">
        <v>243</v>
      </c>
      <c r="G4" s="75" t="s">
        <v>244</v>
      </c>
      <c r="H4" s="92" t="s">
        <v>245</v>
      </c>
      <c r="I4" s="75" t="s">
        <v>246</v>
      </c>
      <c r="J4" s="75" t="s">
        <v>247</v>
      </c>
      <c r="K4" s="75" t="s">
        <v>248</v>
      </c>
      <c r="L4" s="75" t="s">
        <v>249</v>
      </c>
      <c r="P4" s="84"/>
      <c r="AA4" s="229"/>
      <c r="AB4" s="231"/>
      <c r="AC4" s="229"/>
      <c r="AD4" s="229"/>
      <c r="AE4" s="229"/>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454"/>
      <c r="B5" s="96" t="s">
        <v>220</v>
      </c>
      <c r="C5" s="106" t="s">
        <v>14</v>
      </c>
      <c r="D5" s="103">
        <f>I51/H51</f>
        <v>1694.9152542372881</v>
      </c>
      <c r="E5" s="69">
        <f>H52</f>
        <v>18.53</v>
      </c>
      <c r="F5" s="109">
        <v>1</v>
      </c>
      <c r="G5" s="103">
        <f>D5*E5</f>
        <v>31406.77966101695</v>
      </c>
      <c r="H5" s="102">
        <f>G5*F5</f>
        <v>31406.77966101695</v>
      </c>
      <c r="I5" s="65">
        <f>VLOOKUP(B5,All_Ingredients!$A$1:$F$156,6,FALSE())</f>
        <v>0.86</v>
      </c>
      <c r="J5" s="101">
        <f>VLOOKUP(B5,All_Ingredients!$A$1:$J$156,10,FALSE())</f>
        <v>17.100000000000001</v>
      </c>
      <c r="K5" s="104">
        <f>(H5/I5)/1000</f>
        <v>36.519511233740637</v>
      </c>
      <c r="L5" s="104">
        <f>K5*J5</f>
        <v>624.4836420969649</v>
      </c>
      <c r="P5" s="84"/>
      <c r="AA5" s="76"/>
      <c r="AB5" s="114"/>
      <c r="AC5" s="232"/>
      <c r="AD5" s="116"/>
      <c r="AE5" s="117"/>
      <c r="AJ5" s="105" t="s">
        <v>220</v>
      </c>
      <c r="AK5" s="106" t="s">
        <v>227</v>
      </c>
      <c r="AL5" s="107">
        <v>10</v>
      </c>
      <c r="AM5" s="177">
        <f>$AO$1</f>
        <v>3.1406779661016948</v>
      </c>
      <c r="AN5" s="109">
        <v>1</v>
      </c>
      <c r="AO5" s="101">
        <f>AL5*AM5</f>
        <v>31.406779661016948</v>
      </c>
      <c r="AP5" s="102">
        <f>AN5*AO5</f>
        <v>31.406779661016948</v>
      </c>
      <c r="AQ5" s="272"/>
      <c r="AR5" s="1017"/>
      <c r="AS5" s="156"/>
      <c r="AT5" s="1018"/>
    </row>
    <row r="6" spans="1:46" ht="14.25" customHeight="1" x14ac:dyDescent="0.25">
      <c r="B6" s="278"/>
      <c r="E6" s="84"/>
      <c r="F6" s="84"/>
      <c r="I6" s="63"/>
      <c r="J6" s="278"/>
      <c r="M6" s="84"/>
      <c r="N6" s="84"/>
      <c r="AJ6" s="105" t="s">
        <v>212</v>
      </c>
      <c r="AK6" s="106" t="s">
        <v>160</v>
      </c>
      <c r="AL6" s="107">
        <v>100</v>
      </c>
      <c r="AM6" s="177">
        <f t="shared" ref="AM6:AM20" si="0">$AO$1</f>
        <v>3.1406779661016948</v>
      </c>
      <c r="AN6" s="109">
        <v>1</v>
      </c>
      <c r="AO6" s="101">
        <f t="shared" ref="AO6:AO19" si="1">AL6*AM6</f>
        <v>314.06779661016947</v>
      </c>
      <c r="AP6" s="102">
        <f t="shared" ref="AP6:AP20" si="2">AN6*AO6</f>
        <v>314.06779661016947</v>
      </c>
      <c r="AQ6" s="1018">
        <f>VLOOKUP(AJ6,Marination_Ordering!$A:$J,6,FALSE)</f>
        <v>1</v>
      </c>
      <c r="AR6" s="1018">
        <f>VLOOKUP(AJ6,Marination_Ordering!$A:$J,10,FALSE)</f>
        <v>5</v>
      </c>
      <c r="AS6" s="156">
        <f>AP6/AQ6</f>
        <v>314.06779661016947</v>
      </c>
      <c r="AT6" s="1018">
        <f>AR6*(AS6/1000)</f>
        <v>1.5703389830508474</v>
      </c>
    </row>
    <row r="7" spans="1:46" ht="14.25" customHeight="1" x14ac:dyDescent="0.25">
      <c r="B7" s="278"/>
      <c r="E7" s="84"/>
      <c r="F7" s="63"/>
      <c r="G7" s="278"/>
      <c r="I7" s="63"/>
      <c r="J7" s="278"/>
      <c r="M7" s="84"/>
      <c r="N7" s="84"/>
      <c r="AJ7" s="105" t="s">
        <v>756</v>
      </c>
      <c r="AK7" s="106" t="s">
        <v>14</v>
      </c>
      <c r="AL7" s="107">
        <v>10</v>
      </c>
      <c r="AM7" s="177">
        <f t="shared" si="0"/>
        <v>3.1406779661016948</v>
      </c>
      <c r="AN7" s="109">
        <v>1</v>
      </c>
      <c r="AO7" s="101">
        <f t="shared" si="1"/>
        <v>31.406779661016948</v>
      </c>
      <c r="AP7" s="102">
        <f t="shared" si="2"/>
        <v>31.406779661016948</v>
      </c>
      <c r="AQ7" s="1018">
        <f>VLOOKUP(AJ7,Marination_Ordering!$A:$J,6,FALSE)</f>
        <v>0.74</v>
      </c>
      <c r="AR7" s="1018">
        <f>VLOOKUP(AJ7,Marination_Ordering!$A:$J,10,FALSE)</f>
        <v>100</v>
      </c>
      <c r="AS7" s="156">
        <f t="shared" ref="AS7:AS8" si="3">AP7/AQ7</f>
        <v>42.441594136509387</v>
      </c>
      <c r="AT7" s="1018">
        <f t="shared" ref="AT7:AT8" si="4">AR7*(AS7/1000)</f>
        <v>4.2441594136509391</v>
      </c>
    </row>
    <row r="8" spans="1:46" ht="14.25" customHeight="1" x14ac:dyDescent="0.25">
      <c r="B8" s="278"/>
      <c r="E8" s="84"/>
      <c r="F8" s="63"/>
      <c r="G8" s="278"/>
      <c r="I8" s="63"/>
      <c r="J8" s="278"/>
      <c r="M8" s="84"/>
      <c r="N8" s="84"/>
      <c r="AJ8" s="105" t="s">
        <v>729</v>
      </c>
      <c r="AK8" s="106" t="s">
        <v>14</v>
      </c>
      <c r="AL8" s="107">
        <v>10</v>
      </c>
      <c r="AM8" s="177">
        <f t="shared" si="0"/>
        <v>3.1406779661016948</v>
      </c>
      <c r="AN8" s="109">
        <v>1</v>
      </c>
      <c r="AO8" s="101">
        <f t="shared" si="1"/>
        <v>31.406779661016948</v>
      </c>
      <c r="AP8" s="102">
        <f t="shared" si="2"/>
        <v>31.406779661016948</v>
      </c>
      <c r="AQ8" s="1018">
        <f>VLOOKUP(AJ8,Marination_Ordering!$A:$J,6,FALSE)</f>
        <v>0.5</v>
      </c>
      <c r="AR8" s="1018">
        <f>VLOOKUP(AJ8,Marination_Ordering!$A:$J,10,FALSE)</f>
        <v>90</v>
      </c>
      <c r="AS8" s="156">
        <f t="shared" si="3"/>
        <v>62.813559322033896</v>
      </c>
      <c r="AT8" s="1018">
        <f t="shared" si="4"/>
        <v>5.6532203389830498</v>
      </c>
    </row>
    <row r="9" spans="1:46" ht="14.25" customHeight="1" x14ac:dyDescent="0.25">
      <c r="B9" s="278"/>
      <c r="E9" s="84"/>
      <c r="F9" s="63"/>
      <c r="G9" s="27"/>
      <c r="I9" s="63"/>
      <c r="J9" s="27"/>
      <c r="AJ9" s="105" t="s">
        <v>991</v>
      </c>
      <c r="AK9" s="106" t="s">
        <v>14</v>
      </c>
      <c r="AL9" s="107">
        <v>5</v>
      </c>
      <c r="AM9" s="177">
        <f t="shared" si="0"/>
        <v>3.1406779661016948</v>
      </c>
      <c r="AN9" s="109">
        <v>1</v>
      </c>
      <c r="AO9" s="101">
        <f t="shared" si="1"/>
        <v>15.703389830508474</v>
      </c>
      <c r="AP9" s="102">
        <f t="shared" si="2"/>
        <v>15.703389830508474</v>
      </c>
      <c r="AQ9" s="1018">
        <f>VLOOKUP(AJ9,Marination_Ordering!$A:$J,6,FALSE)</f>
        <v>0.7</v>
      </c>
      <c r="AR9" s="1018">
        <f>VLOOKUP(AJ9,Marination_Ordering!$A:$J,10,FALSE)</f>
        <v>90</v>
      </c>
      <c r="AS9" s="156">
        <f t="shared" ref="AS9:AS20" si="5">AP9/AQ9</f>
        <v>22.433414043583536</v>
      </c>
      <c r="AT9" s="1018">
        <f t="shared" ref="AT9:AT20" si="6">AR9*(AS9/1000)</f>
        <v>2.0190072639225183</v>
      </c>
    </row>
    <row r="10" spans="1:46" ht="14.25" customHeight="1" x14ac:dyDescent="0.25">
      <c r="I10" s="63"/>
      <c r="J10" s="27"/>
      <c r="AJ10" s="105" t="s">
        <v>110</v>
      </c>
      <c r="AK10" s="106" t="s">
        <v>14</v>
      </c>
      <c r="AL10" s="107">
        <v>10</v>
      </c>
      <c r="AM10" s="177">
        <f t="shared" si="0"/>
        <v>3.1406779661016948</v>
      </c>
      <c r="AN10" s="109">
        <v>1</v>
      </c>
      <c r="AO10" s="101">
        <f t="shared" si="1"/>
        <v>31.406779661016948</v>
      </c>
      <c r="AP10" s="102">
        <f t="shared" si="2"/>
        <v>31.406779661016948</v>
      </c>
      <c r="AQ10" s="1018">
        <f>VLOOKUP(AJ10,Marination_Ordering!$A:$J,6,FALSE)</f>
        <v>1</v>
      </c>
      <c r="AR10" s="1018">
        <f>VLOOKUP(AJ10,Marination_Ordering!$A:$J,10,FALSE)</f>
        <v>64.243759177679877</v>
      </c>
      <c r="AS10" s="156">
        <f t="shared" si="5"/>
        <v>31.406779661016948</v>
      </c>
      <c r="AT10" s="1018">
        <f t="shared" si="6"/>
        <v>2.0176895890888269</v>
      </c>
    </row>
    <row r="11" spans="1:46" x14ac:dyDescent="0.25">
      <c r="I11" s="63"/>
      <c r="J11" s="27"/>
      <c r="AJ11" s="105" t="s">
        <v>107</v>
      </c>
      <c r="AK11" s="106" t="s">
        <v>14</v>
      </c>
      <c r="AL11" s="107">
        <v>20</v>
      </c>
      <c r="AM11" s="177">
        <f t="shared" si="0"/>
        <v>3.1406779661016948</v>
      </c>
      <c r="AN11" s="109">
        <v>1</v>
      </c>
      <c r="AO11" s="101">
        <f t="shared" si="1"/>
        <v>62.813559322033896</v>
      </c>
      <c r="AP11" s="102">
        <f t="shared" si="2"/>
        <v>62.813559322033896</v>
      </c>
      <c r="AQ11" s="1018">
        <f>VLOOKUP(AJ11,Marination_Ordering!$A:$J,6,FALSE)</f>
        <v>1</v>
      </c>
      <c r="AR11" s="1018">
        <f>VLOOKUP(AJ11,Marination_Ordering!$A:$J,10,FALSE)</f>
        <v>8</v>
      </c>
      <c r="AS11" s="156">
        <f t="shared" si="5"/>
        <v>62.813559322033896</v>
      </c>
      <c r="AT11" s="1018">
        <f t="shared" si="6"/>
        <v>0.50250847457627112</v>
      </c>
    </row>
    <row r="12" spans="1:46" ht="14.25" customHeight="1" x14ac:dyDescent="0.25">
      <c r="I12" s="63"/>
      <c r="J12" s="27"/>
      <c r="AJ12" s="105" t="s">
        <v>105</v>
      </c>
      <c r="AK12" s="106" t="s">
        <v>14</v>
      </c>
      <c r="AL12" s="107">
        <v>15</v>
      </c>
      <c r="AM12" s="177">
        <f t="shared" si="0"/>
        <v>3.1406779661016948</v>
      </c>
      <c r="AN12" s="109">
        <v>1</v>
      </c>
      <c r="AO12" s="101">
        <f t="shared" si="1"/>
        <v>47.110169491525426</v>
      </c>
      <c r="AP12" s="102">
        <f t="shared" si="2"/>
        <v>47.110169491525426</v>
      </c>
      <c r="AQ12" s="1018">
        <f>VLOOKUP(AJ12,Marination_Ordering!$A:$J,6,FALSE)</f>
        <v>1</v>
      </c>
      <c r="AR12" s="1018">
        <f>VLOOKUP(AJ12,Marination_Ordering!$A:$J,10,FALSE)</f>
        <v>15</v>
      </c>
      <c r="AS12" s="156">
        <f t="shared" si="5"/>
        <v>47.110169491525426</v>
      </c>
      <c r="AT12" s="1018">
        <f t="shared" si="6"/>
        <v>0.70665254237288133</v>
      </c>
    </row>
    <row r="13" spans="1:46" ht="14.25" customHeight="1" x14ac:dyDescent="0.25">
      <c r="AJ13" s="105" t="s">
        <v>93</v>
      </c>
      <c r="AK13" s="106" t="s">
        <v>14</v>
      </c>
      <c r="AL13" s="107">
        <v>11</v>
      </c>
      <c r="AM13" s="177">
        <f t="shared" si="0"/>
        <v>3.1406779661016948</v>
      </c>
      <c r="AN13" s="109">
        <v>1</v>
      </c>
      <c r="AO13" s="101">
        <f t="shared" si="1"/>
        <v>34.547457627118646</v>
      </c>
      <c r="AP13" s="102">
        <f t="shared" si="2"/>
        <v>34.547457627118646</v>
      </c>
      <c r="AQ13" s="1018">
        <f>VLOOKUP(AJ13,Marination_Ordering!$A:$J,6,FALSE)</f>
        <v>1</v>
      </c>
      <c r="AR13" s="1018">
        <f>VLOOKUP(AJ13,Marination_Ordering!$A:$J,10,FALSE)</f>
        <v>0.74</v>
      </c>
      <c r="AS13" s="156">
        <f t="shared" si="5"/>
        <v>34.547457627118646</v>
      </c>
      <c r="AT13" s="1018">
        <f t="shared" si="6"/>
        <v>2.5565118644067797E-2</v>
      </c>
    </row>
    <row r="14" spans="1:46" ht="14.25" customHeight="1" x14ac:dyDescent="0.25">
      <c r="B14" s="278"/>
      <c r="E14" s="84"/>
      <c r="F14" s="63"/>
      <c r="G14" s="278"/>
      <c r="J14" s="84"/>
      <c r="K14" s="84"/>
      <c r="AJ14" s="105" t="s">
        <v>99</v>
      </c>
      <c r="AK14" s="106" t="s">
        <v>14</v>
      </c>
      <c r="AL14" s="107">
        <v>5</v>
      </c>
      <c r="AM14" s="177">
        <f t="shared" si="0"/>
        <v>3.1406779661016948</v>
      </c>
      <c r="AN14" s="109">
        <v>1</v>
      </c>
      <c r="AO14" s="101">
        <f t="shared" si="1"/>
        <v>15.703389830508474</v>
      </c>
      <c r="AP14" s="102">
        <f t="shared" si="2"/>
        <v>15.703389830508474</v>
      </c>
      <c r="AQ14" s="1018">
        <f>VLOOKUP(AJ14,Marination_Ordering!$A:$J,6,FALSE)</f>
        <v>1</v>
      </c>
      <c r="AR14" s="1018">
        <f>VLOOKUP(AJ14,Marination_Ordering!$A:$J,10,FALSE)</f>
        <v>31</v>
      </c>
      <c r="AS14" s="156">
        <f t="shared" si="5"/>
        <v>15.703389830508474</v>
      </c>
      <c r="AT14" s="1018">
        <f t="shared" si="6"/>
        <v>0.48680508474576267</v>
      </c>
    </row>
    <row r="15" spans="1:46" ht="14.25" customHeight="1" x14ac:dyDescent="0.25">
      <c r="B15" s="278"/>
      <c r="E15" s="84"/>
      <c r="F15" s="63"/>
      <c r="G15" s="278"/>
      <c r="J15" s="84"/>
      <c r="K15" s="84"/>
      <c r="AJ15" s="105" t="s">
        <v>64</v>
      </c>
      <c r="AK15" s="106" t="s">
        <v>14</v>
      </c>
      <c r="AL15" s="107">
        <v>25</v>
      </c>
      <c r="AM15" s="177">
        <f t="shared" si="0"/>
        <v>3.1406779661016948</v>
      </c>
      <c r="AN15" s="109">
        <v>1</v>
      </c>
      <c r="AO15" s="101">
        <f t="shared" si="1"/>
        <v>78.516949152542367</v>
      </c>
      <c r="AP15" s="102">
        <f t="shared" si="2"/>
        <v>78.516949152542367</v>
      </c>
      <c r="AQ15" s="1018">
        <f>VLOOKUP(AJ15,Marination_Ordering!$A:$J,6,FALSE)</f>
        <v>0.65</v>
      </c>
      <c r="AR15" s="1018">
        <f>VLOOKUP(AJ15,Marination_Ordering!$A:$J,10,FALSE)</f>
        <v>3.5</v>
      </c>
      <c r="AS15" s="156">
        <f t="shared" si="5"/>
        <v>120.79530638852671</v>
      </c>
      <c r="AT15" s="1018">
        <f t="shared" si="6"/>
        <v>0.42278357235984348</v>
      </c>
    </row>
    <row r="16" spans="1:46" ht="14.25" customHeight="1" x14ac:dyDescent="0.25">
      <c r="B16" s="278"/>
      <c r="E16" s="84"/>
      <c r="F16" s="63"/>
      <c r="G16" s="278"/>
      <c r="J16" s="84"/>
      <c r="K16" s="84"/>
      <c r="AJ16" s="105" t="s">
        <v>79</v>
      </c>
      <c r="AK16" s="106" t="s">
        <v>14</v>
      </c>
      <c r="AL16" s="107">
        <v>15</v>
      </c>
      <c r="AM16" s="177">
        <f t="shared" si="0"/>
        <v>3.1406779661016948</v>
      </c>
      <c r="AN16" s="109">
        <v>1</v>
      </c>
      <c r="AO16" s="101">
        <f t="shared" si="1"/>
        <v>47.110169491525426</v>
      </c>
      <c r="AP16" s="102">
        <f t="shared" si="2"/>
        <v>47.110169491525426</v>
      </c>
      <c r="AQ16" s="1018">
        <f>VLOOKUP(AJ16,Marination_Ordering!$A:$J,6,FALSE)</f>
        <v>1</v>
      </c>
      <c r="AR16" s="1018">
        <f>VLOOKUP(AJ16,Marination_Ordering!$A:$J,10,FALSE)</f>
        <v>7</v>
      </c>
      <c r="AS16" s="156">
        <f t="shared" si="5"/>
        <v>47.110169491525426</v>
      </c>
      <c r="AT16" s="1018">
        <f t="shared" si="6"/>
        <v>0.32977118644067799</v>
      </c>
    </row>
    <row r="17" spans="1:46" ht="14.25" customHeight="1" x14ac:dyDescent="0.25">
      <c r="B17" s="278"/>
      <c r="E17" s="84"/>
      <c r="F17" s="63"/>
      <c r="G17" s="27"/>
      <c r="AJ17" s="105" t="s">
        <v>183</v>
      </c>
      <c r="AK17" s="106" t="s">
        <v>14</v>
      </c>
      <c r="AL17" s="107">
        <v>50</v>
      </c>
      <c r="AM17" s="177">
        <f t="shared" si="0"/>
        <v>3.1406779661016948</v>
      </c>
      <c r="AN17" s="109">
        <v>1</v>
      </c>
      <c r="AO17" s="101">
        <f t="shared" si="1"/>
        <v>157.03389830508473</v>
      </c>
      <c r="AP17" s="102">
        <f t="shared" si="2"/>
        <v>157.03389830508473</v>
      </c>
      <c r="AQ17" s="1018">
        <f>VLOOKUP(AJ17,Marination_Ordering!$A:$J,6,FALSE)</f>
        <v>1</v>
      </c>
      <c r="AR17" s="1018">
        <f>VLOOKUP(AJ17,Marination_Ordering!$A:$J,10,FALSE)</f>
        <v>17</v>
      </c>
      <c r="AS17" s="156">
        <f t="shared" si="5"/>
        <v>157.03389830508473</v>
      </c>
      <c r="AT17" s="1018">
        <f t="shared" si="6"/>
        <v>2.6695762711864406</v>
      </c>
    </row>
    <row r="18" spans="1:46" ht="14.25" customHeight="1" x14ac:dyDescent="0.25">
      <c r="F18" s="63"/>
      <c r="G18" s="27"/>
      <c r="AJ18" s="105" t="s">
        <v>202</v>
      </c>
      <c r="AK18" s="106" t="s">
        <v>14</v>
      </c>
      <c r="AL18" s="107">
        <v>20</v>
      </c>
      <c r="AM18" s="177">
        <f t="shared" si="0"/>
        <v>3.1406779661016948</v>
      </c>
      <c r="AN18" s="109">
        <v>1</v>
      </c>
      <c r="AO18" s="101">
        <f t="shared" si="1"/>
        <v>62.813559322033896</v>
      </c>
      <c r="AP18" s="102">
        <f t="shared" si="2"/>
        <v>62.813559322033896</v>
      </c>
      <c r="AQ18" s="1018">
        <f>VLOOKUP(AJ18,Marination_Ordering!$A:$J,6,FALSE)</f>
        <v>1</v>
      </c>
      <c r="AR18" s="1018">
        <f>VLOOKUP(AJ18,Marination_Ordering!$A:$J,10,FALSE)</f>
        <v>11.243386243386244</v>
      </c>
      <c r="AS18" s="156">
        <f t="shared" si="5"/>
        <v>62.813559322033896</v>
      </c>
      <c r="AT18" s="1018">
        <f t="shared" si="6"/>
        <v>0.70623710877948165</v>
      </c>
    </row>
    <row r="19" spans="1:46" ht="14.25" customHeight="1" x14ac:dyDescent="0.25">
      <c r="F19" s="63"/>
      <c r="G19" s="27"/>
      <c r="AJ19" s="105" t="s">
        <v>730</v>
      </c>
      <c r="AK19" s="106" t="s">
        <v>14</v>
      </c>
      <c r="AL19" s="107">
        <v>5</v>
      </c>
      <c r="AM19" s="177">
        <f t="shared" si="0"/>
        <v>3.1406779661016948</v>
      </c>
      <c r="AN19" s="109">
        <v>1</v>
      </c>
      <c r="AO19" s="101">
        <f t="shared" si="1"/>
        <v>15.703389830508474</v>
      </c>
      <c r="AP19" s="102">
        <f t="shared" si="2"/>
        <v>15.703389830508474</v>
      </c>
      <c r="AQ19" s="1018">
        <f>VLOOKUP(AJ19,Marination_Ordering!$A:$J,6,FALSE)</f>
        <v>0.52</v>
      </c>
      <c r="AR19" s="1018">
        <f>VLOOKUP(AJ19,Marination_Ordering!$A:$J,10,FALSE)</f>
        <v>100</v>
      </c>
      <c r="AS19" s="156">
        <f t="shared" si="5"/>
        <v>30.198826597131681</v>
      </c>
      <c r="AT19" s="1018">
        <f t="shared" si="6"/>
        <v>3.019882659713168</v>
      </c>
    </row>
    <row r="20" spans="1:46" ht="14.25" customHeight="1" x14ac:dyDescent="0.25">
      <c r="F20" s="63"/>
      <c r="G20" s="27"/>
      <c r="AJ20" s="105" t="s">
        <v>214</v>
      </c>
      <c r="AK20" s="106" t="s">
        <v>14</v>
      </c>
      <c r="AL20" s="107">
        <v>1</v>
      </c>
      <c r="AM20" s="177">
        <f t="shared" si="0"/>
        <v>3.1406779661016948</v>
      </c>
      <c r="AN20" s="109">
        <v>1</v>
      </c>
      <c r="AO20" s="101">
        <f>AL20*AM20</f>
        <v>3.1406779661016948</v>
      </c>
      <c r="AP20" s="102">
        <f t="shared" si="2"/>
        <v>3.1406779661016948</v>
      </c>
      <c r="AQ20" s="1018">
        <f>VLOOKUP(AJ20,Marination_Ordering!$A:$J,6,FALSE)</f>
        <v>1</v>
      </c>
      <c r="AR20" s="1018">
        <f>VLOOKUP(AJ20,Marination_Ordering!$A:$J,10,FALSE)</f>
        <v>35</v>
      </c>
      <c r="AS20" s="156">
        <f t="shared" si="5"/>
        <v>3.1406779661016948</v>
      </c>
      <c r="AT20" s="1018">
        <f t="shared" si="6"/>
        <v>0.10992372881355932</v>
      </c>
    </row>
    <row r="21" spans="1:46" ht="14.25" customHeight="1" x14ac:dyDescent="0.25">
      <c r="L21" s="274"/>
    </row>
    <row r="22" spans="1:46" ht="14.25" customHeight="1" x14ac:dyDescent="0.25">
      <c r="L22" s="274"/>
      <c r="S22" s="280"/>
    </row>
    <row r="23" spans="1:46" ht="14.25" customHeight="1" x14ac:dyDescent="0.25">
      <c r="L23" s="274"/>
    </row>
    <row r="24" spans="1:46" ht="14.25" customHeight="1" x14ac:dyDescent="0.25">
      <c r="L24" s="274"/>
      <c r="Z24" s="1073"/>
    </row>
    <row r="25" spans="1:46" ht="14.25" customHeight="1" x14ac:dyDescent="0.25">
      <c r="L25" s="274"/>
      <c r="R25" s="1640" t="s">
        <v>311</v>
      </c>
      <c r="S25" s="1633"/>
      <c r="T25" s="1633"/>
      <c r="U25" s="1633"/>
      <c r="V25" s="997"/>
      <c r="Z25" s="122" t="s">
        <v>252</v>
      </c>
      <c r="AA25" s="123">
        <v>1</v>
      </c>
      <c r="AB25" s="122" t="s">
        <v>249</v>
      </c>
      <c r="AC25" s="124">
        <f>(AA25*AF30)+(AA30*(AB28/R1))</f>
        <v>3.5207795776631703E-2</v>
      </c>
    </row>
    <row r="26" spans="1:46" ht="15.75" customHeight="1" x14ac:dyDescent="0.25">
      <c r="R26" s="1659" t="s">
        <v>291</v>
      </c>
      <c r="S26" s="1639"/>
      <c r="T26" s="1639"/>
      <c r="U26" s="1639"/>
      <c r="V26" s="997"/>
    </row>
    <row r="27" spans="1:46" ht="14.25" customHeight="1" thickBot="1" x14ac:dyDescent="0.3">
      <c r="R27" s="126" t="s">
        <v>254</v>
      </c>
      <c r="S27" s="127" t="s">
        <v>255</v>
      </c>
      <c r="T27" s="127" t="s">
        <v>312</v>
      </c>
      <c r="U27" s="127" t="s">
        <v>257</v>
      </c>
      <c r="V27" s="127" t="s">
        <v>772</v>
      </c>
      <c r="W27" s="127" t="s">
        <v>779</v>
      </c>
      <c r="Z27" s="122" t="s">
        <v>258</v>
      </c>
      <c r="AA27" s="1031" t="s">
        <v>312</v>
      </c>
      <c r="AB27" s="128" t="s">
        <v>259</v>
      </c>
      <c r="AC27" s="128" t="s">
        <v>260</v>
      </c>
      <c r="AD27" s="128" t="s">
        <v>261</v>
      </c>
      <c r="AE27" s="1032" t="s">
        <v>779</v>
      </c>
      <c r="AF27" s="128" t="s">
        <v>262</v>
      </c>
    </row>
    <row r="28" spans="1:46" ht="14.25" customHeight="1" thickBot="1" x14ac:dyDescent="0.3">
      <c r="B28" s="278"/>
      <c r="E28" s="84"/>
      <c r="F28" s="84"/>
      <c r="R28" s="129" t="s">
        <v>263</v>
      </c>
      <c r="S28" s="1186">
        <f>$Z$1</f>
        <v>17530</v>
      </c>
      <c r="T28" s="1215"/>
      <c r="U28" s="1174">
        <f>S28</f>
        <v>17530</v>
      </c>
      <c r="V28" s="130">
        <f>SUM(AP5:AP13)</f>
        <v>599.86949152542377</v>
      </c>
      <c r="W28" s="130">
        <f>SUM(H37:H38)</f>
        <v>365.33</v>
      </c>
      <c r="Z28" s="132"/>
      <c r="AA28" s="1034"/>
      <c r="AB28" s="1046">
        <f>AA25*$S$40</f>
        <v>1</v>
      </c>
      <c r="AC28" s="133"/>
      <c r="AD28" s="134"/>
      <c r="AE28" s="1034"/>
      <c r="AF28" s="135">
        <f>SUM(AB28:AD28)</f>
        <v>1</v>
      </c>
    </row>
    <row r="29" spans="1:46" ht="14.25" customHeight="1" thickBot="1" x14ac:dyDescent="0.25">
      <c r="A29" s="1461"/>
      <c r="B29" s="14"/>
      <c r="R29" s="129" t="s">
        <v>264</v>
      </c>
      <c r="S29" s="1218"/>
      <c r="T29" s="130"/>
      <c r="U29" s="1215">
        <f>T29</f>
        <v>0</v>
      </c>
      <c r="V29" s="130"/>
      <c r="W29" s="130"/>
      <c r="Z29" s="132"/>
      <c r="AA29" s="1038"/>
      <c r="AB29" s="137">
        <f>AB28/$AF$28</f>
        <v>1</v>
      </c>
      <c r="AC29" s="137">
        <v>0</v>
      </c>
      <c r="AD29" s="137">
        <v>0</v>
      </c>
      <c r="AE29" s="1038"/>
      <c r="AF29" s="137">
        <f>AF28/$AF$28</f>
        <v>1</v>
      </c>
    </row>
    <row r="30" spans="1:46" ht="21.75" customHeight="1" thickBot="1" x14ac:dyDescent="0.3">
      <c r="B30" s="278"/>
      <c r="E30" s="84"/>
      <c r="F30" s="84"/>
      <c r="R30" s="129" t="s">
        <v>265</v>
      </c>
      <c r="S30" s="1218">
        <f>$AB$1</f>
        <v>1000</v>
      </c>
      <c r="T30" s="1215"/>
      <c r="U30" s="1218">
        <f>S30</f>
        <v>1000</v>
      </c>
      <c r="V30" s="989"/>
      <c r="W30" s="989"/>
      <c r="Z30" s="122" t="s">
        <v>266</v>
      </c>
      <c r="AA30" s="1042">
        <f>V35/(S32/R1)</f>
        <v>7.7958076570068633E-4</v>
      </c>
      <c r="AB30" s="138">
        <f>S35/(S32)</f>
        <v>3.3701221915648401E-2</v>
      </c>
      <c r="AC30" s="139"/>
      <c r="AD30" s="139"/>
      <c r="AE30" s="1045">
        <f>W35/U32</f>
        <v>1.8525052928722652E-4</v>
      </c>
      <c r="AF30" s="1047">
        <f>SUMPRODUCT(AB30:AD30,AB29:AD29)+AE30</f>
        <v>3.3886472444935624E-2</v>
      </c>
    </row>
    <row r="31" spans="1:46" ht="26.25" customHeight="1" thickBot="1" x14ac:dyDescent="0.3">
      <c r="B31" s="278"/>
      <c r="E31" s="84"/>
      <c r="F31" s="84"/>
      <c r="R31" s="129" t="s">
        <v>267</v>
      </c>
      <c r="S31" s="136"/>
      <c r="T31" s="130"/>
      <c r="U31" s="130">
        <f>T31</f>
        <v>0</v>
      </c>
      <c r="V31" s="130"/>
      <c r="W31" s="130"/>
    </row>
    <row r="32" spans="1:46" ht="14.25" customHeight="1" thickBot="1" x14ac:dyDescent="0.3">
      <c r="B32" s="278"/>
      <c r="E32" s="84"/>
      <c r="F32" s="84"/>
      <c r="R32" s="141" t="s">
        <v>257</v>
      </c>
      <c r="S32" s="130">
        <f>S28+S30</f>
        <v>18530</v>
      </c>
      <c r="T32" s="130"/>
      <c r="U32" s="130">
        <f>S32</f>
        <v>18530</v>
      </c>
      <c r="V32" s="130"/>
      <c r="W32" s="130">
        <f>SUM(W28:W30)</f>
        <v>365.33</v>
      </c>
    </row>
    <row r="33" spans="2:23" ht="14.25" customHeight="1" thickBot="1" x14ac:dyDescent="0.3">
      <c r="R33" s="142" t="s">
        <v>268</v>
      </c>
      <c r="S33" s="136"/>
      <c r="T33" s="136"/>
      <c r="U33" s="136"/>
      <c r="V33" s="136"/>
      <c r="W33" s="136"/>
    </row>
    <row r="34" spans="2:23" ht="14.25" customHeight="1" thickBot="1" x14ac:dyDescent="0.3">
      <c r="R34" s="143" t="s">
        <v>269</v>
      </c>
      <c r="S34" s="136"/>
      <c r="T34" s="130"/>
      <c r="U34" s="136"/>
      <c r="V34" s="136"/>
      <c r="W34" s="136"/>
    </row>
    <row r="35" spans="2:23" ht="14.25" customHeight="1" thickBot="1" x14ac:dyDescent="0.3">
      <c r="B35" s="1641" t="s">
        <v>627</v>
      </c>
      <c r="C35" s="1641"/>
      <c r="D35" s="1641"/>
      <c r="E35" s="1641"/>
      <c r="F35" s="1641"/>
      <c r="G35" s="803"/>
      <c r="H35" s="803"/>
      <c r="I35" s="803"/>
      <c r="J35" s="803"/>
      <c r="K35" s="803"/>
      <c r="L35" s="803"/>
      <c r="R35" s="144" t="s">
        <v>249</v>
      </c>
      <c r="S35" s="990">
        <f>$L$5</f>
        <v>624.4836420969649</v>
      </c>
      <c r="T35" s="990"/>
      <c r="U35" s="990">
        <f>S35+T35+V35+W35</f>
        <v>652.40045574098554</v>
      </c>
      <c r="V35" s="990">
        <f>SUM(AT6:AT20)</f>
        <v>24.484121336328336</v>
      </c>
      <c r="W35" s="1049">
        <f>SUM(L37:L38)</f>
        <v>3.4326923076923075</v>
      </c>
    </row>
    <row r="36" spans="2:23" ht="61.5" customHeight="1" x14ac:dyDescent="0.25">
      <c r="B36" s="776" t="s">
        <v>241</v>
      </c>
      <c r="C36" s="776" t="s">
        <v>317</v>
      </c>
      <c r="D36" s="778" t="s">
        <v>622</v>
      </c>
      <c r="E36" s="775" t="s">
        <v>623</v>
      </c>
      <c r="F36" s="778" t="s">
        <v>624</v>
      </c>
      <c r="G36" s="797"/>
      <c r="H36" s="778" t="s">
        <v>624</v>
      </c>
      <c r="I36" s="778" t="s">
        <v>246</v>
      </c>
      <c r="J36" s="778" t="s">
        <v>247</v>
      </c>
      <c r="K36" s="778" t="s">
        <v>248</v>
      </c>
      <c r="L36" s="778" t="s">
        <v>249</v>
      </c>
    </row>
    <row r="37" spans="2:23" x14ac:dyDescent="0.25">
      <c r="B37" s="772" t="s">
        <v>686</v>
      </c>
      <c r="C37" s="773" t="s">
        <v>14</v>
      </c>
      <c r="D37" s="774">
        <v>7.0000000000000007E-2</v>
      </c>
      <c r="E37" s="772">
        <f>$AD$1</f>
        <v>119</v>
      </c>
      <c r="F37" s="772">
        <f>D37*E37</f>
        <v>8.33</v>
      </c>
      <c r="G37"/>
      <c r="H37" s="772">
        <f>F37</f>
        <v>8.33</v>
      </c>
      <c r="I37" s="772">
        <f>VLOOKUP(B37,All_Ingredients!$A$1:$F$156,6,FALSE())</f>
        <v>0.65</v>
      </c>
      <c r="J37" s="772">
        <f>VLOOKUP(B37,All_Ingredients!$A$1:$J$156,10,FALSE())</f>
        <v>45</v>
      </c>
      <c r="K37" s="772">
        <f>(H37/I37)/1000</f>
        <v>1.2815384615384614E-2</v>
      </c>
      <c r="L37" s="772">
        <f t="shared" ref="L37" si="7">K37*J37</f>
        <v>0.57669230769230762</v>
      </c>
    </row>
    <row r="38" spans="2:23" x14ac:dyDescent="0.25">
      <c r="B38" s="772" t="s">
        <v>696</v>
      </c>
      <c r="C38" s="773" t="s">
        <v>14</v>
      </c>
      <c r="D38" s="774">
        <v>3</v>
      </c>
      <c r="E38" s="772">
        <f>$AD$1</f>
        <v>119</v>
      </c>
      <c r="F38" s="772">
        <f>D38*E38</f>
        <v>357</v>
      </c>
      <c r="G38" s="27"/>
      <c r="H38" s="772">
        <f>F38</f>
        <v>357</v>
      </c>
      <c r="I38" s="772">
        <f>VLOOKUP(B38,All_Ingredients!$A$1:$F$156,6,FALSE())</f>
        <v>1</v>
      </c>
      <c r="J38" s="772">
        <f>VLOOKUP(B38,All_Ingredients!$A$1:$J$156,10,FALSE())</f>
        <v>8</v>
      </c>
      <c r="K38" s="772">
        <f>(H38/I38)/1000</f>
        <v>0.35699999999999998</v>
      </c>
      <c r="L38" s="772">
        <f t="shared" ref="L38" si="8">K38*J38</f>
        <v>2.8559999999999999</v>
      </c>
    </row>
    <row r="40" spans="2:23" ht="19.5" customHeight="1" x14ac:dyDescent="0.25">
      <c r="R40" s="146" t="s">
        <v>270</v>
      </c>
      <c r="S40" s="217">
        <v>1</v>
      </c>
      <c r="T40" s="146" t="s">
        <v>271</v>
      </c>
      <c r="U40" s="217">
        <v>0</v>
      </c>
      <c r="V40" s="149">
        <f>S40+U40</f>
        <v>1</v>
      </c>
    </row>
    <row r="41" spans="2:23" ht="14.25" customHeight="1" x14ac:dyDescent="0.25">
      <c r="U41" s="150"/>
    </row>
    <row r="42" spans="2:23" ht="14.25" customHeight="1" x14ac:dyDescent="0.25"/>
    <row r="43" spans="2:23" ht="14.25" customHeight="1" x14ac:dyDescent="0.25">
      <c r="Q43" s="151" t="s">
        <v>272</v>
      </c>
      <c r="R43" s="151" t="s">
        <v>273</v>
      </c>
      <c r="S43" s="151" t="s">
        <v>274</v>
      </c>
      <c r="T43" s="151" t="s">
        <v>275</v>
      </c>
      <c r="U43" s="151" t="s">
        <v>276</v>
      </c>
      <c r="V43" s="151" t="s">
        <v>277</v>
      </c>
      <c r="W43" s="235" t="s">
        <v>278</v>
      </c>
    </row>
    <row r="44" spans="2:23" ht="14.25" customHeight="1" x14ac:dyDescent="0.25">
      <c r="Q44" s="153">
        <v>10000</v>
      </c>
      <c r="R44" s="154">
        <f>D51</f>
        <v>10000</v>
      </c>
      <c r="S44" s="155">
        <v>0</v>
      </c>
      <c r="T44" s="155">
        <v>0</v>
      </c>
      <c r="U44" s="220">
        <f>R44*S44</f>
        <v>0</v>
      </c>
      <c r="V44" s="157">
        <f>R44*T44</f>
        <v>0</v>
      </c>
      <c r="W44" s="237">
        <f>Q44-U44</f>
        <v>10000</v>
      </c>
    </row>
    <row r="50" spans="1:10" x14ac:dyDescent="0.25">
      <c r="B50" s="279"/>
      <c r="C50" s="126" t="s">
        <v>233</v>
      </c>
      <c r="D50" s="126" t="s">
        <v>279</v>
      </c>
      <c r="E50" s="164"/>
      <c r="F50" s="84"/>
      <c r="G50" s="126" t="s">
        <v>280</v>
      </c>
      <c r="H50" s="126" t="s">
        <v>233</v>
      </c>
      <c r="I50" s="126" t="s">
        <v>281</v>
      </c>
      <c r="J50" s="126" t="s">
        <v>282</v>
      </c>
    </row>
    <row r="51" spans="1:10" ht="14.25" customHeight="1" x14ac:dyDescent="0.25">
      <c r="B51" s="161" t="s">
        <v>283</v>
      </c>
      <c r="C51" s="162">
        <f>10/$K$1</f>
        <v>10.152284263959391</v>
      </c>
      <c r="D51" s="163">
        <f>$C$1*10</f>
        <v>10000</v>
      </c>
      <c r="E51" s="164"/>
      <c r="F51" s="84"/>
      <c r="G51" s="161" t="s">
        <v>283</v>
      </c>
      <c r="H51" s="254">
        <v>10</v>
      </c>
      <c r="I51" s="162">
        <f>J51/$R$1</f>
        <v>16949.152542372882</v>
      </c>
      <c r="J51" s="162">
        <f>$W$44</f>
        <v>10000</v>
      </c>
    </row>
    <row r="52" spans="1:10" ht="14.25" customHeight="1" x14ac:dyDescent="0.25">
      <c r="B52" s="209" t="s">
        <v>262</v>
      </c>
      <c r="C52" s="210">
        <f>$I$1</f>
        <v>18.812182741116754</v>
      </c>
      <c r="D52" s="211">
        <f>$E$1</f>
        <v>18530</v>
      </c>
      <c r="E52" s="84"/>
      <c r="F52" s="84"/>
      <c r="G52" s="129" t="s">
        <v>262</v>
      </c>
      <c r="H52" s="190">
        <f>I52/$D$5</f>
        <v>18.53</v>
      </c>
      <c r="I52" s="157">
        <f>J52/$R$1</f>
        <v>31406.77966101695</v>
      </c>
      <c r="J52" s="165">
        <f>$S$32</f>
        <v>18530</v>
      </c>
    </row>
    <row r="53" spans="1:10" x14ac:dyDescent="0.25">
      <c r="B53" s="209" t="s">
        <v>284</v>
      </c>
      <c r="C53" s="212">
        <f>MIN(C52, C51)</f>
        <v>10.152284263959391</v>
      </c>
      <c r="D53" s="211">
        <f>(C53*$K$1)*$C$1</f>
        <v>10000</v>
      </c>
      <c r="E53" s="84"/>
      <c r="F53" s="84"/>
      <c r="G53" s="129" t="s">
        <v>284</v>
      </c>
      <c r="H53" s="168">
        <f>MIN(H52,H51)</f>
        <v>10</v>
      </c>
      <c r="I53" s="157">
        <f>J53/$R$1</f>
        <v>16949.152542372882</v>
      </c>
      <c r="J53" s="157">
        <f>MIN(J52,J51)</f>
        <v>10000</v>
      </c>
    </row>
    <row r="54" spans="1:10" x14ac:dyDescent="0.25">
      <c r="B54" s="209" t="s">
        <v>285</v>
      </c>
      <c r="C54" s="212">
        <f>MIN(MAX(C52-C53,0),C51)</f>
        <v>8.6598984771573626</v>
      </c>
      <c r="D54" s="211">
        <f>(C54*$K$1)*$C$1</f>
        <v>8530.0000000000036</v>
      </c>
      <c r="E54" s="84"/>
      <c r="F54" s="84"/>
      <c r="G54" s="129" t="s">
        <v>285</v>
      </c>
      <c r="H54" s="168">
        <f>MIN(MAX(H52-H53),H51)</f>
        <v>8.5300000000000011</v>
      </c>
      <c r="I54" s="157">
        <f>J54/$R$1</f>
        <v>14457.627118644068</v>
      </c>
      <c r="J54" s="157">
        <f>MIN(MAX(J52-J53),J51)</f>
        <v>8530</v>
      </c>
    </row>
    <row r="55" spans="1:10" x14ac:dyDescent="0.25">
      <c r="B55" s="209" t="s">
        <v>286</v>
      </c>
      <c r="C55" s="212">
        <f>MIN(MAX(C52-C53-C54,0),C51)</f>
        <v>0</v>
      </c>
      <c r="D55" s="211">
        <f>(C55*$K$1)*$C$1</f>
        <v>0</v>
      </c>
      <c r="E55" s="84"/>
      <c r="F55" s="84"/>
      <c r="G55" s="126" t="s">
        <v>286</v>
      </c>
      <c r="H55" s="168">
        <f>MIN(MAX(H52-H53-H54),H51)</f>
        <v>0</v>
      </c>
      <c r="I55" s="157">
        <f>J55/$R$1</f>
        <v>0</v>
      </c>
      <c r="J55" s="157">
        <f>MIN(MAX(J52-J53-J54),J51)</f>
        <v>0</v>
      </c>
    </row>
    <row r="56" spans="1:10" ht="14.25" customHeight="1" x14ac:dyDescent="0.25"/>
    <row r="57" spans="1:10" ht="14.25" customHeight="1" x14ac:dyDescent="0.25"/>
    <row r="58" spans="1:10" ht="14.25" customHeight="1" x14ac:dyDescent="0.25"/>
    <row r="60" spans="1:10" ht="48.75" customHeight="1" x14ac:dyDescent="0.25"/>
    <row r="62" spans="1:10" ht="18" customHeight="1" x14ac:dyDescent="0.25">
      <c r="A62" s="1473"/>
      <c r="B62" s="1642" t="s">
        <v>311</v>
      </c>
      <c r="C62" s="1642"/>
      <c r="D62" s="1642"/>
      <c r="E62" s="1642"/>
      <c r="F62" s="1642"/>
      <c r="G62" s="1642"/>
      <c r="H62" s="1642"/>
    </row>
    <row r="63" spans="1:10" ht="14.25" customHeight="1" x14ac:dyDescent="0.25">
      <c r="A63" s="1473"/>
      <c r="B63" s="1636"/>
      <c r="C63" s="1636"/>
      <c r="D63" s="1636"/>
      <c r="E63" s="1636"/>
      <c r="F63" s="1636"/>
      <c r="G63" s="1636"/>
      <c r="H63" s="1636"/>
    </row>
    <row r="64" spans="1:10" ht="42" customHeight="1" x14ac:dyDescent="0.2">
      <c r="A64" s="1589"/>
      <c r="B64" s="75" t="s">
        <v>241</v>
      </c>
      <c r="C64" s="90" t="s">
        <v>242</v>
      </c>
      <c r="D64" s="75" t="s">
        <v>231</v>
      </c>
      <c r="E64" s="91" t="s">
        <v>234</v>
      </c>
      <c r="F64" s="91" t="s">
        <v>243</v>
      </c>
      <c r="G64" s="75" t="s">
        <v>244</v>
      </c>
      <c r="H64" s="92" t="s">
        <v>245</v>
      </c>
    </row>
    <row r="65" spans="1:10" ht="14.25" customHeight="1" x14ac:dyDescent="0.25">
      <c r="A65" s="1471"/>
      <c r="B65" s="246" t="str">
        <f>B5</f>
        <v>Chicken - دجاج</v>
      </c>
      <c r="C65" s="106" t="str">
        <f>C5</f>
        <v>gm</v>
      </c>
      <c r="D65" s="98">
        <f>D5</f>
        <v>1694.9152542372881</v>
      </c>
      <c r="E65" s="108">
        <f>H52</f>
        <v>18.53</v>
      </c>
      <c r="F65" s="109">
        <f>F5</f>
        <v>1</v>
      </c>
      <c r="G65" s="101">
        <f>D65*E65</f>
        <v>31406.77966101695</v>
      </c>
      <c r="H65" s="102">
        <f>G65*F65</f>
        <v>31406.77966101695</v>
      </c>
    </row>
    <row r="66" spans="1:10" ht="14.25" customHeight="1" x14ac:dyDescent="0.25">
      <c r="A66" s="1471"/>
      <c r="B66" s="246"/>
      <c r="C66" s="106"/>
      <c r="D66" s="107"/>
      <c r="E66" s="108"/>
      <c r="F66" s="109"/>
      <c r="G66" s="101"/>
      <c r="H66" s="102"/>
    </row>
    <row r="67" spans="1:10" ht="31.5" customHeight="1" x14ac:dyDescent="0.3">
      <c r="A67" s="1480"/>
      <c r="B67" s="450"/>
      <c r="C67" s="451"/>
      <c r="D67" s="452"/>
      <c r="E67" s="451"/>
      <c r="F67" s="452"/>
      <c r="G67" s="451"/>
      <c r="H67" s="453"/>
    </row>
    <row r="68" spans="1:10" ht="14.25" customHeight="1" x14ac:dyDescent="0.25">
      <c r="B68" s="811"/>
      <c r="C68" s="114"/>
      <c r="D68" s="232"/>
      <c r="E68" s="116"/>
      <c r="F68" s="117"/>
      <c r="G68" s="118"/>
      <c r="H68" s="119"/>
    </row>
    <row r="69" spans="1:10" ht="14.25" customHeight="1" x14ac:dyDescent="0.25">
      <c r="B69" s="811"/>
      <c r="C69" s="114"/>
      <c r="D69" s="232"/>
      <c r="E69" s="116"/>
      <c r="F69" s="117"/>
      <c r="G69" s="118"/>
      <c r="H69" s="119"/>
    </row>
    <row r="70" spans="1:10" ht="14.25" customHeight="1" x14ac:dyDescent="0.25">
      <c r="B70" s="811"/>
      <c r="C70" s="114"/>
      <c r="D70" s="232"/>
      <c r="E70" s="116"/>
      <c r="F70" s="117"/>
      <c r="G70" s="118"/>
      <c r="H70" s="119"/>
    </row>
    <row r="71" spans="1:10" ht="14.25" customHeight="1" x14ac:dyDescent="0.25">
      <c r="B71" s="811"/>
      <c r="C71" s="114"/>
      <c r="D71" s="232"/>
      <c r="E71" s="116"/>
      <c r="F71" s="117"/>
      <c r="G71" s="118"/>
      <c r="H71" s="119"/>
    </row>
    <row r="72" spans="1:10" ht="14.25" customHeight="1" x14ac:dyDescent="0.25">
      <c r="B72" s="811"/>
      <c r="C72" s="114"/>
      <c r="D72" s="232"/>
      <c r="E72" s="116"/>
      <c r="F72" s="117"/>
      <c r="G72" s="118"/>
      <c r="H72" s="119"/>
    </row>
    <row r="73" spans="1:10" ht="14.25" customHeight="1" x14ac:dyDescent="0.25">
      <c r="B73" s="811"/>
      <c r="C73" s="114"/>
      <c r="D73" s="232"/>
      <c r="E73" s="116"/>
      <c r="F73" s="117"/>
      <c r="G73" s="118"/>
      <c r="H73" s="119"/>
    </row>
    <row r="74" spans="1:10" ht="14.25" customHeight="1" x14ac:dyDescent="0.25">
      <c r="B74" s="811"/>
      <c r="C74" s="114"/>
      <c r="D74" s="232"/>
      <c r="E74" s="116"/>
      <c r="F74" s="117"/>
      <c r="G74" s="118"/>
      <c r="H74" s="119"/>
    </row>
    <row r="75" spans="1:10" ht="14.25" customHeight="1" x14ac:dyDescent="0.25">
      <c r="B75" s="811"/>
      <c r="C75" s="114"/>
      <c r="D75" s="232"/>
      <c r="E75" s="116"/>
      <c r="F75" s="117"/>
      <c r="G75" s="118"/>
      <c r="H75" s="119"/>
    </row>
    <row r="76" spans="1:10" ht="20.25" customHeight="1" x14ac:dyDescent="0.3">
      <c r="B76" s="811"/>
      <c r="C76" s="114"/>
      <c r="D76" s="232"/>
      <c r="E76" s="116"/>
      <c r="F76" s="117"/>
      <c r="G76" s="118"/>
      <c r="H76" s="119"/>
      <c r="I76" s="184"/>
      <c r="J76" s="183"/>
    </row>
    <row r="77" spans="1:10" ht="14.25" customHeight="1" x14ac:dyDescent="0.25">
      <c r="B77" s="811"/>
      <c r="C77" s="114"/>
      <c r="D77" s="232"/>
      <c r="E77" s="116"/>
      <c r="F77" s="117"/>
      <c r="G77" s="118"/>
      <c r="H77" s="119"/>
    </row>
    <row r="78" spans="1:10" ht="14.25" customHeight="1" x14ac:dyDescent="0.25">
      <c r="B78" s="811"/>
      <c r="C78" s="114"/>
      <c r="D78" s="232"/>
      <c r="E78" s="116"/>
      <c r="F78" s="117"/>
      <c r="G78" s="118"/>
      <c r="H78" s="119"/>
    </row>
    <row r="79" spans="1:10" ht="14.25" customHeight="1" x14ac:dyDescent="0.25">
      <c r="B79" s="811"/>
      <c r="C79" s="114"/>
      <c r="D79" s="232"/>
      <c r="E79" s="116"/>
      <c r="F79" s="117"/>
      <c r="G79" s="118"/>
      <c r="H79" s="119"/>
    </row>
    <row r="80" spans="1:10" ht="14.25" customHeight="1" x14ac:dyDescent="0.25">
      <c r="B80" s="811"/>
      <c r="C80" s="114"/>
      <c r="D80" s="232"/>
      <c r="E80" s="116"/>
      <c r="F80" s="117"/>
      <c r="G80" s="118"/>
      <c r="H80" s="119"/>
    </row>
    <row r="81" spans="1:8" ht="20.25" customHeight="1" x14ac:dyDescent="0.3">
      <c r="H81" s="183"/>
    </row>
    <row r="82" spans="1:8" ht="14.25" customHeight="1" x14ac:dyDescent="0.25">
      <c r="B82" s="84"/>
      <c r="C82" s="188"/>
      <c r="D82" s="189"/>
      <c r="E82" s="84"/>
      <c r="F82" s="84"/>
    </row>
    <row r="83" spans="1:8" ht="14.25" customHeight="1" x14ac:dyDescent="0.25">
      <c r="B83" s="278"/>
      <c r="E83" s="84"/>
      <c r="F83" s="84"/>
    </row>
    <row r="84" spans="1:8" ht="14.25" customHeight="1" x14ac:dyDescent="0.25">
      <c r="B84" s="278"/>
      <c r="C84" s="84"/>
      <c r="D84" s="84"/>
      <c r="E84" s="84"/>
      <c r="F84" s="84"/>
      <c r="G84" s="84"/>
      <c r="H84" s="84"/>
    </row>
    <row r="85" spans="1:8" ht="14.25" customHeight="1" x14ac:dyDescent="0.25">
      <c r="B85" s="278"/>
      <c r="C85" s="84"/>
      <c r="D85" s="84"/>
      <c r="E85" s="84"/>
      <c r="F85" s="84"/>
      <c r="G85" s="84"/>
      <c r="H85" s="84"/>
    </row>
    <row r="86" spans="1:8" ht="18" customHeight="1" x14ac:dyDescent="0.25">
      <c r="B86" s="1660"/>
      <c r="C86" s="1655"/>
      <c r="D86" s="1655"/>
      <c r="E86" s="1655"/>
      <c r="F86" s="1655"/>
      <c r="G86" s="1655"/>
      <c r="H86" s="1655"/>
    </row>
    <row r="87" spans="1:8" ht="18" customHeight="1" x14ac:dyDescent="0.25">
      <c r="B87" s="1660"/>
      <c r="C87" s="1653"/>
      <c r="D87" s="1653"/>
      <c r="E87" s="1653"/>
      <c r="F87" s="1653"/>
      <c r="G87" s="1653"/>
      <c r="H87" s="1653"/>
    </row>
    <row r="88" spans="1:8" ht="25.5" customHeight="1" x14ac:dyDescent="0.2">
      <c r="A88" s="1470"/>
      <c r="B88" s="347"/>
      <c r="C88" s="324"/>
      <c r="D88" s="347"/>
      <c r="E88" s="347"/>
      <c r="F88" s="347"/>
      <c r="G88" s="347"/>
      <c r="H88" s="323"/>
    </row>
    <row r="89" spans="1:8" ht="14.25" customHeight="1" x14ac:dyDescent="0.25">
      <c r="B89" s="811"/>
      <c r="C89" s="76"/>
      <c r="D89" s="118"/>
      <c r="E89" s="116"/>
      <c r="F89" s="117"/>
      <c r="G89" s="118"/>
      <c r="H89" s="119"/>
    </row>
    <row r="90" spans="1:8" ht="14.25" customHeight="1" x14ac:dyDescent="0.25">
      <c r="B90" s="811"/>
      <c r="C90" s="76"/>
      <c r="D90" s="76"/>
      <c r="E90" s="116"/>
      <c r="F90" s="117"/>
      <c r="G90" s="118"/>
      <c r="H90" s="119"/>
    </row>
    <row r="91" spans="1:8" ht="14.25" customHeight="1" x14ac:dyDescent="0.25">
      <c r="B91" s="811"/>
      <c r="C91" s="76"/>
      <c r="D91" s="76"/>
      <c r="E91" s="116"/>
      <c r="F91" s="117"/>
      <c r="G91" s="118"/>
      <c r="H91" s="119"/>
    </row>
    <row r="92" spans="1:8" ht="14.25" customHeight="1" x14ac:dyDescent="0.25">
      <c r="B92" s="811"/>
      <c r="C92" s="76"/>
      <c r="D92" s="76"/>
      <c r="E92" s="116"/>
      <c r="F92" s="117"/>
      <c r="G92" s="118"/>
      <c r="H92" s="119"/>
    </row>
    <row r="93" spans="1:8" ht="14.25" customHeight="1" x14ac:dyDescent="0.25">
      <c r="B93" s="811"/>
      <c r="C93" s="76"/>
      <c r="D93" s="76"/>
      <c r="E93" s="116"/>
      <c r="F93" s="117"/>
      <c r="G93" s="118"/>
      <c r="H93" s="119"/>
    </row>
    <row r="94" spans="1:8" ht="14.25" customHeight="1" x14ac:dyDescent="0.25">
      <c r="B94" s="811"/>
      <c r="C94" s="76"/>
      <c r="D94" s="76"/>
      <c r="E94" s="116"/>
      <c r="F94" s="117"/>
      <c r="G94" s="118"/>
      <c r="H94" s="119"/>
    </row>
    <row r="95" spans="1:8" ht="14.25" customHeight="1" x14ac:dyDescent="0.25">
      <c r="B95" s="811"/>
      <c r="C95" s="76"/>
      <c r="D95" s="76"/>
      <c r="E95" s="116"/>
      <c r="F95" s="117"/>
      <c r="G95" s="118"/>
      <c r="H95" s="119"/>
    </row>
    <row r="96" spans="1:8" ht="14.25" customHeight="1" x14ac:dyDescent="0.25">
      <c r="B96" s="811"/>
      <c r="C96" s="76"/>
      <c r="D96" s="76"/>
      <c r="E96" s="116"/>
      <c r="F96" s="117"/>
      <c r="G96" s="118"/>
      <c r="H96" s="119"/>
    </row>
    <row r="97" spans="2:8" ht="14.25" customHeight="1" x14ac:dyDescent="0.25">
      <c r="B97" s="811"/>
      <c r="C97" s="76"/>
      <c r="D97" s="76"/>
      <c r="E97" s="116"/>
      <c r="F97" s="117"/>
      <c r="G97" s="118"/>
      <c r="H97" s="119"/>
    </row>
    <row r="98" spans="2:8" ht="14.25" customHeight="1" x14ac:dyDescent="0.25">
      <c r="B98" s="811"/>
      <c r="C98" s="76"/>
      <c r="D98" s="76"/>
      <c r="E98" s="116"/>
      <c r="F98" s="117"/>
      <c r="G98" s="118"/>
      <c r="H98" s="119"/>
    </row>
    <row r="99" spans="2:8" ht="14.25" customHeight="1" x14ac:dyDescent="0.25">
      <c r="B99" s="811"/>
      <c r="C99" s="76"/>
      <c r="D99" s="76"/>
      <c r="E99" s="116"/>
      <c r="F99" s="117"/>
      <c r="G99" s="118"/>
      <c r="H99" s="119"/>
    </row>
    <row r="100" spans="2:8" ht="14.25" customHeight="1" x14ac:dyDescent="0.25">
      <c r="B100" s="811"/>
      <c r="C100" s="76"/>
      <c r="D100" s="76"/>
      <c r="E100" s="116"/>
      <c r="F100" s="117"/>
      <c r="G100" s="118"/>
      <c r="H100" s="119"/>
    </row>
    <row r="101" spans="2:8" ht="14.25" customHeight="1" x14ac:dyDescent="0.25">
      <c r="B101" s="811"/>
      <c r="C101" s="76"/>
      <c r="D101" s="76"/>
      <c r="E101" s="116"/>
      <c r="F101" s="117"/>
      <c r="G101" s="118"/>
      <c r="H101" s="119"/>
    </row>
    <row r="102" spans="2:8" ht="14.25" customHeight="1" x14ac:dyDescent="0.25">
      <c r="B102" s="811"/>
      <c r="C102" s="76"/>
      <c r="D102" s="76"/>
      <c r="E102" s="116"/>
      <c r="F102" s="117"/>
      <c r="G102" s="118"/>
      <c r="H102" s="119"/>
    </row>
    <row r="103" spans="2:8" ht="14.25" customHeight="1" x14ac:dyDescent="0.25">
      <c r="B103" s="811"/>
      <c r="C103" s="76"/>
      <c r="D103" s="76"/>
      <c r="E103" s="116"/>
      <c r="F103" s="117"/>
      <c r="G103" s="118"/>
      <c r="H103" s="119"/>
    </row>
    <row r="104" spans="2:8" ht="14.25" customHeight="1" x14ac:dyDescent="0.25">
      <c r="B104" s="811"/>
      <c r="C104" s="76"/>
      <c r="D104" s="76"/>
      <c r="E104" s="116"/>
      <c r="F104" s="117"/>
      <c r="G104" s="118"/>
      <c r="H104" s="119"/>
    </row>
    <row r="105" spans="2:8" ht="20.25" customHeight="1" x14ac:dyDescent="0.3">
      <c r="B105" s="184"/>
      <c r="C105" s="450"/>
      <c r="D105" s="451"/>
      <c r="E105" s="452"/>
      <c r="F105" s="451"/>
      <c r="G105" s="453"/>
      <c r="H105" s="183"/>
    </row>
  </sheetData>
  <mergeCells count="9">
    <mergeCell ref="AL2:AM2"/>
    <mergeCell ref="AE2:AG3"/>
    <mergeCell ref="R26:U26"/>
    <mergeCell ref="B87:H87"/>
    <mergeCell ref="R25:U25"/>
    <mergeCell ref="B86:H86"/>
    <mergeCell ref="B2:H3"/>
    <mergeCell ref="B35:F35"/>
    <mergeCell ref="B62:H63"/>
  </mergeCells>
  <printOptions horizontalCentered="1"/>
  <pageMargins left="0.4" right="0.4" top="1" bottom="0.5" header="0.3" footer="0.511811023622047"/>
  <pageSetup paperSize="9" scale="48"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pageSetUpPr fitToPage="1"/>
  </sheetPr>
  <dimension ref="A1:AF974"/>
  <sheetViews>
    <sheetView topLeftCell="AI1" zoomScale="82" zoomScaleNormal="115" workbookViewId="0">
      <selection activeCell="AH6" sqref="AH6:BC9"/>
    </sheetView>
  </sheetViews>
  <sheetFormatPr defaultColWidth="12.5" defaultRowHeight="12.75" x14ac:dyDescent="0.2"/>
  <cols>
    <col min="1" max="1" width="12.5" style="1461"/>
    <col min="2" max="2" width="44.5" style="14"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625" style="14" customWidth="1"/>
    <col min="15" max="15" width="16.75" style="14" customWidth="1"/>
    <col min="16" max="17" width="12.5" style="14" customWidth="1"/>
    <col min="18" max="18" width="23" style="14" bestFit="1" customWidth="1"/>
    <col min="19" max="19" width="15.875" style="14" customWidth="1"/>
    <col min="20" max="20" width="14.25" style="14" bestFit="1" customWidth="1"/>
    <col min="21" max="25" width="12.5" style="14" customWidth="1"/>
    <col min="26" max="27" width="13.375" style="14" bestFit="1" customWidth="1"/>
    <col min="28" max="28" width="11.875" style="14" bestFit="1" customWidth="1"/>
    <col min="29" max="29" width="13.375" style="14" bestFit="1" customWidth="1"/>
    <col min="30" max="30" width="12.5" style="14" customWidth="1"/>
    <col min="31" max="16384" width="12.5" style="14"/>
  </cols>
  <sheetData>
    <row r="1" spans="1:32" ht="28.5" customHeight="1" x14ac:dyDescent="0.2">
      <c r="B1" s="64" t="s">
        <v>331</v>
      </c>
      <c r="C1" s="65">
        <v>1</v>
      </c>
      <c r="D1" s="66" t="s">
        <v>232</v>
      </c>
      <c r="E1" s="99">
        <f>U32</f>
        <v>123</v>
      </c>
      <c r="F1" s="64" t="s">
        <v>233</v>
      </c>
      <c r="G1" s="99">
        <f>E1/C1</f>
        <v>123</v>
      </c>
      <c r="H1" s="64" t="s">
        <v>234</v>
      </c>
      <c r="I1" s="99"/>
      <c r="J1" s="302" t="s">
        <v>235</v>
      </c>
      <c r="K1" s="303"/>
      <c r="L1" s="84"/>
      <c r="M1" s="84"/>
      <c r="N1" s="84"/>
      <c r="O1" s="75" t="s">
        <v>236</v>
      </c>
      <c r="P1" s="76" t="s">
        <v>332</v>
      </c>
      <c r="Q1" s="77" t="s">
        <v>238</v>
      </c>
      <c r="R1" s="76">
        <v>0.52</v>
      </c>
      <c r="S1" s="77" t="s">
        <v>333</v>
      </c>
      <c r="T1" s="304">
        <v>100</v>
      </c>
      <c r="U1" s="84"/>
      <c r="V1" s="84"/>
      <c r="Y1" s="75" t="s">
        <v>453</v>
      </c>
      <c r="Z1" s="766">
        <v>118</v>
      </c>
      <c r="AA1" s="75" t="s">
        <v>556</v>
      </c>
      <c r="AB1" s="766">
        <v>5</v>
      </c>
      <c r="AC1" s="75" t="s">
        <v>546</v>
      </c>
      <c r="AD1" s="766">
        <v>118</v>
      </c>
      <c r="AE1" s="75" t="s">
        <v>538</v>
      </c>
      <c r="AF1" s="766">
        <f>Z1+AB1</f>
        <v>123</v>
      </c>
    </row>
    <row r="2" spans="1:32" ht="12.75" customHeight="1" x14ac:dyDescent="0.2">
      <c r="A2" s="1502"/>
      <c r="B2" s="1644" t="s">
        <v>334</v>
      </c>
      <c r="C2" s="1644"/>
      <c r="D2" s="1644"/>
      <c r="E2" s="1644"/>
      <c r="F2" s="1644"/>
      <c r="G2" s="1644"/>
      <c r="H2" s="1644"/>
      <c r="I2" s="580"/>
      <c r="J2" s="580"/>
      <c r="K2" s="580"/>
      <c r="L2" s="270"/>
      <c r="M2" s="112"/>
      <c r="O2" s="84"/>
      <c r="P2" s="84"/>
      <c r="Q2" s="84"/>
      <c r="R2" s="84"/>
      <c r="S2" s="84"/>
      <c r="T2" s="84"/>
      <c r="U2" s="84"/>
    </row>
    <row r="3" spans="1:32" ht="12.75" customHeight="1" x14ac:dyDescent="0.2">
      <c r="A3" s="1502"/>
      <c r="B3" s="1645"/>
      <c r="C3" s="1645"/>
      <c r="D3" s="1645"/>
      <c r="E3" s="1645"/>
      <c r="F3" s="1645"/>
      <c r="G3" s="1645"/>
      <c r="H3" s="1645"/>
      <c r="I3" s="581"/>
      <c r="J3" s="581"/>
      <c r="K3" s="581"/>
      <c r="L3" s="270"/>
      <c r="M3" s="112"/>
      <c r="O3" s="84"/>
      <c r="P3" s="84"/>
      <c r="Q3" s="84"/>
      <c r="R3" s="84"/>
      <c r="S3" s="84"/>
      <c r="T3" s="84"/>
      <c r="U3" s="84"/>
    </row>
    <row r="4" spans="1:32" ht="69" customHeight="1" x14ac:dyDescent="0.2">
      <c r="A4" s="1589" t="s">
        <v>903</v>
      </c>
      <c r="B4" s="75" t="s">
        <v>241</v>
      </c>
      <c r="C4" s="90" t="s">
        <v>242</v>
      </c>
      <c r="D4" s="75" t="s">
        <v>482</v>
      </c>
      <c r="E4" s="91" t="s">
        <v>234</v>
      </c>
      <c r="F4" s="91" t="s">
        <v>243</v>
      </c>
      <c r="G4" s="75" t="s">
        <v>244</v>
      </c>
      <c r="H4" s="307" t="s">
        <v>335</v>
      </c>
      <c r="I4" s="75" t="s">
        <v>246</v>
      </c>
      <c r="J4" s="75" t="s">
        <v>247</v>
      </c>
      <c r="K4" s="75" t="s">
        <v>248</v>
      </c>
      <c r="L4" s="75" t="s">
        <v>249</v>
      </c>
      <c r="M4" s="112"/>
      <c r="O4" s="84"/>
      <c r="P4" s="84"/>
      <c r="Q4" s="84"/>
      <c r="R4" s="84"/>
      <c r="S4" s="84"/>
    </row>
    <row r="5" spans="1:32" ht="14.25" customHeight="1" x14ac:dyDescent="0.2">
      <c r="A5" s="1460"/>
      <c r="B5" s="107" t="s">
        <v>220</v>
      </c>
      <c r="C5" s="106" t="s">
        <v>14</v>
      </c>
      <c r="D5" s="245">
        <f>T1/R1</f>
        <v>192.30769230769229</v>
      </c>
      <c r="E5" s="98">
        <f>G1</f>
        <v>123</v>
      </c>
      <c r="F5" s="109">
        <v>1</v>
      </c>
      <c r="G5" s="103">
        <f>D5*E5</f>
        <v>23653.846153846152</v>
      </c>
      <c r="H5" s="102">
        <f>G5*F5</f>
        <v>23653.846153846152</v>
      </c>
      <c r="I5" s="65">
        <f>VLOOKUP(B5,All_Ingredients!$A$1:$F$156,6,FALSE())</f>
        <v>0.86</v>
      </c>
      <c r="J5" s="101">
        <f>VLOOKUP(B5,All_Ingredients!$A$1:$J$156,10,FALSE())</f>
        <v>17.100000000000001</v>
      </c>
      <c r="K5" s="104">
        <f>(H5/I5)/1000</f>
        <v>27.504472271914132</v>
      </c>
      <c r="L5" s="104">
        <f>K5*J5</f>
        <v>470.32647584973171</v>
      </c>
      <c r="M5" s="112"/>
    </row>
    <row r="6" spans="1:32" ht="14.25" customHeight="1" x14ac:dyDescent="0.2">
      <c r="B6" s="299" t="s">
        <v>992</v>
      </c>
      <c r="C6" s="97" t="s">
        <v>14</v>
      </c>
      <c r="D6" s="98">
        <v>10</v>
      </c>
      <c r="E6" s="98">
        <f>$G$1</f>
        <v>123</v>
      </c>
      <c r="F6" s="109">
        <v>1</v>
      </c>
      <c r="G6" s="101">
        <f>D6*E6</f>
        <v>1230</v>
      </c>
      <c r="H6" s="102">
        <f>G6*F6</f>
        <v>1230</v>
      </c>
      <c r="I6" s="65">
        <f>VLOOKUP(B6,All_Ingredients!$A$1:$F$156,6,FALSE())</f>
        <v>0.5</v>
      </c>
      <c r="J6" s="101">
        <f>VLOOKUP(B6,All_Ingredients!$A$1:$J$156,10,FALSE())</f>
        <v>8.5</v>
      </c>
      <c r="K6" s="104">
        <f>(H6/I6)/1000</f>
        <v>2.46</v>
      </c>
      <c r="L6" s="104">
        <f>K6*J6</f>
        <v>20.91</v>
      </c>
      <c r="M6" s="112"/>
      <c r="P6" s="112"/>
    </row>
    <row r="7" spans="1:32" ht="14.25" customHeight="1" x14ac:dyDescent="0.2">
      <c r="B7" s="299" t="s">
        <v>838</v>
      </c>
      <c r="C7" s="106" t="s">
        <v>230</v>
      </c>
      <c r="D7" s="98">
        <v>1</v>
      </c>
      <c r="E7" s="98">
        <f>$Z$1+$AB$1</f>
        <v>123</v>
      </c>
      <c r="F7" s="109">
        <v>1</v>
      </c>
      <c r="G7" s="103">
        <f>D7*($Z$1+$AB$1)</f>
        <v>123</v>
      </c>
      <c r="H7" s="102">
        <f>G7*F7</f>
        <v>123</v>
      </c>
      <c r="I7" s="65">
        <f>VLOOKUP(B7,All_Ingredients!$A$1:$F$156,6,FALSE())</f>
        <v>1</v>
      </c>
      <c r="J7" s="101">
        <f>VLOOKUP(B7,All_Ingredients!$A$1:$J$156,10,FALSE())</f>
        <v>0.5</v>
      </c>
      <c r="K7" s="156">
        <f>H7*I7</f>
        <v>123</v>
      </c>
      <c r="L7" s="104">
        <f>K7*J7</f>
        <v>61.5</v>
      </c>
      <c r="M7" s="112"/>
      <c r="O7" s="991"/>
      <c r="P7" s="112"/>
    </row>
    <row r="8" spans="1:32" ht="31.5" customHeight="1" x14ac:dyDescent="0.2">
      <c r="B8" s="192"/>
      <c r="C8" s="308"/>
      <c r="D8" s="192"/>
      <c r="E8" s="309"/>
      <c r="F8" s="117"/>
      <c r="G8" s="118"/>
      <c r="H8" s="119"/>
      <c r="I8" s="76"/>
      <c r="J8" s="118"/>
      <c r="K8" s="112"/>
      <c r="L8" s="112"/>
      <c r="P8" s="112"/>
    </row>
    <row r="9" spans="1:32" ht="28.5" customHeight="1" x14ac:dyDescent="0.2">
      <c r="B9" s="78" t="s">
        <v>250</v>
      </c>
      <c r="C9" s="78">
        <v>10000</v>
      </c>
      <c r="D9" s="561" t="s">
        <v>483</v>
      </c>
      <c r="E9" s="562">
        <f>$S$32*100</f>
        <v>12300</v>
      </c>
      <c r="F9" s="78" t="s">
        <v>239</v>
      </c>
      <c r="G9" s="582">
        <f>(($S$32*$T$1)/$R$1)/$C$9</f>
        <v>2.3653846153846154</v>
      </c>
      <c r="H9" s="79"/>
      <c r="I9" s="76"/>
      <c r="J9" s="118"/>
      <c r="K9" s="112"/>
      <c r="L9" s="112"/>
      <c r="P9" s="112"/>
    </row>
    <row r="10" spans="1:32" ht="14.25" customHeight="1" x14ac:dyDescent="0.2">
      <c r="B10" s="579"/>
      <c r="C10" s="1631" t="s">
        <v>334</v>
      </c>
      <c r="D10" s="1631"/>
      <c r="E10" s="1631"/>
      <c r="F10" s="1631"/>
      <c r="G10" s="85"/>
      <c r="H10" s="85"/>
      <c r="I10" s="76"/>
      <c r="J10" s="118"/>
      <c r="K10" s="112"/>
      <c r="L10" s="112"/>
    </row>
    <row r="11" spans="1:32" ht="35.25" customHeight="1" x14ac:dyDescent="0.2">
      <c r="B11" s="88"/>
      <c r="C11" s="88"/>
      <c r="D11" s="89"/>
      <c r="E11" s="89"/>
      <c r="F11" s="89"/>
      <c r="G11" s="88"/>
      <c r="H11" s="88"/>
      <c r="I11" s="76"/>
      <c r="J11" s="118"/>
      <c r="K11" s="112"/>
      <c r="L11" s="112"/>
    </row>
    <row r="12" spans="1:32" ht="41.25" customHeight="1" x14ac:dyDescent="0.2">
      <c r="B12" s="93" t="s">
        <v>241</v>
      </c>
      <c r="C12" s="94" t="s">
        <v>242</v>
      </c>
      <c r="D12" s="93" t="s">
        <v>250</v>
      </c>
      <c r="E12" s="93" t="s">
        <v>234</v>
      </c>
      <c r="F12" s="93" t="s">
        <v>243</v>
      </c>
      <c r="G12" s="93" t="s">
        <v>244</v>
      </c>
      <c r="H12" s="95" t="s">
        <v>245</v>
      </c>
      <c r="I12" s="75" t="s">
        <v>246</v>
      </c>
      <c r="J12" s="75" t="s">
        <v>247</v>
      </c>
      <c r="K12" s="75" t="s">
        <v>248</v>
      </c>
      <c r="L12" s="75" t="s">
        <v>249</v>
      </c>
      <c r="M12" s="112"/>
    </row>
    <row r="13" spans="1:32" ht="14.25" customHeight="1" x14ac:dyDescent="0.2">
      <c r="B13" s="105"/>
      <c r="C13" s="106"/>
      <c r="D13" s="107"/>
      <c r="E13" s="177"/>
      <c r="F13" s="109"/>
      <c r="G13" s="101"/>
      <c r="H13" s="102"/>
      <c r="I13" s="65"/>
      <c r="J13" s="101"/>
      <c r="K13" s="104"/>
      <c r="L13" s="104"/>
      <c r="M13" s="112"/>
    </row>
    <row r="14" spans="1:32" ht="14.25" customHeight="1" x14ac:dyDescent="0.2">
      <c r="B14" s="105" t="s">
        <v>54</v>
      </c>
      <c r="C14" s="310" t="s">
        <v>14</v>
      </c>
      <c r="D14" s="311">
        <v>100</v>
      </c>
      <c r="E14" s="177">
        <f>$G$9</f>
        <v>2.3653846153846154</v>
      </c>
      <c r="F14" s="109">
        <v>1</v>
      </c>
      <c r="G14" s="101">
        <f>D14*E14</f>
        <v>236.53846153846155</v>
      </c>
      <c r="H14" s="102">
        <f>F14*G14</f>
        <v>236.53846153846155</v>
      </c>
      <c r="I14" s="65">
        <f>VLOOKUP(B14,All_Ingredients!$A$1:$F$156,6,FALSE())</f>
        <v>0.87</v>
      </c>
      <c r="J14" s="101">
        <f>VLOOKUP(B14,All_Ingredients!$A$1:$J$156,10,FALSE())</f>
        <v>7</v>
      </c>
      <c r="K14" s="104">
        <f t="shared" ref="K14:K28" si="0">(H14/I14)/1000</f>
        <v>0.27188328912466847</v>
      </c>
      <c r="L14" s="104">
        <f t="shared" ref="L14:L28" si="1">K14*J14</f>
        <v>1.9031830238726792</v>
      </c>
      <c r="M14" s="112"/>
    </row>
    <row r="15" spans="1:32" ht="14.25" customHeight="1" x14ac:dyDescent="0.2">
      <c r="B15" s="105" t="s">
        <v>727</v>
      </c>
      <c r="C15" s="310" t="s">
        <v>14</v>
      </c>
      <c r="D15" s="311">
        <v>100</v>
      </c>
      <c r="E15" s="177">
        <f t="shared" ref="E15:E28" si="2">$G$9</f>
        <v>2.3653846153846154</v>
      </c>
      <c r="F15" s="109">
        <v>1</v>
      </c>
      <c r="G15" s="101">
        <f t="shared" ref="G15:G27" si="3">D15*E15</f>
        <v>236.53846153846155</v>
      </c>
      <c r="H15" s="102">
        <f t="shared" ref="H15:H27" si="4">F15*G15</f>
        <v>236.53846153846155</v>
      </c>
      <c r="I15" s="65">
        <f>VLOOKUP(B15,All_Ingredients!$A$1:$F$156,6,FALSE())</f>
        <v>1</v>
      </c>
      <c r="J15" s="101">
        <f>VLOOKUP(B15,All_Ingredients!$A$1:$J$156,10,FALSE())</f>
        <v>10.5</v>
      </c>
      <c r="K15" s="104">
        <f t="shared" si="0"/>
        <v>0.23653846153846156</v>
      </c>
      <c r="L15" s="104">
        <f t="shared" si="1"/>
        <v>2.4836538461538464</v>
      </c>
      <c r="M15" s="112"/>
    </row>
    <row r="16" spans="1:32" ht="14.25" customHeight="1" x14ac:dyDescent="0.2">
      <c r="B16" s="105" t="s">
        <v>105</v>
      </c>
      <c r="C16" s="310" t="s">
        <v>14</v>
      </c>
      <c r="D16" s="311">
        <v>10</v>
      </c>
      <c r="E16" s="177">
        <f t="shared" si="2"/>
        <v>2.3653846153846154</v>
      </c>
      <c r="F16" s="109">
        <v>1</v>
      </c>
      <c r="G16" s="101">
        <f t="shared" si="3"/>
        <v>23.653846153846153</v>
      </c>
      <c r="H16" s="102">
        <f t="shared" si="4"/>
        <v>23.653846153846153</v>
      </c>
      <c r="I16" s="65">
        <f>VLOOKUP(B16,All_Ingredients!$A$1:$F$156,6,FALSE())</f>
        <v>1</v>
      </c>
      <c r="J16" s="101">
        <f>VLOOKUP(B16,All_Ingredients!$A$1:$J$156,10,FALSE())</f>
        <v>15</v>
      </c>
      <c r="K16" s="104">
        <f t="shared" si="0"/>
        <v>2.3653846153846154E-2</v>
      </c>
      <c r="L16" s="104">
        <f t="shared" si="1"/>
        <v>0.35480769230769232</v>
      </c>
      <c r="M16" s="112"/>
    </row>
    <row r="17" spans="2:32" ht="14.25" customHeight="1" x14ac:dyDescent="0.2">
      <c r="B17" s="105" t="s">
        <v>107</v>
      </c>
      <c r="C17" s="310" t="s">
        <v>14</v>
      </c>
      <c r="D17" s="311">
        <v>10</v>
      </c>
      <c r="E17" s="177">
        <f t="shared" si="2"/>
        <v>2.3653846153846154</v>
      </c>
      <c r="F17" s="109">
        <v>1</v>
      </c>
      <c r="G17" s="101">
        <f t="shared" si="3"/>
        <v>23.653846153846153</v>
      </c>
      <c r="H17" s="102">
        <f t="shared" si="4"/>
        <v>23.653846153846153</v>
      </c>
      <c r="I17" s="65">
        <f>VLOOKUP(B17,All_Ingredients!$A$1:$F$156,6,FALSE())</f>
        <v>1</v>
      </c>
      <c r="J17" s="101">
        <f>VLOOKUP(B17,All_Ingredients!$A$1:$J$156,10,FALSE())</f>
        <v>8</v>
      </c>
      <c r="K17" s="104">
        <f t="shared" si="0"/>
        <v>2.3653846153846154E-2</v>
      </c>
      <c r="L17" s="104">
        <f t="shared" si="1"/>
        <v>0.18923076923076923</v>
      </c>
      <c r="M17" s="112"/>
    </row>
    <row r="18" spans="2:32" ht="14.25" customHeight="1" x14ac:dyDescent="0.2">
      <c r="B18" s="105" t="s">
        <v>93</v>
      </c>
      <c r="C18" s="310" t="s">
        <v>14</v>
      </c>
      <c r="D18" s="311">
        <v>15</v>
      </c>
      <c r="E18" s="177">
        <f t="shared" si="2"/>
        <v>2.3653846153846154</v>
      </c>
      <c r="F18" s="109">
        <v>1</v>
      </c>
      <c r="G18" s="101">
        <f t="shared" si="3"/>
        <v>35.480769230769234</v>
      </c>
      <c r="H18" s="102">
        <f t="shared" si="4"/>
        <v>35.480769230769234</v>
      </c>
      <c r="I18" s="65">
        <f>VLOOKUP(B18,All_Ingredients!$A$1:$F$156,6,FALSE())</f>
        <v>1</v>
      </c>
      <c r="J18" s="101">
        <f>VLOOKUP(B18,All_Ingredients!$A$1:$J$156,10,FALSE())</f>
        <v>0.74</v>
      </c>
      <c r="K18" s="104">
        <f t="shared" si="0"/>
        <v>3.5480769230769232E-2</v>
      </c>
      <c r="L18" s="104">
        <f t="shared" si="1"/>
        <v>2.6255769230769232E-2</v>
      </c>
      <c r="M18" s="112"/>
    </row>
    <row r="19" spans="2:32" ht="14.25" customHeight="1" x14ac:dyDescent="0.2">
      <c r="B19" s="105" t="s">
        <v>101</v>
      </c>
      <c r="C19" s="310" t="s">
        <v>14</v>
      </c>
      <c r="D19" s="311">
        <v>10</v>
      </c>
      <c r="E19" s="177">
        <f t="shared" si="2"/>
        <v>2.3653846153846154</v>
      </c>
      <c r="F19" s="109">
        <v>1</v>
      </c>
      <c r="G19" s="101">
        <f t="shared" si="3"/>
        <v>23.653846153846153</v>
      </c>
      <c r="H19" s="102">
        <f t="shared" si="4"/>
        <v>23.653846153846153</v>
      </c>
      <c r="I19" s="65">
        <f>VLOOKUP(B19,All_Ingredients!$A$1:$F$156,6,FALSE())</f>
        <v>1</v>
      </c>
      <c r="J19" s="101">
        <f>VLOOKUP(B19,All_Ingredients!$A$1:$J$156,10,FALSE())</f>
        <v>47</v>
      </c>
      <c r="K19" s="104">
        <f t="shared" si="0"/>
        <v>2.3653846153846154E-2</v>
      </c>
      <c r="L19" s="104">
        <f t="shared" si="1"/>
        <v>1.1117307692307692</v>
      </c>
      <c r="M19" s="118"/>
      <c r="N19" s="112"/>
      <c r="O19" s="112"/>
    </row>
    <row r="20" spans="2:32" ht="14.25" customHeight="1" x14ac:dyDescent="0.2">
      <c r="B20" s="105" t="s">
        <v>172</v>
      </c>
      <c r="C20" s="310" t="s">
        <v>14</v>
      </c>
      <c r="D20" s="311">
        <v>100</v>
      </c>
      <c r="E20" s="177">
        <f t="shared" si="2"/>
        <v>2.3653846153846154</v>
      </c>
      <c r="F20" s="109">
        <v>1</v>
      </c>
      <c r="G20" s="101">
        <f t="shared" si="3"/>
        <v>236.53846153846155</v>
      </c>
      <c r="H20" s="102">
        <f t="shared" si="4"/>
        <v>236.53846153846155</v>
      </c>
      <c r="I20" s="65">
        <f>VLOOKUP(B20,All_Ingredients!$A$1:$F$156,6,FALSE())</f>
        <v>1</v>
      </c>
      <c r="J20" s="101">
        <f>VLOOKUP(B20,All_Ingredients!$A$1:$J$156,10,FALSE())</f>
        <v>17.934782608695652</v>
      </c>
      <c r="K20" s="104">
        <f t="shared" si="0"/>
        <v>0.23653846153846156</v>
      </c>
      <c r="L20" s="104">
        <f t="shared" si="1"/>
        <v>4.2422658862876261</v>
      </c>
      <c r="M20" s="118"/>
      <c r="N20" s="112"/>
      <c r="O20" s="112"/>
    </row>
    <row r="21" spans="2:32" ht="12.75" customHeight="1" x14ac:dyDescent="0.2">
      <c r="B21" s="105" t="s">
        <v>212</v>
      </c>
      <c r="C21" s="310" t="s">
        <v>160</v>
      </c>
      <c r="D21" s="311">
        <v>200</v>
      </c>
      <c r="E21" s="177">
        <f t="shared" si="2"/>
        <v>2.3653846153846154</v>
      </c>
      <c r="F21" s="109">
        <v>1</v>
      </c>
      <c r="G21" s="101">
        <f t="shared" si="3"/>
        <v>473.07692307692309</v>
      </c>
      <c r="H21" s="102">
        <f t="shared" si="4"/>
        <v>473.07692307692309</v>
      </c>
      <c r="I21" s="65">
        <f>VLOOKUP(B21,All_Ingredients!$A$1:$F$156,6,FALSE())</f>
        <v>1</v>
      </c>
      <c r="J21" s="101">
        <f>VLOOKUP(B21,All_Ingredients!$A$1:$J$156,10,FALSE())</f>
        <v>5</v>
      </c>
      <c r="K21" s="104">
        <f t="shared" si="0"/>
        <v>0.47307692307692312</v>
      </c>
      <c r="L21" s="104">
        <f t="shared" si="1"/>
        <v>2.3653846153846154</v>
      </c>
      <c r="M21" s="118"/>
      <c r="N21" s="112"/>
      <c r="O21" s="112"/>
    </row>
    <row r="22" spans="2:32" ht="12.75" customHeight="1" x14ac:dyDescent="0.2">
      <c r="B22" s="105" t="s">
        <v>728</v>
      </c>
      <c r="C22" s="310" t="s">
        <v>14</v>
      </c>
      <c r="D22" s="311">
        <v>50</v>
      </c>
      <c r="E22" s="177">
        <f t="shared" si="2"/>
        <v>2.3653846153846154</v>
      </c>
      <c r="F22" s="109">
        <v>1</v>
      </c>
      <c r="G22" s="101">
        <f t="shared" si="3"/>
        <v>118.26923076923077</v>
      </c>
      <c r="H22" s="102">
        <f t="shared" si="4"/>
        <v>118.26923076923077</v>
      </c>
      <c r="I22" s="65">
        <f>VLOOKUP(B22,All_Ingredients!$A$1:$F$156,6,FALSE())</f>
        <v>1</v>
      </c>
      <c r="J22" s="101">
        <f>VLOOKUP(B22,All_Ingredients!$A$1:$J$156,10,FALSE())</f>
        <v>40.74074074074074</v>
      </c>
      <c r="K22" s="104">
        <f t="shared" si="0"/>
        <v>0.11826923076923078</v>
      </c>
      <c r="L22" s="104">
        <f t="shared" si="1"/>
        <v>4.818376068376069</v>
      </c>
      <c r="M22" s="118"/>
      <c r="N22" s="112"/>
      <c r="O22" s="112"/>
    </row>
    <row r="23" spans="2:32" ht="14.25" x14ac:dyDescent="0.2">
      <c r="B23" s="105" t="s">
        <v>166</v>
      </c>
      <c r="C23" s="310" t="s">
        <v>160</v>
      </c>
      <c r="D23" s="311">
        <v>1000</v>
      </c>
      <c r="E23" s="177">
        <f t="shared" si="2"/>
        <v>2.3653846153846154</v>
      </c>
      <c r="F23" s="109">
        <v>1</v>
      </c>
      <c r="G23" s="101">
        <f t="shared" si="3"/>
        <v>2365.3846153846152</v>
      </c>
      <c r="H23" s="102">
        <f t="shared" si="4"/>
        <v>2365.3846153846152</v>
      </c>
      <c r="I23" s="65">
        <f>VLOOKUP(B23,All_Ingredients!$A$1:$F$156,6,FALSE())</f>
        <v>1</v>
      </c>
      <c r="J23" s="101">
        <f>VLOOKUP(B23,All_Ingredients!$A$1:$J$156,10,FALSE())</f>
        <v>12.666666666666666</v>
      </c>
      <c r="K23" s="104">
        <f t="shared" si="0"/>
        <v>2.3653846153846154</v>
      </c>
      <c r="L23" s="104">
        <f t="shared" si="1"/>
        <v>29.96153846153846</v>
      </c>
    </row>
    <row r="24" spans="2:32" ht="14.25" x14ac:dyDescent="0.2">
      <c r="B24" s="105" t="s">
        <v>128</v>
      </c>
      <c r="C24" s="310" t="s">
        <v>14</v>
      </c>
      <c r="D24" s="311">
        <v>10</v>
      </c>
      <c r="E24" s="177">
        <f t="shared" si="2"/>
        <v>2.3653846153846154</v>
      </c>
      <c r="F24" s="109">
        <v>1</v>
      </c>
      <c r="G24" s="101">
        <f t="shared" si="3"/>
        <v>23.653846153846153</v>
      </c>
      <c r="H24" s="102">
        <f t="shared" si="4"/>
        <v>23.653846153846153</v>
      </c>
      <c r="I24" s="65">
        <f>VLOOKUP(B24,All_Ingredients!$A$1:$F$156,6,FALSE())</f>
        <v>1</v>
      </c>
      <c r="J24" s="101">
        <f>VLOOKUP(B24,All_Ingredients!$A$1:$J$156,10,FALSE())</f>
        <v>107</v>
      </c>
      <c r="K24" s="104">
        <f t="shared" si="0"/>
        <v>2.3653846153846154E-2</v>
      </c>
      <c r="L24" s="104">
        <f t="shared" si="1"/>
        <v>2.5309615384615385</v>
      </c>
    </row>
    <row r="25" spans="2:32" ht="14.25" customHeight="1" x14ac:dyDescent="0.2">
      <c r="B25" s="105" t="s">
        <v>163</v>
      </c>
      <c r="C25" s="310" t="s">
        <v>14</v>
      </c>
      <c r="D25" s="311">
        <v>200</v>
      </c>
      <c r="E25" s="177">
        <f t="shared" si="2"/>
        <v>2.3653846153846154</v>
      </c>
      <c r="F25" s="109">
        <v>1</v>
      </c>
      <c r="G25" s="101">
        <f t="shared" si="3"/>
        <v>473.07692307692309</v>
      </c>
      <c r="H25" s="102">
        <f t="shared" si="4"/>
        <v>473.07692307692309</v>
      </c>
      <c r="I25" s="65">
        <f>VLOOKUP(B25,All_Ingredients!$A$1:$F$156,6,FALSE())</f>
        <v>1</v>
      </c>
      <c r="J25" s="101">
        <f>VLOOKUP(B25,All_Ingredients!$A$1:$J$156,10,FALSE())</f>
        <v>6.6959999999999997</v>
      </c>
      <c r="K25" s="104">
        <f t="shared" si="0"/>
        <v>0.47307692307692312</v>
      </c>
      <c r="L25" s="104">
        <f t="shared" si="1"/>
        <v>3.1677230769230769</v>
      </c>
      <c r="R25" s="1662" t="s">
        <v>334</v>
      </c>
      <c r="S25" s="1633"/>
      <c r="T25" s="1633"/>
      <c r="U25" s="1633"/>
      <c r="V25" s="1052"/>
      <c r="W25" s="1052"/>
      <c r="X25" s="1052"/>
      <c r="Z25" s="122" t="s">
        <v>784</v>
      </c>
      <c r="AA25" s="123">
        <v>1</v>
      </c>
      <c r="AB25" s="122" t="s">
        <v>249</v>
      </c>
      <c r="AC25" s="124">
        <f>AF30*AA25</f>
        <v>5.1336379397550216</v>
      </c>
    </row>
    <row r="26" spans="2:32" ht="14.25" customHeight="1" x14ac:dyDescent="0.2">
      <c r="B26" s="105" t="s">
        <v>60</v>
      </c>
      <c r="C26" s="310" t="s">
        <v>14</v>
      </c>
      <c r="D26" s="311">
        <v>10</v>
      </c>
      <c r="E26" s="177">
        <f t="shared" si="2"/>
        <v>2.3653846153846154</v>
      </c>
      <c r="F26" s="109">
        <v>1</v>
      </c>
      <c r="G26" s="101">
        <f t="shared" si="3"/>
        <v>23.653846153846153</v>
      </c>
      <c r="H26" s="102">
        <f t="shared" si="4"/>
        <v>23.653846153846153</v>
      </c>
      <c r="I26" s="65">
        <f>VLOOKUP(B26,All_Ingredients!$A$1:$F$156,6,FALSE())</f>
        <v>0.94</v>
      </c>
      <c r="J26" s="101">
        <f>VLOOKUP(B26,All_Ingredients!$A$1:$J$156,10,FALSE())</f>
        <v>3.6363636363636367</v>
      </c>
      <c r="K26" s="104">
        <f t="shared" si="0"/>
        <v>2.5163666121112933E-2</v>
      </c>
      <c r="L26" s="104">
        <f t="shared" si="1"/>
        <v>9.1504240440410681E-2</v>
      </c>
      <c r="R26" s="1646" t="s">
        <v>291</v>
      </c>
      <c r="S26" s="1655"/>
      <c r="T26" s="1655"/>
      <c r="U26" s="1655"/>
      <c r="V26" s="1052"/>
      <c r="W26" s="1052"/>
      <c r="X26" s="1052"/>
    </row>
    <row r="27" spans="2:32" ht="14.25" customHeight="1" thickBot="1" x14ac:dyDescent="0.25">
      <c r="B27" s="105" t="s">
        <v>34</v>
      </c>
      <c r="C27" s="310" t="s">
        <v>14</v>
      </c>
      <c r="D27" s="311">
        <v>35</v>
      </c>
      <c r="E27" s="177">
        <f t="shared" si="2"/>
        <v>2.3653846153846154</v>
      </c>
      <c r="F27" s="109">
        <v>1</v>
      </c>
      <c r="G27" s="101">
        <f t="shared" si="3"/>
        <v>82.788461538461533</v>
      </c>
      <c r="H27" s="102">
        <f t="shared" si="4"/>
        <v>82.788461538461533</v>
      </c>
      <c r="I27" s="65">
        <f>VLOOKUP(B27,All_Ingredients!$A$1:$F$156,6,FALSE())</f>
        <v>0.86</v>
      </c>
      <c r="J27" s="101">
        <f>VLOOKUP(B27,All_Ingredients!$A$1:$J$156,10,FALSE())</f>
        <v>14</v>
      </c>
      <c r="K27" s="104">
        <f t="shared" si="0"/>
        <v>9.6265652951699462E-2</v>
      </c>
      <c r="L27" s="104">
        <f t="shared" si="1"/>
        <v>1.3477191413237926</v>
      </c>
      <c r="R27" s="126" t="s">
        <v>254</v>
      </c>
      <c r="S27" s="126" t="s">
        <v>358</v>
      </c>
      <c r="T27" s="126" t="s">
        <v>256</v>
      </c>
      <c r="U27" s="126" t="s">
        <v>257</v>
      </c>
      <c r="V27" s="127" t="s">
        <v>312</v>
      </c>
      <c r="W27" s="127" t="s">
        <v>785</v>
      </c>
      <c r="X27" s="127" t="s">
        <v>780</v>
      </c>
      <c r="Z27" s="122" t="s">
        <v>258</v>
      </c>
      <c r="AA27" s="1031" t="s">
        <v>312</v>
      </c>
      <c r="AB27" s="128" t="s">
        <v>259</v>
      </c>
      <c r="AC27" s="128" t="s">
        <v>260</v>
      </c>
      <c r="AD27" s="128" t="s">
        <v>783</v>
      </c>
      <c r="AE27" s="128" t="s">
        <v>780</v>
      </c>
      <c r="AF27" s="128" t="s">
        <v>262</v>
      </c>
    </row>
    <row r="28" spans="2:32" ht="14.25" customHeight="1" thickBot="1" x14ac:dyDescent="0.25">
      <c r="B28" s="105" t="s">
        <v>32</v>
      </c>
      <c r="C28" s="310" t="s">
        <v>14</v>
      </c>
      <c r="D28" s="311">
        <v>50</v>
      </c>
      <c r="E28" s="177">
        <f t="shared" si="2"/>
        <v>2.3653846153846154</v>
      </c>
      <c r="F28" s="109">
        <v>1</v>
      </c>
      <c r="G28" s="101">
        <f>D28*E28</f>
        <v>118.26923076923077</v>
      </c>
      <c r="H28" s="102">
        <f>F28*G28</f>
        <v>118.26923076923077</v>
      </c>
      <c r="I28" s="65">
        <f>VLOOKUP(B28,All_Ingredients!$A$1:$F$156,6,FALSE())</f>
        <v>0.69</v>
      </c>
      <c r="J28" s="101">
        <f>VLOOKUP(B28,All_Ingredients!$A$1:$J$156,10,FALSE())</f>
        <v>4</v>
      </c>
      <c r="K28" s="104">
        <f t="shared" si="0"/>
        <v>0.17140468227424752</v>
      </c>
      <c r="L28" s="104">
        <f t="shared" si="1"/>
        <v>0.68561872909699006</v>
      </c>
      <c r="M28" s="314"/>
      <c r="R28" s="126" t="s">
        <v>263</v>
      </c>
      <c r="S28" s="1206">
        <f>$Z$1</f>
        <v>118</v>
      </c>
      <c r="T28" s="1216"/>
      <c r="U28" s="1216"/>
      <c r="V28" s="130">
        <f>SUM(H14:H28)</f>
        <v>4494.2307692307686</v>
      </c>
      <c r="W28" s="130">
        <f>K6</f>
        <v>2.46</v>
      </c>
      <c r="X28" s="130">
        <f>Z1+AB1</f>
        <v>123</v>
      </c>
      <c r="Z28" s="132"/>
      <c r="AA28" s="1034"/>
      <c r="AB28" s="133">
        <f>AA25*$S$40</f>
        <v>1</v>
      </c>
      <c r="AC28" s="133">
        <f>AA25-AB28</f>
        <v>0</v>
      </c>
      <c r="AD28" s="1051"/>
      <c r="AE28" s="1051"/>
      <c r="AF28" s="135">
        <f>SUM(AB28:AC28)</f>
        <v>1</v>
      </c>
    </row>
    <row r="29" spans="2:32" ht="14.25" customHeight="1" thickBot="1" x14ac:dyDescent="0.25">
      <c r="C29"/>
      <c r="R29" s="126" t="s">
        <v>264</v>
      </c>
      <c r="S29" s="1224"/>
      <c r="T29" s="315"/>
      <c r="U29" s="1216">
        <f>T29</f>
        <v>0</v>
      </c>
      <c r="V29" s="130"/>
      <c r="W29" s="130"/>
      <c r="X29" s="130"/>
      <c r="Z29" s="132"/>
      <c r="AA29" s="1038"/>
      <c r="AB29" s="137">
        <f>AB28/$AF$28</f>
        <v>1</v>
      </c>
      <c r="AC29" s="137">
        <f>AC28/$AF$28</f>
        <v>0</v>
      </c>
      <c r="AD29" s="1051"/>
      <c r="AE29" s="1051"/>
      <c r="AF29" s="137">
        <f>AF28/$AF$28</f>
        <v>1</v>
      </c>
    </row>
    <row r="30" spans="2:32" ht="14.25" customHeight="1" thickBot="1" x14ac:dyDescent="0.25">
      <c r="R30" s="126" t="s">
        <v>265</v>
      </c>
      <c r="S30" s="1207">
        <f>$AB$1</f>
        <v>5</v>
      </c>
      <c r="T30" s="1216"/>
      <c r="U30" s="1216"/>
      <c r="V30" s="989"/>
      <c r="W30" s="989"/>
      <c r="X30" s="989"/>
      <c r="Z30" s="122" t="s">
        <v>266</v>
      </c>
      <c r="AA30" s="1042">
        <f>V35/AF1</f>
        <v>0.44943051729966749</v>
      </c>
      <c r="AB30" s="138">
        <f>S35/AD1</f>
        <v>3.985817591946879</v>
      </c>
      <c r="AC30" s="1050">
        <f>T35/AD1</f>
        <v>0</v>
      </c>
      <c r="AD30" s="991">
        <f>W35/AD1</f>
        <v>0.17720338983050848</v>
      </c>
      <c r="AE30" s="991">
        <f>X35/AD1</f>
        <v>0.52118644067796616</v>
      </c>
      <c r="AF30" s="1048">
        <f>SUMPRODUCT(AB30:AC30,AB29:AC29)+AA30+AD30+AE30</f>
        <v>5.1336379397550216</v>
      </c>
    </row>
    <row r="31" spans="2:32" ht="14.25" customHeight="1" thickBot="1" x14ac:dyDescent="0.25">
      <c r="R31" s="126" t="s">
        <v>267</v>
      </c>
      <c r="S31" s="271" t="s">
        <v>310</v>
      </c>
      <c r="T31" s="315">
        <f>T28+T29</f>
        <v>0</v>
      </c>
      <c r="U31" s="315">
        <f>T31</f>
        <v>0</v>
      </c>
      <c r="V31" s="130"/>
      <c r="W31" s="130"/>
      <c r="X31" s="130"/>
    </row>
    <row r="32" spans="2:32" ht="14.25" customHeight="1" thickBot="1" x14ac:dyDescent="0.25">
      <c r="R32" s="127" t="s">
        <v>257</v>
      </c>
      <c r="S32" s="316">
        <f>S28+S30</f>
        <v>123</v>
      </c>
      <c r="T32" s="316">
        <f>SUM(T28:T30)</f>
        <v>0</v>
      </c>
      <c r="U32" s="316">
        <f>T32+S32</f>
        <v>123</v>
      </c>
      <c r="V32" s="130"/>
      <c r="W32" s="130">
        <f>SUM(W28:W30)</f>
        <v>2.46</v>
      </c>
      <c r="X32" s="130"/>
    </row>
    <row r="33" spans="2:24" ht="14.25" customHeight="1" thickBot="1" x14ac:dyDescent="0.3">
      <c r="R33" s="317" t="s">
        <v>254</v>
      </c>
      <c r="S33" s="318"/>
      <c r="T33" s="318">
        <f>F40+F59</f>
        <v>0</v>
      </c>
      <c r="U33" s="319"/>
      <c r="V33" s="136"/>
      <c r="W33" s="136"/>
      <c r="X33" s="136"/>
    </row>
    <row r="34" spans="2:24" ht="14.25" customHeight="1" thickBot="1" x14ac:dyDescent="0.25">
      <c r="R34" s="159" t="s">
        <v>269</v>
      </c>
      <c r="S34" s="320"/>
      <c r="T34" s="321">
        <f>T33-(T28+T29)</f>
        <v>0</v>
      </c>
      <c r="U34" s="320"/>
      <c r="V34" s="136"/>
      <c r="W34" s="136"/>
      <c r="X34" s="136"/>
    </row>
    <row r="35" spans="2:24" ht="12.75" customHeight="1" thickBot="1" x14ac:dyDescent="0.25">
      <c r="R35" s="144" t="s">
        <v>249</v>
      </c>
      <c r="S35" s="990">
        <f>$L$5</f>
        <v>470.32647584973171</v>
      </c>
      <c r="T35" s="990">
        <f>SUM(O6:O19)</f>
        <v>0</v>
      </c>
      <c r="U35" s="990">
        <f>S35+T35</f>
        <v>470.32647584973171</v>
      </c>
      <c r="V35" s="990">
        <f>SUM(L14:L28)</f>
        <v>55.279953627859101</v>
      </c>
      <c r="W35" s="1049">
        <f>L6</f>
        <v>20.91</v>
      </c>
      <c r="X35" s="1049">
        <f>L7</f>
        <v>61.5</v>
      </c>
    </row>
    <row r="36" spans="2:24" ht="12.75" customHeight="1" x14ac:dyDescent="0.2"/>
    <row r="37" spans="2:24" ht="12.75" customHeight="1" x14ac:dyDescent="0.2"/>
    <row r="38" spans="2:24" ht="12.75" customHeight="1" x14ac:dyDescent="0.2"/>
    <row r="39" spans="2:24" ht="12.75" customHeight="1" x14ac:dyDescent="0.2">
      <c r="B39" s="84"/>
      <c r="E39" s="84"/>
      <c r="F39" s="84"/>
    </row>
    <row r="40" spans="2:24" ht="46.5" customHeight="1" x14ac:dyDescent="0.2">
      <c r="B40" s="84"/>
      <c r="C40" s="84"/>
      <c r="D40" s="322"/>
      <c r="E40" s="84"/>
      <c r="F40" s="84"/>
      <c r="G40" s="84"/>
      <c r="H40" s="84"/>
      <c r="I40" s="84"/>
      <c r="J40" s="84"/>
      <c r="R40" s="146" t="s">
        <v>270</v>
      </c>
      <c r="S40" s="147">
        <v>1</v>
      </c>
      <c r="T40" s="146" t="s">
        <v>271</v>
      </c>
      <c r="U40" s="148">
        <v>0</v>
      </c>
      <c r="V40" s="149">
        <f>S40+U40</f>
        <v>1</v>
      </c>
    </row>
    <row r="41" spans="2:24" ht="18" customHeight="1" x14ac:dyDescent="0.2">
      <c r="B41" s="84"/>
      <c r="C41" s="84"/>
      <c r="D41" s="84"/>
      <c r="E41" s="84"/>
      <c r="F41" s="84"/>
      <c r="G41" s="84"/>
      <c r="H41" s="84"/>
      <c r="I41" s="84"/>
      <c r="J41" s="84"/>
      <c r="U41" s="150"/>
    </row>
    <row r="42" spans="2:24" ht="18" customHeight="1" x14ac:dyDescent="0.2">
      <c r="B42" s="261"/>
    </row>
    <row r="43" spans="2:24" ht="12.75" customHeight="1" x14ac:dyDescent="0.2">
      <c r="B43" s="239"/>
      <c r="Q43" s="151" t="s">
        <v>272</v>
      </c>
      <c r="R43" s="151" t="s">
        <v>273</v>
      </c>
      <c r="S43" s="151" t="s">
        <v>274</v>
      </c>
      <c r="T43" s="151" t="s">
        <v>275</v>
      </c>
      <c r="U43" s="151" t="s">
        <v>276</v>
      </c>
      <c r="V43" s="151" t="s">
        <v>277</v>
      </c>
      <c r="W43" s="151" t="s">
        <v>278</v>
      </c>
    </row>
    <row r="44" spans="2:24" ht="14.25" customHeight="1" x14ac:dyDescent="0.2">
      <c r="B44" s="323"/>
      <c r="C44" s="324"/>
      <c r="D44" s="323"/>
      <c r="E44" s="323"/>
      <c r="F44" s="323"/>
      <c r="G44" s="323"/>
      <c r="H44" s="323"/>
      <c r="I44" s="323"/>
      <c r="J44" s="323"/>
      <c r="Q44" s="153">
        <v>18841</v>
      </c>
      <c r="R44" s="154">
        <f>E53</f>
        <v>0</v>
      </c>
      <c r="S44" s="155">
        <v>0</v>
      </c>
      <c r="T44" s="155">
        <v>0</v>
      </c>
      <c r="U44" s="220">
        <f>R44*S44</f>
        <v>0</v>
      </c>
      <c r="V44" s="157">
        <f>R44*T44</f>
        <v>0</v>
      </c>
      <c r="W44" s="157">
        <f>Q44-U44</f>
        <v>18841</v>
      </c>
    </row>
    <row r="45" spans="2:24" ht="14.25" customHeight="1" x14ac:dyDescent="0.2">
      <c r="B45" s="325"/>
      <c r="C45" s="325"/>
      <c r="D45" s="309"/>
      <c r="E45" s="309"/>
      <c r="F45" s="117"/>
      <c r="G45" s="118"/>
      <c r="H45" s="119"/>
      <c r="I45" s="76"/>
      <c r="J45" s="120"/>
    </row>
    <row r="46" spans="2:24" ht="14.25" customHeight="1" x14ac:dyDescent="0.2">
      <c r="B46" s="325"/>
      <c r="C46" s="325"/>
      <c r="D46" s="309"/>
      <c r="E46" s="309"/>
      <c r="F46" s="117"/>
      <c r="G46" s="118"/>
      <c r="H46" s="119"/>
      <c r="I46" s="76"/>
      <c r="J46" s="120"/>
    </row>
    <row r="47" spans="2:24" ht="14.25" customHeight="1" x14ac:dyDescent="0.2">
      <c r="B47" s="325"/>
      <c r="C47" s="325"/>
      <c r="D47" s="309"/>
      <c r="E47" s="309"/>
      <c r="F47" s="117"/>
      <c r="G47" s="118"/>
      <c r="H47" s="119"/>
      <c r="I47" s="76"/>
      <c r="J47" s="120"/>
    </row>
    <row r="48" spans="2:24" ht="14.25" customHeight="1" x14ac:dyDescent="0.2">
      <c r="B48" s="325"/>
      <c r="C48" s="325"/>
      <c r="D48" s="309"/>
      <c r="E48" s="309"/>
      <c r="F48" s="117"/>
      <c r="G48" s="118"/>
      <c r="H48" s="119"/>
      <c r="I48" s="76"/>
      <c r="J48" s="120"/>
    </row>
    <row r="49" spans="2:10" ht="14.25" customHeight="1" x14ac:dyDescent="0.2">
      <c r="B49" s="325"/>
      <c r="C49" s="325"/>
      <c r="D49" s="309"/>
      <c r="E49" s="309"/>
      <c r="F49" s="117"/>
      <c r="G49" s="118"/>
      <c r="H49" s="119"/>
      <c r="I49" s="76"/>
      <c r="J49" s="120"/>
    </row>
    <row r="50" spans="2:10" ht="14.25" customHeight="1" x14ac:dyDescent="0.2">
      <c r="B50" s="325"/>
      <c r="C50" s="325"/>
      <c r="D50" s="309"/>
      <c r="E50" s="309"/>
      <c r="F50" s="117"/>
      <c r="G50" s="84"/>
      <c r="H50" s="84"/>
      <c r="I50" s="84"/>
      <c r="J50" s="84"/>
    </row>
    <row r="51" spans="2:10" ht="14.25" customHeight="1" x14ac:dyDescent="0.2">
      <c r="B51" s="325"/>
      <c r="C51" s="325"/>
      <c r="D51" s="309"/>
      <c r="E51" s="309"/>
      <c r="F51" s="117"/>
    </row>
    <row r="52" spans="2:10" ht="14.25" customHeight="1" x14ac:dyDescent="0.2">
      <c r="B52" s="160"/>
      <c r="C52" s="160"/>
      <c r="D52" s="160"/>
      <c r="E52" s="84"/>
      <c r="F52" s="84"/>
    </row>
    <row r="53" spans="2:10" ht="14.25" customHeight="1" x14ac:dyDescent="0.2">
      <c r="B53" s="160"/>
      <c r="C53" s="813"/>
      <c r="D53" s="838">
        <f>(C53*$K$1)*$C$1</f>
        <v>0</v>
      </c>
      <c r="E53" s="164"/>
      <c r="F53" s="84"/>
      <c r="G53" s="323"/>
      <c r="H53" s="323"/>
      <c r="I53" s="323"/>
      <c r="J53" s="323"/>
    </row>
    <row r="54" spans="2:10" ht="14.25" customHeight="1" x14ac:dyDescent="0.2">
      <c r="B54" s="11"/>
      <c r="C54" s="312"/>
      <c r="D54" s="447">
        <f>(C54*$K$1)*$C$1</f>
        <v>0</v>
      </c>
      <c r="E54" s="84"/>
      <c r="F54" s="84"/>
      <c r="G54" s="118"/>
      <c r="H54" s="119"/>
      <c r="I54" s="76"/>
      <c r="J54" s="120"/>
    </row>
    <row r="55" spans="2:10" ht="14.25" customHeight="1" x14ac:dyDescent="0.2">
      <c r="B55" s="11"/>
      <c r="C55" s="312"/>
      <c r="D55" s="447">
        <f>(C55*$K$1)*$C$1</f>
        <v>0</v>
      </c>
      <c r="E55" s="84"/>
      <c r="F55" s="84"/>
      <c r="G55" s="118"/>
      <c r="H55" s="119"/>
      <c r="I55" s="76"/>
      <c r="J55" s="120"/>
    </row>
    <row r="56" spans="2:10" ht="14.25" customHeight="1" x14ac:dyDescent="0.2">
      <c r="B56" s="11"/>
      <c r="C56" s="312"/>
      <c r="D56" s="313"/>
      <c r="E56" s="84"/>
      <c r="F56" s="84"/>
      <c r="G56" s="118"/>
      <c r="H56" s="119"/>
      <c r="I56" s="76"/>
      <c r="J56" s="120"/>
    </row>
    <row r="57" spans="2:10" ht="18" customHeight="1" x14ac:dyDescent="0.2">
      <c r="B57" s="11"/>
      <c r="C57" s="312"/>
      <c r="D57" s="313"/>
      <c r="E57" s="84"/>
      <c r="F57" s="84"/>
      <c r="G57" s="118"/>
      <c r="H57" s="119"/>
      <c r="I57" s="76"/>
      <c r="J57" s="120"/>
    </row>
    <row r="58" spans="2:10" ht="12.75" customHeight="1" x14ac:dyDescent="0.2">
      <c r="B58" s="239"/>
    </row>
    <row r="59" spans="2:10" ht="14.25" customHeight="1" x14ac:dyDescent="0.2">
      <c r="B59" s="323"/>
      <c r="C59" s="324"/>
      <c r="D59" s="323"/>
      <c r="E59" s="323"/>
      <c r="F59" s="323"/>
      <c r="G59" s="323"/>
      <c r="H59" s="323"/>
      <c r="I59" s="323"/>
      <c r="J59" s="323"/>
    </row>
    <row r="60" spans="2:10" ht="14.25" customHeight="1" x14ac:dyDescent="0.2">
      <c r="B60" s="325"/>
      <c r="C60" s="325"/>
      <c r="D60" s="325"/>
      <c r="E60" s="309"/>
      <c r="F60" s="117"/>
      <c r="G60" s="118"/>
      <c r="H60" s="119"/>
      <c r="I60" s="76"/>
      <c r="J60" s="120"/>
    </row>
    <row r="61" spans="2:10" ht="14.25" customHeight="1" x14ac:dyDescent="0.2">
      <c r="B61" s="325"/>
      <c r="C61" s="325"/>
      <c r="D61" s="325"/>
      <c r="E61" s="309"/>
      <c r="F61" s="117"/>
      <c r="G61" s="118"/>
      <c r="H61" s="119"/>
      <c r="I61" s="76"/>
      <c r="J61" s="120"/>
    </row>
    <row r="62" spans="2:10" ht="12.75" customHeight="1" x14ac:dyDescent="0.2">
      <c r="B62" s="325"/>
      <c r="C62" s="325"/>
      <c r="D62" s="325"/>
      <c r="E62" s="309"/>
      <c r="F62" s="117"/>
      <c r="G62" s="118"/>
      <c r="H62" s="119"/>
      <c r="I62" s="76"/>
      <c r="J62" s="120"/>
    </row>
    <row r="63" spans="2:10" ht="18" customHeight="1" x14ac:dyDescent="0.2">
      <c r="B63" s="1660"/>
      <c r="C63" s="1660"/>
      <c r="D63" s="1660"/>
      <c r="E63" s="1660"/>
      <c r="F63" s="1660"/>
      <c r="G63" s="1660"/>
      <c r="H63" s="1660"/>
    </row>
    <row r="64" spans="2:10" ht="36" customHeight="1" x14ac:dyDescent="0.2">
      <c r="B64" s="1660"/>
      <c r="C64" s="1660"/>
      <c r="D64" s="1660"/>
      <c r="E64" s="1660"/>
      <c r="F64" s="1660"/>
      <c r="G64" s="1660"/>
      <c r="H64" s="1660"/>
    </row>
    <row r="65" spans="1:12" ht="14.25" customHeight="1" x14ac:dyDescent="0.2">
      <c r="A65" s="1470"/>
      <c r="B65" s="323"/>
      <c r="C65" s="324"/>
      <c r="D65" s="323"/>
      <c r="E65" s="323"/>
      <c r="F65" s="323"/>
      <c r="G65" s="323"/>
      <c r="H65" s="323"/>
    </row>
    <row r="66" spans="1:12" ht="14.25" customHeight="1" x14ac:dyDescent="0.2">
      <c r="B66" s="325"/>
      <c r="C66" s="325"/>
      <c r="D66" s="812"/>
      <c r="E66" s="273"/>
      <c r="F66" s="117"/>
      <c r="G66" s="121"/>
      <c r="H66" s="119"/>
      <c r="I66" s="76"/>
      <c r="J66" s="118"/>
      <c r="K66" s="76"/>
      <c r="L66" s="118"/>
    </row>
    <row r="67" spans="1:12" ht="14.25" customHeight="1" x14ac:dyDescent="0.2">
      <c r="B67" s="325"/>
      <c r="C67" s="325"/>
      <c r="D67" s="325"/>
      <c r="E67" s="449"/>
      <c r="F67" s="117"/>
      <c r="G67" s="118"/>
      <c r="H67" s="119"/>
    </row>
    <row r="68" spans="1:12" ht="14.25" customHeight="1" x14ac:dyDescent="0.2">
      <c r="B68" s="325"/>
      <c r="C68" s="325"/>
      <c r="D68" s="325"/>
      <c r="E68" s="449"/>
      <c r="F68" s="117"/>
      <c r="G68" s="118"/>
      <c r="H68" s="119"/>
    </row>
    <row r="69" spans="1:12" ht="14.25" customHeight="1" x14ac:dyDescent="0.2">
      <c r="B69" s="325"/>
      <c r="C69" s="325"/>
      <c r="D69" s="325"/>
      <c r="E69" s="449"/>
      <c r="F69" s="117"/>
      <c r="G69" s="118"/>
      <c r="H69" s="119"/>
    </row>
    <row r="70" spans="1:12" ht="14.25" customHeight="1" x14ac:dyDescent="0.2">
      <c r="B70" s="325"/>
      <c r="C70" s="325"/>
      <c r="D70" s="325"/>
      <c r="E70" s="449"/>
      <c r="F70" s="117"/>
      <c r="G70" s="118"/>
      <c r="H70" s="119"/>
    </row>
    <row r="71" spans="1:12" ht="14.25" customHeight="1" x14ac:dyDescent="0.2">
      <c r="B71" s="325"/>
      <c r="C71" s="325"/>
      <c r="D71" s="325"/>
      <c r="E71" s="449"/>
      <c r="F71" s="117"/>
      <c r="G71" s="118"/>
      <c r="H71" s="119"/>
    </row>
    <row r="72" spans="1:12" ht="14.25" customHeight="1" x14ac:dyDescent="0.2">
      <c r="B72" s="325"/>
      <c r="C72" s="325"/>
      <c r="D72" s="325"/>
      <c r="E72" s="449"/>
      <c r="F72" s="117"/>
      <c r="G72" s="118"/>
      <c r="H72" s="119"/>
    </row>
    <row r="73" spans="1:12" ht="14.25" customHeight="1" x14ac:dyDescent="0.2">
      <c r="B73" s="325"/>
      <c r="C73" s="325"/>
      <c r="D73" s="325"/>
      <c r="E73" s="449"/>
      <c r="F73" s="117"/>
      <c r="G73" s="118"/>
      <c r="H73" s="119"/>
    </row>
    <row r="74" spans="1:12" ht="14.25" customHeight="1" x14ac:dyDescent="0.2">
      <c r="B74" s="325"/>
      <c r="C74" s="325"/>
      <c r="D74" s="325"/>
      <c r="E74" s="449"/>
      <c r="F74" s="117"/>
      <c r="G74" s="118"/>
      <c r="H74" s="119"/>
    </row>
    <row r="75" spans="1:12" ht="14.25" customHeight="1" x14ac:dyDescent="0.2">
      <c r="B75" s="325"/>
      <c r="C75" s="325"/>
      <c r="D75" s="325"/>
      <c r="E75" s="449"/>
      <c r="F75" s="117"/>
      <c r="G75" s="118"/>
      <c r="H75" s="119"/>
    </row>
    <row r="76" spans="1:12" ht="20.25" customHeight="1" x14ac:dyDescent="0.2">
      <c r="B76" s="325"/>
      <c r="C76" s="325"/>
      <c r="D76" s="325"/>
      <c r="E76" s="449"/>
      <c r="F76" s="117"/>
      <c r="G76" s="118"/>
      <c r="H76" s="119"/>
    </row>
    <row r="77" spans="1:12" ht="20.25" x14ac:dyDescent="0.3">
      <c r="B77" s="184"/>
      <c r="C77" s="450"/>
      <c r="D77" s="451"/>
      <c r="E77" s="452"/>
      <c r="F77" s="451"/>
      <c r="G77" s="453"/>
    </row>
    <row r="78" spans="1:12" ht="12.75" customHeight="1" x14ac:dyDescent="0.2"/>
    <row r="79" spans="1:12" ht="12.75" customHeight="1" x14ac:dyDescent="0.2">
      <c r="E79" s="84"/>
      <c r="F79" s="84"/>
    </row>
    <row r="80" spans="1:12" ht="12.75" customHeight="1" x14ac:dyDescent="0.2">
      <c r="E80" s="84"/>
      <c r="F80" s="84"/>
    </row>
    <row r="81" spans="2:6" ht="12.75" customHeight="1" x14ac:dyDescent="0.2">
      <c r="B81" s="84"/>
      <c r="E81" s="84"/>
      <c r="F81" s="84"/>
    </row>
    <row r="82" spans="2:6" ht="12.75" customHeight="1" x14ac:dyDescent="0.2">
      <c r="B82" s="84"/>
      <c r="E82" s="84"/>
      <c r="F82" s="84"/>
    </row>
    <row r="83" spans="2:6" ht="12.75" customHeight="1" x14ac:dyDescent="0.2">
      <c r="B83" s="84"/>
      <c r="E83" s="84"/>
      <c r="F83" s="84"/>
    </row>
    <row r="84" spans="2:6" ht="12.75" customHeight="1" x14ac:dyDescent="0.2">
      <c r="B84" s="84"/>
      <c r="E84" s="84"/>
      <c r="F84" s="84"/>
    </row>
    <row r="85" spans="2:6" ht="12.75" customHeight="1" x14ac:dyDescent="0.2">
      <c r="B85" s="84"/>
      <c r="E85" s="84"/>
      <c r="F85" s="84"/>
    </row>
    <row r="86" spans="2:6" ht="12.75" customHeight="1" x14ac:dyDescent="0.2">
      <c r="B86" s="84"/>
      <c r="E86" s="84"/>
      <c r="F86" s="84"/>
    </row>
    <row r="87" spans="2:6" ht="12.75" customHeight="1" x14ac:dyDescent="0.2">
      <c r="B87" s="84"/>
      <c r="E87" s="84"/>
      <c r="F87" s="84"/>
    </row>
    <row r="88" spans="2:6" ht="12.75" customHeight="1" x14ac:dyDescent="0.2">
      <c r="B88" s="84"/>
      <c r="E88" s="84"/>
      <c r="F88" s="84"/>
    </row>
    <row r="89" spans="2:6" ht="12.75" customHeight="1" x14ac:dyDescent="0.2">
      <c r="B89" s="84"/>
      <c r="E89" s="84"/>
      <c r="F89" s="84"/>
    </row>
    <row r="90" spans="2:6" ht="12.75" customHeight="1" x14ac:dyDescent="0.2">
      <c r="B90" s="84"/>
      <c r="E90" s="84"/>
      <c r="F90" s="84"/>
    </row>
    <row r="91" spans="2:6" ht="12.75" customHeight="1" x14ac:dyDescent="0.2">
      <c r="B91" s="84"/>
      <c r="E91" s="84"/>
      <c r="F91" s="84"/>
    </row>
    <row r="92" spans="2:6" ht="12.75" customHeight="1" x14ac:dyDescent="0.2">
      <c r="B92" s="84"/>
      <c r="E92" s="84"/>
      <c r="F92" s="84"/>
    </row>
    <row r="93" spans="2:6" ht="12.75" customHeight="1" x14ac:dyDescent="0.2">
      <c r="B93" s="84"/>
      <c r="E93" s="84"/>
      <c r="F93" s="84"/>
    </row>
    <row r="94" spans="2:6" ht="12.75" customHeight="1" x14ac:dyDescent="0.2">
      <c r="B94" s="84"/>
      <c r="E94" s="84"/>
      <c r="F94" s="84"/>
    </row>
    <row r="95" spans="2:6" ht="12.75" customHeight="1" x14ac:dyDescent="0.2">
      <c r="B95" s="84"/>
      <c r="E95" s="84"/>
      <c r="F95" s="84"/>
    </row>
    <row r="96" spans="2:6" ht="12.75" customHeight="1" x14ac:dyDescent="0.2">
      <c r="B96" s="84"/>
      <c r="E96" s="84"/>
      <c r="F96" s="84"/>
    </row>
    <row r="97" spans="2:6" ht="12.75" customHeight="1" x14ac:dyDescent="0.2">
      <c r="B97" s="84"/>
      <c r="E97" s="84"/>
      <c r="F97" s="84"/>
    </row>
    <row r="98" spans="2:6" ht="12.75" customHeight="1" x14ac:dyDescent="0.2">
      <c r="B98" s="84"/>
      <c r="E98" s="84"/>
      <c r="F98" s="84"/>
    </row>
    <row r="99" spans="2:6" ht="12.75" customHeight="1" x14ac:dyDescent="0.2">
      <c r="B99" s="84"/>
      <c r="E99" s="84"/>
      <c r="F99" s="84"/>
    </row>
    <row r="100" spans="2:6" ht="12.75" customHeight="1" x14ac:dyDescent="0.2">
      <c r="B100" s="84"/>
      <c r="E100" s="84"/>
      <c r="F100" s="84"/>
    </row>
    <row r="101" spans="2:6" ht="12.75" customHeight="1" x14ac:dyDescent="0.2">
      <c r="B101" s="84"/>
      <c r="E101" s="84"/>
      <c r="F101" s="84"/>
    </row>
    <row r="102" spans="2:6" ht="12.75" customHeight="1" x14ac:dyDescent="0.2">
      <c r="B102" s="84"/>
      <c r="E102" s="84"/>
      <c r="F102" s="84"/>
    </row>
    <row r="103" spans="2:6" ht="12.75" customHeight="1" x14ac:dyDescent="0.2">
      <c r="B103" s="84"/>
      <c r="E103" s="84"/>
      <c r="F103" s="84"/>
    </row>
    <row r="104" spans="2:6" ht="12.75" customHeight="1" x14ac:dyDescent="0.2">
      <c r="B104" s="84"/>
      <c r="E104" s="84"/>
      <c r="F104" s="84"/>
    </row>
    <row r="105" spans="2:6" ht="12.75" customHeight="1" x14ac:dyDescent="0.2">
      <c r="B105" s="84"/>
      <c r="E105" s="84"/>
      <c r="F105" s="84"/>
    </row>
    <row r="106" spans="2:6" ht="12.75" customHeight="1" x14ac:dyDescent="0.2">
      <c r="B106" s="84"/>
      <c r="E106" s="84"/>
      <c r="F106" s="84"/>
    </row>
    <row r="107" spans="2:6" ht="12.75" customHeight="1" x14ac:dyDescent="0.2">
      <c r="B107" s="84"/>
      <c r="E107" s="84"/>
      <c r="F107" s="84"/>
    </row>
    <row r="108" spans="2:6" ht="12.75" customHeight="1" x14ac:dyDescent="0.2">
      <c r="B108" s="84"/>
      <c r="E108" s="84"/>
      <c r="F108" s="84"/>
    </row>
    <row r="109" spans="2:6" ht="12.75" customHeight="1" x14ac:dyDescent="0.2">
      <c r="B109" s="84"/>
      <c r="E109" s="84"/>
      <c r="F109" s="84"/>
    </row>
    <row r="110" spans="2:6" ht="12.75" customHeight="1" x14ac:dyDescent="0.2">
      <c r="B110" s="84"/>
      <c r="E110" s="84"/>
      <c r="F110" s="84"/>
    </row>
    <row r="111" spans="2:6" ht="12.75" customHeight="1" x14ac:dyDescent="0.2">
      <c r="B111" s="84"/>
      <c r="E111" s="84"/>
      <c r="F111" s="84"/>
    </row>
    <row r="112" spans="2:6" ht="12.75" customHeight="1" x14ac:dyDescent="0.2">
      <c r="B112" s="84"/>
      <c r="E112" s="84"/>
      <c r="F112" s="84"/>
    </row>
    <row r="113" spans="2:6" ht="12.75" customHeight="1" x14ac:dyDescent="0.2">
      <c r="B113" s="84"/>
      <c r="E113" s="84"/>
      <c r="F113" s="84"/>
    </row>
    <row r="114" spans="2:6" ht="12.75" customHeight="1" x14ac:dyDescent="0.2">
      <c r="B114" s="84"/>
      <c r="E114" s="84"/>
      <c r="F114" s="84"/>
    </row>
    <row r="115" spans="2:6" ht="12.75" customHeight="1" x14ac:dyDescent="0.2">
      <c r="B115" s="84"/>
      <c r="E115" s="84"/>
      <c r="F115" s="84"/>
    </row>
    <row r="116" spans="2:6" ht="12.75" customHeight="1" x14ac:dyDescent="0.2">
      <c r="B116" s="84"/>
      <c r="E116" s="84"/>
      <c r="F116" s="84"/>
    </row>
    <row r="117" spans="2:6" ht="12.75" customHeight="1" x14ac:dyDescent="0.2">
      <c r="B117" s="84"/>
      <c r="E117" s="84"/>
      <c r="F117" s="84"/>
    </row>
    <row r="118" spans="2:6" ht="12.75" customHeight="1" x14ac:dyDescent="0.2">
      <c r="B118" s="84"/>
      <c r="E118" s="84"/>
      <c r="F118" s="84"/>
    </row>
    <row r="119" spans="2:6" ht="12.75" customHeight="1" x14ac:dyDescent="0.2">
      <c r="B119" s="84"/>
      <c r="E119" s="84"/>
      <c r="F119" s="84"/>
    </row>
    <row r="120" spans="2:6" ht="12.75" customHeight="1" x14ac:dyDescent="0.2">
      <c r="B120" s="84"/>
      <c r="E120" s="84"/>
      <c r="F120" s="84"/>
    </row>
    <row r="121" spans="2:6" ht="12.75" customHeight="1" x14ac:dyDescent="0.2">
      <c r="B121" s="84"/>
      <c r="E121" s="84"/>
      <c r="F121" s="84"/>
    </row>
    <row r="122" spans="2:6" ht="12.75" customHeight="1" x14ac:dyDescent="0.2">
      <c r="B122" s="84"/>
      <c r="E122" s="84"/>
      <c r="F122" s="84"/>
    </row>
    <row r="123" spans="2:6" ht="12.75" customHeight="1" x14ac:dyDescent="0.2">
      <c r="B123" s="84"/>
      <c r="E123" s="84"/>
      <c r="F123" s="84"/>
    </row>
    <row r="124" spans="2:6" ht="12.75" customHeight="1" x14ac:dyDescent="0.2">
      <c r="B124" s="84"/>
      <c r="E124" s="84"/>
      <c r="F124" s="84"/>
    </row>
    <row r="125" spans="2:6" ht="12.75" customHeight="1" x14ac:dyDescent="0.2">
      <c r="B125" s="84"/>
      <c r="E125" s="84"/>
      <c r="F125" s="84"/>
    </row>
    <row r="126" spans="2:6" ht="12.75" customHeight="1" x14ac:dyDescent="0.2">
      <c r="B126" s="84"/>
      <c r="E126" s="84"/>
      <c r="F126" s="84"/>
    </row>
    <row r="127" spans="2:6" ht="12.75" customHeight="1" x14ac:dyDescent="0.2">
      <c r="B127" s="84"/>
      <c r="E127" s="84"/>
      <c r="F127" s="84"/>
    </row>
    <row r="128" spans="2:6" ht="12.75" customHeight="1" x14ac:dyDescent="0.2">
      <c r="B128" s="84"/>
      <c r="E128" s="84"/>
      <c r="F128" s="84"/>
    </row>
    <row r="129" spans="2:6" ht="12.75" customHeight="1" x14ac:dyDescent="0.2">
      <c r="B129" s="84"/>
      <c r="E129" s="84"/>
      <c r="F129" s="84"/>
    </row>
    <row r="130" spans="2:6" ht="12.75" customHeight="1" x14ac:dyDescent="0.2">
      <c r="B130" s="84"/>
      <c r="E130" s="84"/>
      <c r="F130" s="84"/>
    </row>
    <row r="131" spans="2:6" ht="12.75" customHeight="1" x14ac:dyDescent="0.2">
      <c r="B131" s="84"/>
      <c r="E131" s="84"/>
      <c r="F131" s="84"/>
    </row>
    <row r="132" spans="2:6" ht="12.75" customHeight="1" x14ac:dyDescent="0.2">
      <c r="B132" s="84"/>
      <c r="E132" s="84"/>
      <c r="F132" s="84"/>
    </row>
    <row r="133" spans="2:6" ht="12.75" customHeight="1" x14ac:dyDescent="0.2">
      <c r="B133" s="84"/>
      <c r="E133" s="84"/>
      <c r="F133" s="84"/>
    </row>
    <row r="134" spans="2:6" ht="12.75" customHeight="1" x14ac:dyDescent="0.2">
      <c r="B134" s="84"/>
      <c r="E134" s="84"/>
      <c r="F134" s="84"/>
    </row>
    <row r="135" spans="2:6" ht="12.75" customHeight="1" x14ac:dyDescent="0.2">
      <c r="B135" s="84"/>
      <c r="E135" s="84"/>
      <c r="F135" s="84"/>
    </row>
    <row r="136" spans="2:6" ht="12.75" customHeight="1" x14ac:dyDescent="0.2">
      <c r="B136" s="84"/>
      <c r="E136" s="84"/>
      <c r="F136" s="84"/>
    </row>
    <row r="137" spans="2:6" ht="12.75" customHeight="1" x14ac:dyDescent="0.2">
      <c r="B137" s="84"/>
      <c r="E137" s="84"/>
      <c r="F137" s="84"/>
    </row>
    <row r="138" spans="2:6" ht="12.75" customHeight="1" x14ac:dyDescent="0.2">
      <c r="B138" s="84"/>
      <c r="E138" s="84"/>
      <c r="F138" s="84"/>
    </row>
    <row r="139" spans="2:6" ht="12.75" customHeight="1" x14ac:dyDescent="0.2">
      <c r="B139" s="84"/>
      <c r="E139" s="84"/>
      <c r="F139" s="84"/>
    </row>
    <row r="140" spans="2:6" ht="12.75" customHeight="1" x14ac:dyDescent="0.2">
      <c r="B140" s="84"/>
      <c r="E140" s="84"/>
      <c r="F140" s="84"/>
    </row>
    <row r="141" spans="2:6" ht="12.75" customHeight="1" x14ac:dyDescent="0.2">
      <c r="B141" s="84"/>
      <c r="E141" s="84"/>
      <c r="F141" s="84"/>
    </row>
    <row r="142" spans="2:6" ht="12.75" customHeight="1" x14ac:dyDescent="0.2">
      <c r="B142" s="84"/>
      <c r="E142" s="84"/>
      <c r="F142" s="84"/>
    </row>
    <row r="143" spans="2:6" ht="12.75" customHeight="1" x14ac:dyDescent="0.2">
      <c r="B143" s="84"/>
      <c r="E143" s="84"/>
      <c r="F143" s="84"/>
    </row>
    <row r="144" spans="2:6" ht="12.75" customHeight="1" x14ac:dyDescent="0.2">
      <c r="B144" s="84"/>
      <c r="E144" s="84"/>
      <c r="F144" s="84"/>
    </row>
    <row r="145" spans="2:6" ht="12.75" customHeight="1" x14ac:dyDescent="0.2">
      <c r="B145" s="84"/>
      <c r="E145" s="84"/>
      <c r="F145" s="84"/>
    </row>
    <row r="146" spans="2:6" ht="12.75" customHeight="1" x14ac:dyDescent="0.2">
      <c r="B146" s="84"/>
      <c r="E146" s="84"/>
      <c r="F146" s="84"/>
    </row>
    <row r="147" spans="2:6" ht="12.75" customHeight="1" x14ac:dyDescent="0.2">
      <c r="B147" s="84"/>
      <c r="E147" s="84"/>
      <c r="F147" s="84"/>
    </row>
    <row r="148" spans="2:6" ht="12.75" customHeight="1" x14ac:dyDescent="0.2">
      <c r="B148" s="84"/>
      <c r="E148" s="84"/>
      <c r="F148" s="84"/>
    </row>
    <row r="149" spans="2:6" ht="12.75" customHeight="1" x14ac:dyDescent="0.2">
      <c r="B149" s="84"/>
      <c r="E149" s="84"/>
      <c r="F149" s="84"/>
    </row>
    <row r="150" spans="2:6" ht="12.75" customHeight="1" x14ac:dyDescent="0.2">
      <c r="B150" s="84"/>
      <c r="E150" s="84"/>
      <c r="F150" s="84"/>
    </row>
    <row r="151" spans="2:6" ht="12.75" customHeight="1" x14ac:dyDescent="0.2">
      <c r="B151" s="84"/>
      <c r="E151" s="84"/>
      <c r="F151" s="84"/>
    </row>
    <row r="152" spans="2:6" ht="12.75" customHeight="1" x14ac:dyDescent="0.2">
      <c r="B152" s="84"/>
      <c r="E152" s="84"/>
      <c r="F152" s="84"/>
    </row>
    <row r="153" spans="2:6" ht="12.75" customHeight="1" x14ac:dyDescent="0.2">
      <c r="B153" s="84"/>
      <c r="E153" s="84"/>
      <c r="F153" s="84"/>
    </row>
    <row r="154" spans="2:6" ht="12.75" customHeight="1" x14ac:dyDescent="0.2">
      <c r="B154" s="84"/>
      <c r="E154" s="84"/>
      <c r="F154" s="84"/>
    </row>
    <row r="155" spans="2:6" ht="12.75" customHeight="1" x14ac:dyDescent="0.2">
      <c r="B155" s="84"/>
      <c r="E155" s="84"/>
      <c r="F155" s="84"/>
    </row>
    <row r="156" spans="2:6" ht="12.75" customHeight="1" x14ac:dyDescent="0.2">
      <c r="B156" s="84"/>
      <c r="E156" s="84"/>
      <c r="F156" s="84"/>
    </row>
    <row r="157" spans="2:6" ht="12.75" customHeight="1" x14ac:dyDescent="0.2">
      <c r="B157" s="84"/>
      <c r="E157" s="84"/>
      <c r="F157" s="84"/>
    </row>
    <row r="158" spans="2:6" ht="12.75" customHeight="1" x14ac:dyDescent="0.2">
      <c r="B158" s="84"/>
      <c r="E158" s="84"/>
      <c r="F158" s="84"/>
    </row>
    <row r="159" spans="2:6" ht="12.75" customHeight="1" x14ac:dyDescent="0.2">
      <c r="B159" s="84"/>
      <c r="E159" s="84"/>
      <c r="F159" s="84"/>
    </row>
    <row r="160" spans="2:6" ht="12.75" customHeight="1" x14ac:dyDescent="0.2">
      <c r="B160" s="84"/>
      <c r="E160" s="84"/>
      <c r="F160" s="84"/>
    </row>
    <row r="161" spans="2:6" ht="12.75" customHeight="1" x14ac:dyDescent="0.2">
      <c r="B161" s="84"/>
      <c r="E161" s="84"/>
      <c r="F161" s="84"/>
    </row>
    <row r="162" spans="2:6" ht="12.75" customHeight="1" x14ac:dyDescent="0.2">
      <c r="B162" s="84"/>
      <c r="E162" s="84"/>
      <c r="F162" s="84"/>
    </row>
    <row r="163" spans="2:6" ht="12.75" customHeight="1" x14ac:dyDescent="0.2">
      <c r="B163" s="84"/>
      <c r="E163" s="84"/>
      <c r="F163" s="84"/>
    </row>
    <row r="164" spans="2:6" ht="12.75" customHeight="1" x14ac:dyDescent="0.2">
      <c r="B164" s="84"/>
      <c r="E164" s="84"/>
      <c r="F164" s="84"/>
    </row>
    <row r="165" spans="2:6" ht="12.75" customHeight="1" x14ac:dyDescent="0.2">
      <c r="B165" s="84"/>
      <c r="E165" s="84"/>
      <c r="F165" s="84"/>
    </row>
    <row r="166" spans="2:6" ht="12.75" customHeight="1" x14ac:dyDescent="0.2">
      <c r="B166" s="84"/>
      <c r="E166" s="84"/>
      <c r="F166" s="84"/>
    </row>
    <row r="167" spans="2:6" ht="12.75" customHeight="1" x14ac:dyDescent="0.2">
      <c r="B167" s="84"/>
      <c r="E167" s="84"/>
      <c r="F167" s="84"/>
    </row>
    <row r="168" spans="2:6" ht="12.75" customHeight="1" x14ac:dyDescent="0.2">
      <c r="B168" s="84"/>
      <c r="E168" s="84"/>
      <c r="F168" s="84"/>
    </row>
    <row r="169" spans="2:6" ht="12.75" customHeight="1" x14ac:dyDescent="0.2">
      <c r="B169" s="84"/>
      <c r="E169" s="84"/>
      <c r="F169" s="84"/>
    </row>
    <row r="170" spans="2:6" ht="12.75" customHeight="1" x14ac:dyDescent="0.2">
      <c r="B170" s="84"/>
      <c r="E170" s="84"/>
      <c r="F170" s="84"/>
    </row>
    <row r="171" spans="2:6" ht="12.75" customHeight="1" x14ac:dyDescent="0.2">
      <c r="B171" s="84"/>
      <c r="E171" s="84"/>
      <c r="F171" s="84"/>
    </row>
    <row r="172" spans="2:6" ht="12.75" customHeight="1" x14ac:dyDescent="0.2">
      <c r="B172" s="84"/>
      <c r="E172" s="84"/>
      <c r="F172" s="84"/>
    </row>
    <row r="173" spans="2:6" ht="12.75" customHeight="1" x14ac:dyDescent="0.2">
      <c r="B173" s="84"/>
      <c r="E173" s="84"/>
      <c r="F173" s="84"/>
    </row>
    <row r="174" spans="2:6" ht="12.75" customHeight="1" x14ac:dyDescent="0.2">
      <c r="B174" s="84"/>
      <c r="E174" s="84"/>
      <c r="F174" s="84"/>
    </row>
    <row r="175" spans="2:6" ht="12.75" customHeight="1" x14ac:dyDescent="0.2">
      <c r="B175" s="84"/>
      <c r="E175" s="84"/>
      <c r="F175" s="84"/>
    </row>
    <row r="176" spans="2: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row r="972" spans="2:6" ht="12.75" customHeight="1" x14ac:dyDescent="0.2">
      <c r="B972" s="84"/>
      <c r="E972" s="84"/>
      <c r="F972" s="84"/>
    </row>
    <row r="973" spans="2:6" ht="12.75" customHeight="1" x14ac:dyDescent="0.2">
      <c r="B973" s="84"/>
      <c r="E973" s="84"/>
      <c r="F973" s="84"/>
    </row>
    <row r="974" spans="2:6" x14ac:dyDescent="0.2">
      <c r="B974" s="84"/>
      <c r="E974" s="84"/>
      <c r="F974" s="84"/>
    </row>
  </sheetData>
  <mergeCells count="6">
    <mergeCell ref="B2:H3"/>
    <mergeCell ref="B63:H63"/>
    <mergeCell ref="B64:H64"/>
    <mergeCell ref="R26:U26"/>
    <mergeCell ref="R25:U25"/>
    <mergeCell ref="C10:F10"/>
  </mergeCells>
  <printOptions horizontalCentered="1"/>
  <pageMargins left="0.5" right="0.5" top="1" bottom="0.5" header="0.3" footer="0.511811023622047"/>
  <pageSetup paperSize="9" scale="30"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5B93C-78BA-4608-BE25-56E94876A796}">
  <sheetPr codeName="Sheet82">
    <tabColor rgb="FF00B050"/>
    <pageSetUpPr fitToPage="1"/>
  </sheetPr>
  <dimension ref="A1:AD55"/>
  <sheetViews>
    <sheetView topLeftCell="H1" zoomScale="85" zoomScaleNormal="85" workbookViewId="0">
      <selection activeCell="R31" sqref="R31"/>
    </sheetView>
  </sheetViews>
  <sheetFormatPr defaultColWidth="12.5" defaultRowHeight="12.75" x14ac:dyDescent="0.2"/>
  <cols>
    <col min="1" max="1" width="8.125" style="629" customWidth="1"/>
    <col min="2" max="2" width="30.625" style="629" customWidth="1"/>
    <col min="3" max="3" width="24" style="629" customWidth="1"/>
    <col min="4" max="4" width="21.875" style="629" customWidth="1"/>
    <col min="5" max="5" width="16.125" style="629" customWidth="1"/>
    <col min="6" max="6" width="14.375" style="629" customWidth="1"/>
    <col min="7" max="7" width="15.375" style="629" customWidth="1"/>
    <col min="8" max="8" width="24.625" style="629" customWidth="1"/>
    <col min="9" max="9" width="14.625" style="629" customWidth="1"/>
    <col min="10" max="11" width="12.5" style="629"/>
    <col min="12" max="12" width="8.375" style="629" customWidth="1"/>
    <col min="13" max="17" width="3.375" style="629" customWidth="1"/>
    <col min="18" max="27" width="12.5" style="629"/>
    <col min="28" max="28" width="6.75" style="629" customWidth="1"/>
    <col min="29" max="16384" width="12.5" style="629"/>
  </cols>
  <sheetData>
    <row r="1" spans="1:30" ht="36" customHeight="1" x14ac:dyDescent="0.2">
      <c r="A1" s="661"/>
      <c r="B1" s="656" t="s">
        <v>530</v>
      </c>
      <c r="C1" s="660">
        <v>5000</v>
      </c>
      <c r="D1" s="659" t="s">
        <v>232</v>
      </c>
      <c r="E1" s="1056">
        <f>T29</f>
        <v>3145.8333333333335</v>
      </c>
      <c r="F1" s="656" t="s">
        <v>233</v>
      </c>
      <c r="G1" s="657">
        <f>E1/C1</f>
        <v>0.62916666666666665</v>
      </c>
      <c r="H1" s="656" t="s">
        <v>234</v>
      </c>
      <c r="I1" s="1055">
        <f>G1/K1</f>
        <v>0.69729210536037534</v>
      </c>
      <c r="J1" s="654" t="s">
        <v>235</v>
      </c>
      <c r="K1" s="653">
        <v>0.90229999999999999</v>
      </c>
      <c r="L1" s="636"/>
      <c r="M1" s="636"/>
      <c r="N1" s="636"/>
      <c r="Y1" s="75" t="s">
        <v>453</v>
      </c>
      <c r="Z1" s="766">
        <v>18870</v>
      </c>
      <c r="AA1" s="75" t="s">
        <v>556</v>
      </c>
      <c r="AB1" s="766">
        <v>5</v>
      </c>
      <c r="AC1" s="75" t="s">
        <v>546</v>
      </c>
      <c r="AD1" s="766">
        <v>127</v>
      </c>
    </row>
    <row r="2" spans="1:30" ht="12.75" customHeight="1" x14ac:dyDescent="0.2">
      <c r="A2" s="1663"/>
      <c r="B2" s="1664" t="s">
        <v>536</v>
      </c>
      <c r="C2" s="1664"/>
      <c r="D2" s="1664"/>
      <c r="E2" s="1664"/>
      <c r="F2" s="1664"/>
      <c r="G2" s="1664"/>
      <c r="H2" s="1664"/>
      <c r="I2" s="652"/>
      <c r="J2" s="652"/>
      <c r="K2" s="1665"/>
      <c r="L2" s="636"/>
      <c r="M2" s="636"/>
      <c r="N2" s="636"/>
    </row>
    <row r="3" spans="1:30" ht="12.75" customHeight="1" x14ac:dyDescent="0.2">
      <c r="A3" s="1663"/>
      <c r="B3" s="1663"/>
      <c r="C3" s="1663"/>
      <c r="D3" s="1663"/>
      <c r="E3" s="1663"/>
      <c r="F3" s="1663"/>
      <c r="G3" s="1663"/>
      <c r="H3" s="1663"/>
      <c r="I3" s="651"/>
      <c r="J3" s="651"/>
      <c r="K3" s="1666"/>
      <c r="L3" s="636"/>
      <c r="M3" s="636"/>
      <c r="N3" s="636"/>
    </row>
    <row r="4" spans="1:30" ht="57" customHeight="1" x14ac:dyDescent="0.2">
      <c r="A4" s="1591" t="s">
        <v>903</v>
      </c>
      <c r="B4" s="634" t="s">
        <v>241</v>
      </c>
      <c r="C4" s="635" t="s">
        <v>317</v>
      </c>
      <c r="D4" s="635" t="s">
        <v>528</v>
      </c>
      <c r="E4" s="650" t="s">
        <v>527</v>
      </c>
      <c r="F4" s="649" t="s">
        <v>243</v>
      </c>
      <c r="G4" s="648" t="s">
        <v>244</v>
      </c>
      <c r="H4" s="647" t="s">
        <v>322</v>
      </c>
      <c r="I4" s="75" t="s">
        <v>246</v>
      </c>
      <c r="J4" s="75" t="s">
        <v>247</v>
      </c>
      <c r="K4" s="75" t="s">
        <v>248</v>
      </c>
      <c r="L4" s="75" t="s">
        <v>249</v>
      </c>
      <c r="M4" s="636"/>
      <c r="N4" s="636"/>
    </row>
    <row r="5" spans="1:30" ht="14.25" x14ac:dyDescent="0.2">
      <c r="B5" s="688" t="s">
        <v>17</v>
      </c>
      <c r="C5" s="641" t="s">
        <v>14</v>
      </c>
      <c r="D5" s="641">
        <v>1000</v>
      </c>
      <c r="E5" s="640">
        <f>$I$1</f>
        <v>0.69729210536037534</v>
      </c>
      <c r="F5" s="631">
        <v>1</v>
      </c>
      <c r="G5" s="639">
        <f t="shared" ref="G5:G19" si="0">D5*E5</f>
        <v>697.29210536037533</v>
      </c>
      <c r="H5" s="638">
        <f t="shared" ref="H5:H19" si="1">G5*F5</f>
        <v>697.29210536037533</v>
      </c>
      <c r="I5" s="65">
        <f>VLOOKUP(B5,All_Ingredients!$A$1:$F$156,6,FALSE())</f>
        <v>0.98</v>
      </c>
      <c r="J5" s="101">
        <f>VLOOKUP(B5,All_Ingredients!$A$1:$J$156,10,FALSE())</f>
        <v>3.5</v>
      </c>
      <c r="K5" s="104">
        <f t="shared" ref="K5" si="2">(H5/I5)/1000</f>
        <v>0.71152255649017893</v>
      </c>
      <c r="L5" s="104">
        <f t="shared" ref="L5" si="3">K5*J5</f>
        <v>2.4903289477156263</v>
      </c>
    </row>
    <row r="6" spans="1:30" ht="14.25" x14ac:dyDescent="0.2">
      <c r="B6" s="688" t="s">
        <v>12</v>
      </c>
      <c r="C6" s="641" t="s">
        <v>14</v>
      </c>
      <c r="D6" s="641">
        <v>1000</v>
      </c>
      <c r="E6" s="640">
        <f t="shared" ref="E6:E19" si="4">$I$1</f>
        <v>0.69729210536037534</v>
      </c>
      <c r="F6" s="646">
        <v>1</v>
      </c>
      <c r="G6" s="639">
        <f t="shared" si="0"/>
        <v>697.29210536037533</v>
      </c>
      <c r="H6" s="638">
        <f t="shared" si="1"/>
        <v>697.29210536037533</v>
      </c>
      <c r="I6" s="65">
        <f>VLOOKUP(B6,All_Ingredients!$A$1:$F$156,6,FALSE())</f>
        <v>0.9</v>
      </c>
      <c r="J6" s="101">
        <f>VLOOKUP(B6,All_Ingredients!$A$1:$J$156,10,FALSE())</f>
        <v>3</v>
      </c>
      <c r="K6" s="104">
        <f t="shared" ref="K6:K19" si="5">(H6/I6)/1000</f>
        <v>0.77476900595597264</v>
      </c>
      <c r="L6" s="104">
        <f t="shared" ref="L6:L19" si="6">K6*J6</f>
        <v>2.3243070178679179</v>
      </c>
    </row>
    <row r="7" spans="1:30" ht="14.25" x14ac:dyDescent="0.2">
      <c r="B7" s="688" t="s">
        <v>28</v>
      </c>
      <c r="C7" s="641" t="s">
        <v>14</v>
      </c>
      <c r="D7" s="641">
        <v>666</v>
      </c>
      <c r="E7" s="640">
        <f>$I$1</f>
        <v>0.69729210536037534</v>
      </c>
      <c r="F7" s="646">
        <v>1</v>
      </c>
      <c r="G7" s="639">
        <f t="shared" si="0"/>
        <v>464.39654217000998</v>
      </c>
      <c r="H7" s="638">
        <f t="shared" si="1"/>
        <v>464.39654217000998</v>
      </c>
      <c r="I7" s="65">
        <f>VLOOKUP(B7,All_Ingredients!$A$1:$F$156,6,FALSE())</f>
        <v>0.73</v>
      </c>
      <c r="J7" s="101">
        <f>VLOOKUP(B7,All_Ingredients!$A$1:$J$156,10,FALSE())</f>
        <v>8.5</v>
      </c>
      <c r="K7" s="104">
        <f t="shared" si="5"/>
        <v>0.63615964680823289</v>
      </c>
      <c r="L7" s="104">
        <f t="shared" si="6"/>
        <v>5.4073569978699796</v>
      </c>
    </row>
    <row r="8" spans="1:30" ht="14.25" x14ac:dyDescent="0.2">
      <c r="B8" s="688" t="s">
        <v>30</v>
      </c>
      <c r="C8" s="641" t="s">
        <v>14</v>
      </c>
      <c r="D8" s="641">
        <v>666</v>
      </c>
      <c r="E8" s="640">
        <f t="shared" si="4"/>
        <v>0.69729210536037534</v>
      </c>
      <c r="F8" s="631">
        <v>1</v>
      </c>
      <c r="G8" s="639">
        <f t="shared" si="0"/>
        <v>464.39654217000998</v>
      </c>
      <c r="H8" s="638">
        <f t="shared" si="1"/>
        <v>464.39654217000998</v>
      </c>
      <c r="I8" s="65">
        <f>VLOOKUP(B8,All_Ingredients!$A$1:$F$156,6,FALSE())</f>
        <v>0.71</v>
      </c>
      <c r="J8" s="101">
        <f>VLOOKUP(B8,All_Ingredients!$A$1:$J$156,10,FALSE())</f>
        <v>8.5</v>
      </c>
      <c r="K8" s="104">
        <f t="shared" si="5"/>
        <v>0.65407963685916903</v>
      </c>
      <c r="L8" s="104">
        <f t="shared" si="6"/>
        <v>5.5596769133029369</v>
      </c>
    </row>
    <row r="9" spans="1:30" ht="14.25" x14ac:dyDescent="0.2">
      <c r="B9" s="688" t="s">
        <v>32</v>
      </c>
      <c r="C9" s="641" t="s">
        <v>14</v>
      </c>
      <c r="D9" s="641">
        <v>666</v>
      </c>
      <c r="E9" s="640">
        <f t="shared" si="4"/>
        <v>0.69729210536037534</v>
      </c>
      <c r="F9" s="631">
        <v>1</v>
      </c>
      <c r="G9" s="639">
        <f t="shared" si="0"/>
        <v>464.39654217000998</v>
      </c>
      <c r="H9" s="638">
        <f t="shared" si="1"/>
        <v>464.39654217000998</v>
      </c>
      <c r="I9" s="65">
        <f>VLOOKUP(B9,All_Ingredients!$A$1:$F$156,6,FALSE())</f>
        <v>0.69</v>
      </c>
      <c r="J9" s="101">
        <f>VLOOKUP(B9,All_Ingredients!$A$1:$J$156,10,FALSE())</f>
        <v>4</v>
      </c>
      <c r="K9" s="104">
        <f t="shared" si="5"/>
        <v>0.67303846691305791</v>
      </c>
      <c r="L9" s="104">
        <f t="shared" si="6"/>
        <v>2.6921538676522316</v>
      </c>
    </row>
    <row r="10" spans="1:30" ht="14.25" x14ac:dyDescent="0.2">
      <c r="B10" s="633" t="s">
        <v>525</v>
      </c>
      <c r="C10" s="641" t="s">
        <v>14</v>
      </c>
      <c r="D10" s="641">
        <v>1850</v>
      </c>
      <c r="E10" s="640">
        <f t="shared" si="4"/>
        <v>0.69729210536037534</v>
      </c>
      <c r="F10" s="631">
        <v>1</v>
      </c>
      <c r="G10" s="639">
        <f t="shared" si="0"/>
        <v>1289.9903949166944</v>
      </c>
      <c r="H10" s="638">
        <f t="shared" si="1"/>
        <v>1289.9903949166944</v>
      </c>
      <c r="I10" s="65">
        <f>VLOOKUP(B10,All_Ingredients!$A$1:$F$156,6,FALSE())</f>
        <v>1</v>
      </c>
      <c r="J10" s="101">
        <f>VLOOKUP(B10,All_Ingredients!$A$1:$J$156,10,FALSE())</f>
        <v>10.196078431372548</v>
      </c>
      <c r="K10" s="104">
        <f>(H10/I10)/1000</f>
        <v>1.2899903949166944</v>
      </c>
      <c r="L10" s="104">
        <f>K10*J10</f>
        <v>13.152843242287863</v>
      </c>
    </row>
    <row r="11" spans="1:30" ht="13.5" customHeight="1" x14ac:dyDescent="0.2">
      <c r="B11" s="633" t="s">
        <v>698</v>
      </c>
      <c r="C11" s="641" t="s">
        <v>14</v>
      </c>
      <c r="D11" s="641">
        <v>1200</v>
      </c>
      <c r="E11" s="640">
        <f t="shared" si="4"/>
        <v>0.69729210536037534</v>
      </c>
      <c r="F11" s="631">
        <v>1</v>
      </c>
      <c r="G11" s="639">
        <f t="shared" si="0"/>
        <v>836.75052643245044</v>
      </c>
      <c r="H11" s="638">
        <f t="shared" si="1"/>
        <v>836.75052643245044</v>
      </c>
      <c r="I11" s="65">
        <f>VLOOKUP(B11,All_Ingredients!$A$1:$F$156,6,FALSE())</f>
        <v>1</v>
      </c>
      <c r="J11" s="101">
        <f>VLOOKUP(B11,All_Ingredients!$A$1:$J$156,10,FALSE())</f>
        <v>8.1520833333333336</v>
      </c>
      <c r="K11" s="104">
        <f t="shared" si="5"/>
        <v>0.8367505264324504</v>
      </c>
      <c r="L11" s="104">
        <f t="shared" si="6"/>
        <v>6.8212600206878715</v>
      </c>
    </row>
    <row r="12" spans="1:30" ht="13.5" customHeight="1" x14ac:dyDescent="0.2">
      <c r="B12" s="633" t="s">
        <v>152</v>
      </c>
      <c r="C12" s="641" t="s">
        <v>14</v>
      </c>
      <c r="D12" s="641">
        <v>300</v>
      </c>
      <c r="E12" s="640">
        <f t="shared" si="4"/>
        <v>0.69729210536037534</v>
      </c>
      <c r="F12" s="631">
        <v>1</v>
      </c>
      <c r="G12" s="639">
        <f t="shared" si="0"/>
        <v>209.18763160811261</v>
      </c>
      <c r="H12" s="638">
        <f t="shared" si="1"/>
        <v>209.18763160811261</v>
      </c>
      <c r="I12" s="65">
        <f>VLOOKUP(B12,All_Ingredients!$A$1:$F$156,6,FALSE())</f>
        <v>1</v>
      </c>
      <c r="J12" s="101">
        <f>VLOOKUP(B12,All_Ingredients!$A$1:$J$156,10,FALSE())</f>
        <v>30</v>
      </c>
      <c r="K12" s="104">
        <f t="shared" si="5"/>
        <v>0.2091876316081126</v>
      </c>
      <c r="L12" s="104">
        <f t="shared" si="6"/>
        <v>6.2756289482433782</v>
      </c>
    </row>
    <row r="13" spans="1:30" ht="13.5" customHeight="1" x14ac:dyDescent="0.2">
      <c r="B13" s="633" t="s">
        <v>110</v>
      </c>
      <c r="C13" s="641" t="s">
        <v>14</v>
      </c>
      <c r="D13" s="641">
        <v>60</v>
      </c>
      <c r="E13" s="640">
        <f t="shared" si="4"/>
        <v>0.69729210536037534</v>
      </c>
      <c r="F13" s="631">
        <v>1</v>
      </c>
      <c r="G13" s="639">
        <f t="shared" si="0"/>
        <v>41.837526321622519</v>
      </c>
      <c r="H13" s="638">
        <f t="shared" si="1"/>
        <v>41.837526321622519</v>
      </c>
      <c r="I13" s="65">
        <f>VLOOKUP(B13,All_Ingredients!$A$1:$F$156,6,FALSE())</f>
        <v>1</v>
      </c>
      <c r="J13" s="101">
        <f>VLOOKUP(B13,All_Ingredients!$A$1:$J$156,10,FALSE())</f>
        <v>64.243759177679877</v>
      </c>
      <c r="K13" s="104">
        <f t="shared" si="5"/>
        <v>4.183752632162252E-2</v>
      </c>
      <c r="L13" s="104">
        <f t="shared" si="6"/>
        <v>2.6877999655961604</v>
      </c>
    </row>
    <row r="14" spans="1:30" ht="13.5" customHeight="1" x14ac:dyDescent="0.2">
      <c r="B14" s="633" t="s">
        <v>108</v>
      </c>
      <c r="C14" s="641" t="s">
        <v>14</v>
      </c>
      <c r="D14" s="641">
        <v>60</v>
      </c>
      <c r="E14" s="640">
        <f t="shared" si="4"/>
        <v>0.69729210536037534</v>
      </c>
      <c r="F14" s="631">
        <v>1</v>
      </c>
      <c r="G14" s="639">
        <f t="shared" si="0"/>
        <v>41.837526321622519</v>
      </c>
      <c r="H14" s="638">
        <f t="shared" si="1"/>
        <v>41.837526321622519</v>
      </c>
      <c r="I14" s="65">
        <f>VLOOKUP(B14,All_Ingredients!$A$1:$F$156,6,FALSE())</f>
        <v>1</v>
      </c>
      <c r="J14" s="101">
        <f>VLOOKUP(B14,All_Ingredients!$A$1:$J$156,10,FALSE())</f>
        <v>26.5</v>
      </c>
      <c r="K14" s="104">
        <f t="shared" si="5"/>
        <v>4.183752632162252E-2</v>
      </c>
      <c r="L14" s="104">
        <f t="shared" si="6"/>
        <v>1.1086944475229967</v>
      </c>
    </row>
    <row r="15" spans="1:30" ht="14.25" customHeight="1" x14ac:dyDescent="0.2">
      <c r="B15" s="633" t="s">
        <v>729</v>
      </c>
      <c r="C15" s="641" t="s">
        <v>14</v>
      </c>
      <c r="D15" s="641">
        <v>40</v>
      </c>
      <c r="E15" s="640">
        <f t="shared" si="4"/>
        <v>0.69729210536037534</v>
      </c>
      <c r="F15" s="631">
        <v>1</v>
      </c>
      <c r="G15" s="639">
        <f t="shared" si="0"/>
        <v>27.891684214415015</v>
      </c>
      <c r="H15" s="638">
        <f t="shared" si="1"/>
        <v>27.891684214415015</v>
      </c>
      <c r="I15" s="65">
        <f>VLOOKUP(B15,All_Ingredients!$A$1:$F$156,6,FALSE())</f>
        <v>0.5</v>
      </c>
      <c r="J15" s="101">
        <f>VLOOKUP(B15,All_Ingredients!$A$1:$J$156,10,FALSE())</f>
        <v>90</v>
      </c>
      <c r="K15" s="104">
        <f t="shared" si="5"/>
        <v>5.5783368428830034E-2</v>
      </c>
      <c r="L15" s="104">
        <f t="shared" si="6"/>
        <v>5.0205031585947033</v>
      </c>
    </row>
    <row r="16" spans="1:30" ht="14.25" customHeight="1" x14ac:dyDescent="0.2">
      <c r="B16" s="633" t="s">
        <v>756</v>
      </c>
      <c r="C16" s="641" t="s">
        <v>14</v>
      </c>
      <c r="D16" s="641">
        <v>40</v>
      </c>
      <c r="E16" s="640">
        <f t="shared" si="4"/>
        <v>0.69729210536037534</v>
      </c>
      <c r="F16" s="631">
        <v>1</v>
      </c>
      <c r="G16" s="639">
        <f t="shared" si="0"/>
        <v>27.891684214415015</v>
      </c>
      <c r="H16" s="638">
        <f t="shared" si="1"/>
        <v>27.891684214415015</v>
      </c>
      <c r="I16" s="65">
        <f>VLOOKUP(B16,All_Ingredients!$A$1:$F$156,6,FALSE())</f>
        <v>0.74</v>
      </c>
      <c r="J16" s="101">
        <f>VLOOKUP(B16,All_Ingredients!$A$1:$J$156,10,FALSE())</f>
        <v>100</v>
      </c>
      <c r="K16" s="104">
        <f t="shared" si="5"/>
        <v>3.7691465154614891E-2</v>
      </c>
      <c r="L16" s="104">
        <f t="shared" si="6"/>
        <v>3.7691465154614892</v>
      </c>
      <c r="N16" s="1669"/>
      <c r="O16" s="1669"/>
    </row>
    <row r="17" spans="2:27" ht="13.5" customHeight="1" x14ac:dyDescent="0.2">
      <c r="B17" s="633" t="s">
        <v>139</v>
      </c>
      <c r="C17" s="641" t="s">
        <v>14</v>
      </c>
      <c r="D17" s="641">
        <v>50</v>
      </c>
      <c r="E17" s="640">
        <f>$I$1</f>
        <v>0.69729210536037534</v>
      </c>
      <c r="F17" s="631">
        <v>1</v>
      </c>
      <c r="G17" s="639">
        <f t="shared" si="0"/>
        <v>34.864605268018764</v>
      </c>
      <c r="H17" s="638">
        <f t="shared" si="1"/>
        <v>34.864605268018764</v>
      </c>
      <c r="I17" s="65">
        <f>VLOOKUP(B17,All_Ingredients!$A$1:$F$156,6,FALSE())</f>
        <v>1</v>
      </c>
      <c r="J17" s="101">
        <f>VLOOKUP(B17,All_Ingredients!$A$1:$J$156,10,FALSE())</f>
        <v>15.277777777777779</v>
      </c>
      <c r="K17" s="104">
        <f t="shared" si="5"/>
        <v>3.4864605268018767E-2</v>
      </c>
      <c r="L17" s="104">
        <f t="shared" si="6"/>
        <v>0.53265369159473119</v>
      </c>
    </row>
    <row r="18" spans="2:27" ht="14.25" x14ac:dyDescent="0.2">
      <c r="B18" s="633" t="s">
        <v>99</v>
      </c>
      <c r="C18" s="641" t="s">
        <v>14</v>
      </c>
      <c r="D18" s="641">
        <v>30</v>
      </c>
      <c r="E18" s="640">
        <f t="shared" si="4"/>
        <v>0.69729210536037534</v>
      </c>
      <c r="F18" s="631">
        <v>1</v>
      </c>
      <c r="G18" s="639">
        <f t="shared" si="0"/>
        <v>20.91876316081126</v>
      </c>
      <c r="H18" s="638">
        <f t="shared" si="1"/>
        <v>20.91876316081126</v>
      </c>
      <c r="I18" s="65">
        <f>VLOOKUP(B18,All_Ingredients!$A$1:$F$156,6,FALSE())</f>
        <v>1</v>
      </c>
      <c r="J18" s="101">
        <f>VLOOKUP(B18,All_Ingredients!$A$1:$J$156,10,FALSE())</f>
        <v>31</v>
      </c>
      <c r="K18" s="104">
        <f t="shared" si="5"/>
        <v>2.091876316081126E-2</v>
      </c>
      <c r="L18" s="104">
        <f t="shared" si="6"/>
        <v>0.64848165798514912</v>
      </c>
    </row>
    <row r="19" spans="2:27" ht="18" customHeight="1" x14ac:dyDescent="0.2">
      <c r="B19" s="633" t="s">
        <v>93</v>
      </c>
      <c r="C19" s="641" t="s">
        <v>14</v>
      </c>
      <c r="D19" s="641">
        <v>60</v>
      </c>
      <c r="E19" s="640">
        <f t="shared" si="4"/>
        <v>0.69729210536037534</v>
      </c>
      <c r="F19" s="642">
        <v>1</v>
      </c>
      <c r="G19" s="639">
        <f t="shared" si="0"/>
        <v>41.837526321622519</v>
      </c>
      <c r="H19" s="638">
        <f t="shared" si="1"/>
        <v>41.837526321622519</v>
      </c>
      <c r="I19" s="65">
        <f>VLOOKUP(B19,All_Ingredients!$A$1:$F$156,6,FALSE())</f>
        <v>1</v>
      </c>
      <c r="J19" s="101">
        <f>VLOOKUP(B19,All_Ingredients!$A$1:$J$156,10,FALSE())</f>
        <v>0.74</v>
      </c>
      <c r="K19" s="104">
        <f t="shared" si="5"/>
        <v>4.183752632162252E-2</v>
      </c>
      <c r="L19" s="104">
        <f t="shared" si="6"/>
        <v>3.0959769478000665E-2</v>
      </c>
    </row>
    <row r="20" spans="2:27" ht="14.25" customHeight="1" x14ac:dyDescent="0.2"/>
    <row r="21" spans="2:27" ht="16.5" customHeight="1" x14ac:dyDescent="0.2"/>
    <row r="22" spans="2:27" ht="13.5" customHeight="1" x14ac:dyDescent="0.2">
      <c r="B22" s="629" t="s">
        <v>537</v>
      </c>
      <c r="J22" s="637"/>
      <c r="N22" s="1669"/>
      <c r="O22" s="1669"/>
    </row>
    <row r="24" spans="2:27" x14ac:dyDescent="0.2">
      <c r="X24" s="1125"/>
    </row>
    <row r="25" spans="2:27" ht="14.25" x14ac:dyDescent="0.2">
      <c r="R25" s="1667" t="s">
        <v>536</v>
      </c>
      <c r="S25" s="1668"/>
      <c r="T25" s="1668"/>
      <c r="X25" s="122" t="s">
        <v>14</v>
      </c>
      <c r="Y25" s="123">
        <v>4833.33</v>
      </c>
      <c r="Z25" s="122" t="s">
        <v>249</v>
      </c>
      <c r="AA25" s="1075">
        <f>Y25*(T30/T29)</f>
        <v>89.914219298440628</v>
      </c>
    </row>
    <row r="26" spans="2:27" ht="14.25" x14ac:dyDescent="0.2">
      <c r="R26" s="645" t="s">
        <v>254</v>
      </c>
      <c r="S26" s="645" t="s">
        <v>510</v>
      </c>
      <c r="T26" s="645" t="s">
        <v>535</v>
      </c>
    </row>
    <row r="27" spans="2:27" ht="14.25" x14ac:dyDescent="0.2">
      <c r="R27" s="645" t="s">
        <v>511</v>
      </c>
      <c r="S27" s="1237">
        <f>$Z$1</f>
        <v>18870</v>
      </c>
      <c r="T27" s="1238">
        <f>S29/30000</f>
        <v>0.62916666666666665</v>
      </c>
    </row>
    <row r="28" spans="2:27" ht="14.25" x14ac:dyDescent="0.2">
      <c r="R28" s="645" t="s">
        <v>455</v>
      </c>
      <c r="S28" s="1232">
        <f>$AB$1</f>
        <v>5</v>
      </c>
      <c r="T28" s="1233"/>
      <c r="U28" s="1230"/>
    </row>
    <row r="29" spans="2:27" ht="14.25" x14ac:dyDescent="0.2">
      <c r="R29" s="644" t="s">
        <v>543</v>
      </c>
      <c r="S29" s="1239">
        <f>S27+S28</f>
        <v>18875</v>
      </c>
      <c r="T29" s="1054">
        <f>5000*T27</f>
        <v>3145.8333333333335</v>
      </c>
      <c r="U29" s="1230"/>
    </row>
    <row r="30" spans="2:27" x14ac:dyDescent="0.2">
      <c r="S30" s="1230"/>
      <c r="T30" s="1231">
        <f>SUM(L5:L19)</f>
        <v>58.521795161861043</v>
      </c>
      <c r="U30" s="1230"/>
    </row>
    <row r="31" spans="2:27" x14ac:dyDescent="0.2">
      <c r="R31" s="144" t="s">
        <v>249</v>
      </c>
    </row>
    <row r="43" ht="13.5" customHeight="1" x14ac:dyDescent="0.2"/>
    <row r="50" spans="2:4" ht="14.25" x14ac:dyDescent="0.2">
      <c r="B50" s="126"/>
      <c r="C50" s="126" t="s">
        <v>233</v>
      </c>
      <c r="D50" s="126" t="s">
        <v>279</v>
      </c>
    </row>
    <row r="51" spans="2:4" ht="14.25" x14ac:dyDescent="0.2">
      <c r="B51" s="161" t="s">
        <v>283</v>
      </c>
      <c r="C51" s="162">
        <f>5/K1</f>
        <v>5.5413942147844395</v>
      </c>
      <c r="D51" s="163">
        <f>C1</f>
        <v>5000</v>
      </c>
    </row>
    <row r="52" spans="2:4" ht="14.25" x14ac:dyDescent="0.2">
      <c r="B52" s="129" t="s">
        <v>262</v>
      </c>
      <c r="C52" s="165">
        <f>I1</f>
        <v>0.69729210536037534</v>
      </c>
      <c r="D52" s="166">
        <f>E1</f>
        <v>3145.8333333333335</v>
      </c>
    </row>
    <row r="53" spans="2:4" ht="14.25" x14ac:dyDescent="0.2">
      <c r="B53" s="209" t="s">
        <v>284</v>
      </c>
      <c r="C53" s="212">
        <f>MIN(C52, C51)</f>
        <v>0.69729210536037534</v>
      </c>
      <c r="D53" s="211">
        <f>(C53*$K$1)*$C$1</f>
        <v>3145.8333333333335</v>
      </c>
    </row>
    <row r="54" spans="2:4" ht="14.25" x14ac:dyDescent="0.2">
      <c r="B54" s="209" t="s">
        <v>285</v>
      </c>
      <c r="C54" s="212">
        <f>MIN(MAX(C52-C53,0),C51)</f>
        <v>0</v>
      </c>
      <c r="D54" s="211">
        <f>(C54*$K$1)*$C$1</f>
        <v>0</v>
      </c>
    </row>
    <row r="55" spans="2:4" ht="14.25" x14ac:dyDescent="0.2">
      <c r="B55" s="209" t="s">
        <v>286</v>
      </c>
      <c r="C55" s="212">
        <f>MIN(MAX(C52-C53-C54,0),C51)</f>
        <v>0</v>
      </c>
      <c r="D55" s="211">
        <f>(C55*$K$1)*$C$1</f>
        <v>0</v>
      </c>
    </row>
  </sheetData>
  <mergeCells count="6">
    <mergeCell ref="A2:A3"/>
    <mergeCell ref="B2:H3"/>
    <mergeCell ref="K2:K3"/>
    <mergeCell ref="R25:T25"/>
    <mergeCell ref="N22:O22"/>
    <mergeCell ref="N16:O16"/>
  </mergeCells>
  <printOptions horizontalCentered="1"/>
  <pageMargins left="0.5" right="0.5" top="1" bottom="0.5" header="0.3" footer="0.511811023622047"/>
  <pageSetup paperSize="9" scale="22"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C930E-AD5D-4FFE-8835-A8B3FC3F8B40}">
  <sheetPr codeName="Sheet89">
    <tabColor rgb="FF00B050"/>
    <pageSetUpPr fitToPage="1"/>
  </sheetPr>
  <dimension ref="A1:AT974"/>
  <sheetViews>
    <sheetView topLeftCell="AE1" zoomScale="130" zoomScaleNormal="130" workbookViewId="0">
      <selection activeCell="AP17" sqref="AP17"/>
    </sheetView>
  </sheetViews>
  <sheetFormatPr defaultColWidth="12.5" defaultRowHeight="12.75" x14ac:dyDescent="0.2"/>
  <cols>
    <col min="1" max="1" width="12.5" style="1461"/>
    <col min="2" max="2" width="42.375" style="14"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14.125" style="14" customWidth="1"/>
    <col min="13" max="14" width="3.75" style="14" customWidth="1"/>
    <col min="15" max="15" width="16.75" style="14" customWidth="1"/>
    <col min="16" max="18" width="12.5" style="14" customWidth="1"/>
    <col min="19" max="19" width="15.875" style="14" customWidth="1"/>
    <col min="20" max="26" width="12.5" style="14" customWidth="1"/>
    <col min="27" max="27" width="11.125" style="14" bestFit="1" customWidth="1"/>
    <col min="28" max="28" width="11.875" style="14" bestFit="1" customWidth="1"/>
    <col min="29" max="29" width="13.375" style="14" bestFit="1" customWidth="1"/>
    <col min="30" max="30" width="12.375" style="14" bestFit="1" customWidth="1"/>
    <col min="31" max="31" width="8.375" style="14" customWidth="1"/>
    <col min="32" max="32" width="7.625" style="14" customWidth="1"/>
    <col min="33" max="35" width="2.875" style="14" customWidth="1"/>
    <col min="36" max="36" width="38.375" style="14" customWidth="1"/>
    <col min="37" max="37" width="24.125" style="14" customWidth="1"/>
    <col min="38" max="41" width="12.5" style="14"/>
    <col min="42" max="42" width="18.375" style="14" customWidth="1"/>
    <col min="43" max="16384" width="12.5" style="14"/>
  </cols>
  <sheetData>
    <row r="1" spans="1:46" ht="28.5" customHeight="1" x14ac:dyDescent="0.2">
      <c r="B1" s="64" t="s">
        <v>331</v>
      </c>
      <c r="C1" s="65">
        <v>1</v>
      </c>
      <c r="D1" s="66" t="s">
        <v>232</v>
      </c>
      <c r="E1" s="99">
        <f>U32</f>
        <v>184</v>
      </c>
      <c r="F1" s="64" t="s">
        <v>233</v>
      </c>
      <c r="G1" s="99">
        <f>E1/C1</f>
        <v>184</v>
      </c>
      <c r="H1" s="64" t="s">
        <v>234</v>
      </c>
      <c r="I1" s="99"/>
      <c r="J1" s="302" t="s">
        <v>235</v>
      </c>
      <c r="K1" s="303">
        <v>1</v>
      </c>
      <c r="L1" s="84"/>
      <c r="M1" s="84"/>
      <c r="N1" s="84"/>
      <c r="O1" s="75" t="s">
        <v>236</v>
      </c>
      <c r="P1" s="76" t="s">
        <v>237</v>
      </c>
      <c r="Q1" s="77" t="s">
        <v>238</v>
      </c>
      <c r="R1" s="76">
        <v>0.89</v>
      </c>
      <c r="S1" s="77" t="s">
        <v>333</v>
      </c>
      <c r="T1" s="304">
        <v>100</v>
      </c>
      <c r="U1" s="84"/>
      <c r="V1" s="84"/>
      <c r="Y1" s="75" t="s">
        <v>453</v>
      </c>
      <c r="Z1" s="766">
        <v>179</v>
      </c>
      <c r="AA1" s="75" t="s">
        <v>556</v>
      </c>
      <c r="AB1" s="766">
        <v>5</v>
      </c>
      <c r="AC1" s="75" t="s">
        <v>546</v>
      </c>
      <c r="AD1" s="766">
        <v>179</v>
      </c>
      <c r="AE1" s="75" t="s">
        <v>538</v>
      </c>
      <c r="AF1" s="766">
        <f>Z1+AB1</f>
        <v>184</v>
      </c>
      <c r="AJ1" s="78" t="s">
        <v>250</v>
      </c>
      <c r="AK1" s="78">
        <v>10000</v>
      </c>
      <c r="AL1" s="561" t="s">
        <v>485</v>
      </c>
      <c r="AM1" s="562">
        <f>$S$32*88</f>
        <v>16192</v>
      </c>
      <c r="AN1" s="78" t="s">
        <v>239</v>
      </c>
      <c r="AO1" s="305">
        <f>((S32*88)/$R$1)/$AK$1</f>
        <v>1.8193258426966292</v>
      </c>
      <c r="AP1" s="79"/>
    </row>
    <row r="2" spans="1:46" ht="12.75" customHeight="1" x14ac:dyDescent="0.2">
      <c r="A2" s="1502"/>
      <c r="B2" s="1644" t="s">
        <v>861</v>
      </c>
      <c r="C2" s="1644"/>
      <c r="D2" s="1644"/>
      <c r="E2" s="1644"/>
      <c r="F2" s="1644"/>
      <c r="G2" s="1644"/>
      <c r="H2" s="1644"/>
      <c r="I2" s="580"/>
      <c r="J2" s="580"/>
      <c r="K2" s="580"/>
      <c r="L2" s="270"/>
      <c r="M2" s="84"/>
      <c r="N2" s="84"/>
      <c r="O2" s="84"/>
      <c r="P2" s="84"/>
      <c r="Q2" s="84"/>
      <c r="R2" s="84"/>
      <c r="S2" s="84"/>
      <c r="T2" s="84"/>
      <c r="U2" s="84"/>
      <c r="AJ2" s="85"/>
      <c r="AK2" s="1631" t="s">
        <v>862</v>
      </c>
      <c r="AL2" s="1631"/>
      <c r="AM2" s="1631"/>
      <c r="AN2" s="86"/>
      <c r="AO2" s="85"/>
      <c r="AP2" s="85"/>
    </row>
    <row r="3" spans="1:46" ht="12.75" customHeight="1" x14ac:dyDescent="0.2">
      <c r="A3" s="1502"/>
      <c r="B3" s="1645"/>
      <c r="C3" s="1645"/>
      <c r="D3" s="1645"/>
      <c r="E3" s="1645"/>
      <c r="F3" s="1645"/>
      <c r="G3" s="1645"/>
      <c r="H3" s="1645"/>
      <c r="I3" s="581"/>
      <c r="J3" s="581"/>
      <c r="K3" s="581"/>
      <c r="L3" s="270"/>
      <c r="M3" s="84"/>
      <c r="N3" s="84"/>
      <c r="O3" s="84"/>
      <c r="P3" s="84"/>
      <c r="Q3" s="84"/>
      <c r="R3" s="84"/>
      <c r="S3" s="84"/>
      <c r="T3" s="84"/>
      <c r="U3" s="84"/>
      <c r="AJ3" s="88"/>
      <c r="AK3" s="88"/>
      <c r="AL3" s="1670"/>
      <c r="AM3" s="1670"/>
      <c r="AN3" s="89"/>
      <c r="AO3" s="88"/>
      <c r="AP3" s="88"/>
    </row>
    <row r="4" spans="1:46" ht="69" customHeight="1" x14ac:dyDescent="0.2">
      <c r="A4" s="1589" t="s">
        <v>903</v>
      </c>
      <c r="B4" s="75" t="s">
        <v>241</v>
      </c>
      <c r="C4" s="90" t="s">
        <v>242</v>
      </c>
      <c r="D4" s="75" t="s">
        <v>231</v>
      </c>
      <c r="E4" s="91" t="s">
        <v>234</v>
      </c>
      <c r="F4" s="91" t="s">
        <v>243</v>
      </c>
      <c r="G4" s="75" t="s">
        <v>244</v>
      </c>
      <c r="H4" s="307" t="s">
        <v>335</v>
      </c>
      <c r="I4" s="75" t="s">
        <v>246</v>
      </c>
      <c r="J4" s="75" t="s">
        <v>247</v>
      </c>
      <c r="K4" s="75" t="s">
        <v>248</v>
      </c>
      <c r="L4" s="75" t="s">
        <v>249</v>
      </c>
      <c r="M4" s="347"/>
      <c r="N4" s="84"/>
      <c r="O4" s="84"/>
      <c r="P4" s="84"/>
      <c r="Q4" s="84"/>
      <c r="R4" s="84"/>
      <c r="S4" s="84"/>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260"/>
      <c r="B5" s="299" t="s">
        <v>860</v>
      </c>
      <c r="C5" s="1261" t="s">
        <v>14</v>
      </c>
      <c r="D5" s="1262">
        <f>T1/R1</f>
        <v>112.35955056179775</v>
      </c>
      <c r="E5" s="1262">
        <f>G1</f>
        <v>184</v>
      </c>
      <c r="F5" s="109">
        <v>1</v>
      </c>
      <c r="G5" s="101">
        <f>D5*E5</f>
        <v>20674.157303370786</v>
      </c>
      <c r="H5" s="102">
        <f>G5*F5</f>
        <v>20674.157303370786</v>
      </c>
      <c r="I5" s="65">
        <f>VLOOKUP(B5,All_Ingredients!$A$1:$F$156,6,FALSE())</f>
        <v>0.95</v>
      </c>
      <c r="J5" s="101">
        <f>VLOOKUP(B5,All_Ingredients!$A$1:$J$156,10,FALSE())</f>
        <v>17.100000000000001</v>
      </c>
      <c r="K5" s="104">
        <f>(H5/I5)/1000</f>
        <v>21.762270845653461</v>
      </c>
      <c r="L5" s="104">
        <f>K5*J5</f>
        <v>372.13483146067421</v>
      </c>
      <c r="M5" s="112"/>
      <c r="AJ5" s="299" t="s">
        <v>220</v>
      </c>
      <c r="AK5" s="106" t="s">
        <v>227</v>
      </c>
      <c r="AL5" s="1262">
        <v>10</v>
      </c>
      <c r="AM5" s="1263">
        <f t="shared" ref="AM5:AM14" si="0">$AO$1</f>
        <v>1.8193258426966292</v>
      </c>
      <c r="AN5" s="109">
        <v>1</v>
      </c>
      <c r="AO5" s="103">
        <f t="shared" ref="AO5:AO15" si="1">AL5*AM5</f>
        <v>18.193258426966292</v>
      </c>
      <c r="AP5" s="102">
        <f t="shared" ref="AP5:AP15" si="2">AO5*AN5</f>
        <v>18.193258426966292</v>
      </c>
      <c r="AQ5" s="272"/>
      <c r="AR5" s="1017"/>
      <c r="AS5" s="156"/>
      <c r="AT5" s="1018"/>
    </row>
    <row r="6" spans="1:46" ht="14.25" customHeight="1" x14ac:dyDescent="0.2">
      <c r="A6" s="1469"/>
      <c r="B6" s="299" t="s">
        <v>805</v>
      </c>
      <c r="C6" s="106" t="s">
        <v>230</v>
      </c>
      <c r="D6" s="1262">
        <v>1</v>
      </c>
      <c r="E6" s="1262">
        <f>$G$1</f>
        <v>184</v>
      </c>
      <c r="F6" s="109">
        <v>1</v>
      </c>
      <c r="G6" s="101">
        <f>D6*E6</f>
        <v>184</v>
      </c>
      <c r="H6" s="102">
        <f>G6*F6</f>
        <v>184</v>
      </c>
      <c r="I6" s="65">
        <f>VLOOKUP(B6,All_Ingredients!$A$1:$F$156,6,FALSE())</f>
        <v>1</v>
      </c>
      <c r="J6" s="101">
        <f>VLOOKUP(B6,All_Ingredients!$A$1:$J$156,10,FALSE())</f>
        <v>0.6</v>
      </c>
      <c r="K6" s="104">
        <f t="shared" ref="K6:K9" si="3">(H6/I6)/1000</f>
        <v>0.184</v>
      </c>
      <c r="L6" s="104">
        <f t="shared" ref="L6:L9" si="4">K6*J6</f>
        <v>0.1104</v>
      </c>
      <c r="M6" s="112"/>
      <c r="AJ6" s="299" t="s">
        <v>93</v>
      </c>
      <c r="AK6" s="106" t="s">
        <v>14</v>
      </c>
      <c r="AL6" s="1262">
        <v>100</v>
      </c>
      <c r="AM6" s="1263">
        <f t="shared" si="0"/>
        <v>1.8193258426966292</v>
      </c>
      <c r="AN6" s="109">
        <v>1</v>
      </c>
      <c r="AO6" s="103">
        <f t="shared" si="1"/>
        <v>181.93258426966293</v>
      </c>
      <c r="AP6" s="102">
        <f t="shared" si="2"/>
        <v>181.93258426966293</v>
      </c>
      <c r="AQ6" s="1018">
        <f>VLOOKUP(AJ6,Marination_Ordering!$A:$J,6,FALSE)</f>
        <v>1</v>
      </c>
      <c r="AR6" s="1018">
        <f>VLOOKUP(AJ6,Marination_Ordering!$A:$J,10,FALSE)</f>
        <v>0.74</v>
      </c>
      <c r="AS6" s="156">
        <f>AP6/AQ6</f>
        <v>181.93258426966293</v>
      </c>
      <c r="AT6" s="1018">
        <f>AR6*(AS6/1000)</f>
        <v>0.13463011235955055</v>
      </c>
    </row>
    <row r="7" spans="1:46" ht="14.25" customHeight="1" x14ac:dyDescent="0.25">
      <c r="A7" s="1602" t="s">
        <v>927</v>
      </c>
      <c r="B7" s="299" t="s">
        <v>992</v>
      </c>
      <c r="C7" s="1261" t="s">
        <v>14</v>
      </c>
      <c r="D7" s="1262">
        <v>10</v>
      </c>
      <c r="E7" s="1262">
        <f>$G$1</f>
        <v>184</v>
      </c>
      <c r="F7" s="109">
        <v>1</v>
      </c>
      <c r="G7" s="103">
        <f>D7*($Z$1+$AB$1)</f>
        <v>1840</v>
      </c>
      <c r="H7" s="102">
        <f>G7*F7</f>
        <v>1840</v>
      </c>
      <c r="I7" s="65">
        <f>VLOOKUP(B7,All_Ingredients!$A$1:$F$156,6,FALSE())</f>
        <v>0.5</v>
      </c>
      <c r="J7" s="101">
        <f>VLOOKUP(B7,All_Ingredients!$A$1:$J$156,10,FALSE())</f>
        <v>8.5</v>
      </c>
      <c r="K7" s="104">
        <f t="shared" si="3"/>
        <v>3.68</v>
      </c>
      <c r="L7" s="104">
        <f t="shared" si="4"/>
        <v>31.28</v>
      </c>
      <c r="M7" s="112"/>
      <c r="AJ7" s="299" t="s">
        <v>99</v>
      </c>
      <c r="AK7" s="106" t="s">
        <v>14</v>
      </c>
      <c r="AL7" s="1262">
        <v>50</v>
      </c>
      <c r="AM7" s="1263">
        <f t="shared" si="0"/>
        <v>1.8193258426966292</v>
      </c>
      <c r="AN7" s="109">
        <v>1</v>
      </c>
      <c r="AO7" s="103">
        <f t="shared" si="1"/>
        <v>90.966292134831463</v>
      </c>
      <c r="AP7" s="102">
        <f t="shared" si="2"/>
        <v>90.966292134831463</v>
      </c>
      <c r="AQ7" s="1018">
        <f>VLOOKUP(AJ7,Marination_Ordering!$A:$J,6,FALSE)</f>
        <v>1</v>
      </c>
      <c r="AR7" s="1018">
        <f>VLOOKUP(AJ7,Marination_Ordering!$A:$J,10,FALSE)</f>
        <v>31</v>
      </c>
      <c r="AS7" s="156">
        <f t="shared" ref="AS7:AS15" si="5">AP7/AQ7</f>
        <v>90.966292134831463</v>
      </c>
      <c r="AT7" s="1018">
        <f t="shared" ref="AT7:AT15" si="6">AR7*(AS7/1000)</f>
        <v>2.8199550561797753</v>
      </c>
    </row>
    <row r="8" spans="1:46" ht="14.25" customHeight="1" x14ac:dyDescent="0.25">
      <c r="A8" s="1596" t="s">
        <v>921</v>
      </c>
      <c r="B8" s="981" t="s">
        <v>845</v>
      </c>
      <c r="C8" s="1261" t="s">
        <v>14</v>
      </c>
      <c r="D8" s="1262">
        <v>25</v>
      </c>
      <c r="E8" s="1262">
        <f>$G$1</f>
        <v>184</v>
      </c>
      <c r="F8" s="109">
        <v>1</v>
      </c>
      <c r="G8" s="101">
        <f t="shared" ref="G8" si="7">D8*E8</f>
        <v>4600</v>
      </c>
      <c r="H8" s="102">
        <f t="shared" ref="H8:H10" si="8">G8*F8</f>
        <v>4600</v>
      </c>
      <c r="I8" s="65">
        <f>VLOOKUP(B8,All_Ingredients!$A$1:$F$156,6,FALSE())</f>
        <v>0.66</v>
      </c>
      <c r="J8" s="101">
        <f>VLOOKUP(B8,All_Ingredients!$A$1:$J$156,10,FALSE())</f>
        <v>3.5</v>
      </c>
      <c r="K8" s="104">
        <f t="shared" si="3"/>
        <v>6.9696969696969688</v>
      </c>
      <c r="L8" s="104">
        <f t="shared" si="4"/>
        <v>24.393939393939391</v>
      </c>
      <c r="M8" s="112"/>
      <c r="AJ8" s="299" t="s">
        <v>727</v>
      </c>
      <c r="AK8" s="106" t="s">
        <v>14</v>
      </c>
      <c r="AL8" s="1262">
        <v>150</v>
      </c>
      <c r="AM8" s="1263">
        <f t="shared" si="0"/>
        <v>1.8193258426966292</v>
      </c>
      <c r="AN8" s="109">
        <v>1</v>
      </c>
      <c r="AO8" s="103">
        <f t="shared" si="1"/>
        <v>272.89887640449439</v>
      </c>
      <c r="AP8" s="102">
        <f t="shared" si="2"/>
        <v>272.89887640449439</v>
      </c>
      <c r="AQ8" s="1018">
        <f>VLOOKUP(AJ8,Marination_Ordering!$A:$J,6,FALSE)</f>
        <v>1</v>
      </c>
      <c r="AR8" s="1018">
        <f>VLOOKUP(AJ8,Marination_Ordering!$A:$J,10,FALSE)</f>
        <v>10.5</v>
      </c>
      <c r="AS8" s="156">
        <f t="shared" si="5"/>
        <v>272.89887640449439</v>
      </c>
      <c r="AT8" s="1018">
        <f t="shared" si="6"/>
        <v>2.8654382022471911</v>
      </c>
    </row>
    <row r="9" spans="1:46" ht="14.25" customHeight="1" x14ac:dyDescent="0.25">
      <c r="A9" s="1602" t="s">
        <v>927</v>
      </c>
      <c r="B9" s="299" t="s">
        <v>863</v>
      </c>
      <c r="C9" s="1261" t="s">
        <v>14</v>
      </c>
      <c r="D9" s="1262">
        <v>10</v>
      </c>
      <c r="E9" s="1262">
        <f>$G$1</f>
        <v>184</v>
      </c>
      <c r="F9" s="109">
        <v>1</v>
      </c>
      <c r="G9" s="103">
        <f t="shared" ref="G9" si="9">D9*($Z$1+$AB$1)</f>
        <v>1840</v>
      </c>
      <c r="H9" s="102">
        <f t="shared" si="8"/>
        <v>1840</v>
      </c>
      <c r="I9" s="65">
        <f>VLOOKUP(B9,All_Ingredients!$A$1:$F$156,6,FALSE())</f>
        <v>0.81</v>
      </c>
      <c r="J9" s="101">
        <f>VLOOKUP(B9,All_Ingredients!$A$1:$J$156,10,FALSE())</f>
        <v>3</v>
      </c>
      <c r="K9" s="104">
        <f t="shared" si="3"/>
        <v>2.2716049382716048</v>
      </c>
      <c r="L9" s="104">
        <f t="shared" si="4"/>
        <v>6.8148148148148149</v>
      </c>
      <c r="M9" s="112"/>
      <c r="AJ9" s="299" t="s">
        <v>82</v>
      </c>
      <c r="AK9" s="106" t="s">
        <v>14</v>
      </c>
      <c r="AL9" s="1262">
        <v>50</v>
      </c>
      <c r="AM9" s="1263">
        <f t="shared" si="0"/>
        <v>1.8193258426966292</v>
      </c>
      <c r="AN9" s="109">
        <v>1</v>
      </c>
      <c r="AO9" s="103">
        <f t="shared" si="1"/>
        <v>90.966292134831463</v>
      </c>
      <c r="AP9" s="102">
        <f t="shared" si="2"/>
        <v>90.966292134831463</v>
      </c>
      <c r="AQ9" s="1018">
        <f>VLOOKUP(AJ9,Marination_Ordering!$A:$J,6,FALSE)</f>
        <v>1</v>
      </c>
      <c r="AR9" s="1018">
        <f>VLOOKUP(AJ9,Marination_Ordering!$A:$J,10,FALSE)</f>
        <v>147.88732394366198</v>
      </c>
      <c r="AS9" s="156">
        <f t="shared" si="5"/>
        <v>90.966292134831463</v>
      </c>
      <c r="AT9" s="1018">
        <f t="shared" si="6"/>
        <v>13.452761512897611</v>
      </c>
    </row>
    <row r="10" spans="1:46" ht="14.25" customHeight="1" x14ac:dyDescent="0.2">
      <c r="B10" s="299" t="s">
        <v>989</v>
      </c>
      <c r="C10" s="1261" t="s">
        <v>14</v>
      </c>
      <c r="D10" s="1262">
        <v>20</v>
      </c>
      <c r="E10" s="1262">
        <f>$G$1</f>
        <v>184</v>
      </c>
      <c r="F10" s="109">
        <v>1</v>
      </c>
      <c r="G10" s="101">
        <f t="shared" ref="G10" si="10">D10*E10</f>
        <v>3680</v>
      </c>
      <c r="H10" s="102">
        <f t="shared" si="8"/>
        <v>3680</v>
      </c>
      <c r="I10" s="65">
        <f>VLOOKUP(B10,All_Ingredients!$A$1:$F$156,6,FALSE())</f>
        <v>1</v>
      </c>
      <c r="J10" s="101">
        <f>VLOOKUP(B10,All_Ingredients!$A$1:$J$156,10,FALSE())</f>
        <v>21.527777777777779</v>
      </c>
      <c r="K10" s="104">
        <f>(H10/I10)/1000</f>
        <v>3.68</v>
      </c>
      <c r="L10" s="104">
        <f>K10*J10</f>
        <v>79.222222222222229</v>
      </c>
      <c r="M10" s="112"/>
      <c r="AJ10" s="299" t="s">
        <v>64</v>
      </c>
      <c r="AK10" s="106" t="s">
        <v>14</v>
      </c>
      <c r="AL10" s="1262">
        <v>200</v>
      </c>
      <c r="AM10" s="1263">
        <f t="shared" si="0"/>
        <v>1.8193258426966292</v>
      </c>
      <c r="AN10" s="109">
        <v>1</v>
      </c>
      <c r="AO10" s="103">
        <f t="shared" si="1"/>
        <v>363.86516853932585</v>
      </c>
      <c r="AP10" s="102">
        <f t="shared" si="2"/>
        <v>363.86516853932585</v>
      </c>
      <c r="AQ10" s="1018">
        <f>VLOOKUP(AJ10,Marination_Ordering!$A:$J,6,FALSE)</f>
        <v>0.65</v>
      </c>
      <c r="AR10" s="1018">
        <f>VLOOKUP(AJ10,Marination_Ordering!$A:$J,10,FALSE)</f>
        <v>3.5</v>
      </c>
      <c r="AS10" s="156">
        <f t="shared" si="5"/>
        <v>559.79256698357824</v>
      </c>
      <c r="AT10" s="1018">
        <f t="shared" si="6"/>
        <v>1.959273984442524</v>
      </c>
    </row>
    <row r="11" spans="1:46" ht="14.25" customHeight="1" x14ac:dyDescent="0.2">
      <c r="B11" s="325"/>
      <c r="C11" s="325"/>
      <c r="D11" s="309"/>
      <c r="E11" s="309"/>
      <c r="F11" s="117"/>
      <c r="G11" s="118"/>
      <c r="H11" s="119"/>
      <c r="I11" s="76"/>
      <c r="J11" s="118"/>
      <c r="K11" s="112"/>
      <c r="L11" s="112"/>
      <c r="M11" s="112"/>
      <c r="AJ11" s="299" t="s">
        <v>864</v>
      </c>
      <c r="AK11" s="106" t="s">
        <v>865</v>
      </c>
      <c r="AL11" s="1262">
        <v>50</v>
      </c>
      <c r="AM11" s="1263">
        <f t="shared" si="0"/>
        <v>1.8193258426966292</v>
      </c>
      <c r="AN11" s="109">
        <v>1</v>
      </c>
      <c r="AO11" s="103">
        <f t="shared" si="1"/>
        <v>90.966292134831463</v>
      </c>
      <c r="AP11" s="102">
        <f t="shared" si="2"/>
        <v>90.966292134831463</v>
      </c>
      <c r="AQ11" s="1018">
        <f>VLOOKUP(AJ11,Marination_Ordering!$A:$J,6,FALSE)</f>
        <v>0.9</v>
      </c>
      <c r="AR11" s="1018">
        <f>VLOOKUP(AJ11,Marination_Ordering!$A:$J,10,FALSE)</f>
        <v>18</v>
      </c>
      <c r="AS11" s="156">
        <f t="shared" si="5"/>
        <v>101.07365792759052</v>
      </c>
      <c r="AT11" s="1018">
        <f t="shared" si="6"/>
        <v>1.8193258426966292</v>
      </c>
    </row>
    <row r="12" spans="1:46" ht="14.25" customHeight="1" x14ac:dyDescent="0.2">
      <c r="B12" s="325"/>
      <c r="C12" s="325"/>
      <c r="D12" s="309"/>
      <c r="E12" s="309"/>
      <c r="F12" s="117"/>
      <c r="G12" s="118"/>
      <c r="H12" s="119"/>
      <c r="I12" s="76"/>
      <c r="J12" s="118"/>
      <c r="K12" s="112"/>
      <c r="L12" s="112"/>
      <c r="M12" s="112"/>
      <c r="AJ12" s="299" t="s">
        <v>188</v>
      </c>
      <c r="AK12" s="106" t="s">
        <v>14</v>
      </c>
      <c r="AL12" s="1262">
        <v>700</v>
      </c>
      <c r="AM12" s="1263">
        <f t="shared" si="0"/>
        <v>1.8193258426966292</v>
      </c>
      <c r="AN12" s="109">
        <v>1</v>
      </c>
      <c r="AO12" s="103">
        <f t="shared" si="1"/>
        <v>1273.5280898876404</v>
      </c>
      <c r="AP12" s="102">
        <f t="shared" si="2"/>
        <v>1273.5280898876404</v>
      </c>
      <c r="AQ12" s="1018">
        <f>VLOOKUP(AJ12,Marination_Ordering!$A:$J,6,FALSE)</f>
        <v>1</v>
      </c>
      <c r="AR12" s="1018">
        <f>VLOOKUP(AJ12,Marination_Ordering!$A:$J,10,FALSE)</f>
        <v>8.5</v>
      </c>
      <c r="AS12" s="156">
        <f t="shared" si="5"/>
        <v>1273.5280898876404</v>
      </c>
      <c r="AT12" s="1018">
        <f t="shared" si="6"/>
        <v>10.824988764044944</v>
      </c>
    </row>
    <row r="13" spans="1:46" ht="14.25" customHeight="1" x14ac:dyDescent="0.2">
      <c r="B13" s="325"/>
      <c r="C13" s="325"/>
      <c r="D13" s="309"/>
      <c r="E13" s="309"/>
      <c r="F13" s="117"/>
      <c r="G13" s="118"/>
      <c r="H13" s="119"/>
      <c r="I13" s="76"/>
      <c r="J13" s="118"/>
      <c r="K13" s="112"/>
      <c r="L13" s="112"/>
      <c r="M13" s="112"/>
      <c r="AJ13" s="299" t="s">
        <v>229</v>
      </c>
      <c r="AK13" s="106" t="s">
        <v>230</v>
      </c>
      <c r="AL13" s="1262">
        <v>20</v>
      </c>
      <c r="AM13" s="1263">
        <f t="shared" si="0"/>
        <v>1.8193258426966292</v>
      </c>
      <c r="AN13" s="109">
        <v>1</v>
      </c>
      <c r="AO13" s="103">
        <f t="shared" si="1"/>
        <v>36.386516853932584</v>
      </c>
      <c r="AP13" s="102">
        <f t="shared" si="2"/>
        <v>36.386516853932584</v>
      </c>
      <c r="AQ13" s="1018">
        <f>VLOOKUP(AJ13,Marination_Ordering!$A:$J,6,FALSE)</f>
        <v>1</v>
      </c>
      <c r="AR13" s="1018">
        <f>VLOOKUP(AJ13,Marination_Ordering!$A:$J,10,FALSE)</f>
        <v>0.43333333333333335</v>
      </c>
      <c r="AS13" s="156">
        <f t="shared" si="5"/>
        <v>36.386516853932584</v>
      </c>
      <c r="AT13" s="1018">
        <f t="shared" si="6"/>
        <v>1.5767490636704122E-2</v>
      </c>
    </row>
    <row r="14" spans="1:46" ht="14.25" customHeight="1" x14ac:dyDescent="0.2">
      <c r="B14" s="325"/>
      <c r="C14" s="325"/>
      <c r="D14" s="309"/>
      <c r="E14" s="309"/>
      <c r="F14" s="117"/>
      <c r="G14" s="118"/>
      <c r="H14" s="119"/>
      <c r="I14" s="76"/>
      <c r="J14" s="118"/>
      <c r="K14" s="112"/>
      <c r="L14" s="112"/>
      <c r="M14" s="112"/>
      <c r="AJ14" s="299" t="s">
        <v>868</v>
      </c>
      <c r="AK14" s="106" t="s">
        <v>14</v>
      </c>
      <c r="AL14" s="1262">
        <v>500</v>
      </c>
      <c r="AM14" s="1263">
        <f t="shared" si="0"/>
        <v>1.8193258426966292</v>
      </c>
      <c r="AN14" s="109">
        <v>1</v>
      </c>
      <c r="AO14" s="103">
        <f t="shared" si="1"/>
        <v>909.66292134831463</v>
      </c>
      <c r="AP14" s="102">
        <f t="shared" si="2"/>
        <v>909.66292134831463</v>
      </c>
      <c r="AQ14" s="1018">
        <f>VLOOKUP(AJ14,Marination_Ordering!$A:$J,6,FALSE)</f>
        <v>1</v>
      </c>
      <c r="AR14" s="1018">
        <f>VLOOKUP(AJ14,Marination_Ordering!$A:$J,10,FALSE)</f>
        <v>0</v>
      </c>
      <c r="AS14" s="156">
        <f t="shared" si="5"/>
        <v>909.66292134831463</v>
      </c>
      <c r="AT14" s="1018">
        <f t="shared" si="6"/>
        <v>0</v>
      </c>
    </row>
    <row r="15" spans="1:46" ht="14.25" customHeight="1" x14ac:dyDescent="0.2">
      <c r="B15" s="325"/>
      <c r="C15" s="325"/>
      <c r="D15" s="309"/>
      <c r="E15" s="309"/>
      <c r="F15" s="117"/>
      <c r="G15" s="118"/>
      <c r="H15" s="119"/>
      <c r="I15" s="76"/>
      <c r="J15" s="118"/>
      <c r="K15" s="112"/>
      <c r="L15" s="112"/>
      <c r="M15" s="112"/>
      <c r="AJ15" s="299" t="s">
        <v>222</v>
      </c>
      <c r="AK15" s="106" t="s">
        <v>14</v>
      </c>
      <c r="AL15" s="1262">
        <v>500</v>
      </c>
      <c r="AM15" s="1263">
        <f>$AO$1</f>
        <v>1.8193258426966292</v>
      </c>
      <c r="AN15" s="109">
        <v>1</v>
      </c>
      <c r="AO15" s="103">
        <f t="shared" si="1"/>
        <v>909.66292134831463</v>
      </c>
      <c r="AP15" s="102">
        <f t="shared" si="2"/>
        <v>909.66292134831463</v>
      </c>
      <c r="AQ15" s="1018">
        <f>VLOOKUP(AJ15,Marination_Ordering!$A:$J,6,FALSE)</f>
        <v>1</v>
      </c>
      <c r="AR15" s="1018">
        <f>VLOOKUP(AJ15,Marination_Ordering!$A:$J,10,FALSE)</f>
        <v>30</v>
      </c>
      <c r="AS15" s="156">
        <f t="shared" si="5"/>
        <v>909.66292134831463</v>
      </c>
      <c r="AT15" s="1018">
        <f t="shared" si="6"/>
        <v>27.289887640449439</v>
      </c>
    </row>
    <row r="16" spans="1:46" ht="14.25" customHeight="1" x14ac:dyDescent="0.2">
      <c r="B16" s="325"/>
      <c r="C16" s="325"/>
      <c r="D16" s="309"/>
      <c r="E16" s="309"/>
      <c r="F16" s="117"/>
      <c r="G16" s="118"/>
      <c r="H16" s="119"/>
      <c r="I16" s="76"/>
      <c r="J16" s="118"/>
      <c r="K16" s="112"/>
      <c r="L16" s="112"/>
      <c r="M16" s="112"/>
    </row>
    <row r="17" spans="2:31" ht="14.25" customHeight="1" x14ac:dyDescent="0.2">
      <c r="B17" s="376"/>
      <c r="C17" s="376"/>
      <c r="D17" s="309"/>
      <c r="E17" s="309"/>
      <c r="F17" s="117"/>
      <c r="G17" s="118"/>
      <c r="H17" s="119"/>
      <c r="I17" s="76"/>
      <c r="J17" s="118"/>
      <c r="K17" s="112"/>
      <c r="L17" s="112"/>
      <c r="M17" s="112"/>
    </row>
    <row r="18" spans="2:31" ht="14.25" customHeight="1" x14ac:dyDescent="0.2">
      <c r="B18" s="325"/>
      <c r="C18" s="325"/>
      <c r="D18" s="309"/>
      <c r="E18" s="309"/>
      <c r="F18" s="117"/>
      <c r="G18" s="118"/>
      <c r="H18" s="119"/>
      <c r="I18" s="76"/>
      <c r="J18" s="118"/>
      <c r="K18" s="112"/>
      <c r="L18" s="112"/>
      <c r="M18" s="118"/>
      <c r="N18" s="112"/>
      <c r="O18" s="112"/>
    </row>
    <row r="19" spans="2:31" ht="14.25" customHeight="1" x14ac:dyDescent="0.2">
      <c r="B19" s="11"/>
      <c r="C19" s="11"/>
      <c r="D19" s="313"/>
      <c r="E19" s="84"/>
      <c r="F19" s="84"/>
      <c r="K19" s="120"/>
      <c r="L19" s="76"/>
      <c r="M19" s="118"/>
      <c r="N19" s="112"/>
      <c r="O19" s="112"/>
    </row>
    <row r="20" spans="2:31" ht="14.25" customHeight="1" x14ac:dyDescent="0.2">
      <c r="B20" s="11"/>
      <c r="C20" s="312"/>
      <c r="D20" s="313"/>
      <c r="E20" s="84"/>
      <c r="F20" s="84"/>
      <c r="K20" s="120"/>
      <c r="L20" s="76"/>
      <c r="M20" s="118"/>
      <c r="N20" s="112"/>
      <c r="O20" s="112"/>
    </row>
    <row r="21" spans="2:31" ht="12.75" customHeight="1" x14ac:dyDescent="0.2">
      <c r="B21" s="11"/>
      <c r="C21" s="312"/>
      <c r="D21" s="313"/>
      <c r="E21" s="84"/>
      <c r="F21" s="84"/>
      <c r="K21" s="120"/>
      <c r="L21" s="76"/>
      <c r="M21" s="118"/>
      <c r="N21" s="112"/>
      <c r="O21" s="112"/>
    </row>
    <row r="22" spans="2:31" ht="12.75" customHeight="1" x14ac:dyDescent="0.2">
      <c r="B22" s="84"/>
      <c r="E22" s="84"/>
      <c r="F22" s="84"/>
      <c r="K22" s="120"/>
      <c r="L22" s="76"/>
      <c r="M22" s="118"/>
      <c r="N22" s="112"/>
      <c r="O22" s="112"/>
    </row>
    <row r="23" spans="2:31" ht="12.75" customHeight="1" x14ac:dyDescent="0.2">
      <c r="B23" s="84"/>
      <c r="E23" s="84"/>
      <c r="F23" s="84"/>
      <c r="K23" s="120"/>
      <c r="L23" s="76"/>
    </row>
    <row r="24" spans="2:31" ht="12.75" customHeight="1" x14ac:dyDescent="0.2">
      <c r="Z24" s="1073"/>
    </row>
    <row r="25" spans="2:31" ht="12.75" customHeight="1" x14ac:dyDescent="0.2">
      <c r="R25" s="1662" t="s">
        <v>862</v>
      </c>
      <c r="S25" s="1633"/>
      <c r="T25" s="1633"/>
      <c r="U25" s="1633"/>
      <c r="V25" s="997"/>
      <c r="Z25" s="122" t="s">
        <v>252</v>
      </c>
      <c r="AA25" s="123">
        <v>1</v>
      </c>
      <c r="AB25" s="122" t="s">
        <v>249</v>
      </c>
      <c r="AC25" s="124">
        <f>AE30*AA25</f>
        <v>2.3772683284031473</v>
      </c>
    </row>
    <row r="26" spans="2:31" ht="12.75" customHeight="1" x14ac:dyDescent="0.2">
      <c r="R26" s="1646" t="s">
        <v>291</v>
      </c>
      <c r="S26" s="1655"/>
      <c r="T26" s="1655"/>
      <c r="U26" s="1655"/>
      <c r="V26" s="997"/>
    </row>
    <row r="27" spans="2:31" ht="14.25" customHeight="1" thickBot="1" x14ac:dyDescent="0.25">
      <c r="R27" s="126" t="s">
        <v>254</v>
      </c>
      <c r="S27" s="126" t="s">
        <v>298</v>
      </c>
      <c r="T27" s="126" t="s">
        <v>256</v>
      </c>
      <c r="U27" s="126" t="s">
        <v>262</v>
      </c>
      <c r="V27" s="127" t="s">
        <v>772</v>
      </c>
      <c r="W27" s="127" t="s">
        <v>795</v>
      </c>
      <c r="X27" s="127" t="s">
        <v>794</v>
      </c>
      <c r="Z27" s="122" t="s">
        <v>258</v>
      </c>
      <c r="AA27" s="128" t="s">
        <v>772</v>
      </c>
      <c r="AB27" s="128" t="s">
        <v>259</v>
      </c>
      <c r="AC27" s="128" t="s">
        <v>783</v>
      </c>
      <c r="AD27" s="128" t="s">
        <v>780</v>
      </c>
      <c r="AE27" s="128" t="s">
        <v>262</v>
      </c>
    </row>
    <row r="28" spans="2:31" ht="14.25" customHeight="1" thickBot="1" x14ac:dyDescent="0.25">
      <c r="M28" s="314"/>
      <c r="R28" s="126" t="s">
        <v>263</v>
      </c>
      <c r="S28" s="1206">
        <f>$Z$1</f>
        <v>179</v>
      </c>
      <c r="T28" s="1216"/>
      <c r="U28" s="1216">
        <f>S28</f>
        <v>179</v>
      </c>
      <c r="V28" s="130">
        <f>SUM(AP5:AP13)</f>
        <v>2419.7033707865171</v>
      </c>
      <c r="W28" s="130">
        <f>SUM(L6)</f>
        <v>0.1104</v>
      </c>
      <c r="X28" s="130">
        <f>K13</f>
        <v>0</v>
      </c>
      <c r="Z28" s="132"/>
      <c r="AA28" s="1051"/>
      <c r="AB28" s="133">
        <f>AA25*$S$40</f>
        <v>1</v>
      </c>
      <c r="AC28" s="1051"/>
      <c r="AD28" s="1051"/>
      <c r="AE28" s="135">
        <f>SUM(AB28:AB28)</f>
        <v>1</v>
      </c>
    </row>
    <row r="29" spans="2:31" ht="14.25" customHeight="1" thickBot="1" x14ac:dyDescent="0.25">
      <c r="R29" s="126" t="s">
        <v>264</v>
      </c>
      <c r="S29" s="1224"/>
      <c r="T29" s="315"/>
      <c r="U29" s="1216">
        <f>T29</f>
        <v>0</v>
      </c>
      <c r="V29" s="130"/>
      <c r="W29" s="130"/>
      <c r="X29" s="130"/>
      <c r="Z29" s="132"/>
      <c r="AA29" s="1051"/>
      <c r="AB29" s="137">
        <f>AB28/$AE$28</f>
        <v>1</v>
      </c>
      <c r="AC29" s="1051"/>
      <c r="AD29" s="1051"/>
      <c r="AE29" s="137">
        <f>AE28/$AE$28</f>
        <v>1</v>
      </c>
    </row>
    <row r="30" spans="2:31" ht="14.25" customHeight="1" thickBot="1" x14ac:dyDescent="0.25">
      <c r="R30" s="126" t="s">
        <v>265</v>
      </c>
      <c r="S30" s="1207">
        <f>$AB$1</f>
        <v>5</v>
      </c>
      <c r="T30" s="1216"/>
      <c r="U30" s="1216"/>
      <c r="V30" s="989"/>
      <c r="W30" s="989"/>
      <c r="X30" s="989"/>
      <c r="Z30" s="122" t="s">
        <v>266</v>
      </c>
      <c r="AA30" s="991">
        <f>V35/$AF$1</f>
        <v>0.18419641829078764</v>
      </c>
      <c r="AB30" s="138">
        <f>S35/(AF1)</f>
        <v>2.0224719101123596</v>
      </c>
      <c r="AC30" s="991">
        <f>W35/AF1</f>
        <v>5.9999999999999995E-4</v>
      </c>
      <c r="AD30" s="991">
        <f>X35/$AF$1</f>
        <v>0.17</v>
      </c>
      <c r="AE30" s="1048">
        <f>AB30+AD30+AC30+AA30</f>
        <v>2.3772683284031473</v>
      </c>
    </row>
    <row r="31" spans="2:31" ht="14.25" customHeight="1" thickBot="1" x14ac:dyDescent="0.25">
      <c r="R31" s="126" t="s">
        <v>267</v>
      </c>
      <c r="S31" s="271" t="s">
        <v>310</v>
      </c>
      <c r="T31" s="315"/>
      <c r="U31" s="315"/>
      <c r="V31" s="130"/>
      <c r="W31" s="130"/>
      <c r="X31" s="130"/>
    </row>
    <row r="32" spans="2:31" ht="14.25" customHeight="1" thickBot="1" x14ac:dyDescent="0.3">
      <c r="R32" s="127" t="s">
        <v>257</v>
      </c>
      <c r="S32" s="1116">
        <f>S28+S30</f>
        <v>184</v>
      </c>
      <c r="T32" s="316">
        <f>SUM(T28:T30)</f>
        <v>0</v>
      </c>
      <c r="U32" s="316">
        <f>T32+S32</f>
        <v>184</v>
      </c>
      <c r="V32" s="130"/>
      <c r="W32" s="130"/>
      <c r="X32" s="130"/>
    </row>
    <row r="33" spans="2:24" ht="14.25" customHeight="1" thickBot="1" x14ac:dyDescent="0.3">
      <c r="R33" s="317" t="s">
        <v>254</v>
      </c>
      <c r="S33" s="318"/>
      <c r="T33" s="318">
        <f>F40+F59</f>
        <v>0</v>
      </c>
      <c r="U33" s="319"/>
      <c r="V33" s="136"/>
      <c r="W33" s="136"/>
      <c r="X33" s="136"/>
    </row>
    <row r="34" spans="2:24" ht="14.25" customHeight="1" thickBot="1" x14ac:dyDescent="0.25">
      <c r="R34" s="159" t="s">
        <v>269</v>
      </c>
      <c r="S34" s="320"/>
      <c r="T34" s="321">
        <f>T33-(T28+T29)</f>
        <v>0</v>
      </c>
      <c r="U34" s="320"/>
      <c r="V34" s="136"/>
      <c r="W34" s="136"/>
      <c r="X34" s="136"/>
    </row>
    <row r="35" spans="2:24" ht="12.75" customHeight="1" thickBot="1" x14ac:dyDescent="0.25">
      <c r="R35" s="144" t="s">
        <v>249</v>
      </c>
      <c r="S35" s="990">
        <f>L5</f>
        <v>372.13483146067421</v>
      </c>
      <c r="T35" s="990">
        <f>SUM(O6:O19)</f>
        <v>0</v>
      </c>
      <c r="U35" s="1049">
        <f>S35+T35+V35+W35+X35</f>
        <v>437.41737242617921</v>
      </c>
      <c r="V35" s="990">
        <f>SUM(AT6:AT13)</f>
        <v>33.892140965504929</v>
      </c>
      <c r="W35" s="990">
        <f>L6</f>
        <v>0.1104</v>
      </c>
      <c r="X35" s="990">
        <f>L7</f>
        <v>31.28</v>
      </c>
    </row>
    <row r="36" spans="2:24" ht="12.75" customHeight="1" x14ac:dyDescent="0.2"/>
    <row r="37" spans="2:24" ht="12.75" customHeight="1" x14ac:dyDescent="0.2"/>
    <row r="38" spans="2:24" ht="12.75" customHeight="1" x14ac:dyDescent="0.2"/>
    <row r="39" spans="2:24" ht="12.75" customHeight="1" x14ac:dyDescent="0.2">
      <c r="B39" s="84"/>
      <c r="E39" s="84"/>
      <c r="F39" s="84"/>
    </row>
    <row r="40" spans="2:24" ht="46.5" customHeight="1" x14ac:dyDescent="0.2">
      <c r="B40" s="84"/>
      <c r="C40" s="84"/>
      <c r="D40" s="322"/>
      <c r="E40" s="84"/>
      <c r="F40" s="84"/>
      <c r="G40" s="84"/>
      <c r="H40" s="84"/>
      <c r="I40" s="84"/>
      <c r="J40" s="84"/>
      <c r="R40" s="146" t="s">
        <v>270</v>
      </c>
      <c r="S40" s="147">
        <v>1</v>
      </c>
      <c r="T40" s="146" t="s">
        <v>271</v>
      </c>
      <c r="U40" s="148">
        <v>0</v>
      </c>
      <c r="V40" s="149">
        <f>S40+U40</f>
        <v>1</v>
      </c>
    </row>
    <row r="41" spans="2:24" ht="18" customHeight="1" x14ac:dyDescent="0.2">
      <c r="B41" s="84"/>
      <c r="C41" s="84"/>
      <c r="D41" s="84"/>
      <c r="E41" s="84"/>
      <c r="F41" s="84"/>
      <c r="G41" s="84"/>
      <c r="H41" s="84"/>
      <c r="I41" s="84"/>
      <c r="J41" s="84"/>
      <c r="U41" s="150"/>
    </row>
    <row r="42" spans="2:24" ht="18" customHeight="1" x14ac:dyDescent="0.2">
      <c r="B42" s="1671"/>
      <c r="C42" s="1655"/>
      <c r="D42" s="1655"/>
      <c r="E42" s="1655"/>
      <c r="F42" s="1655"/>
      <c r="G42" s="1655"/>
      <c r="H42" s="1655"/>
      <c r="I42" s="1655"/>
      <c r="J42" s="1655"/>
    </row>
    <row r="43" spans="2:24" ht="12.75" customHeight="1" x14ac:dyDescent="0.2">
      <c r="B43" s="1660"/>
      <c r="C43" s="1655"/>
      <c r="D43" s="1655"/>
      <c r="E43" s="1655"/>
      <c r="F43" s="1655"/>
      <c r="G43" s="1655"/>
      <c r="H43" s="1655"/>
      <c r="I43" s="1655"/>
      <c r="J43" s="1655"/>
      <c r="Q43" s="151" t="s">
        <v>272</v>
      </c>
      <c r="R43" s="151" t="s">
        <v>273</v>
      </c>
      <c r="S43" s="151" t="s">
        <v>274</v>
      </c>
      <c r="T43" s="151" t="s">
        <v>275</v>
      </c>
      <c r="U43" s="151" t="s">
        <v>276</v>
      </c>
      <c r="V43" s="151" t="s">
        <v>277</v>
      </c>
      <c r="W43" s="151" t="s">
        <v>278</v>
      </c>
    </row>
    <row r="44" spans="2:24" ht="14.25" customHeight="1" x14ac:dyDescent="0.2">
      <c r="B44" s="323"/>
      <c r="C44" s="324"/>
      <c r="D44" s="323"/>
      <c r="E44" s="323"/>
      <c r="F44" s="323"/>
      <c r="G44" s="323"/>
      <c r="H44" s="323"/>
      <c r="I44" s="323"/>
      <c r="J44" s="323"/>
      <c r="Q44" s="153">
        <v>18841</v>
      </c>
      <c r="R44" s="154">
        <f>E51</f>
        <v>0</v>
      </c>
      <c r="S44" s="155">
        <v>0</v>
      </c>
      <c r="T44" s="155">
        <v>0</v>
      </c>
      <c r="U44" s="220">
        <f>R44*S44</f>
        <v>0</v>
      </c>
      <c r="V44" s="157">
        <f>R44*T44</f>
        <v>0</v>
      </c>
      <c r="W44" s="157">
        <f>Q44-U44</f>
        <v>18841</v>
      </c>
    </row>
    <row r="45" spans="2:24" ht="14.25" customHeight="1" x14ac:dyDescent="0.2">
      <c r="B45" s="325"/>
      <c r="C45" s="325"/>
      <c r="D45" s="309"/>
      <c r="E45" s="309"/>
      <c r="F45" s="117"/>
      <c r="G45" s="118"/>
      <c r="H45" s="119"/>
      <c r="I45" s="76"/>
      <c r="J45" s="120"/>
    </row>
    <row r="46" spans="2:24" ht="14.25" customHeight="1" x14ac:dyDescent="0.2">
      <c r="B46" s="325"/>
      <c r="C46" s="325"/>
      <c r="D46" s="309"/>
      <c r="E46" s="309"/>
      <c r="F46" s="117"/>
      <c r="G46" s="118"/>
      <c r="H46" s="119"/>
      <c r="I46" s="76"/>
      <c r="J46" s="120"/>
    </row>
    <row r="47" spans="2:24" ht="14.25" customHeight="1" x14ac:dyDescent="0.2">
      <c r="B47" s="325"/>
      <c r="C47" s="325"/>
      <c r="D47" s="309"/>
      <c r="E47" s="309"/>
      <c r="F47" s="117"/>
      <c r="G47" s="118"/>
      <c r="H47" s="119"/>
      <c r="I47" s="76"/>
      <c r="J47" s="120"/>
    </row>
    <row r="48" spans="2:24" ht="14.25" customHeight="1" x14ac:dyDescent="0.2">
      <c r="B48" s="325"/>
      <c r="C48" s="325"/>
      <c r="D48" s="309"/>
      <c r="E48" s="309"/>
      <c r="F48" s="117"/>
      <c r="G48" s="118"/>
      <c r="H48" s="119"/>
      <c r="I48" s="76"/>
      <c r="J48" s="120"/>
    </row>
    <row r="49" spans="1:14" ht="14.25" customHeight="1" x14ac:dyDescent="0.2">
      <c r="B49" s="325"/>
      <c r="C49" s="325"/>
      <c r="D49" s="309"/>
      <c r="E49" s="309"/>
      <c r="F49" s="117"/>
      <c r="G49" s="118"/>
      <c r="H49" s="119"/>
      <c r="I49" s="76"/>
      <c r="J49" s="120"/>
    </row>
    <row r="50" spans="1:14" ht="14.25" customHeight="1" x14ac:dyDescent="0.2">
      <c r="B50" s="326"/>
      <c r="C50" s="159" t="s">
        <v>233</v>
      </c>
      <c r="D50" s="159" t="s">
        <v>279</v>
      </c>
      <c r="E50" s="84"/>
      <c r="F50" s="84"/>
      <c r="G50" s="126" t="s">
        <v>280</v>
      </c>
      <c r="H50" s="126" t="s">
        <v>233</v>
      </c>
      <c r="I50" s="159" t="s">
        <v>281</v>
      </c>
      <c r="J50" s="159" t="s">
        <v>282</v>
      </c>
    </row>
    <row r="51" spans="1:14" ht="14.25" customHeight="1" x14ac:dyDescent="0.2">
      <c r="B51" s="161" t="s">
        <v>283</v>
      </c>
      <c r="C51" s="162">
        <f>10/$K$1</f>
        <v>10</v>
      </c>
      <c r="D51" s="163">
        <f>$C$1*10</f>
        <v>10</v>
      </c>
      <c r="E51" s="164"/>
      <c r="F51" s="84"/>
      <c r="G51" s="161" t="s">
        <v>283</v>
      </c>
      <c r="H51" s="254">
        <f>I51/$D$5</f>
        <v>188.41</v>
      </c>
      <c r="I51" s="162">
        <f>J51/$R$1</f>
        <v>21169.662921348314</v>
      </c>
      <c r="J51" s="162">
        <f>$W$44</f>
        <v>18841</v>
      </c>
    </row>
    <row r="52" spans="1:14" ht="14.25" customHeight="1" x14ac:dyDescent="0.2">
      <c r="B52" s="209" t="s">
        <v>262</v>
      </c>
      <c r="C52" s="210">
        <f>$I$1</f>
        <v>0</v>
      </c>
      <c r="D52" s="211">
        <f>$E$1</f>
        <v>184</v>
      </c>
      <c r="E52" s="84"/>
      <c r="F52" s="84"/>
      <c r="G52" s="129" t="s">
        <v>262</v>
      </c>
      <c r="H52" s="97">
        <f>I52/$D$5</f>
        <v>147.19999999999999</v>
      </c>
      <c r="I52" s="157">
        <f>J52/$R$1</f>
        <v>16539.325842696628</v>
      </c>
      <c r="J52" s="165">
        <f>$U$32*$T$1*0.8</f>
        <v>14720</v>
      </c>
    </row>
    <row r="53" spans="1:14" ht="14.25" customHeight="1" x14ac:dyDescent="0.2">
      <c r="B53" s="209" t="s">
        <v>284</v>
      </c>
      <c r="C53" s="212">
        <f>MIN(C52, C51)</f>
        <v>0</v>
      </c>
      <c r="D53" s="211">
        <f>(C53*$K$1)*$C$1</f>
        <v>0</v>
      </c>
      <c r="E53" s="84"/>
      <c r="F53" s="84"/>
      <c r="G53" s="129" t="s">
        <v>284</v>
      </c>
      <c r="H53" s="168">
        <f>MIN(H52,H51)</f>
        <v>147.19999999999999</v>
      </c>
      <c r="I53" s="157">
        <f>J53/$R$1</f>
        <v>16539.325842696628</v>
      </c>
      <c r="J53" s="157">
        <f>MIN(J52,J51)</f>
        <v>14720</v>
      </c>
    </row>
    <row r="54" spans="1:14" ht="14.25" customHeight="1" x14ac:dyDescent="0.2">
      <c r="B54" s="209" t="s">
        <v>285</v>
      </c>
      <c r="C54" s="212">
        <f>MIN(MAX(C52-C53,0),C51)</f>
        <v>0</v>
      </c>
      <c r="D54" s="211">
        <f>(C54*$K$1)*$C$1</f>
        <v>0</v>
      </c>
      <c r="E54" s="84"/>
      <c r="F54" s="84"/>
      <c r="G54" s="129" t="s">
        <v>285</v>
      </c>
      <c r="H54" s="168">
        <f>MIN(MAX(H52-H53),H51)</f>
        <v>0</v>
      </c>
      <c r="I54" s="157">
        <f>J54/$R$1</f>
        <v>0</v>
      </c>
      <c r="J54" s="157">
        <f>MIN(MAX(J52-J53),J51)</f>
        <v>0</v>
      </c>
    </row>
    <row r="55" spans="1:14" ht="14.25" customHeight="1" x14ac:dyDescent="0.2">
      <c r="B55" s="209" t="s">
        <v>286</v>
      </c>
      <c r="C55" s="212">
        <f>MIN(MAX(C52-C53-C54,0),C51)</f>
        <v>0</v>
      </c>
      <c r="D55" s="211">
        <f>(C55*$K$1)*$C$1</f>
        <v>0</v>
      </c>
      <c r="E55" s="84"/>
      <c r="F55" s="84"/>
      <c r="G55" s="126" t="s">
        <v>286</v>
      </c>
      <c r="H55" s="168">
        <f>MIN(MAX(H52-H53-H54),H51)</f>
        <v>0</v>
      </c>
      <c r="I55" s="157">
        <f>J55/$R$1</f>
        <v>0</v>
      </c>
      <c r="J55" s="157">
        <f>MIN(MAX(J52-J53-J54),J51)</f>
        <v>0</v>
      </c>
    </row>
    <row r="56" spans="1:14" ht="14.25" customHeight="1" x14ac:dyDescent="0.2"/>
    <row r="57" spans="1:14" ht="18" customHeight="1" x14ac:dyDescent="0.2"/>
    <row r="58" spans="1:14" ht="12.75" customHeight="1" x14ac:dyDescent="0.2">
      <c r="B58" s="1660"/>
      <c r="C58" s="1655"/>
      <c r="D58" s="1655"/>
      <c r="E58" s="1655"/>
      <c r="F58" s="1655"/>
      <c r="G58" s="1655"/>
      <c r="H58" s="1655"/>
      <c r="I58" s="1655"/>
      <c r="J58" s="1655"/>
    </row>
    <row r="59" spans="1:14" ht="14.25" customHeight="1" x14ac:dyDescent="0.2">
      <c r="B59" s="323"/>
      <c r="C59" s="324"/>
      <c r="D59" s="323"/>
      <c r="E59" s="323"/>
      <c r="F59" s="323"/>
      <c r="G59" s="323"/>
      <c r="H59" s="323"/>
      <c r="I59" s="323"/>
      <c r="J59" s="323"/>
    </row>
    <row r="60" spans="1:14" ht="14.25" customHeight="1" x14ac:dyDescent="0.2">
      <c r="B60" s="325"/>
      <c r="C60" s="325"/>
      <c r="D60" s="325"/>
      <c r="E60" s="309"/>
      <c r="F60" s="117"/>
      <c r="G60" s="118"/>
      <c r="H60" s="119"/>
      <c r="I60" s="76"/>
      <c r="J60" s="120"/>
    </row>
    <row r="61" spans="1:14" ht="14.25" customHeight="1" x14ac:dyDescent="0.2">
      <c r="B61" s="325"/>
      <c r="C61" s="325"/>
      <c r="D61" s="325"/>
      <c r="E61" s="309"/>
      <c r="F61" s="117"/>
      <c r="G61" s="118"/>
      <c r="H61" s="119"/>
      <c r="I61" s="76"/>
      <c r="J61" s="120"/>
    </row>
    <row r="62" spans="1:14" ht="18" customHeight="1" x14ac:dyDescent="0.2">
      <c r="A62" s="1464"/>
      <c r="B62" s="1642"/>
      <c r="C62" s="1656"/>
      <c r="D62" s="1656"/>
      <c r="E62" s="1656"/>
      <c r="F62" s="1656"/>
      <c r="G62" s="1656"/>
      <c r="H62" s="1656"/>
    </row>
    <row r="63" spans="1:14" ht="14.25" x14ac:dyDescent="0.2">
      <c r="A63" s="1464"/>
      <c r="B63" s="1636" t="s">
        <v>862</v>
      </c>
      <c r="C63" s="1637"/>
      <c r="D63" s="1637"/>
      <c r="E63" s="1637"/>
      <c r="F63" s="1637"/>
      <c r="G63" s="1637"/>
      <c r="H63" s="1637"/>
    </row>
    <row r="64" spans="1:14" ht="39" customHeight="1" x14ac:dyDescent="0.2">
      <c r="A64" s="1589"/>
      <c r="B64" s="221" t="s">
        <v>241</v>
      </c>
      <c r="C64" s="222" t="s">
        <v>242</v>
      </c>
      <c r="D64" s="223" t="s">
        <v>231</v>
      </c>
      <c r="E64" s="197" t="s">
        <v>234</v>
      </c>
      <c r="F64" s="197" t="s">
        <v>243</v>
      </c>
      <c r="G64" s="223" t="s">
        <v>244</v>
      </c>
      <c r="H64" s="197" t="s">
        <v>245</v>
      </c>
      <c r="M64" s="112"/>
      <c r="N64" s="112"/>
    </row>
    <row r="65" spans="1:12" ht="14.25" customHeight="1" x14ac:dyDescent="0.2">
      <c r="A65" s="1260"/>
      <c r="B65" s="299" t="str">
        <f>B5</f>
        <v>Chicken Minced - دجاج مفروم</v>
      </c>
      <c r="C65" s="299" t="str">
        <f t="shared" ref="C65:D65" si="11">C5</f>
        <v>gm</v>
      </c>
      <c r="D65" s="299">
        <f t="shared" si="11"/>
        <v>112.35955056179775</v>
      </c>
      <c r="E65" s="98">
        <f>$D$52</f>
        <v>184</v>
      </c>
      <c r="F65" s="109">
        <f>F5</f>
        <v>1</v>
      </c>
      <c r="G65" s="103">
        <f t="shared" ref="G65:G67" si="12">D65*E65</f>
        <v>20674.157303370786</v>
      </c>
      <c r="H65" s="102">
        <f t="shared" ref="H65:H67" si="13">G65*F65</f>
        <v>20674.157303370786</v>
      </c>
      <c r="I65" s="76"/>
      <c r="J65" s="118"/>
      <c r="K65" s="76"/>
      <c r="L65" s="118"/>
    </row>
    <row r="66" spans="1:12" ht="14.25" customHeight="1" x14ac:dyDescent="0.2">
      <c r="A66" s="1460"/>
      <c r="B66" s="299" t="str">
        <f t="shared" ref="B66:D70" si="14">B6</f>
        <v>Whole Wheat Burger Buns 70gm - خبز برجر بني</v>
      </c>
      <c r="C66" s="299" t="str">
        <f t="shared" si="14"/>
        <v>Piece</v>
      </c>
      <c r="D66" s="299">
        <f t="shared" si="14"/>
        <v>1</v>
      </c>
      <c r="E66" s="98">
        <f t="shared" ref="E66:E67" si="15">$D$52</f>
        <v>184</v>
      </c>
      <c r="F66" s="109">
        <f t="shared" ref="F66:F70" si="16">F6</f>
        <v>1</v>
      </c>
      <c r="G66" s="103">
        <f t="shared" si="12"/>
        <v>184</v>
      </c>
      <c r="H66" s="102">
        <f t="shared" si="13"/>
        <v>184</v>
      </c>
    </row>
    <row r="67" spans="1:12" ht="14.25" customHeight="1" x14ac:dyDescent="0.2">
      <c r="B67" s="299" t="str">
        <f t="shared" si="14"/>
        <v>Iceberg Lettuce - خس مدور أمريكى</v>
      </c>
      <c r="C67" s="299" t="str">
        <f t="shared" si="14"/>
        <v>gm</v>
      </c>
      <c r="D67" s="299">
        <f t="shared" si="14"/>
        <v>10</v>
      </c>
      <c r="E67" s="98">
        <f t="shared" si="15"/>
        <v>184</v>
      </c>
      <c r="F67" s="109">
        <f t="shared" si="16"/>
        <v>1</v>
      </c>
      <c r="G67" s="103">
        <f t="shared" si="12"/>
        <v>1840</v>
      </c>
      <c r="H67" s="102">
        <f t="shared" si="13"/>
        <v>1840</v>
      </c>
    </row>
    <row r="68" spans="1:12" ht="24.75" customHeight="1" x14ac:dyDescent="0.25">
      <c r="A68" s="1458"/>
      <c r="B68" s="299" t="str">
        <f t="shared" si="14"/>
        <v>Sliced tomato - طماطم شرائح</v>
      </c>
      <c r="C68" s="299" t="str">
        <f t="shared" si="14"/>
        <v>gm</v>
      </c>
      <c r="D68" s="299">
        <f t="shared" si="14"/>
        <v>25</v>
      </c>
      <c r="E68" s="98">
        <f>$D$52</f>
        <v>184</v>
      </c>
      <c r="F68" s="109">
        <f t="shared" si="16"/>
        <v>1</v>
      </c>
      <c r="G68" s="103">
        <f>D68*E68</f>
        <v>4600</v>
      </c>
      <c r="H68" s="102">
        <f>G68*F68</f>
        <v>4600</v>
      </c>
    </row>
    <row r="69" spans="1:12" ht="21" customHeight="1" x14ac:dyDescent="0.25">
      <c r="A69" s="1458"/>
      <c r="B69" s="299" t="str">
        <f t="shared" si="14"/>
        <v>Cucumber - خيار</v>
      </c>
      <c r="C69" s="299" t="str">
        <f t="shared" si="14"/>
        <v>gm</v>
      </c>
      <c r="D69" s="299">
        <f t="shared" si="14"/>
        <v>10</v>
      </c>
      <c r="E69" s="98">
        <f>$D$52</f>
        <v>184</v>
      </c>
      <c r="F69" s="109">
        <f t="shared" si="16"/>
        <v>1</v>
      </c>
      <c r="G69" s="103">
        <f>D69*E69</f>
        <v>1840</v>
      </c>
      <c r="H69" s="102">
        <f>G69*F69</f>
        <v>1840</v>
      </c>
    </row>
    <row r="70" spans="1:12" ht="20.25" customHeight="1" x14ac:dyDescent="0.2">
      <c r="B70" s="299" t="str">
        <f t="shared" si="14"/>
        <v>Feta cheese - جبنة فيتا</v>
      </c>
      <c r="C70" s="299" t="str">
        <f t="shared" si="14"/>
        <v>gm</v>
      </c>
      <c r="D70" s="299">
        <f t="shared" si="14"/>
        <v>20</v>
      </c>
      <c r="E70" s="98">
        <f>$D$52</f>
        <v>184</v>
      </c>
      <c r="F70" s="109">
        <f t="shared" si="16"/>
        <v>1</v>
      </c>
      <c r="G70" s="103">
        <f>D70*E70</f>
        <v>3680</v>
      </c>
      <c r="H70" s="102">
        <f>G70*F70</f>
        <v>3680</v>
      </c>
    </row>
    <row r="71" spans="1:12" ht="14.25" customHeight="1" x14ac:dyDescent="0.2">
      <c r="B71" s="178" t="s">
        <v>287</v>
      </c>
      <c r="C71" s="851" t="s">
        <v>273</v>
      </c>
      <c r="D71" s="850"/>
      <c r="E71" s="851" t="s">
        <v>288</v>
      </c>
      <c r="F71" s="850"/>
      <c r="G71" s="852" t="s">
        <v>264</v>
      </c>
      <c r="H71" s="852" t="s">
        <v>673</v>
      </c>
    </row>
    <row r="72" spans="1:12" ht="29.25" customHeight="1" x14ac:dyDescent="0.3">
      <c r="B72" s="179">
        <f>$J$53</f>
        <v>14720</v>
      </c>
      <c r="C72" s="179">
        <f>E72+G72</f>
        <v>0</v>
      </c>
      <c r="D72" s="839"/>
      <c r="E72" s="179">
        <f>$C$53*$S$44</f>
        <v>0</v>
      </c>
      <c r="F72" s="843"/>
      <c r="G72" s="179">
        <f>$D$53*$T$44</f>
        <v>0</v>
      </c>
      <c r="H72" s="179">
        <f>B72+E72</f>
        <v>14720</v>
      </c>
    </row>
    <row r="73" spans="1:12" ht="14.25" customHeight="1" x14ac:dyDescent="0.2">
      <c r="E73" s="84"/>
      <c r="F73" s="84"/>
    </row>
    <row r="74" spans="1:12" ht="12.75" customHeight="1" x14ac:dyDescent="0.2">
      <c r="B74" s="84"/>
      <c r="E74" s="84"/>
      <c r="F74" s="84"/>
    </row>
    <row r="75" spans="1:12" x14ac:dyDescent="0.2">
      <c r="B75" s="84"/>
      <c r="E75" s="84"/>
      <c r="F75" s="84"/>
    </row>
    <row r="76" spans="1:12" ht="12.75" customHeight="1" x14ac:dyDescent="0.2">
      <c r="B76" s="84"/>
      <c r="E76" s="84"/>
      <c r="F76" s="84"/>
    </row>
    <row r="77" spans="1:12" ht="12.75" customHeight="1" x14ac:dyDescent="0.2">
      <c r="B77" s="84"/>
    </row>
    <row r="78" spans="1:12" ht="12.75" customHeight="1" x14ac:dyDescent="0.2"/>
    <row r="79" spans="1:12" ht="12.75" customHeight="1" x14ac:dyDescent="0.2">
      <c r="E79" s="84"/>
      <c r="F79" s="84"/>
    </row>
    <row r="80" spans="1:12" ht="12.75" customHeight="1" x14ac:dyDescent="0.2">
      <c r="E80" s="84"/>
      <c r="F80" s="84"/>
    </row>
    <row r="81" spans="2:6" ht="12.75" customHeight="1" x14ac:dyDescent="0.2">
      <c r="B81" s="84"/>
      <c r="E81" s="84"/>
      <c r="F81" s="84"/>
    </row>
    <row r="82" spans="2:6" ht="12.75" customHeight="1" x14ac:dyDescent="0.2">
      <c r="B82" s="84"/>
      <c r="E82" s="84"/>
      <c r="F82" s="84"/>
    </row>
    <row r="83" spans="2:6" ht="12.75" customHeight="1" x14ac:dyDescent="0.2">
      <c r="B83" s="84"/>
      <c r="E83" s="84"/>
      <c r="F83" s="84"/>
    </row>
    <row r="84" spans="2:6" ht="12.75" customHeight="1" x14ac:dyDescent="0.2">
      <c r="B84" s="84"/>
      <c r="E84" s="84"/>
      <c r="F84" s="84"/>
    </row>
    <row r="85" spans="2:6" ht="12.75" customHeight="1" x14ac:dyDescent="0.2">
      <c r="B85" s="84"/>
      <c r="E85" s="84"/>
      <c r="F85" s="84"/>
    </row>
    <row r="86" spans="2:6" ht="12.75" customHeight="1" x14ac:dyDescent="0.2">
      <c r="B86" s="84"/>
      <c r="E86" s="84"/>
      <c r="F86" s="84"/>
    </row>
    <row r="87" spans="2:6" ht="12.75" customHeight="1" x14ac:dyDescent="0.2">
      <c r="B87" s="84"/>
      <c r="E87" s="84"/>
      <c r="F87" s="84"/>
    </row>
    <row r="88" spans="2:6" ht="12.75" customHeight="1" x14ac:dyDescent="0.2">
      <c r="B88" s="84"/>
      <c r="E88" s="84"/>
      <c r="F88" s="84"/>
    </row>
    <row r="89" spans="2:6" ht="12.75" customHeight="1" x14ac:dyDescent="0.2">
      <c r="B89" s="84"/>
      <c r="E89" s="84"/>
      <c r="F89" s="84"/>
    </row>
    <row r="90" spans="2:6" ht="12.75" customHeight="1" x14ac:dyDescent="0.2">
      <c r="B90" s="84"/>
      <c r="E90" s="84"/>
      <c r="F90" s="84"/>
    </row>
    <row r="91" spans="2:6" ht="12.75" customHeight="1" x14ac:dyDescent="0.2">
      <c r="B91" s="84"/>
      <c r="E91" s="84"/>
      <c r="F91" s="84"/>
    </row>
    <row r="92" spans="2:6" ht="12.75" customHeight="1" x14ac:dyDescent="0.2">
      <c r="B92" s="84"/>
      <c r="E92" s="84"/>
      <c r="F92" s="84"/>
    </row>
    <row r="93" spans="2:6" ht="12.75" customHeight="1" x14ac:dyDescent="0.2">
      <c r="B93" s="84"/>
      <c r="E93" s="84"/>
      <c r="F93" s="84"/>
    </row>
    <row r="94" spans="2:6" ht="12.75" customHeight="1" x14ac:dyDescent="0.2">
      <c r="B94" s="84"/>
      <c r="E94" s="84"/>
      <c r="F94" s="84"/>
    </row>
    <row r="95" spans="2:6" ht="12.75" customHeight="1" x14ac:dyDescent="0.2">
      <c r="B95" s="84"/>
      <c r="E95" s="84"/>
      <c r="F95" s="84"/>
    </row>
    <row r="96" spans="2:6" ht="12.75" customHeight="1" x14ac:dyDescent="0.2">
      <c r="B96" s="84"/>
      <c r="E96" s="84"/>
      <c r="F96" s="84"/>
    </row>
    <row r="97" spans="2:6" ht="12.75" customHeight="1" x14ac:dyDescent="0.2">
      <c r="B97" s="84"/>
      <c r="E97" s="84"/>
      <c r="F97" s="84"/>
    </row>
    <row r="98" spans="2:6" ht="12.75" customHeight="1" x14ac:dyDescent="0.2">
      <c r="B98" s="84"/>
      <c r="E98" s="84"/>
      <c r="F98" s="84"/>
    </row>
    <row r="99" spans="2:6" ht="12.75" customHeight="1" x14ac:dyDescent="0.2">
      <c r="B99" s="84"/>
      <c r="E99" s="84"/>
      <c r="F99" s="84"/>
    </row>
    <row r="100" spans="2:6" ht="12.75" customHeight="1" x14ac:dyDescent="0.2">
      <c r="B100" s="84"/>
      <c r="E100" s="84"/>
      <c r="F100" s="84"/>
    </row>
    <row r="101" spans="2:6" ht="12.75" customHeight="1" x14ac:dyDescent="0.2">
      <c r="B101" s="84"/>
      <c r="E101" s="84"/>
      <c r="F101" s="84"/>
    </row>
    <row r="102" spans="2:6" ht="12.75" customHeight="1" x14ac:dyDescent="0.2">
      <c r="B102" s="84"/>
      <c r="E102" s="84"/>
      <c r="F102" s="84"/>
    </row>
    <row r="103" spans="2:6" ht="12.75" customHeight="1" x14ac:dyDescent="0.2">
      <c r="B103" s="84"/>
      <c r="E103" s="84"/>
      <c r="F103" s="84"/>
    </row>
    <row r="104" spans="2:6" ht="12.75" customHeight="1" x14ac:dyDescent="0.2">
      <c r="B104" s="84"/>
      <c r="E104" s="84"/>
      <c r="F104" s="84"/>
    </row>
    <row r="105" spans="2:6" ht="12.75" customHeight="1" x14ac:dyDescent="0.2">
      <c r="B105" s="84"/>
      <c r="E105" s="84"/>
      <c r="F105" s="84"/>
    </row>
    <row r="106" spans="2:6" ht="12.75" customHeight="1" x14ac:dyDescent="0.2">
      <c r="B106" s="84"/>
      <c r="E106" s="84"/>
      <c r="F106" s="84"/>
    </row>
    <row r="107" spans="2:6" ht="12.75" customHeight="1" x14ac:dyDescent="0.2">
      <c r="B107" s="84"/>
      <c r="E107" s="84"/>
      <c r="F107" s="84"/>
    </row>
    <row r="108" spans="2:6" ht="12.75" customHeight="1" x14ac:dyDescent="0.2">
      <c r="B108" s="84"/>
      <c r="E108" s="84"/>
      <c r="F108" s="84"/>
    </row>
    <row r="109" spans="2:6" ht="12.75" customHeight="1" x14ac:dyDescent="0.2">
      <c r="B109" s="84"/>
      <c r="E109" s="84"/>
      <c r="F109" s="84"/>
    </row>
    <row r="110" spans="2:6" ht="12.75" customHeight="1" x14ac:dyDescent="0.2">
      <c r="B110" s="84"/>
      <c r="E110" s="84"/>
      <c r="F110" s="84"/>
    </row>
    <row r="111" spans="2:6" ht="12.75" customHeight="1" x14ac:dyDescent="0.2">
      <c r="B111" s="84"/>
      <c r="E111" s="84"/>
      <c r="F111" s="84"/>
    </row>
    <row r="112" spans="2:6" ht="12.75" customHeight="1" x14ac:dyDescent="0.2">
      <c r="B112" s="84"/>
      <c r="E112" s="84"/>
      <c r="F112" s="84"/>
    </row>
    <row r="113" spans="2:6" ht="12.75" customHeight="1" x14ac:dyDescent="0.2">
      <c r="B113" s="84"/>
      <c r="E113" s="84"/>
      <c r="F113" s="84"/>
    </row>
    <row r="114" spans="2:6" ht="12.75" customHeight="1" x14ac:dyDescent="0.2">
      <c r="B114" s="84"/>
      <c r="E114" s="84"/>
      <c r="F114" s="84"/>
    </row>
    <row r="115" spans="2:6" ht="12.75" customHeight="1" x14ac:dyDescent="0.2">
      <c r="B115" s="84"/>
      <c r="E115" s="84"/>
      <c r="F115" s="84"/>
    </row>
    <row r="116" spans="2:6" ht="12.75" customHeight="1" x14ac:dyDescent="0.2">
      <c r="B116" s="84"/>
      <c r="E116" s="84"/>
      <c r="F116" s="84"/>
    </row>
    <row r="117" spans="2:6" ht="12.75" customHeight="1" x14ac:dyDescent="0.2">
      <c r="B117" s="84"/>
      <c r="E117" s="84"/>
      <c r="F117" s="84"/>
    </row>
    <row r="118" spans="2:6" ht="12.75" customHeight="1" x14ac:dyDescent="0.2">
      <c r="B118" s="84"/>
      <c r="E118" s="84"/>
      <c r="F118" s="84"/>
    </row>
    <row r="119" spans="2:6" ht="12.75" customHeight="1" x14ac:dyDescent="0.2">
      <c r="B119" s="84"/>
      <c r="E119" s="84"/>
      <c r="F119" s="84"/>
    </row>
    <row r="120" spans="2:6" ht="12.75" customHeight="1" x14ac:dyDescent="0.2">
      <c r="B120" s="84"/>
      <c r="E120" s="84"/>
      <c r="F120" s="84"/>
    </row>
    <row r="121" spans="2:6" ht="12.75" customHeight="1" x14ac:dyDescent="0.2">
      <c r="B121" s="84"/>
      <c r="E121" s="84"/>
      <c r="F121" s="84"/>
    </row>
    <row r="122" spans="2:6" ht="12.75" customHeight="1" x14ac:dyDescent="0.2">
      <c r="B122" s="84"/>
      <c r="E122" s="84"/>
      <c r="F122" s="84"/>
    </row>
    <row r="123" spans="2:6" ht="12.75" customHeight="1" x14ac:dyDescent="0.2">
      <c r="B123" s="84"/>
      <c r="E123" s="84"/>
      <c r="F123" s="84"/>
    </row>
    <row r="124" spans="2:6" ht="12.75" customHeight="1" x14ac:dyDescent="0.2">
      <c r="B124" s="84"/>
      <c r="E124" s="84"/>
      <c r="F124" s="84"/>
    </row>
    <row r="125" spans="2:6" ht="12.75" customHeight="1" x14ac:dyDescent="0.2">
      <c r="B125" s="84"/>
      <c r="E125" s="84"/>
      <c r="F125" s="84"/>
    </row>
    <row r="126" spans="2:6" ht="12.75" customHeight="1" x14ac:dyDescent="0.2">
      <c r="B126" s="84"/>
      <c r="E126" s="84"/>
      <c r="F126" s="84"/>
    </row>
    <row r="127" spans="2:6" ht="12.75" customHeight="1" x14ac:dyDescent="0.2">
      <c r="B127" s="84"/>
      <c r="E127" s="84"/>
      <c r="F127" s="84"/>
    </row>
    <row r="128" spans="2:6" ht="12.75" customHeight="1" x14ac:dyDescent="0.2">
      <c r="B128" s="84"/>
      <c r="E128" s="84"/>
      <c r="F128" s="84"/>
    </row>
    <row r="129" spans="2:6" ht="12.75" customHeight="1" x14ac:dyDescent="0.2">
      <c r="B129" s="84"/>
      <c r="E129" s="84"/>
      <c r="F129" s="84"/>
    </row>
    <row r="130" spans="2:6" ht="12.75" customHeight="1" x14ac:dyDescent="0.2">
      <c r="B130" s="84"/>
      <c r="E130" s="84"/>
      <c r="F130" s="84"/>
    </row>
    <row r="131" spans="2:6" ht="12.75" customHeight="1" x14ac:dyDescent="0.2">
      <c r="B131" s="84"/>
      <c r="E131" s="84"/>
      <c r="F131" s="84"/>
    </row>
    <row r="132" spans="2:6" ht="12.75" customHeight="1" x14ac:dyDescent="0.2">
      <c r="B132" s="84"/>
      <c r="E132" s="84"/>
      <c r="F132" s="84"/>
    </row>
    <row r="133" spans="2:6" ht="12.75" customHeight="1" x14ac:dyDescent="0.2">
      <c r="B133" s="84"/>
      <c r="E133" s="84"/>
      <c r="F133" s="84"/>
    </row>
    <row r="134" spans="2:6" ht="12.75" customHeight="1" x14ac:dyDescent="0.2">
      <c r="B134" s="84"/>
      <c r="E134" s="84"/>
      <c r="F134" s="84"/>
    </row>
    <row r="135" spans="2:6" ht="12.75" customHeight="1" x14ac:dyDescent="0.2">
      <c r="B135" s="84"/>
      <c r="E135" s="84"/>
      <c r="F135" s="84"/>
    </row>
    <row r="136" spans="2:6" ht="12.75" customHeight="1" x14ac:dyDescent="0.2">
      <c r="B136" s="84"/>
      <c r="E136" s="84"/>
      <c r="F136" s="84"/>
    </row>
    <row r="137" spans="2:6" ht="12.75" customHeight="1" x14ac:dyDescent="0.2">
      <c r="B137" s="84"/>
      <c r="E137" s="84"/>
      <c r="F137" s="84"/>
    </row>
    <row r="138" spans="2:6" ht="12.75" customHeight="1" x14ac:dyDescent="0.2">
      <c r="B138" s="84"/>
      <c r="E138" s="84"/>
      <c r="F138" s="84"/>
    </row>
    <row r="139" spans="2:6" ht="12.75" customHeight="1" x14ac:dyDescent="0.2">
      <c r="B139" s="84"/>
      <c r="E139" s="84"/>
      <c r="F139" s="84"/>
    </row>
    <row r="140" spans="2:6" ht="12.75" customHeight="1" x14ac:dyDescent="0.2">
      <c r="B140" s="84"/>
      <c r="E140" s="84"/>
      <c r="F140" s="84"/>
    </row>
    <row r="141" spans="2:6" ht="12.75" customHeight="1" x14ac:dyDescent="0.2">
      <c r="B141" s="84"/>
      <c r="E141" s="84"/>
      <c r="F141" s="84"/>
    </row>
    <row r="142" spans="2:6" ht="12.75" customHeight="1" x14ac:dyDescent="0.2">
      <c r="B142" s="84"/>
      <c r="E142" s="84"/>
      <c r="F142" s="84"/>
    </row>
    <row r="143" spans="2:6" ht="12.75" customHeight="1" x14ac:dyDescent="0.2">
      <c r="B143" s="84"/>
      <c r="E143" s="84"/>
      <c r="F143" s="84"/>
    </row>
    <row r="144" spans="2:6" ht="12.75" customHeight="1" x14ac:dyDescent="0.2">
      <c r="B144" s="84"/>
      <c r="E144" s="84"/>
      <c r="F144" s="84"/>
    </row>
    <row r="145" spans="2:6" ht="12.75" customHeight="1" x14ac:dyDescent="0.2">
      <c r="B145" s="84"/>
      <c r="E145" s="84"/>
      <c r="F145" s="84"/>
    </row>
    <row r="146" spans="2:6" ht="12.75" customHeight="1" x14ac:dyDescent="0.2">
      <c r="B146" s="84"/>
      <c r="E146" s="84"/>
      <c r="F146" s="84"/>
    </row>
    <row r="147" spans="2:6" ht="12.75" customHeight="1" x14ac:dyDescent="0.2">
      <c r="B147" s="84"/>
      <c r="E147" s="84"/>
      <c r="F147" s="84"/>
    </row>
    <row r="148" spans="2:6" ht="12.75" customHeight="1" x14ac:dyDescent="0.2">
      <c r="B148" s="84"/>
      <c r="E148" s="84"/>
      <c r="F148" s="84"/>
    </row>
    <row r="149" spans="2:6" ht="12.75" customHeight="1" x14ac:dyDescent="0.2">
      <c r="B149" s="84"/>
      <c r="E149" s="84"/>
      <c r="F149" s="84"/>
    </row>
    <row r="150" spans="2:6" ht="12.75" customHeight="1" x14ac:dyDescent="0.2">
      <c r="B150" s="84"/>
      <c r="E150" s="84"/>
      <c r="F150" s="84"/>
    </row>
    <row r="151" spans="2:6" ht="12.75" customHeight="1" x14ac:dyDescent="0.2">
      <c r="B151" s="84"/>
      <c r="E151" s="84"/>
      <c r="F151" s="84"/>
    </row>
    <row r="152" spans="2:6" ht="12.75" customHeight="1" x14ac:dyDescent="0.2">
      <c r="B152" s="84"/>
      <c r="E152" s="84"/>
      <c r="F152" s="84"/>
    </row>
    <row r="153" spans="2:6" ht="12.75" customHeight="1" x14ac:dyDescent="0.2">
      <c r="B153" s="84"/>
      <c r="E153" s="84"/>
      <c r="F153" s="84"/>
    </row>
    <row r="154" spans="2:6" ht="12.75" customHeight="1" x14ac:dyDescent="0.2">
      <c r="B154" s="84"/>
      <c r="E154" s="84"/>
      <c r="F154" s="84"/>
    </row>
    <row r="155" spans="2:6" ht="12.75" customHeight="1" x14ac:dyDescent="0.2">
      <c r="B155" s="84"/>
      <c r="E155" s="84"/>
      <c r="F155" s="84"/>
    </row>
    <row r="156" spans="2:6" ht="12.75" customHeight="1" x14ac:dyDescent="0.2">
      <c r="B156" s="84"/>
      <c r="E156" s="84"/>
      <c r="F156" s="84"/>
    </row>
    <row r="157" spans="2:6" ht="12.75" customHeight="1" x14ac:dyDescent="0.2">
      <c r="B157" s="84"/>
      <c r="E157" s="84"/>
      <c r="F157" s="84"/>
    </row>
    <row r="158" spans="2:6" ht="12.75" customHeight="1" x14ac:dyDescent="0.2">
      <c r="B158" s="84"/>
      <c r="E158" s="84"/>
      <c r="F158" s="84"/>
    </row>
    <row r="159" spans="2:6" ht="12.75" customHeight="1" x14ac:dyDescent="0.2">
      <c r="B159" s="84"/>
      <c r="E159" s="84"/>
      <c r="F159" s="84"/>
    </row>
    <row r="160" spans="2:6" ht="12.75" customHeight="1" x14ac:dyDescent="0.2">
      <c r="B160" s="84"/>
      <c r="E160" s="84"/>
      <c r="F160" s="84"/>
    </row>
    <row r="161" spans="2:6" ht="12.75" customHeight="1" x14ac:dyDescent="0.2">
      <c r="B161" s="84"/>
      <c r="E161" s="84"/>
      <c r="F161" s="84"/>
    </row>
    <row r="162" spans="2:6" ht="12.75" customHeight="1" x14ac:dyDescent="0.2">
      <c r="B162" s="84"/>
      <c r="E162" s="84"/>
      <c r="F162" s="84"/>
    </row>
    <row r="163" spans="2:6" ht="12.75" customHeight="1" x14ac:dyDescent="0.2">
      <c r="B163" s="84"/>
      <c r="E163" s="84"/>
      <c r="F163" s="84"/>
    </row>
    <row r="164" spans="2:6" ht="12.75" customHeight="1" x14ac:dyDescent="0.2">
      <c r="B164" s="84"/>
      <c r="E164" s="84"/>
      <c r="F164" s="84"/>
    </row>
    <row r="165" spans="2:6" ht="12.75" customHeight="1" x14ac:dyDescent="0.2">
      <c r="B165" s="84"/>
      <c r="E165" s="84"/>
      <c r="F165" s="84"/>
    </row>
    <row r="166" spans="2:6" ht="12.75" customHeight="1" x14ac:dyDescent="0.2">
      <c r="B166" s="84"/>
      <c r="E166" s="84"/>
      <c r="F166" s="84"/>
    </row>
    <row r="167" spans="2:6" ht="12.75" customHeight="1" x14ac:dyDescent="0.2">
      <c r="B167" s="84"/>
      <c r="E167" s="84"/>
      <c r="F167" s="84"/>
    </row>
    <row r="168" spans="2:6" ht="12.75" customHeight="1" x14ac:dyDescent="0.2">
      <c r="B168" s="84"/>
      <c r="E168" s="84"/>
      <c r="F168" s="84"/>
    </row>
    <row r="169" spans="2:6" ht="12.75" customHeight="1" x14ac:dyDescent="0.2">
      <c r="B169" s="84"/>
      <c r="E169" s="84"/>
      <c r="F169" s="84"/>
    </row>
    <row r="170" spans="2:6" ht="12.75" customHeight="1" x14ac:dyDescent="0.2">
      <c r="B170" s="84"/>
      <c r="E170" s="84"/>
      <c r="F170" s="84"/>
    </row>
    <row r="171" spans="2:6" ht="12.75" customHeight="1" x14ac:dyDescent="0.2">
      <c r="B171" s="84"/>
      <c r="E171" s="84"/>
      <c r="F171" s="84"/>
    </row>
    <row r="172" spans="2:6" ht="12.75" customHeight="1" x14ac:dyDescent="0.2">
      <c r="B172" s="84"/>
      <c r="E172" s="84"/>
      <c r="F172" s="84"/>
    </row>
    <row r="173" spans="2:6" ht="12.75" customHeight="1" x14ac:dyDescent="0.2">
      <c r="B173" s="84"/>
      <c r="E173" s="84"/>
      <c r="F173" s="84"/>
    </row>
    <row r="174" spans="2:6" ht="12.75" customHeight="1" x14ac:dyDescent="0.2">
      <c r="B174" s="84"/>
      <c r="E174" s="84"/>
      <c r="F174" s="84"/>
    </row>
    <row r="175" spans="2:6" ht="12.75" customHeight="1" x14ac:dyDescent="0.2">
      <c r="B175" s="84"/>
      <c r="E175" s="84"/>
      <c r="F175" s="84"/>
    </row>
    <row r="176" spans="2: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row r="972" spans="2:6" x14ac:dyDescent="0.2">
      <c r="B972" s="84"/>
      <c r="E972" s="84"/>
      <c r="F972" s="84"/>
    </row>
    <row r="973" spans="2:6" x14ac:dyDescent="0.2">
      <c r="B973" s="84"/>
      <c r="E973" s="84"/>
      <c r="F973" s="84"/>
    </row>
    <row r="974" spans="2:6" x14ac:dyDescent="0.2">
      <c r="B974" s="84"/>
      <c r="E974" s="84"/>
      <c r="F974" s="84"/>
    </row>
  </sheetData>
  <mergeCells count="10">
    <mergeCell ref="AK2:AM2"/>
    <mergeCell ref="AL3:AM3"/>
    <mergeCell ref="R25:U25"/>
    <mergeCell ref="R26:U26"/>
    <mergeCell ref="B42:J42"/>
    <mergeCell ref="B43:J43"/>
    <mergeCell ref="B58:J58"/>
    <mergeCell ref="B62:H62"/>
    <mergeCell ref="B63:H63"/>
    <mergeCell ref="B2:H3"/>
  </mergeCells>
  <printOptions horizontalCentered="1"/>
  <pageMargins left="0.4" right="0.4" top="1" bottom="0.5" header="0.3" footer="0.511811023622047"/>
  <pageSetup paperSize="9" scale="44" orientation="landscape"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pageSetUpPr fitToPage="1"/>
  </sheetPr>
  <dimension ref="A1:AD106"/>
  <sheetViews>
    <sheetView zoomScale="70" zoomScaleNormal="70" workbookViewId="0">
      <selection activeCell="B32" sqref="B32"/>
    </sheetView>
  </sheetViews>
  <sheetFormatPr defaultColWidth="12.5" defaultRowHeight="15" x14ac:dyDescent="0.25"/>
  <cols>
    <col min="1" max="1" width="16.375" style="62" customWidth="1"/>
    <col min="2" max="2" width="30.875" customWidth="1"/>
    <col min="3" max="3" width="16.875" customWidth="1"/>
    <col min="4" max="4" width="19" customWidth="1"/>
    <col min="5" max="5" width="16.125" customWidth="1"/>
    <col min="6" max="6" width="23.125" customWidth="1"/>
    <col min="7" max="7" width="25.125" customWidth="1"/>
    <col min="8" max="8" width="36.125" customWidth="1"/>
    <col min="9" max="9" width="18" customWidth="1"/>
    <col min="12" max="12" width="8.375" customWidth="1"/>
    <col min="13" max="13" width="31.875" customWidth="1"/>
    <col min="18" max="18" width="43.5" customWidth="1"/>
    <col min="23" max="23" width="29.375" customWidth="1"/>
    <col min="24" max="24" width="31.625" customWidth="1"/>
    <col min="28" max="28" width="15.125" style="697" customWidth="1"/>
    <col min="29" max="29" width="12.5" style="697"/>
  </cols>
  <sheetData>
    <row r="1" spans="1:30" ht="24" customHeight="1" x14ac:dyDescent="0.2">
      <c r="A1" s="1590" t="s">
        <v>231</v>
      </c>
      <c r="B1" s="65">
        <v>1000</v>
      </c>
      <c r="C1" s="73" t="s">
        <v>313</v>
      </c>
      <c r="D1" s="74">
        <f>$S$30/J1</f>
        <v>17939.18918918919</v>
      </c>
      <c r="E1" s="75" t="s">
        <v>236</v>
      </c>
      <c r="F1" s="76" t="s">
        <v>314</v>
      </c>
      <c r="G1" s="75" t="s">
        <v>315</v>
      </c>
      <c r="H1" s="282">
        <f>H52</f>
        <v>13.275000000000002</v>
      </c>
      <c r="I1" s="77" t="s">
        <v>238</v>
      </c>
      <c r="J1" s="283">
        <v>0.74</v>
      </c>
      <c r="K1" s="84"/>
      <c r="Y1" s="75" t="s">
        <v>453</v>
      </c>
      <c r="Z1" s="766">
        <v>13270</v>
      </c>
      <c r="AA1" s="75" t="s">
        <v>556</v>
      </c>
      <c r="AB1" s="766">
        <v>5</v>
      </c>
      <c r="AC1" s="75" t="s">
        <v>546</v>
      </c>
      <c r="AD1" s="766">
        <v>90</v>
      </c>
    </row>
    <row r="2" spans="1:30" ht="12.75" customHeight="1" x14ac:dyDescent="0.25">
      <c r="A2" s="1479"/>
      <c r="B2" s="1645" t="s">
        <v>316</v>
      </c>
      <c r="C2" s="1653"/>
      <c r="D2" s="1653"/>
      <c r="E2" s="1653"/>
      <c r="F2" s="1653"/>
      <c r="G2" s="1653"/>
      <c r="H2" s="1653"/>
      <c r="I2" s="1653"/>
      <c r="J2" s="1653"/>
      <c r="K2" s="1653"/>
      <c r="L2" s="270"/>
    </row>
    <row r="3" spans="1:30" ht="12.75" customHeight="1" x14ac:dyDescent="0.25">
      <c r="A3" s="1479"/>
      <c r="B3" s="1633"/>
      <c r="C3" s="1633"/>
      <c r="D3" s="1633"/>
      <c r="E3" s="1633"/>
      <c r="F3" s="1633"/>
      <c r="G3" s="1633"/>
      <c r="H3" s="1633"/>
      <c r="I3" s="1633"/>
      <c r="J3" s="1633"/>
      <c r="K3" s="1633"/>
      <c r="L3" s="270"/>
    </row>
    <row r="4" spans="1:30" ht="46.5" customHeight="1" x14ac:dyDescent="0.2">
      <c r="A4" s="1589" t="s">
        <v>903</v>
      </c>
      <c r="B4" s="75" t="s">
        <v>241</v>
      </c>
      <c r="C4" s="284" t="s">
        <v>317</v>
      </c>
      <c r="D4" s="75" t="s">
        <v>318</v>
      </c>
      <c r="E4" s="91" t="s">
        <v>319</v>
      </c>
      <c r="F4" s="91" t="s">
        <v>320</v>
      </c>
      <c r="G4" s="285" t="s">
        <v>321</v>
      </c>
      <c r="H4" s="92" t="s">
        <v>322</v>
      </c>
      <c r="I4" s="75" t="s">
        <v>246</v>
      </c>
      <c r="J4" s="75" t="s">
        <v>247</v>
      </c>
      <c r="K4" s="75" t="s">
        <v>248</v>
      </c>
      <c r="L4" s="75" t="s">
        <v>249</v>
      </c>
    </row>
    <row r="5" spans="1:30" ht="14.25" customHeight="1" x14ac:dyDescent="0.2">
      <c r="A5" s="1489"/>
      <c r="B5" s="286" t="s">
        <v>220</v>
      </c>
      <c r="C5" s="106" t="s">
        <v>14</v>
      </c>
      <c r="D5" s="98">
        <f>I51/H51</f>
        <v>1351.3513513513512</v>
      </c>
      <c r="E5" s="98">
        <f>I52/D5</f>
        <v>13.275000000000002</v>
      </c>
      <c r="F5" s="109">
        <v>1</v>
      </c>
      <c r="G5" s="101">
        <f>D5*E5</f>
        <v>17939.18918918919</v>
      </c>
      <c r="H5" s="101">
        <f>D1</f>
        <v>17939.18918918919</v>
      </c>
      <c r="I5" s="65">
        <f>VLOOKUP(B5,All_Ingredients!$A$1:$F$156,6,FALSE())</f>
        <v>0.86</v>
      </c>
      <c r="J5" s="101">
        <f>VLOOKUP(B5,All_Ingredients!$A$1:$J$156,10,FALSE())</f>
        <v>17.100000000000001</v>
      </c>
      <c r="K5" s="104">
        <f>(H5/I5)/1000</f>
        <v>20.859522313010686</v>
      </c>
      <c r="L5" s="104">
        <f>K5*J5</f>
        <v>356.69783155248274</v>
      </c>
    </row>
    <row r="6" spans="1:30" ht="14.25" customHeight="1" x14ac:dyDescent="0.25">
      <c r="A6" s="1455"/>
      <c r="B6" s="20" t="s">
        <v>93</v>
      </c>
      <c r="C6" s="106" t="s">
        <v>14</v>
      </c>
      <c r="D6" s="107">
        <v>50</v>
      </c>
      <c r="E6" s="98">
        <f>$H$52</f>
        <v>13.275000000000002</v>
      </c>
      <c r="F6" s="109">
        <v>0.75</v>
      </c>
      <c r="G6" s="101">
        <f>D6*E6</f>
        <v>663.75000000000011</v>
      </c>
      <c r="H6" s="102">
        <f>G6*F6</f>
        <v>497.81250000000011</v>
      </c>
      <c r="I6" s="65">
        <f>VLOOKUP(B6,All_Ingredients!$A$1:$F$156,6,FALSE())</f>
        <v>1</v>
      </c>
      <c r="J6" s="101">
        <f>VLOOKUP(B6,All_Ingredients!$A$1:$J$156,10,FALSE())</f>
        <v>0.74</v>
      </c>
      <c r="K6" s="104">
        <f t="shared" ref="K6:K9" si="0">(H6/I6)/1000</f>
        <v>0.4978125000000001</v>
      </c>
      <c r="L6" s="104">
        <f t="shared" ref="L6:L9" si="1">K6*J6</f>
        <v>0.36838125000000005</v>
      </c>
    </row>
    <row r="7" spans="1:30" ht="14.25" customHeight="1" x14ac:dyDescent="0.25">
      <c r="A7" s="1455"/>
      <c r="B7" s="20" t="s">
        <v>837</v>
      </c>
      <c r="C7" s="106" t="s">
        <v>14</v>
      </c>
      <c r="D7" s="107">
        <v>3</v>
      </c>
      <c r="E7" s="98">
        <f>$H$52</f>
        <v>13.275000000000002</v>
      </c>
      <c r="F7" s="109">
        <v>0.75</v>
      </c>
      <c r="G7" s="101">
        <f>D7*E7</f>
        <v>39.825000000000003</v>
      </c>
      <c r="H7" s="102">
        <f>G7*F7</f>
        <v>29.868750000000002</v>
      </c>
      <c r="I7" s="65">
        <f>VLOOKUP(B7,All_Ingredients!$A$1:$F$156,6,FALSE())</f>
        <v>1</v>
      </c>
      <c r="J7" s="101">
        <f>VLOOKUP(B7,All_Ingredients!$A$1:$J$156,10,FALSE())</f>
        <v>22.5</v>
      </c>
      <c r="K7" s="104">
        <f t="shared" si="0"/>
        <v>2.9868750000000003E-2</v>
      </c>
      <c r="L7" s="104">
        <f t="shared" si="1"/>
        <v>0.67204687500000004</v>
      </c>
    </row>
    <row r="8" spans="1:30" ht="14.25" customHeight="1" x14ac:dyDescent="0.25">
      <c r="A8" s="1455"/>
      <c r="B8" s="20" t="s">
        <v>214</v>
      </c>
      <c r="C8" s="106" t="s">
        <v>14</v>
      </c>
      <c r="D8" s="107">
        <v>3</v>
      </c>
      <c r="E8" s="98">
        <f>$H$52</f>
        <v>13.275000000000002</v>
      </c>
      <c r="F8" s="109">
        <v>0.9</v>
      </c>
      <c r="G8" s="101">
        <f>D8*E8</f>
        <v>39.825000000000003</v>
      </c>
      <c r="H8" s="102">
        <f>G8*F8</f>
        <v>35.842500000000001</v>
      </c>
      <c r="I8" s="65">
        <f>VLOOKUP(B8,All_Ingredients!$A$1:$F$156,6,FALSE())</f>
        <v>1</v>
      </c>
      <c r="J8" s="101">
        <f>VLOOKUP(B8,All_Ingredients!$A$1:$J$156,10,FALSE())</f>
        <v>35</v>
      </c>
      <c r="K8" s="104">
        <f t="shared" si="0"/>
        <v>3.5842499999999999E-2</v>
      </c>
      <c r="L8" s="104">
        <f t="shared" si="1"/>
        <v>1.2544875</v>
      </c>
    </row>
    <row r="9" spans="1:30" ht="14.25" customHeight="1" x14ac:dyDescent="0.25">
      <c r="A9" s="1455"/>
      <c r="B9" s="20" t="s">
        <v>105</v>
      </c>
      <c r="C9" s="106" t="s">
        <v>14</v>
      </c>
      <c r="D9" s="107">
        <v>5</v>
      </c>
      <c r="E9" s="98">
        <f>$H$52</f>
        <v>13.275000000000002</v>
      </c>
      <c r="F9" s="109">
        <v>0.8</v>
      </c>
      <c r="G9" s="101">
        <f>D9*E9</f>
        <v>66.375000000000014</v>
      </c>
      <c r="H9" s="102">
        <f>G9*F9</f>
        <v>53.100000000000016</v>
      </c>
      <c r="I9" s="65">
        <f>VLOOKUP(B9,All_Ingredients!$A$1:$F$156,6,FALSE())</f>
        <v>1</v>
      </c>
      <c r="J9" s="101">
        <f>VLOOKUP(B9,All_Ingredients!$A$1:$J$156,10,FALSE())</f>
        <v>15</v>
      </c>
      <c r="K9" s="104">
        <f t="shared" si="0"/>
        <v>5.3100000000000015E-2</v>
      </c>
      <c r="L9" s="104">
        <f t="shared" si="1"/>
        <v>0.79650000000000021</v>
      </c>
    </row>
    <row r="10" spans="1:30" ht="14.25" customHeight="1" x14ac:dyDescent="0.2">
      <c r="A10" s="1466"/>
      <c r="B10" s="84"/>
      <c r="C10" s="84"/>
      <c r="D10" s="84"/>
      <c r="E10" s="84"/>
      <c r="F10" s="84"/>
      <c r="L10" s="189"/>
    </row>
    <row r="11" spans="1:30" ht="14.25" customHeight="1" x14ac:dyDescent="0.2">
      <c r="A11" s="1466"/>
      <c r="B11" s="84"/>
      <c r="C11" s="84"/>
      <c r="D11" s="84"/>
      <c r="E11" s="84"/>
      <c r="F11" s="84"/>
      <c r="L11" s="189"/>
    </row>
    <row r="12" spans="1:30" ht="14.25" customHeight="1" x14ac:dyDescent="0.2">
      <c r="A12" s="1466"/>
      <c r="B12" s="84"/>
      <c r="C12" s="84"/>
      <c r="D12" s="84"/>
      <c r="E12" s="84"/>
      <c r="F12" s="84"/>
      <c r="L12" s="189"/>
    </row>
    <row r="13" spans="1:30" ht="14.25" customHeight="1" x14ac:dyDescent="0.2">
      <c r="A13" s="1466"/>
      <c r="F13" s="84"/>
      <c r="L13" s="189"/>
    </row>
    <row r="14" spans="1:30" ht="14.25" customHeight="1" x14ac:dyDescent="0.2">
      <c r="A14" s="1466"/>
      <c r="F14" s="84"/>
      <c r="L14" s="189"/>
    </row>
    <row r="15" spans="1:30" ht="15" customHeight="1" x14ac:dyDescent="0.2">
      <c r="A15" s="1466"/>
      <c r="F15" s="84"/>
    </row>
    <row r="16" spans="1:30" ht="14.25" customHeight="1" x14ac:dyDescent="0.2">
      <c r="A16" s="1466"/>
      <c r="F16" s="84"/>
    </row>
    <row r="17" spans="1:29" ht="14.25" customHeight="1" x14ac:dyDescent="0.2">
      <c r="A17" s="1466"/>
      <c r="F17" s="84"/>
    </row>
    <row r="18" spans="1:29" ht="14.25" customHeight="1" x14ac:dyDescent="0.2">
      <c r="A18" s="1466"/>
      <c r="F18" s="84"/>
    </row>
    <row r="19" spans="1:29" ht="14.25" customHeight="1" x14ac:dyDescent="0.2">
      <c r="A19" s="1466"/>
      <c r="F19" s="84"/>
    </row>
    <row r="20" spans="1:29" ht="14.25" customHeight="1" x14ac:dyDescent="0.2">
      <c r="A20" s="1466"/>
      <c r="B20" s="160"/>
      <c r="C20" s="295"/>
      <c r="D20" s="275"/>
      <c r="E20" s="296"/>
      <c r="F20" s="84"/>
    </row>
    <row r="21" spans="1:29" ht="14.25" customHeight="1" x14ac:dyDescent="0.2">
      <c r="A21" s="1466"/>
      <c r="B21" s="160"/>
      <c r="C21" s="295"/>
      <c r="D21" s="275"/>
      <c r="E21" s="296"/>
      <c r="F21" s="84"/>
    </row>
    <row r="22" spans="1:29" ht="14.25" customHeight="1" x14ac:dyDescent="0.2">
      <c r="A22" s="1466"/>
      <c r="B22" s="160"/>
      <c r="C22" s="295"/>
      <c r="D22" s="275"/>
      <c r="E22" s="296"/>
      <c r="F22" s="84"/>
    </row>
    <row r="23" spans="1:29" ht="14.25" customHeight="1" x14ac:dyDescent="0.2">
      <c r="A23" s="1466"/>
      <c r="B23" s="160"/>
      <c r="C23" s="295"/>
      <c r="D23" s="275"/>
      <c r="E23" s="296"/>
      <c r="F23" s="84"/>
    </row>
    <row r="24" spans="1:29" ht="14.25" customHeight="1" x14ac:dyDescent="0.2">
      <c r="A24" s="1466"/>
      <c r="B24" s="160"/>
      <c r="C24" s="295"/>
      <c r="D24" s="275"/>
      <c r="E24" s="296"/>
      <c r="F24" s="84"/>
      <c r="Z24" s="1124"/>
    </row>
    <row r="25" spans="1:29" ht="15.75" customHeight="1" x14ac:dyDescent="0.25">
      <c r="A25" s="1466"/>
      <c r="B25" s="347"/>
      <c r="C25" s="324"/>
      <c r="D25" s="241"/>
      <c r="E25" s="347"/>
      <c r="F25" s="347"/>
      <c r="G25" s="241"/>
      <c r="H25" s="53"/>
      <c r="R25" s="1640" t="str">
        <f>B2</f>
        <v>Chicken Mandi - مندي دجاج</v>
      </c>
      <c r="S25" s="1633"/>
      <c r="T25" s="1633"/>
      <c r="U25" s="1059"/>
      <c r="Z25" s="122" t="s">
        <v>252</v>
      </c>
      <c r="AA25" s="123">
        <v>1</v>
      </c>
      <c r="AB25" s="122" t="s">
        <v>249</v>
      </c>
      <c r="AC25" s="1075">
        <f>AC30*AA25</f>
        <v>2.7135623429275821E-2</v>
      </c>
    </row>
    <row r="26" spans="1:29" ht="14.25" customHeight="1" x14ac:dyDescent="0.2">
      <c r="A26" s="1466"/>
      <c r="R26" s="1638" t="s">
        <v>324</v>
      </c>
      <c r="S26" s="1639"/>
      <c r="T26" s="1639"/>
      <c r="U26" s="1059"/>
      <c r="AB26" s="14"/>
      <c r="AC26" s="14"/>
    </row>
    <row r="27" spans="1:29" ht="36.75" customHeight="1" thickBot="1" x14ac:dyDescent="0.25">
      <c r="A27" s="1466"/>
      <c r="R27" s="126" t="s">
        <v>254</v>
      </c>
      <c r="S27" s="127" t="s">
        <v>255</v>
      </c>
      <c r="T27" s="127" t="s">
        <v>257</v>
      </c>
      <c r="U27" s="127" t="s">
        <v>779</v>
      </c>
      <c r="Z27" s="122" t="s">
        <v>258</v>
      </c>
      <c r="AA27" s="128" t="s">
        <v>259</v>
      </c>
      <c r="AB27" s="1032" t="s">
        <v>779</v>
      </c>
      <c r="AC27" s="128" t="s">
        <v>262</v>
      </c>
    </row>
    <row r="28" spans="1:29" ht="14.25" customHeight="1" thickBot="1" x14ac:dyDescent="0.25">
      <c r="A28" s="1466"/>
      <c r="R28" s="129" t="s">
        <v>325</v>
      </c>
      <c r="S28" s="1186">
        <f>$Z$1</f>
        <v>13270</v>
      </c>
      <c r="T28" s="1215">
        <f>S28</f>
        <v>13270</v>
      </c>
      <c r="U28" s="1223">
        <f>K37</f>
        <v>9.6923076923076928E-3</v>
      </c>
      <c r="Z28" s="132"/>
      <c r="AA28" s="1046">
        <f>AA25</f>
        <v>1</v>
      </c>
      <c r="AB28" s="1034"/>
      <c r="AC28" s="135">
        <f>SUM(AA28:AB28)</f>
        <v>1</v>
      </c>
    </row>
    <row r="29" spans="1:29" ht="14.25" customHeight="1" thickBot="1" x14ac:dyDescent="0.25">
      <c r="A29" s="1466"/>
      <c r="B29" s="160"/>
      <c r="C29" s="295"/>
      <c r="D29" s="275"/>
      <c r="E29" s="296"/>
      <c r="F29" s="84"/>
      <c r="R29" s="129" t="s">
        <v>326</v>
      </c>
      <c r="S29" s="1218">
        <f>$AB$1</f>
        <v>5</v>
      </c>
      <c r="T29" s="692">
        <f>S29</f>
        <v>5</v>
      </c>
      <c r="U29" s="1222"/>
      <c r="Z29" s="132"/>
      <c r="AA29" s="137">
        <v>1</v>
      </c>
      <c r="AB29" s="1038"/>
      <c r="AC29" s="137">
        <f>AC28/$AC$28</f>
        <v>1</v>
      </c>
    </row>
    <row r="30" spans="1:29" ht="14.25" customHeight="1" thickBot="1" x14ac:dyDescent="0.25">
      <c r="A30" s="1466"/>
      <c r="B30" s="160"/>
      <c r="C30" s="295"/>
      <c r="D30" s="275"/>
      <c r="E30" s="296"/>
      <c r="F30" s="84"/>
      <c r="R30" s="141" t="s">
        <v>327</v>
      </c>
      <c r="S30" s="1236">
        <f>S28+S29</f>
        <v>13275</v>
      </c>
      <c r="T30" s="1236">
        <f>T28+T29</f>
        <v>13275</v>
      </c>
      <c r="U30" s="1221">
        <f>U28+U29</f>
        <v>9.6923076923076928E-3</v>
      </c>
      <c r="Z30" s="122" t="s">
        <v>266</v>
      </c>
      <c r="AA30" s="138">
        <f>S33/(S30)</f>
        <v>2.7102768148962914E-2</v>
      </c>
      <c r="AB30" s="1045">
        <f>U33/T30</f>
        <v>3.2855280312907431E-5</v>
      </c>
      <c r="AC30" s="1053">
        <f>SUMPRODUCT(AA29,AA30)+AB30</f>
        <v>2.7135623429275821E-2</v>
      </c>
    </row>
    <row r="31" spans="1:29" ht="14.25" customHeight="1" thickBot="1" x14ac:dyDescent="0.3">
      <c r="A31" s="1466"/>
      <c r="B31" s="160"/>
      <c r="C31" s="295"/>
      <c r="D31" s="275"/>
      <c r="E31" s="296"/>
      <c r="F31" s="84"/>
      <c r="R31" s="142" t="s">
        <v>268</v>
      </c>
      <c r="S31" s="136"/>
      <c r="T31" s="136"/>
    </row>
    <row r="32" spans="1:29" ht="14.25" customHeight="1" thickBot="1" x14ac:dyDescent="0.25">
      <c r="A32" s="1466"/>
      <c r="B32" s="160"/>
      <c r="C32" s="295"/>
      <c r="D32" s="275"/>
      <c r="E32" s="296"/>
      <c r="F32" s="84"/>
      <c r="R32" s="143" t="s">
        <v>269</v>
      </c>
      <c r="S32" s="136"/>
      <c r="T32" s="136"/>
    </row>
    <row r="33" spans="1:24" ht="14.25" customHeight="1" thickBot="1" x14ac:dyDescent="0.25">
      <c r="A33" s="1466"/>
      <c r="B33" s="160"/>
      <c r="C33" s="295"/>
      <c r="D33" s="275"/>
      <c r="E33" s="296"/>
      <c r="F33" s="84"/>
      <c r="R33" s="144" t="s">
        <v>249</v>
      </c>
      <c r="S33" s="145">
        <f>SUM(L5:L9)</f>
        <v>359.78924717748271</v>
      </c>
      <c r="T33" s="145">
        <f>S33+U33</f>
        <v>360.22540102363655</v>
      </c>
      <c r="U33" s="1057">
        <f>L37</f>
        <v>0.43615384615384617</v>
      </c>
    </row>
    <row r="34" spans="1:24" ht="14.25" customHeight="1" x14ac:dyDescent="0.2">
      <c r="A34" s="1466"/>
      <c r="B34" s="160"/>
      <c r="C34" s="295"/>
      <c r="D34" s="275"/>
      <c r="E34" s="296"/>
      <c r="F34" s="84"/>
    </row>
    <row r="35" spans="1:24" ht="14.25" customHeight="1" x14ac:dyDescent="0.2">
      <c r="A35" s="1466"/>
      <c r="B35" s="1641" t="s">
        <v>628</v>
      </c>
      <c r="C35" s="1641"/>
      <c r="D35" s="1641"/>
      <c r="E35" s="1641"/>
      <c r="F35" s="1641"/>
      <c r="G35" s="803"/>
      <c r="H35" s="803"/>
      <c r="I35" s="803"/>
      <c r="J35" s="803"/>
      <c r="K35" s="803"/>
      <c r="L35" s="803"/>
    </row>
    <row r="36" spans="1:24" ht="14.25" customHeight="1" x14ac:dyDescent="0.2">
      <c r="A36" s="1466"/>
      <c r="B36" s="776" t="s">
        <v>241</v>
      </c>
      <c r="C36" s="776" t="s">
        <v>317</v>
      </c>
      <c r="D36" s="778" t="s">
        <v>622</v>
      </c>
      <c r="E36" s="775" t="s">
        <v>623</v>
      </c>
      <c r="F36" s="778" t="s">
        <v>624</v>
      </c>
      <c r="G36" s="797"/>
      <c r="H36" s="778" t="s">
        <v>624</v>
      </c>
      <c r="I36" s="778" t="s">
        <v>246</v>
      </c>
      <c r="J36" s="778" t="s">
        <v>247</v>
      </c>
      <c r="K36" s="778" t="s">
        <v>248</v>
      </c>
      <c r="L36" s="778" t="s">
        <v>249</v>
      </c>
    </row>
    <row r="37" spans="1:24" ht="14.25" customHeight="1" x14ac:dyDescent="0.2">
      <c r="A37" s="1466"/>
      <c r="B37" s="772" t="s">
        <v>686</v>
      </c>
      <c r="C37" s="773" t="s">
        <v>14</v>
      </c>
      <c r="D37" s="774">
        <v>7.0000000000000007E-2</v>
      </c>
      <c r="E37" s="772">
        <f>$AD$1</f>
        <v>90</v>
      </c>
      <c r="F37" s="772">
        <f>D37*E37</f>
        <v>6.3000000000000007</v>
      </c>
      <c r="H37" s="772">
        <f>F37</f>
        <v>6.3000000000000007</v>
      </c>
      <c r="I37" s="772">
        <f>VLOOKUP(B37,All_Ingredients!$A$1:$F$156,6,FALSE())</f>
        <v>0.65</v>
      </c>
      <c r="J37" s="772">
        <f>VLOOKUP(B37,All_Ingredients!$A$1:$J$156,10,FALSE())</f>
        <v>45</v>
      </c>
      <c r="K37" s="772">
        <f>(H37/I37)/1000</f>
        <v>9.6923076923076928E-3</v>
      </c>
      <c r="L37" s="772">
        <f t="shared" ref="L37" si="2">K37*J37</f>
        <v>0.43615384615384617</v>
      </c>
    </row>
    <row r="38" spans="1:24" ht="14.25" customHeight="1" x14ac:dyDescent="0.2">
      <c r="A38" s="1466"/>
      <c r="B38" s="160"/>
      <c r="C38" s="295"/>
      <c r="D38" s="275"/>
      <c r="E38" s="296"/>
      <c r="F38" s="84"/>
    </row>
    <row r="39" spans="1:24" ht="14.25" customHeight="1" x14ac:dyDescent="0.2">
      <c r="A39" s="1466"/>
      <c r="B39" s="160"/>
      <c r="C39" s="295"/>
      <c r="D39" s="275"/>
      <c r="E39" s="296"/>
      <c r="F39" s="84"/>
    </row>
    <row r="40" spans="1:24" ht="14.25" customHeight="1" x14ac:dyDescent="0.2">
      <c r="A40" s="1466"/>
      <c r="B40" s="160"/>
      <c r="C40" s="295"/>
      <c r="D40" s="275"/>
      <c r="E40" s="296"/>
      <c r="F40" s="84"/>
      <c r="Q40" s="14"/>
      <c r="R40" s="146" t="s">
        <v>328</v>
      </c>
      <c r="S40" s="217">
        <v>1</v>
      </c>
      <c r="X40" s="14"/>
    </row>
    <row r="41" spans="1:24" ht="14.25" customHeight="1" x14ac:dyDescent="0.2">
      <c r="A41" s="1466"/>
      <c r="B41" s="160"/>
      <c r="C41" s="295"/>
      <c r="D41" s="275"/>
      <c r="E41" s="296"/>
      <c r="F41" s="84"/>
      <c r="Q41" s="14"/>
      <c r="R41" s="14"/>
      <c r="S41" s="14"/>
      <c r="T41" s="14"/>
      <c r="U41" s="150"/>
      <c r="V41" s="14"/>
      <c r="W41" s="14"/>
      <c r="X41" s="14"/>
    </row>
    <row r="42" spans="1:24" ht="14.25" customHeight="1" x14ac:dyDescent="0.2">
      <c r="A42" s="1466"/>
      <c r="B42" s="160"/>
      <c r="C42" s="295"/>
      <c r="D42" s="275"/>
      <c r="E42" s="296"/>
      <c r="F42" s="84"/>
      <c r="Q42" s="14"/>
      <c r="R42" s="14"/>
      <c r="S42" s="14"/>
      <c r="T42" s="14"/>
      <c r="U42" s="14"/>
      <c r="V42" s="14"/>
      <c r="W42" s="14"/>
      <c r="X42" s="14"/>
    </row>
    <row r="43" spans="1:24" ht="14.25" customHeight="1" x14ac:dyDescent="0.2">
      <c r="A43" s="1466"/>
      <c r="B43" s="160"/>
      <c r="C43" s="295"/>
      <c r="D43" s="275"/>
      <c r="E43" s="296"/>
      <c r="F43" s="84"/>
      <c r="Q43" s="151" t="s">
        <v>272</v>
      </c>
      <c r="R43" s="151" t="s">
        <v>273</v>
      </c>
      <c r="S43" s="151" t="s">
        <v>274</v>
      </c>
      <c r="T43" s="151" t="s">
        <v>275</v>
      </c>
      <c r="U43" s="151" t="s">
        <v>276</v>
      </c>
      <c r="V43" s="151" t="s">
        <v>277</v>
      </c>
      <c r="W43" s="235" t="s">
        <v>329</v>
      </c>
      <c r="X43" s="298"/>
    </row>
    <row r="44" spans="1:24" ht="14.25" customHeight="1" x14ac:dyDescent="0.2">
      <c r="A44" s="1466"/>
      <c r="B44" s="160"/>
      <c r="C44" s="295"/>
      <c r="D44" s="275"/>
      <c r="E44" s="296"/>
      <c r="F44" s="84"/>
      <c r="Q44" s="153">
        <v>10000</v>
      </c>
      <c r="R44" s="154">
        <v>0</v>
      </c>
      <c r="S44" s="219">
        <v>0</v>
      </c>
      <c r="T44" s="219">
        <v>0</v>
      </c>
      <c r="U44" s="220">
        <f>R44*S44</f>
        <v>0</v>
      </c>
      <c r="V44" s="157">
        <f>R44*T44</f>
        <v>0</v>
      </c>
      <c r="W44" s="237">
        <f>Q44-U44</f>
        <v>10000</v>
      </c>
      <c r="X44" s="275"/>
    </row>
    <row r="45" spans="1:24" ht="14.25" customHeight="1" x14ac:dyDescent="0.2">
      <c r="A45" s="1466"/>
      <c r="B45" s="160"/>
      <c r="C45" s="295"/>
      <c r="D45" s="275"/>
      <c r="E45" s="296"/>
      <c r="F45" s="84"/>
    </row>
    <row r="46" spans="1:24" ht="14.25" customHeight="1" x14ac:dyDescent="0.2">
      <c r="A46" s="1466"/>
      <c r="B46" s="160"/>
      <c r="C46" s="295"/>
      <c r="D46" s="275"/>
      <c r="E46" s="296"/>
      <c r="F46" s="84"/>
    </row>
    <row r="47" spans="1:24" ht="14.25" customHeight="1" x14ac:dyDescent="0.2">
      <c r="A47" s="1466"/>
      <c r="B47" s="160"/>
      <c r="C47" s="295"/>
      <c r="D47" s="275"/>
      <c r="E47" s="296"/>
      <c r="F47" s="84"/>
    </row>
    <row r="48" spans="1:24" ht="14.25" customHeight="1" x14ac:dyDescent="0.2">
      <c r="A48" s="1466"/>
      <c r="B48" s="160"/>
      <c r="C48" s="295"/>
      <c r="D48" s="275"/>
      <c r="E48" s="296"/>
      <c r="F48" s="84"/>
    </row>
    <row r="49" spans="1:10" ht="14.25" customHeight="1" x14ac:dyDescent="0.2">
      <c r="A49" s="1466"/>
      <c r="B49" s="160"/>
      <c r="C49" s="295"/>
      <c r="D49" s="275"/>
      <c r="E49" s="296"/>
      <c r="F49" s="84"/>
    </row>
    <row r="50" spans="1:10" ht="14.25" customHeight="1" thickBot="1" x14ac:dyDescent="0.25">
      <c r="A50" s="1466"/>
      <c r="F50" s="84"/>
      <c r="G50" s="127" t="s">
        <v>280</v>
      </c>
      <c r="H50" s="127" t="s">
        <v>233</v>
      </c>
      <c r="I50" s="127" t="s">
        <v>281</v>
      </c>
      <c r="J50" s="127" t="s">
        <v>282</v>
      </c>
    </row>
    <row r="51" spans="1:10" ht="14.25" customHeight="1" thickBot="1" x14ac:dyDescent="0.25">
      <c r="A51" s="1466"/>
      <c r="F51" s="84"/>
      <c r="G51" s="287" t="s">
        <v>323</v>
      </c>
      <c r="H51" s="288">
        <v>10</v>
      </c>
      <c r="I51" s="288">
        <f>J51/J1</f>
        <v>13513.513513513513</v>
      </c>
      <c r="J51" s="289">
        <f>$W$44</f>
        <v>10000</v>
      </c>
    </row>
    <row r="52" spans="1:10" ht="14.25" customHeight="1" x14ac:dyDescent="0.2">
      <c r="A52" s="1466"/>
      <c r="F52" s="84"/>
      <c r="G52" s="143" t="s">
        <v>262</v>
      </c>
      <c r="H52" s="290">
        <f>$E$5</f>
        <v>13.275000000000002</v>
      </c>
      <c r="I52" s="291">
        <f>J52/$J$1</f>
        <v>17939.18918918919</v>
      </c>
      <c r="J52" s="292">
        <f>$S$30</f>
        <v>13275</v>
      </c>
    </row>
    <row r="53" spans="1:10" ht="14.25" customHeight="1" x14ac:dyDescent="0.2">
      <c r="A53" s="1466"/>
      <c r="D53" s="458"/>
      <c r="F53" s="84"/>
      <c r="G53" s="129" t="s">
        <v>284</v>
      </c>
      <c r="H53" s="293">
        <f>MIN($H$52, H51)</f>
        <v>10</v>
      </c>
      <c r="I53" s="157">
        <f>J53/$J$1</f>
        <v>13513.513513513513</v>
      </c>
      <c r="J53" s="294">
        <f>MIN(MAX($J$52,0),$J$51)</f>
        <v>10000</v>
      </c>
    </row>
    <row r="54" spans="1:10" ht="14.25" customHeight="1" x14ac:dyDescent="0.2">
      <c r="A54" s="1466"/>
      <c r="D54" s="458"/>
      <c r="F54" s="84"/>
      <c r="G54" s="129" t="s">
        <v>285</v>
      </c>
      <c r="H54" s="293">
        <f>MIN(MAX($H$52-H53,0),H51)</f>
        <v>3.2750000000000021</v>
      </c>
      <c r="I54" s="157">
        <f>J54/$J$1</f>
        <v>4425.6756756756758</v>
      </c>
      <c r="J54" s="165">
        <f>MIN(MAX($J$52-J53,0),$J$51)</f>
        <v>3275</v>
      </c>
    </row>
    <row r="55" spans="1:10" ht="14.25" customHeight="1" x14ac:dyDescent="0.2">
      <c r="A55" s="1466"/>
      <c r="D55" s="458"/>
      <c r="F55" s="84"/>
      <c r="G55" s="126" t="s">
        <v>286</v>
      </c>
      <c r="H55" s="293">
        <f>MIN(MAX($H$52-H53-H54,0),$H$51)</f>
        <v>0</v>
      </c>
      <c r="I55" s="157">
        <f>J55/$J$1</f>
        <v>0</v>
      </c>
      <c r="J55" s="294">
        <f>MIN(MAX($J$52-J53-J54,0),$J$51)</f>
        <v>0</v>
      </c>
    </row>
    <row r="56" spans="1:10" ht="14.25" customHeight="1" x14ac:dyDescent="0.2">
      <c r="A56" s="1466"/>
      <c r="F56" s="84"/>
      <c r="G56" s="129" t="s">
        <v>293</v>
      </c>
      <c r="H56" s="293">
        <f>MIN(MAX($H$52-H53-H54-H55,0),$H$51)</f>
        <v>0</v>
      </c>
      <c r="I56" s="157">
        <f>J56/$J$1</f>
        <v>0</v>
      </c>
      <c r="J56" s="294">
        <f>MIN(MAX($J$52-J53-J54-J55,0),$J$51)</f>
        <v>0</v>
      </c>
    </row>
    <row r="57" spans="1:10" ht="14.25" customHeight="1" x14ac:dyDescent="0.2">
      <c r="A57" s="1466"/>
      <c r="B57" s="160"/>
      <c r="C57" s="295"/>
      <c r="D57" s="275"/>
      <c r="E57" s="296"/>
      <c r="F57" s="84"/>
    </row>
    <row r="58" spans="1:10" ht="14.25" customHeight="1" x14ac:dyDescent="0.25">
      <c r="B58" s="84"/>
      <c r="E58" s="84"/>
      <c r="F58" s="84"/>
    </row>
    <row r="59" spans="1:10" ht="14.25" customHeight="1" x14ac:dyDescent="0.25">
      <c r="B59" s="84"/>
      <c r="E59" s="84"/>
      <c r="F59" s="84"/>
    </row>
    <row r="60" spans="1:10" ht="14.25" customHeight="1" x14ac:dyDescent="0.25">
      <c r="B60" s="84"/>
      <c r="E60" s="84"/>
      <c r="F60" s="84"/>
    </row>
    <row r="61" spans="1:10" ht="14.25" customHeight="1" x14ac:dyDescent="0.25">
      <c r="B61" s="84"/>
      <c r="E61" s="84"/>
      <c r="F61" s="84"/>
    </row>
    <row r="62" spans="1:10" ht="18" customHeight="1" x14ac:dyDescent="0.2">
      <c r="A62" s="1467"/>
      <c r="B62" s="1642" t="str">
        <f>"دجاج مندى 1 / " &amp; COUNTIF($H$53:$H$56, "&gt;0")</f>
        <v>دجاج مندى 1 / 2</v>
      </c>
      <c r="C62" s="1651"/>
      <c r="D62" s="1651"/>
      <c r="E62" s="1651"/>
      <c r="F62" s="1651"/>
      <c r="G62" s="1651"/>
      <c r="H62" s="1651"/>
    </row>
    <row r="63" spans="1:10" ht="18" customHeight="1" x14ac:dyDescent="0.2">
      <c r="A63" s="1467"/>
      <c r="B63" s="1642" t="str">
        <f>"Mandi Chicken 1 / " &amp; COUNTIF($H$53:$H$56, "&gt;0")</f>
        <v>Mandi Chicken 1 / 2</v>
      </c>
      <c r="C63" s="1651"/>
      <c r="D63" s="1651"/>
      <c r="E63" s="1651"/>
      <c r="F63" s="1651"/>
      <c r="G63" s="1651"/>
      <c r="H63" s="1651"/>
    </row>
    <row r="64" spans="1:10" ht="56.25" customHeight="1" x14ac:dyDescent="0.2">
      <c r="A64" s="1589"/>
      <c r="B64" s="75" t="s">
        <v>241</v>
      </c>
      <c r="C64" s="284" t="s">
        <v>317</v>
      </c>
      <c r="D64" s="75" t="s">
        <v>318</v>
      </c>
      <c r="E64" s="91" t="s">
        <v>319</v>
      </c>
      <c r="F64" s="91" t="s">
        <v>320</v>
      </c>
      <c r="G64" s="285" t="s">
        <v>321</v>
      </c>
      <c r="H64" s="92" t="s">
        <v>322</v>
      </c>
    </row>
    <row r="65" spans="1:8" ht="14.25" customHeight="1" x14ac:dyDescent="0.2">
      <c r="A65" s="1459"/>
      <c r="B65" s="299" t="str">
        <f t="shared" ref="B65:D69" si="3">B5</f>
        <v>Chicken - دجاج</v>
      </c>
      <c r="C65" s="299" t="str">
        <f t="shared" si="3"/>
        <v>gm</v>
      </c>
      <c r="D65" s="300">
        <f>D5</f>
        <v>1351.3513513513512</v>
      </c>
      <c r="E65" s="177">
        <f>$H$53</f>
        <v>10</v>
      </c>
      <c r="F65" s="109">
        <f>F5</f>
        <v>1</v>
      </c>
      <c r="G65" s="101">
        <f>D65*E65</f>
        <v>13513.513513513513</v>
      </c>
      <c r="H65" s="102">
        <f>G65*F65</f>
        <v>13513.513513513513</v>
      </c>
    </row>
    <row r="66" spans="1:8" ht="14.25" customHeight="1" x14ac:dyDescent="0.25">
      <c r="A66" s="1455"/>
      <c r="B66" s="299" t="str">
        <f t="shared" si="3"/>
        <v>Salt - ملح</v>
      </c>
      <c r="C66" s="299" t="str">
        <f t="shared" si="3"/>
        <v>gm</v>
      </c>
      <c r="D66" s="299">
        <f t="shared" si="3"/>
        <v>50</v>
      </c>
      <c r="E66" s="177">
        <f>$H$53</f>
        <v>10</v>
      </c>
      <c r="F66" s="109">
        <f>F6</f>
        <v>0.75</v>
      </c>
      <c r="G66" s="65">
        <f>D66*E66</f>
        <v>500</v>
      </c>
      <c r="H66" s="102">
        <f>G66*F66</f>
        <v>375</v>
      </c>
    </row>
    <row r="67" spans="1:8" ht="14.25" customHeight="1" x14ac:dyDescent="0.25">
      <c r="A67" s="1455"/>
      <c r="B67" s="299" t="str">
        <f t="shared" si="3"/>
        <v>Saffron yellow color powder - لون صفار زعفران بودر</v>
      </c>
      <c r="C67" s="299" t="str">
        <f t="shared" si="3"/>
        <v>gm</v>
      </c>
      <c r="D67" s="299">
        <f t="shared" si="3"/>
        <v>3</v>
      </c>
      <c r="E67" s="177">
        <f>$H$53</f>
        <v>10</v>
      </c>
      <c r="F67" s="109">
        <f>F7</f>
        <v>0.75</v>
      </c>
      <c r="G67" s="65">
        <f>D67*E67</f>
        <v>30</v>
      </c>
      <c r="H67" s="102">
        <f>G67*F67</f>
        <v>22.5</v>
      </c>
    </row>
    <row r="68" spans="1:8" ht="14.25" customHeight="1" x14ac:dyDescent="0.25">
      <c r="A68" s="1455"/>
      <c r="B68" s="299" t="str">
        <f t="shared" si="3"/>
        <v>Orange Color - لون برتقالي</v>
      </c>
      <c r="C68" s="299" t="str">
        <f t="shared" si="3"/>
        <v>gm</v>
      </c>
      <c r="D68" s="299">
        <f t="shared" si="3"/>
        <v>3</v>
      </c>
      <c r="E68" s="177">
        <f>$H$53</f>
        <v>10</v>
      </c>
      <c r="F68" s="109">
        <f>F8</f>
        <v>0.9</v>
      </c>
      <c r="G68" s="65">
        <f>D68*E68</f>
        <v>30</v>
      </c>
      <c r="H68" s="102">
        <f>G68*F68</f>
        <v>27</v>
      </c>
    </row>
    <row r="69" spans="1:8" ht="14.25" customHeight="1" x14ac:dyDescent="0.25">
      <c r="A69" s="1455"/>
      <c r="B69" s="299" t="str">
        <f t="shared" si="3"/>
        <v>Cumin Powder - كمون مطحون</v>
      </c>
      <c r="C69" s="299" t="str">
        <f t="shared" si="3"/>
        <v>gm</v>
      </c>
      <c r="D69" s="299">
        <f t="shared" si="3"/>
        <v>5</v>
      </c>
      <c r="E69" s="177">
        <f>$H$53</f>
        <v>10</v>
      </c>
      <c r="F69" s="109">
        <f>F9</f>
        <v>0.8</v>
      </c>
      <c r="G69" s="65">
        <f>D69*E69</f>
        <v>50</v>
      </c>
      <c r="H69" s="102">
        <f>G69*F69</f>
        <v>40</v>
      </c>
    </row>
    <row r="70" spans="1:8" ht="18" customHeight="1" x14ac:dyDescent="0.25">
      <c r="A70" s="1458"/>
      <c r="B70" s="178" t="s">
        <v>287</v>
      </c>
      <c r="C70" s="180" t="s">
        <v>273</v>
      </c>
      <c r="D70" s="14"/>
      <c r="E70" s="180" t="s">
        <v>288</v>
      </c>
      <c r="F70" s="14"/>
      <c r="G70" s="804" t="s">
        <v>264</v>
      </c>
      <c r="H70" s="804" t="s">
        <v>673</v>
      </c>
    </row>
    <row r="71" spans="1:8" ht="22.5" customHeight="1" x14ac:dyDescent="0.3">
      <c r="A71" s="1458"/>
      <c r="B71" s="179">
        <f>$J$53</f>
        <v>10000</v>
      </c>
      <c r="C71" s="179">
        <f>E71+G71</f>
        <v>0</v>
      </c>
      <c r="D71" s="839"/>
      <c r="E71" s="179">
        <f>$H$53*$S$44</f>
        <v>0</v>
      </c>
      <c r="F71" s="843"/>
      <c r="G71" s="179">
        <f>$H$53*$T$44</f>
        <v>0</v>
      </c>
      <c r="H71" s="179">
        <f>B71+E71</f>
        <v>10000</v>
      </c>
    </row>
    <row r="72" spans="1:8" ht="14.25" customHeight="1" x14ac:dyDescent="0.25">
      <c r="B72" s="84"/>
      <c r="E72" s="84"/>
      <c r="F72" s="84"/>
    </row>
    <row r="73" spans="1:8" ht="18" customHeight="1" x14ac:dyDescent="0.2">
      <c r="A73" s="1467"/>
      <c r="B73" s="1642" t="str">
        <f>"دجاج مندى 2 / " &amp; COUNTIF($H$53:$H$56, "&gt;0")</f>
        <v>دجاج مندى 2 / 2</v>
      </c>
      <c r="C73" s="1651"/>
      <c r="D73" s="1651"/>
      <c r="E73" s="1651"/>
      <c r="F73" s="1651"/>
      <c r="G73" s="1651"/>
      <c r="H73" s="1651"/>
    </row>
    <row r="74" spans="1:8" ht="18" customHeight="1" x14ac:dyDescent="0.2">
      <c r="A74" s="1467"/>
      <c r="B74" s="1642" t="str">
        <f>"Mandi Chicken 2 / " &amp; COUNTIF($H$53:$H$56, "&gt;0")</f>
        <v>Mandi Chicken 2 / 2</v>
      </c>
      <c r="C74" s="1651"/>
      <c r="D74" s="1651"/>
      <c r="E74" s="1651"/>
      <c r="F74" s="1651"/>
      <c r="G74" s="1651"/>
      <c r="H74" s="1651"/>
    </row>
    <row r="75" spans="1:8" ht="32.25" customHeight="1" x14ac:dyDescent="0.2">
      <c r="A75" s="1589"/>
      <c r="B75" s="75" t="s">
        <v>241</v>
      </c>
      <c r="C75" s="90" t="s">
        <v>242</v>
      </c>
      <c r="D75" s="75" t="s">
        <v>231</v>
      </c>
      <c r="E75" s="197" t="s">
        <v>234</v>
      </c>
      <c r="F75" s="91" t="s">
        <v>330</v>
      </c>
      <c r="G75" s="75" t="s">
        <v>244</v>
      </c>
      <c r="H75" s="197" t="s">
        <v>245</v>
      </c>
    </row>
    <row r="76" spans="1:8" ht="14.25" customHeight="1" x14ac:dyDescent="0.2">
      <c r="A76" s="1459"/>
      <c r="B76" s="299" t="str">
        <f t="shared" ref="B76:D80" si="4">B5</f>
        <v>Chicken - دجاج</v>
      </c>
      <c r="C76" s="299" t="str">
        <f t="shared" si="4"/>
        <v>gm</v>
      </c>
      <c r="D76" s="101">
        <f t="shared" si="4"/>
        <v>1351.3513513513512</v>
      </c>
      <c r="E76" s="177">
        <f>$H$54</f>
        <v>3.2750000000000021</v>
      </c>
      <c r="F76" s="109">
        <f>F5</f>
        <v>1</v>
      </c>
      <c r="G76" s="101">
        <f>D76*E76</f>
        <v>4425.6756756756786</v>
      </c>
      <c r="H76" s="102">
        <f>G76*F76</f>
        <v>4425.6756756756786</v>
      </c>
    </row>
    <row r="77" spans="1:8" ht="14.25" customHeight="1" x14ac:dyDescent="0.25">
      <c r="A77" s="1455"/>
      <c r="B77" s="299" t="str">
        <f t="shared" si="4"/>
        <v>Salt - ملح</v>
      </c>
      <c r="C77" s="299" t="str">
        <f t="shared" si="4"/>
        <v>gm</v>
      </c>
      <c r="D77" s="299">
        <f t="shared" si="4"/>
        <v>50</v>
      </c>
      <c r="E77" s="177">
        <f>$H$54</f>
        <v>3.2750000000000021</v>
      </c>
      <c r="F77" s="109">
        <f>F6</f>
        <v>0.75</v>
      </c>
      <c r="G77" s="101">
        <f>D77*E77</f>
        <v>163.75000000000011</v>
      </c>
      <c r="H77" s="102">
        <f>G77*F77</f>
        <v>122.81250000000009</v>
      </c>
    </row>
    <row r="78" spans="1:8" ht="14.25" customHeight="1" x14ac:dyDescent="0.25">
      <c r="A78" s="1455"/>
      <c r="B78" s="299" t="str">
        <f t="shared" si="4"/>
        <v>Saffron yellow color powder - لون صفار زعفران بودر</v>
      </c>
      <c r="C78" s="299" t="str">
        <f t="shared" si="4"/>
        <v>gm</v>
      </c>
      <c r="D78" s="299">
        <f t="shared" si="4"/>
        <v>3</v>
      </c>
      <c r="E78" s="177">
        <f>$H$54</f>
        <v>3.2750000000000021</v>
      </c>
      <c r="F78" s="109">
        <f>F7</f>
        <v>0.75</v>
      </c>
      <c r="G78" s="101">
        <f>D78*E78</f>
        <v>9.8250000000000064</v>
      </c>
      <c r="H78" s="102">
        <f>G78*F78</f>
        <v>7.3687500000000048</v>
      </c>
    </row>
    <row r="79" spans="1:8" ht="14.25" customHeight="1" x14ac:dyDescent="0.25">
      <c r="A79" s="1455"/>
      <c r="B79" s="299" t="str">
        <f t="shared" si="4"/>
        <v>Orange Color - لون برتقالي</v>
      </c>
      <c r="C79" s="299" t="str">
        <f t="shared" si="4"/>
        <v>gm</v>
      </c>
      <c r="D79" s="299">
        <f t="shared" si="4"/>
        <v>3</v>
      </c>
      <c r="E79" s="177">
        <f>$H$54</f>
        <v>3.2750000000000021</v>
      </c>
      <c r="F79" s="109">
        <f>F8</f>
        <v>0.9</v>
      </c>
      <c r="G79" s="101">
        <f>D79*E79</f>
        <v>9.8250000000000064</v>
      </c>
      <c r="H79" s="102">
        <f>G79*F79</f>
        <v>8.8425000000000065</v>
      </c>
    </row>
    <row r="80" spans="1:8" ht="14.25" customHeight="1" x14ac:dyDescent="0.25">
      <c r="A80" s="1455"/>
      <c r="B80" s="299" t="str">
        <f t="shared" si="4"/>
        <v>Cumin Powder - كمون مطحون</v>
      </c>
      <c r="C80" s="299" t="str">
        <f t="shared" si="4"/>
        <v>gm</v>
      </c>
      <c r="D80" s="299">
        <f t="shared" si="4"/>
        <v>5</v>
      </c>
      <c r="E80" s="177">
        <f>$H$54</f>
        <v>3.2750000000000021</v>
      </c>
      <c r="F80" s="109">
        <f>F9</f>
        <v>0.8</v>
      </c>
      <c r="G80" s="101">
        <f>D80*E80</f>
        <v>16.375000000000011</v>
      </c>
      <c r="H80" s="102">
        <f>G80*F80</f>
        <v>13.100000000000009</v>
      </c>
    </row>
    <row r="81" spans="1:8" ht="20.25" customHeight="1" x14ac:dyDescent="0.25">
      <c r="A81" s="1458"/>
      <c r="B81" s="178" t="s">
        <v>287</v>
      </c>
      <c r="C81" s="180" t="s">
        <v>273</v>
      </c>
      <c r="D81" s="14"/>
      <c r="E81" s="180" t="s">
        <v>288</v>
      </c>
      <c r="F81" s="14"/>
      <c r="G81" s="804" t="s">
        <v>264</v>
      </c>
      <c r="H81" s="804" t="s">
        <v>673</v>
      </c>
    </row>
    <row r="82" spans="1:8" ht="22.5" customHeight="1" x14ac:dyDescent="0.3">
      <c r="A82" s="1458"/>
      <c r="B82" s="179">
        <f>$J$54</f>
        <v>3275</v>
      </c>
      <c r="C82" s="179">
        <f>E82+G82</f>
        <v>0</v>
      </c>
      <c r="D82" s="839"/>
      <c r="E82" s="179">
        <f>$H$54*$S$44</f>
        <v>0</v>
      </c>
      <c r="F82" s="843"/>
      <c r="G82" s="179">
        <f>$H$54*$T$44</f>
        <v>0</v>
      </c>
      <c r="H82" s="179">
        <f>B82+E82</f>
        <v>3275</v>
      </c>
    </row>
    <row r="83" spans="1:8" ht="14.25" customHeight="1" x14ac:dyDescent="0.25">
      <c r="B83" s="84"/>
      <c r="E83" s="84"/>
      <c r="F83" s="84"/>
    </row>
    <row r="84" spans="1:8" ht="14.25" customHeight="1" x14ac:dyDescent="0.25">
      <c r="B84" s="84"/>
      <c r="E84" s="84"/>
      <c r="F84" s="84"/>
    </row>
    <row r="85" spans="1:8" ht="14.25" customHeight="1" x14ac:dyDescent="0.25">
      <c r="B85" s="84"/>
      <c r="E85" s="84"/>
      <c r="F85" s="84"/>
    </row>
    <row r="86" spans="1:8" ht="18" customHeight="1" x14ac:dyDescent="0.2">
      <c r="A86" s="1467"/>
      <c r="B86" s="1642" t="str">
        <f>"دجاج مندى 3 / " &amp; COUNTIF($H$53:$H$56, "&gt;0")</f>
        <v>دجاج مندى 3 / 2</v>
      </c>
      <c r="C86" s="1651"/>
      <c r="D86" s="1651"/>
      <c r="E86" s="1651"/>
      <c r="F86" s="1651"/>
      <c r="G86" s="1651"/>
      <c r="H86" s="1651"/>
    </row>
    <row r="87" spans="1:8" ht="18" customHeight="1" x14ac:dyDescent="0.2">
      <c r="A87" s="1467"/>
      <c r="B87" s="1642" t="str">
        <f>"Mandi Chicken 3 / " &amp; COUNTIF($H$53:$H$56, "&gt;0")</f>
        <v>Mandi Chicken 3 / 2</v>
      </c>
      <c r="C87" s="1651"/>
      <c r="D87" s="1651"/>
      <c r="E87" s="1651"/>
      <c r="F87" s="1651"/>
      <c r="G87" s="1651"/>
      <c r="H87" s="1651"/>
    </row>
    <row r="88" spans="1:8" ht="33" customHeight="1" x14ac:dyDescent="0.2">
      <c r="A88" s="1589"/>
      <c r="B88" s="75" t="s">
        <v>241</v>
      </c>
      <c r="C88" s="90" t="s">
        <v>242</v>
      </c>
      <c r="D88" s="75" t="s">
        <v>231</v>
      </c>
      <c r="E88" s="197" t="s">
        <v>234</v>
      </c>
      <c r="F88" s="91" t="s">
        <v>330</v>
      </c>
      <c r="G88" s="75" t="s">
        <v>244</v>
      </c>
      <c r="H88" s="197" t="s">
        <v>245</v>
      </c>
    </row>
    <row r="89" spans="1:8" ht="14.25" customHeight="1" x14ac:dyDescent="0.2">
      <c r="A89" s="1459"/>
      <c r="B89" s="198" t="str">
        <f t="shared" ref="B89:D93" si="5">B5</f>
        <v>Chicken - دجاج</v>
      </c>
      <c r="C89" s="198" t="str">
        <f t="shared" si="5"/>
        <v>gm</v>
      </c>
      <c r="D89" s="101">
        <f t="shared" si="5"/>
        <v>1351.3513513513512</v>
      </c>
      <c r="E89" s="177">
        <f>$H$55</f>
        <v>0</v>
      </c>
      <c r="F89" s="301">
        <f>F5</f>
        <v>1</v>
      </c>
      <c r="G89" s="101">
        <f>D89*E89</f>
        <v>0</v>
      </c>
      <c r="H89" s="102">
        <f>G89*F89</f>
        <v>0</v>
      </c>
    </row>
    <row r="90" spans="1:8" ht="14.25" customHeight="1" x14ac:dyDescent="0.2">
      <c r="A90" s="1459"/>
      <c r="B90" s="198" t="str">
        <f t="shared" si="5"/>
        <v>Salt - ملح</v>
      </c>
      <c r="C90" s="198" t="str">
        <f t="shared" si="5"/>
        <v>gm</v>
      </c>
      <c r="D90" s="198">
        <f t="shared" si="5"/>
        <v>50</v>
      </c>
      <c r="E90" s="177">
        <f>$H$55</f>
        <v>0</v>
      </c>
      <c r="F90" s="301">
        <f>F6</f>
        <v>0.75</v>
      </c>
      <c r="G90" s="101">
        <f>D90*E90</f>
        <v>0</v>
      </c>
      <c r="H90" s="102">
        <f>G90*F90</f>
        <v>0</v>
      </c>
    </row>
    <row r="91" spans="1:8" ht="14.25" customHeight="1" x14ac:dyDescent="0.2">
      <c r="A91" s="1459"/>
      <c r="B91" s="198" t="str">
        <f t="shared" si="5"/>
        <v>Saffron yellow color powder - لون صفار زعفران بودر</v>
      </c>
      <c r="C91" s="198" t="str">
        <f t="shared" si="5"/>
        <v>gm</v>
      </c>
      <c r="D91" s="198">
        <f t="shared" si="5"/>
        <v>3</v>
      </c>
      <c r="E91" s="177">
        <f>$H$55</f>
        <v>0</v>
      </c>
      <c r="F91" s="301">
        <f>F7</f>
        <v>0.75</v>
      </c>
      <c r="G91" s="101">
        <f>D91*E91</f>
        <v>0</v>
      </c>
      <c r="H91" s="102">
        <f>G91*F91</f>
        <v>0</v>
      </c>
    </row>
    <row r="92" spans="1:8" ht="14.25" customHeight="1" x14ac:dyDescent="0.2">
      <c r="A92" s="1459"/>
      <c r="B92" s="198" t="str">
        <f t="shared" si="5"/>
        <v>Orange Color - لون برتقالي</v>
      </c>
      <c r="C92" s="198" t="str">
        <f t="shared" si="5"/>
        <v>gm</v>
      </c>
      <c r="D92" s="198">
        <f t="shared" si="5"/>
        <v>3</v>
      </c>
      <c r="E92" s="177">
        <f>$H$55</f>
        <v>0</v>
      </c>
      <c r="F92" s="301">
        <f>F8</f>
        <v>0.9</v>
      </c>
      <c r="G92" s="101">
        <f>D92*E92</f>
        <v>0</v>
      </c>
      <c r="H92" s="102">
        <f>G92*F92</f>
        <v>0</v>
      </c>
    </row>
    <row r="93" spans="1:8" ht="14.25" customHeight="1" x14ac:dyDescent="0.2">
      <c r="A93" s="1459"/>
      <c r="B93" s="198" t="str">
        <f t="shared" si="5"/>
        <v>Cumin Powder - كمون مطحون</v>
      </c>
      <c r="C93" s="198" t="str">
        <f t="shared" si="5"/>
        <v>gm</v>
      </c>
      <c r="D93" s="198">
        <f t="shared" si="5"/>
        <v>5</v>
      </c>
      <c r="E93" s="177">
        <f>$H$55</f>
        <v>0</v>
      </c>
      <c r="F93" s="301">
        <f>F9</f>
        <v>0.8</v>
      </c>
      <c r="G93" s="101">
        <f>D93*E93</f>
        <v>0</v>
      </c>
      <c r="H93" s="102">
        <f>G93*F93</f>
        <v>0</v>
      </c>
    </row>
    <row r="94" spans="1:8" ht="20.25" customHeight="1" x14ac:dyDescent="0.25">
      <c r="A94" s="1472"/>
      <c r="B94" s="178" t="s">
        <v>287</v>
      </c>
      <c r="C94" s="180" t="s">
        <v>273</v>
      </c>
      <c r="D94" s="14"/>
      <c r="E94" s="180" t="s">
        <v>288</v>
      </c>
      <c r="F94" s="14"/>
      <c r="G94" s="804" t="s">
        <v>264</v>
      </c>
      <c r="H94" s="804" t="s">
        <v>673</v>
      </c>
    </row>
    <row r="95" spans="1:8" ht="24.75" customHeight="1" x14ac:dyDescent="0.3">
      <c r="A95" s="1472"/>
      <c r="B95" s="179">
        <f>$J$55</f>
        <v>0</v>
      </c>
      <c r="C95" s="181">
        <f>E95+G95</f>
        <v>0</v>
      </c>
      <c r="D95" s="14"/>
      <c r="E95" s="181">
        <f>$H$55*$S$44</f>
        <v>0</v>
      </c>
      <c r="F95" s="14"/>
      <c r="G95" s="182">
        <f>$H$55*$T$44</f>
        <v>0</v>
      </c>
      <c r="H95" s="182">
        <f>B95+E95</f>
        <v>0</v>
      </c>
    </row>
    <row r="97" spans="1:9" ht="18" customHeight="1" x14ac:dyDescent="0.2">
      <c r="A97" s="1467"/>
      <c r="B97" s="1642" t="str">
        <f>"دجاج مندى 4 / " &amp; COUNTIF($H$53:$H$56, "&gt;0")</f>
        <v>دجاج مندى 4 / 2</v>
      </c>
      <c r="C97" s="1653"/>
      <c r="D97" s="1653"/>
      <c r="E97" s="1653"/>
      <c r="F97" s="1653"/>
      <c r="G97" s="1653"/>
      <c r="H97" s="1653"/>
    </row>
    <row r="98" spans="1:9" ht="18" customHeight="1" x14ac:dyDescent="0.2">
      <c r="A98" s="1467"/>
      <c r="B98" s="1642" t="str">
        <f>"Mandi Chicken 4 / " &amp; COUNTIF($H$53:$H$56, "&gt;0")</f>
        <v>Mandi Chicken 4 / 2</v>
      </c>
      <c r="C98" s="1653"/>
      <c r="D98" s="1653"/>
      <c r="E98" s="1653"/>
      <c r="F98" s="1653"/>
      <c r="G98" s="1653"/>
      <c r="H98" s="1653"/>
    </row>
    <row r="99" spans="1:9" ht="25.5" customHeight="1" x14ac:dyDescent="0.2">
      <c r="A99" s="1589"/>
      <c r="B99" s="75" t="s">
        <v>241</v>
      </c>
      <c r="C99" s="90" t="s">
        <v>242</v>
      </c>
      <c r="D99" s="75" t="s">
        <v>231</v>
      </c>
      <c r="E99" s="197" t="s">
        <v>234</v>
      </c>
      <c r="F99" s="91" t="s">
        <v>330</v>
      </c>
      <c r="G99" s="75" t="s">
        <v>244</v>
      </c>
      <c r="H99" s="197" t="s">
        <v>245</v>
      </c>
    </row>
    <row r="100" spans="1:9" ht="14.25" customHeight="1" x14ac:dyDescent="0.2">
      <c r="A100" s="1459"/>
      <c r="B100" s="198" t="str">
        <f t="shared" ref="B100:D104" si="6">B5</f>
        <v>Chicken - دجاج</v>
      </c>
      <c r="C100" s="198" t="str">
        <f t="shared" si="6"/>
        <v>gm</v>
      </c>
      <c r="D100" s="525">
        <f t="shared" si="6"/>
        <v>1351.3513513513512</v>
      </c>
      <c r="E100" s="177">
        <f>$H$56</f>
        <v>0</v>
      </c>
      <c r="F100" s="301">
        <f>F5</f>
        <v>1</v>
      </c>
      <c r="G100" s="101">
        <f>D100*E100</f>
        <v>0</v>
      </c>
      <c r="H100" s="102">
        <f>G100*F100</f>
        <v>0</v>
      </c>
    </row>
    <row r="101" spans="1:9" ht="14.25" customHeight="1" x14ac:dyDescent="0.2">
      <c r="A101" s="1459"/>
      <c r="B101" s="198" t="str">
        <f t="shared" si="6"/>
        <v>Salt - ملح</v>
      </c>
      <c r="C101" s="198" t="str">
        <f t="shared" si="6"/>
        <v>gm</v>
      </c>
      <c r="D101" s="525">
        <f t="shared" si="6"/>
        <v>50</v>
      </c>
      <c r="E101" s="177">
        <f>$H$56</f>
        <v>0</v>
      </c>
      <c r="F101" s="301">
        <f>F6</f>
        <v>0.75</v>
      </c>
      <c r="G101" s="101">
        <f>D101*E101</f>
        <v>0</v>
      </c>
      <c r="H101" s="102">
        <f>G101*F101</f>
        <v>0</v>
      </c>
    </row>
    <row r="102" spans="1:9" ht="14.25" customHeight="1" x14ac:dyDescent="0.2">
      <c r="A102" s="1459"/>
      <c r="B102" s="198" t="str">
        <f t="shared" si="6"/>
        <v>Saffron yellow color powder - لون صفار زعفران بودر</v>
      </c>
      <c r="C102" s="198" t="str">
        <f t="shared" si="6"/>
        <v>gm</v>
      </c>
      <c r="D102" s="525">
        <f t="shared" si="6"/>
        <v>3</v>
      </c>
      <c r="E102" s="177">
        <f>$H$56</f>
        <v>0</v>
      </c>
      <c r="F102" s="301">
        <f>F7</f>
        <v>0.75</v>
      </c>
      <c r="G102" s="101">
        <f>D102*E102</f>
        <v>0</v>
      </c>
      <c r="H102" s="102">
        <f>G102*F102</f>
        <v>0</v>
      </c>
    </row>
    <row r="103" spans="1:9" ht="14.25" customHeight="1" x14ac:dyDescent="0.2">
      <c r="A103" s="1459"/>
      <c r="B103" s="198" t="str">
        <f t="shared" si="6"/>
        <v>Orange Color - لون برتقالي</v>
      </c>
      <c r="C103" s="198" t="str">
        <f t="shared" si="6"/>
        <v>gm</v>
      </c>
      <c r="D103" s="525">
        <f t="shared" si="6"/>
        <v>3</v>
      </c>
      <c r="E103" s="177">
        <f>$H$56</f>
        <v>0</v>
      </c>
      <c r="F103" s="301">
        <f>F8</f>
        <v>0.9</v>
      </c>
      <c r="G103" s="101">
        <f>D103*E103</f>
        <v>0</v>
      </c>
      <c r="H103" s="102">
        <f>G103*F103</f>
        <v>0</v>
      </c>
    </row>
    <row r="104" spans="1:9" ht="14.25" customHeight="1" x14ac:dyDescent="0.2">
      <c r="A104" s="1459"/>
      <c r="B104" s="198" t="str">
        <f t="shared" si="6"/>
        <v>Cumin Powder - كمون مطحون</v>
      </c>
      <c r="C104" s="198" t="str">
        <f t="shared" si="6"/>
        <v>gm</v>
      </c>
      <c r="D104" s="525">
        <f t="shared" si="6"/>
        <v>5</v>
      </c>
      <c r="E104" s="177">
        <f>$H$56</f>
        <v>0</v>
      </c>
      <c r="F104" s="301">
        <f>F9</f>
        <v>0.8</v>
      </c>
      <c r="G104" s="101">
        <f>D104*E104</f>
        <v>0</v>
      </c>
      <c r="H104" s="102">
        <f>G104*F104</f>
        <v>0</v>
      </c>
    </row>
    <row r="105" spans="1:9" ht="20.25" customHeight="1" x14ac:dyDescent="0.25">
      <c r="A105" s="1472"/>
      <c r="B105" s="178" t="s">
        <v>287</v>
      </c>
      <c r="C105" s="180" t="s">
        <v>273</v>
      </c>
      <c r="D105" s="14"/>
      <c r="E105" s="180" t="s">
        <v>288</v>
      </c>
      <c r="F105" s="14"/>
      <c r="G105" s="804" t="s">
        <v>264</v>
      </c>
      <c r="H105" s="804" t="s">
        <v>673</v>
      </c>
    </row>
    <row r="106" spans="1:9" ht="20.25" x14ac:dyDescent="0.3">
      <c r="A106" s="1472"/>
      <c r="B106" s="179">
        <f>$J$56</f>
        <v>0</v>
      </c>
      <c r="C106" s="179">
        <f>E106+G106</f>
        <v>0</v>
      </c>
      <c r="D106" s="850"/>
      <c r="E106" s="179">
        <f>$H$56*$S$44</f>
        <v>0</v>
      </c>
      <c r="F106" s="850"/>
      <c r="G106" s="179">
        <f>$H$56*$T$44</f>
        <v>0</v>
      </c>
      <c r="H106" s="179">
        <f>B106+E106</f>
        <v>0</v>
      </c>
      <c r="I106" s="839"/>
    </row>
  </sheetData>
  <mergeCells count="12">
    <mergeCell ref="B98:H98"/>
    <mergeCell ref="B74:H74"/>
    <mergeCell ref="B97:H97"/>
    <mergeCell ref="B73:H73"/>
    <mergeCell ref="B87:H87"/>
    <mergeCell ref="B62:H62"/>
    <mergeCell ref="R26:T26"/>
    <mergeCell ref="B86:H86"/>
    <mergeCell ref="R25:T25"/>
    <mergeCell ref="B2:K3"/>
    <mergeCell ref="B63:H63"/>
    <mergeCell ref="B35:F35"/>
  </mergeCells>
  <printOptions horizontalCentered="1"/>
  <pageMargins left="0.5" right="0.5" top="1" bottom="0.5" header="0.3" footer="0.511811023622047"/>
  <pageSetup paperSize="9" scale="28"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8016F-730B-4507-91C6-22D4A1D84E11}">
  <sheetPr codeName="Sheet76">
    <tabColor rgb="FFFFFF00"/>
    <pageSetUpPr fitToPage="1"/>
  </sheetPr>
  <dimension ref="A1:AG102"/>
  <sheetViews>
    <sheetView zoomScale="59" zoomScaleNormal="100" workbookViewId="0">
      <selection activeCell="A6" sqref="A6"/>
    </sheetView>
  </sheetViews>
  <sheetFormatPr defaultColWidth="12.5" defaultRowHeight="12.75" x14ac:dyDescent="0.2"/>
  <cols>
    <col min="1" max="1" width="12.5" style="1461"/>
    <col min="2" max="2" width="31.375" style="14" customWidth="1"/>
    <col min="3" max="3" width="11.625" style="14" customWidth="1"/>
    <col min="4" max="4" width="14.125"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7" width="5.5" style="14" customWidth="1"/>
    <col min="18" max="18" width="31.5" style="14" customWidth="1"/>
    <col min="19" max="19" width="15.5" style="14" customWidth="1"/>
    <col min="20" max="27" width="12.5" style="14"/>
    <col min="28" max="28" width="6.75" style="14" customWidth="1"/>
    <col min="29" max="16384" width="12.5" style="14"/>
  </cols>
  <sheetData>
    <row r="1" spans="1:33" ht="28.5" customHeight="1" x14ac:dyDescent="0.2">
      <c r="B1" s="64" t="s">
        <v>231</v>
      </c>
      <c r="C1" s="65">
        <v>1000</v>
      </c>
      <c r="D1" s="66" t="s">
        <v>232</v>
      </c>
      <c r="E1" s="99">
        <f>S30</f>
        <v>10620</v>
      </c>
      <c r="F1" s="64" t="s">
        <v>233</v>
      </c>
      <c r="G1" s="99">
        <f>E1/C1</f>
        <v>10.62</v>
      </c>
      <c r="H1" s="64" t="s">
        <v>234</v>
      </c>
      <c r="I1" s="99">
        <f>G1/K1</f>
        <v>10.62</v>
      </c>
      <c r="J1" s="302" t="s">
        <v>235</v>
      </c>
      <c r="K1" s="303">
        <v>1</v>
      </c>
      <c r="L1" s="84"/>
      <c r="M1" s="84"/>
      <c r="N1" s="84"/>
      <c r="O1" s="84"/>
      <c r="P1" s="84"/>
      <c r="Q1" s="84"/>
      <c r="R1" s="84"/>
      <c r="S1" s="77" t="s">
        <v>333</v>
      </c>
      <c r="T1" s="304">
        <v>90</v>
      </c>
      <c r="U1" s="84"/>
      <c r="V1" s="84"/>
      <c r="Y1" s="75" t="s">
        <v>453</v>
      </c>
      <c r="Z1" s="766">
        <v>118</v>
      </c>
      <c r="AA1" s="75" t="s">
        <v>556</v>
      </c>
      <c r="AB1" s="766">
        <v>0</v>
      </c>
      <c r="AC1" s="75" t="s">
        <v>546</v>
      </c>
      <c r="AD1" s="766">
        <v>118</v>
      </c>
    </row>
    <row r="2" spans="1:33" ht="12.75" customHeight="1" x14ac:dyDescent="0.2">
      <c r="A2" s="1502" t="s">
        <v>929</v>
      </c>
      <c r="B2" s="1632" t="s">
        <v>688</v>
      </c>
      <c r="C2" s="1661"/>
      <c r="D2" s="1661"/>
      <c r="E2" s="1661"/>
      <c r="F2" s="1661"/>
      <c r="G2" s="1661"/>
      <c r="H2" s="1661"/>
      <c r="I2" s="328"/>
      <c r="J2" s="328"/>
      <c r="K2" s="328"/>
      <c r="L2" s="84"/>
      <c r="M2" s="84"/>
      <c r="N2" s="84"/>
      <c r="O2" s="84"/>
      <c r="P2" s="84"/>
      <c r="Q2" s="84"/>
      <c r="R2" s="84"/>
      <c r="S2" s="84"/>
      <c r="T2" s="84"/>
      <c r="U2" s="84"/>
      <c r="AE2" s="1647"/>
      <c r="AF2" s="1655"/>
      <c r="AG2" s="1655"/>
    </row>
    <row r="3" spans="1:33" ht="12.75" customHeight="1" x14ac:dyDescent="0.2">
      <c r="A3" s="1502"/>
      <c r="B3" s="1633"/>
      <c r="C3" s="1633"/>
      <c r="D3" s="1633"/>
      <c r="E3" s="1633"/>
      <c r="F3" s="1633"/>
      <c r="G3" s="1633"/>
      <c r="H3" s="1633"/>
      <c r="I3" s="329"/>
      <c r="J3" s="328"/>
      <c r="K3" s="328"/>
      <c r="L3" s="84"/>
      <c r="M3" s="84"/>
      <c r="N3" s="84"/>
      <c r="O3" s="84"/>
      <c r="P3" s="84"/>
      <c r="Q3" s="84"/>
      <c r="R3" s="84"/>
      <c r="S3" s="84"/>
      <c r="T3" s="84"/>
      <c r="U3" s="84"/>
      <c r="AE3" s="1655"/>
      <c r="AF3" s="1655"/>
      <c r="AG3" s="1655"/>
    </row>
    <row r="4" spans="1:33" ht="69" customHeight="1" x14ac:dyDescent="0.2">
      <c r="A4" s="1589" t="s">
        <v>903</v>
      </c>
      <c r="B4" s="75" t="s">
        <v>241</v>
      </c>
      <c r="C4" s="90" t="s">
        <v>242</v>
      </c>
      <c r="D4" s="75" t="s">
        <v>231</v>
      </c>
      <c r="E4" s="197" t="s">
        <v>234</v>
      </c>
      <c r="F4" s="91" t="s">
        <v>243</v>
      </c>
      <c r="G4" s="75" t="s">
        <v>244</v>
      </c>
      <c r="H4" s="330" t="s">
        <v>335</v>
      </c>
      <c r="I4" s="75" t="s">
        <v>246</v>
      </c>
      <c r="J4" s="75" t="s">
        <v>247</v>
      </c>
      <c r="K4" s="75" t="s">
        <v>248</v>
      </c>
      <c r="L4" s="75" t="s">
        <v>249</v>
      </c>
      <c r="M4" s="84"/>
      <c r="N4" s="84"/>
      <c r="O4" s="84"/>
      <c r="P4" s="84"/>
      <c r="Q4" s="84"/>
      <c r="R4" s="84"/>
    </row>
    <row r="5" spans="1:33" ht="14.25" customHeight="1" x14ac:dyDescent="0.2">
      <c r="A5" s="1459"/>
      <c r="B5" s="586"/>
      <c r="C5" s="587"/>
      <c r="D5" s="198"/>
      <c r="E5" s="588"/>
      <c r="F5" s="198"/>
      <c r="G5" s="198"/>
      <c r="H5" s="589"/>
      <c r="I5" s="65"/>
      <c r="J5" s="101"/>
      <c r="K5" s="104"/>
      <c r="L5" s="104"/>
    </row>
    <row r="6" spans="1:33" ht="14.25" customHeight="1" x14ac:dyDescent="0.2">
      <c r="A6" s="1460" t="s">
        <v>929</v>
      </c>
      <c r="B6" s="20" t="s">
        <v>21</v>
      </c>
      <c r="C6" s="106" t="s">
        <v>14</v>
      </c>
      <c r="D6" s="98">
        <v>1400</v>
      </c>
      <c r="E6" s="98">
        <f>$I$1</f>
        <v>10.62</v>
      </c>
      <c r="F6" s="109">
        <v>1</v>
      </c>
      <c r="G6" s="101">
        <f>D6*E6</f>
        <v>14867.999999999998</v>
      </c>
      <c r="H6" s="331">
        <f>G6*F6</f>
        <v>14867.999999999998</v>
      </c>
      <c r="I6" s="65">
        <f>VLOOKUP(B6,All_Ingredients!$A$1:$F$156,6,FALSE())</f>
        <v>0.9</v>
      </c>
      <c r="J6" s="101">
        <f>VLOOKUP(B6,All_Ingredients!$A$1:$J$156,10,FALSE())</f>
        <v>2.2999999999999998</v>
      </c>
      <c r="K6" s="104">
        <f t="shared" ref="K6:K10" si="0">(H6/I6)/1000</f>
        <v>16.519999999999996</v>
      </c>
      <c r="L6" s="104">
        <f t="shared" ref="L6:L10" si="1">K6*J6</f>
        <v>37.995999999999988</v>
      </c>
    </row>
    <row r="7" spans="1:33" ht="14.25" customHeight="1" x14ac:dyDescent="0.2">
      <c r="A7" s="1460"/>
      <c r="B7" s="20" t="s">
        <v>110</v>
      </c>
      <c r="C7" s="106" t="s">
        <v>14</v>
      </c>
      <c r="D7" s="98">
        <v>3</v>
      </c>
      <c r="E7" s="98">
        <f>$I$1</f>
        <v>10.62</v>
      </c>
      <c r="F7" s="109">
        <v>1</v>
      </c>
      <c r="G7" s="101">
        <f>D7*E7</f>
        <v>31.86</v>
      </c>
      <c r="H7" s="331">
        <f>G7*F7</f>
        <v>31.86</v>
      </c>
      <c r="I7" s="65">
        <f>VLOOKUP(B7,All_Ingredients!$A$1:$F$156,6,FALSE())</f>
        <v>1</v>
      </c>
      <c r="J7" s="101">
        <f>VLOOKUP(B7,All_Ingredients!$A$1:$J$156,10,FALSE())</f>
        <v>64.243759177679877</v>
      </c>
      <c r="K7" s="104">
        <f t="shared" si="0"/>
        <v>3.1859999999999999E-2</v>
      </c>
      <c r="L7" s="104">
        <f t="shared" si="1"/>
        <v>2.0468061674008808</v>
      </c>
    </row>
    <row r="8" spans="1:33" ht="14.25" customHeight="1" x14ac:dyDescent="0.2">
      <c r="A8" s="1460"/>
      <c r="B8" s="20" t="s">
        <v>93</v>
      </c>
      <c r="C8" s="106" t="s">
        <v>14</v>
      </c>
      <c r="D8" s="98">
        <v>5</v>
      </c>
      <c r="E8" s="98">
        <f>$I$1</f>
        <v>10.62</v>
      </c>
      <c r="F8" s="109">
        <v>0.75</v>
      </c>
      <c r="G8" s="101">
        <f>D8*E8</f>
        <v>53.099999999999994</v>
      </c>
      <c r="H8" s="331">
        <f>G8*F8</f>
        <v>39.824999999999996</v>
      </c>
      <c r="I8" s="65">
        <f>VLOOKUP(B8,All_Ingredients!$A$1:$F$156,6,FALSE())</f>
        <v>1</v>
      </c>
      <c r="J8" s="101">
        <f>VLOOKUP(B8,All_Ingredients!$A$1:$J$156,10,FALSE())</f>
        <v>0.74</v>
      </c>
      <c r="K8" s="104">
        <f t="shared" si="0"/>
        <v>3.9824999999999992E-2</v>
      </c>
      <c r="L8" s="104">
        <f t="shared" si="1"/>
        <v>2.9470499999999993E-2</v>
      </c>
    </row>
    <row r="9" spans="1:33" ht="14.25" customHeight="1" x14ac:dyDescent="0.2">
      <c r="A9" s="1460"/>
      <c r="B9" s="20" t="s">
        <v>99</v>
      </c>
      <c r="C9" s="106" t="s">
        <v>14</v>
      </c>
      <c r="D9" s="201">
        <v>0.5</v>
      </c>
      <c r="E9" s="98">
        <f>$I$1</f>
        <v>10.62</v>
      </c>
      <c r="F9" s="109">
        <v>0.75</v>
      </c>
      <c r="G9" s="101">
        <f>D9*E9</f>
        <v>5.31</v>
      </c>
      <c r="H9" s="331">
        <f>G9*F9</f>
        <v>3.9824999999999999</v>
      </c>
      <c r="I9" s="65">
        <f>VLOOKUP(B9,All_Ingredients!$A$1:$F$156,6,FALSE())</f>
        <v>1</v>
      </c>
      <c r="J9" s="101">
        <f>VLOOKUP(B9,All_Ingredients!$A$1:$J$156,10,FALSE())</f>
        <v>31</v>
      </c>
      <c r="K9" s="104">
        <f t="shared" si="0"/>
        <v>3.9824999999999999E-3</v>
      </c>
      <c r="L9" s="104">
        <f t="shared" si="1"/>
        <v>0.1234575</v>
      </c>
    </row>
    <row r="10" spans="1:33" ht="14.25" customHeight="1" x14ac:dyDescent="0.2">
      <c r="A10" s="1460"/>
      <c r="B10" s="299" t="s">
        <v>212</v>
      </c>
      <c r="C10" s="106" t="s">
        <v>160</v>
      </c>
      <c r="D10" s="98">
        <v>7</v>
      </c>
      <c r="E10" s="98">
        <f>$I$1</f>
        <v>10.62</v>
      </c>
      <c r="F10" s="109">
        <v>1</v>
      </c>
      <c r="G10" s="101">
        <f>D10*E10</f>
        <v>74.339999999999989</v>
      </c>
      <c r="H10" s="331">
        <f>G10*F10</f>
        <v>74.339999999999989</v>
      </c>
      <c r="I10" s="65">
        <f>VLOOKUP(B10,All_Ingredients!$A$1:$F$156,6,FALSE())</f>
        <v>1</v>
      </c>
      <c r="J10" s="101">
        <f>VLOOKUP(B10,All_Ingredients!$A$1:$J$156,10,FALSE())</f>
        <v>5</v>
      </c>
      <c r="K10" s="104">
        <f t="shared" si="0"/>
        <v>7.4339999999999989E-2</v>
      </c>
      <c r="L10" s="104">
        <f t="shared" si="1"/>
        <v>0.37169999999999992</v>
      </c>
    </row>
    <row r="11" spans="1:33" ht="14.25" customHeight="1" x14ac:dyDescent="0.2">
      <c r="B11" s="325"/>
      <c r="C11" s="114"/>
      <c r="D11" s="232"/>
      <c r="E11" s="203"/>
      <c r="F11" s="117"/>
      <c r="G11" s="121"/>
      <c r="H11" s="119"/>
      <c r="I11" s="76"/>
    </row>
    <row r="12" spans="1:33" ht="14.25" customHeight="1" x14ac:dyDescent="0.2">
      <c r="B12" s="325"/>
      <c r="C12" s="114"/>
      <c r="D12" s="232"/>
      <c r="E12" s="203"/>
      <c r="F12" s="117"/>
      <c r="G12" s="121"/>
      <c r="H12" s="119"/>
      <c r="I12" s="76"/>
    </row>
    <row r="13" spans="1:33" ht="14.25" customHeight="1" x14ac:dyDescent="0.2">
      <c r="B13" s="325"/>
      <c r="C13" s="114"/>
      <c r="D13" s="232"/>
      <c r="E13" s="203"/>
      <c r="F13" s="117"/>
      <c r="G13" s="121"/>
      <c r="H13" s="119"/>
      <c r="I13" s="76"/>
      <c r="J13" s="120"/>
    </row>
    <row r="14" spans="1:33" ht="14.25" customHeight="1" x14ac:dyDescent="0.2">
      <c r="E14" s="84"/>
      <c r="F14" s="84"/>
      <c r="I14" s="76"/>
      <c r="J14" s="120"/>
    </row>
    <row r="15" spans="1:33" ht="14.25" customHeight="1" x14ac:dyDescent="0.2">
      <c r="E15" s="84"/>
      <c r="F15" s="84"/>
    </row>
    <row r="16" spans="1:33" ht="14.25" customHeight="1" x14ac:dyDescent="0.2">
      <c r="E16" s="84"/>
      <c r="F16" s="84"/>
    </row>
    <row r="17" spans="2:29" ht="14.25" customHeight="1" x14ac:dyDescent="0.2">
      <c r="E17" s="84"/>
      <c r="F17" s="84"/>
    </row>
    <row r="18" spans="2:29" ht="14.25" customHeight="1" x14ac:dyDescent="0.2">
      <c r="E18" s="84"/>
      <c r="F18" s="84"/>
    </row>
    <row r="19" spans="2:29" ht="14.25" customHeight="1" x14ac:dyDescent="0.2">
      <c r="E19" s="84"/>
      <c r="F19" s="84"/>
    </row>
    <row r="20" spans="2:29" ht="14.25" customHeight="1" x14ac:dyDescent="0.2">
      <c r="B20" s="11"/>
      <c r="C20" s="312"/>
      <c r="D20" s="313"/>
      <c r="E20" s="84"/>
      <c r="F20" s="84"/>
      <c r="N20" s="339"/>
    </row>
    <row r="21" spans="2:29" ht="14.25" customHeight="1" x14ac:dyDescent="0.2">
      <c r="B21" s="11"/>
      <c r="C21" s="312"/>
      <c r="D21" s="313"/>
      <c r="E21" s="84"/>
      <c r="F21" s="84"/>
    </row>
    <row r="22" spans="2:29" ht="14.25" customHeight="1" x14ac:dyDescent="0.2">
      <c r="B22" s="11"/>
      <c r="C22" s="312"/>
      <c r="D22" s="313"/>
      <c r="E22" s="84"/>
      <c r="F22" s="84"/>
    </row>
    <row r="23" spans="2:29" ht="18" customHeight="1" x14ac:dyDescent="0.2">
      <c r="B23" s="340"/>
      <c r="C23" s="312"/>
      <c r="D23" s="313"/>
      <c r="E23" s="84"/>
      <c r="F23" s="84"/>
    </row>
    <row r="24" spans="2:29" ht="14.25" customHeight="1" x14ac:dyDescent="0.2">
      <c r="B24" s="11"/>
      <c r="C24" s="312"/>
      <c r="D24" s="313"/>
      <c r="E24" s="84"/>
      <c r="F24" s="84"/>
      <c r="Z24" s="1073"/>
    </row>
    <row r="25" spans="2:29" ht="14.25" customHeight="1" x14ac:dyDescent="0.2">
      <c r="B25" s="11"/>
      <c r="C25" s="312"/>
      <c r="D25" s="313"/>
      <c r="E25" s="84"/>
      <c r="F25" s="84"/>
      <c r="R25" s="1662" t="s">
        <v>707</v>
      </c>
      <c r="S25" s="1633"/>
      <c r="T25" s="1633"/>
      <c r="Z25" s="122" t="s">
        <v>784</v>
      </c>
      <c r="AA25" s="123">
        <v>1</v>
      </c>
      <c r="AB25" s="122" t="s">
        <v>249</v>
      </c>
      <c r="AC25" s="124">
        <f>AA25*(T31/AD1)</f>
        <v>0.34379181497797345</v>
      </c>
    </row>
    <row r="26" spans="2:29" ht="14.25" customHeight="1" x14ac:dyDescent="0.2">
      <c r="B26" s="11"/>
      <c r="C26" s="312"/>
      <c r="D26" s="313"/>
      <c r="E26" s="84"/>
      <c r="F26" s="84"/>
      <c r="N26" s="339"/>
      <c r="R26" s="1672" t="s">
        <v>338</v>
      </c>
      <c r="S26" s="1639"/>
      <c r="T26" s="1639"/>
    </row>
    <row r="27" spans="2:29" ht="14.25" customHeight="1" x14ac:dyDescent="0.2">
      <c r="B27" s="11"/>
      <c r="C27" s="312"/>
      <c r="D27" s="313"/>
      <c r="E27" s="84"/>
      <c r="F27" s="84"/>
      <c r="R27" s="126" t="s">
        <v>254</v>
      </c>
      <c r="S27" s="126" t="s">
        <v>339</v>
      </c>
      <c r="T27" s="126" t="s">
        <v>257</v>
      </c>
    </row>
    <row r="28" spans="2:29" ht="14.25" customHeight="1" x14ac:dyDescent="0.2">
      <c r="B28" s="11"/>
      <c r="C28" s="312"/>
      <c r="D28" s="313"/>
      <c r="E28" s="84"/>
      <c r="F28" s="84"/>
      <c r="R28" s="126" t="s">
        <v>263</v>
      </c>
      <c r="S28" s="1206">
        <f>$Z$1*$T$1</f>
        <v>10620</v>
      </c>
      <c r="T28" s="1216">
        <f>S28</f>
        <v>10620</v>
      </c>
      <c r="U28" s="1220"/>
    </row>
    <row r="29" spans="2:29" ht="14.25" customHeight="1" x14ac:dyDescent="0.2">
      <c r="B29" s="11"/>
      <c r="C29" s="312"/>
      <c r="D29" s="313"/>
      <c r="E29" s="84"/>
      <c r="F29" s="84"/>
      <c r="R29" s="126" t="s">
        <v>265</v>
      </c>
      <c r="S29" s="1206">
        <f>$AB$1*$T$1</f>
        <v>0</v>
      </c>
      <c r="T29" s="723">
        <f>S29</f>
        <v>0</v>
      </c>
      <c r="U29" s="1220"/>
    </row>
    <row r="30" spans="2:29" ht="14.25" customHeight="1" x14ac:dyDescent="0.2">
      <c r="B30" s="11"/>
      <c r="C30" s="312"/>
      <c r="D30" s="313"/>
      <c r="E30" s="84"/>
      <c r="F30" s="84"/>
      <c r="R30" s="126" t="s">
        <v>257</v>
      </c>
      <c r="S30" s="1240">
        <f>SUM(S28:S29)</f>
        <v>10620</v>
      </c>
      <c r="T30" s="1240">
        <f>S30</f>
        <v>10620</v>
      </c>
      <c r="U30" s="1220"/>
    </row>
    <row r="31" spans="2:29" ht="14.25" customHeight="1" x14ac:dyDescent="0.2">
      <c r="B31" s="11"/>
      <c r="C31" s="312"/>
      <c r="D31" s="313"/>
      <c r="E31" s="84"/>
      <c r="F31" s="84"/>
      <c r="R31" s="144" t="s">
        <v>249</v>
      </c>
      <c r="S31" s="275">
        <f>SUM(L6:L10)</f>
        <v>40.567434167400869</v>
      </c>
      <c r="T31" s="275">
        <f>S31</f>
        <v>40.567434167400869</v>
      </c>
    </row>
    <row r="32" spans="2:29" ht="14.25" customHeight="1" x14ac:dyDescent="0.2">
      <c r="B32" s="11"/>
      <c r="C32" s="312"/>
      <c r="D32" s="313"/>
      <c r="E32" s="84"/>
      <c r="F32" s="84"/>
      <c r="N32" s="315"/>
    </row>
    <row r="33" spans="2:6" ht="14.25" customHeight="1" x14ac:dyDescent="0.2">
      <c r="B33" s="11"/>
      <c r="C33" s="312"/>
      <c r="D33" s="313"/>
      <c r="E33" s="84"/>
      <c r="F33" s="84"/>
    </row>
    <row r="34" spans="2:6" ht="14.25" customHeight="1" x14ac:dyDescent="0.2">
      <c r="B34" s="11"/>
      <c r="C34" s="312"/>
      <c r="D34" s="313"/>
      <c r="E34" s="84"/>
      <c r="F34" s="84"/>
    </row>
    <row r="35" spans="2:6" ht="14.25" customHeight="1" x14ac:dyDescent="0.2">
      <c r="B35" s="11"/>
      <c r="C35" s="312"/>
      <c r="D35" s="313"/>
      <c r="E35" s="84"/>
      <c r="F35" s="84"/>
    </row>
    <row r="36" spans="2:6" ht="14.25" customHeight="1" x14ac:dyDescent="0.2">
      <c r="B36" s="84"/>
      <c r="E36" s="84"/>
      <c r="F36" s="84"/>
    </row>
    <row r="37" spans="2:6" ht="18" customHeight="1" x14ac:dyDescent="0.2">
      <c r="B37" s="84"/>
      <c r="E37" s="84"/>
      <c r="F37" s="84"/>
    </row>
    <row r="38" spans="2:6" ht="12.75" customHeight="1" x14ac:dyDescent="0.2"/>
    <row r="44" spans="2:6" ht="14.25" customHeight="1" x14ac:dyDescent="0.2"/>
    <row r="45" spans="2:6" ht="14.25" customHeight="1" x14ac:dyDescent="0.2"/>
    <row r="46" spans="2:6" ht="14.25" customHeight="1" x14ac:dyDescent="0.2"/>
    <row r="47" spans="2:6" ht="14.25" customHeight="1" x14ac:dyDescent="0.2"/>
    <row r="50" spans="1:8" ht="14.25" x14ac:dyDescent="0.2">
      <c r="B50" s="204"/>
      <c r="C50" s="204" t="s">
        <v>233</v>
      </c>
      <c r="D50" s="204" t="s">
        <v>279</v>
      </c>
    </row>
    <row r="51" spans="1:8" ht="14.25" x14ac:dyDescent="0.2">
      <c r="B51" s="161" t="s">
        <v>283</v>
      </c>
      <c r="C51" s="162">
        <f>10/$K$1</f>
        <v>10</v>
      </c>
      <c r="D51" s="163">
        <f>$C$1*10</f>
        <v>10000</v>
      </c>
    </row>
    <row r="52" spans="1:8" ht="14.25" x14ac:dyDescent="0.2">
      <c r="B52" s="209" t="s">
        <v>257</v>
      </c>
      <c r="C52" s="211">
        <f>I1</f>
        <v>10.62</v>
      </c>
      <c r="D52" s="211">
        <f>E1</f>
        <v>10620</v>
      </c>
    </row>
    <row r="53" spans="1:8" ht="14.25" x14ac:dyDescent="0.2">
      <c r="B53" s="209" t="s">
        <v>284</v>
      </c>
      <c r="C53" s="212">
        <f>MIN($C$52, $C$51)</f>
        <v>10</v>
      </c>
      <c r="D53" s="211">
        <f>(C53*$K$1)*$C$1</f>
        <v>10000</v>
      </c>
    </row>
    <row r="54" spans="1:8" ht="18" customHeight="1" x14ac:dyDescent="0.2">
      <c r="B54" s="209" t="s">
        <v>285</v>
      </c>
      <c r="C54" s="212">
        <f>MIN(MAX($C$52-C53,0),$C$51)</f>
        <v>0.61999999999999922</v>
      </c>
      <c r="D54" s="211">
        <f>(C54*$K$1)*$C$1</f>
        <v>619.9999999999992</v>
      </c>
    </row>
    <row r="55" spans="1:8" ht="14.25" x14ac:dyDescent="0.2">
      <c r="B55" s="209" t="s">
        <v>286</v>
      </c>
      <c r="C55" s="212">
        <f>MIN(MAX($C$52-C53-C54,0),$C$51)</f>
        <v>0</v>
      </c>
      <c r="D55" s="211">
        <f>(C55*$K$1)*$C$1</f>
        <v>0</v>
      </c>
    </row>
    <row r="62" spans="1:8" ht="14.25" x14ac:dyDescent="0.2">
      <c r="A62" s="1464"/>
      <c r="B62" s="1636" t="s">
        <v>788</v>
      </c>
      <c r="C62" s="1637"/>
      <c r="D62" s="1637"/>
      <c r="E62" s="1637"/>
      <c r="F62" s="1637"/>
      <c r="G62" s="1637"/>
      <c r="H62" s="1637"/>
    </row>
    <row r="63" spans="1:8" ht="14.25" x14ac:dyDescent="0.2">
      <c r="A63" s="1464" t="s">
        <v>929</v>
      </c>
      <c r="B63" s="1634" t="s">
        <v>688</v>
      </c>
      <c r="C63" s="1635"/>
      <c r="D63" s="1635"/>
      <c r="E63" s="1635"/>
      <c r="F63" s="1635"/>
      <c r="G63" s="1635"/>
      <c r="H63" s="1635"/>
    </row>
    <row r="64" spans="1:8" ht="33" customHeight="1" x14ac:dyDescent="0.2">
      <c r="A64" s="1589"/>
      <c r="B64" s="221" t="s">
        <v>241</v>
      </c>
      <c r="C64" s="222" t="s">
        <v>242</v>
      </c>
      <c r="D64" s="223" t="s">
        <v>231</v>
      </c>
      <c r="E64" s="197" t="s">
        <v>234</v>
      </c>
      <c r="F64" s="197" t="s">
        <v>243</v>
      </c>
      <c r="G64" s="223" t="s">
        <v>244</v>
      </c>
      <c r="H64" s="197" t="s">
        <v>245</v>
      </c>
    </row>
    <row r="65" spans="1:8" ht="19.5" customHeight="1" x14ac:dyDescent="0.2">
      <c r="A65" s="1460" t="s">
        <v>929</v>
      </c>
      <c r="B65" s="299" t="str">
        <f t="shared" ref="B65:D69" si="2">B6</f>
        <v>Potato - بطاطس</v>
      </c>
      <c r="C65" s="299" t="str">
        <f t="shared" si="2"/>
        <v>gm</v>
      </c>
      <c r="D65" s="299">
        <f t="shared" si="2"/>
        <v>1400</v>
      </c>
      <c r="E65" s="98">
        <f>$C$52</f>
        <v>10.62</v>
      </c>
      <c r="F65" s="109">
        <f>F6</f>
        <v>1</v>
      </c>
      <c r="G65" s="101">
        <f>D65*E65</f>
        <v>14867.999999999998</v>
      </c>
      <c r="H65" s="102">
        <f>G65*F65</f>
        <v>14867.999999999998</v>
      </c>
    </row>
    <row r="66" spans="1:8" ht="14.25" x14ac:dyDescent="0.2">
      <c r="A66" s="1460"/>
      <c r="B66" s="299" t="str">
        <f t="shared" si="2"/>
        <v>Paprika Powder - بابريكا مطحون</v>
      </c>
      <c r="C66" s="299" t="str">
        <f t="shared" si="2"/>
        <v>gm</v>
      </c>
      <c r="D66" s="299">
        <f t="shared" si="2"/>
        <v>3</v>
      </c>
      <c r="E66" s="98">
        <f t="shared" ref="E66:E69" si="3">$C$52</f>
        <v>10.62</v>
      </c>
      <c r="F66" s="109">
        <f>F7</f>
        <v>1</v>
      </c>
      <c r="G66" s="101">
        <f>D66*E66</f>
        <v>31.86</v>
      </c>
      <c r="H66" s="102">
        <f>G66*F66</f>
        <v>31.86</v>
      </c>
    </row>
    <row r="67" spans="1:8" ht="14.25" customHeight="1" x14ac:dyDescent="0.2">
      <c r="A67" s="1460"/>
      <c r="B67" s="299" t="str">
        <f t="shared" si="2"/>
        <v>Salt - ملح</v>
      </c>
      <c r="C67" s="299" t="str">
        <f t="shared" si="2"/>
        <v>gm</v>
      </c>
      <c r="D67" s="299">
        <f t="shared" si="2"/>
        <v>5</v>
      </c>
      <c r="E67" s="98">
        <f t="shared" si="3"/>
        <v>10.62</v>
      </c>
      <c r="F67" s="109">
        <f>F8</f>
        <v>0.75</v>
      </c>
      <c r="G67" s="101">
        <f>D67*E67</f>
        <v>53.099999999999994</v>
      </c>
      <c r="H67" s="102">
        <f>G67*F67</f>
        <v>39.824999999999996</v>
      </c>
    </row>
    <row r="68" spans="1:8" ht="14.25" customHeight="1" x14ac:dyDescent="0.2">
      <c r="A68" s="1460"/>
      <c r="B68" s="299" t="str">
        <f t="shared" si="2"/>
        <v>Black Pepper Powder - فلفل أسود مطحون</v>
      </c>
      <c r="C68" s="299" t="str">
        <f t="shared" si="2"/>
        <v>gm</v>
      </c>
      <c r="D68" s="299">
        <f t="shared" si="2"/>
        <v>0.5</v>
      </c>
      <c r="E68" s="98">
        <f t="shared" si="3"/>
        <v>10.62</v>
      </c>
      <c r="F68" s="109">
        <f>F9</f>
        <v>0.75</v>
      </c>
      <c r="G68" s="101">
        <f>D68*E68</f>
        <v>5.31</v>
      </c>
      <c r="H68" s="102">
        <f>G68*F68</f>
        <v>3.9824999999999999</v>
      </c>
    </row>
    <row r="69" spans="1:8" ht="14.25" customHeight="1" x14ac:dyDescent="0.2">
      <c r="A69" s="1460"/>
      <c r="B69" s="299" t="str">
        <f t="shared" si="2"/>
        <v>Lemon Juice - عصير ليمون</v>
      </c>
      <c r="C69" s="299" t="str">
        <f t="shared" si="2"/>
        <v>ml</v>
      </c>
      <c r="D69" s="299">
        <f t="shared" si="2"/>
        <v>7</v>
      </c>
      <c r="E69" s="98">
        <f t="shared" si="3"/>
        <v>10.62</v>
      </c>
      <c r="F69" s="109">
        <f>F10</f>
        <v>1</v>
      </c>
      <c r="G69" s="101">
        <f>D69*E69</f>
        <v>74.339999999999989</v>
      </c>
      <c r="H69" s="102">
        <f>G69*F69</f>
        <v>74.339999999999989</v>
      </c>
    </row>
    <row r="70" spans="1:8" ht="18" customHeight="1" x14ac:dyDescent="0.2">
      <c r="A70" s="1461" t="s">
        <v>929</v>
      </c>
      <c r="B70" s="178" t="s">
        <v>703</v>
      </c>
      <c r="C70" s="84"/>
      <c r="D70" s="84"/>
      <c r="E70" s="84"/>
      <c r="F70" s="84"/>
      <c r="G70" s="84"/>
      <c r="H70" s="84"/>
    </row>
    <row r="71" spans="1:8" ht="24" customHeight="1" x14ac:dyDescent="0.3">
      <c r="B71" s="179">
        <f>D52</f>
        <v>10620</v>
      </c>
      <c r="C71" s="84"/>
      <c r="D71" s="84"/>
      <c r="E71" s="84"/>
      <c r="F71" s="84"/>
      <c r="G71" s="84"/>
    </row>
    <row r="72" spans="1:8" ht="14.25" customHeight="1" x14ac:dyDescent="0.2">
      <c r="B72" s="84"/>
      <c r="C72" s="84"/>
      <c r="D72" s="84"/>
      <c r="E72" s="84"/>
      <c r="F72" s="84"/>
      <c r="G72" s="84"/>
      <c r="H72" s="84"/>
    </row>
    <row r="73" spans="1:8" ht="14.25" customHeight="1" x14ac:dyDescent="0.2">
      <c r="A73" s="1462"/>
      <c r="B73" s="1673"/>
      <c r="C73" s="1674"/>
      <c r="D73" s="1674"/>
      <c r="E73" s="1674"/>
      <c r="F73" s="1674"/>
      <c r="G73" s="1674"/>
      <c r="H73" s="1674"/>
    </row>
    <row r="74" spans="1:8" ht="12.75" customHeight="1" x14ac:dyDescent="0.2">
      <c r="A74" s="1462"/>
      <c r="B74" s="1673"/>
      <c r="C74" s="1674"/>
      <c r="D74" s="1674"/>
      <c r="E74" s="1674"/>
      <c r="F74" s="1674"/>
      <c r="G74" s="1674"/>
      <c r="H74" s="1674"/>
    </row>
    <row r="75" spans="1:8" ht="30" customHeight="1" x14ac:dyDescent="0.2">
      <c r="A75" s="1463"/>
      <c r="B75" s="1103"/>
      <c r="C75" s="1104"/>
      <c r="D75" s="1103"/>
      <c r="E75" s="1105"/>
      <c r="F75" s="1105"/>
      <c r="G75" s="1103"/>
      <c r="H75" s="1105"/>
    </row>
    <row r="76" spans="1:8" ht="12.75" customHeight="1" x14ac:dyDescent="0.2">
      <c r="A76" s="1462"/>
      <c r="B76" s="1106"/>
      <c r="C76" s="1106"/>
      <c r="D76" s="1106"/>
      <c r="E76" s="1107"/>
      <c r="F76" s="1108"/>
      <c r="G76" s="1109"/>
      <c r="H76" s="1110"/>
    </row>
    <row r="77" spans="1:8" ht="18" customHeight="1" x14ac:dyDescent="0.2">
      <c r="A77" s="1462"/>
      <c r="B77" s="1106"/>
      <c r="C77" s="1106"/>
      <c r="D77" s="1106"/>
      <c r="E77" s="1107"/>
      <c r="F77" s="1108"/>
      <c r="G77" s="1109"/>
      <c r="H77" s="1110"/>
    </row>
    <row r="78" spans="1:8" ht="18" customHeight="1" x14ac:dyDescent="0.2">
      <c r="A78" s="1462"/>
      <c r="B78" s="1106"/>
      <c r="C78" s="1106"/>
      <c r="D78" s="1106"/>
      <c r="E78" s="1107"/>
      <c r="F78" s="1108"/>
      <c r="G78" s="1109"/>
      <c r="H78" s="1110"/>
    </row>
    <row r="79" spans="1:8" ht="14.25" x14ac:dyDescent="0.2">
      <c r="A79" s="1462"/>
      <c r="B79" s="1106"/>
      <c r="C79" s="1106"/>
      <c r="D79" s="1106"/>
      <c r="E79" s="1107"/>
      <c r="F79" s="1108"/>
      <c r="G79" s="1109"/>
      <c r="H79" s="1110"/>
    </row>
    <row r="80" spans="1:8" ht="14.25" x14ac:dyDescent="0.2">
      <c r="A80" s="1462"/>
      <c r="B80" s="1106"/>
      <c r="C80" s="1106"/>
      <c r="D80" s="1106"/>
      <c r="E80" s="1107"/>
      <c r="F80" s="1108"/>
      <c r="G80" s="1109"/>
      <c r="H80" s="1110"/>
    </row>
    <row r="81" spans="1:8" ht="14.25" customHeight="1" x14ac:dyDescent="0.2">
      <c r="A81" s="1462"/>
      <c r="B81" s="814"/>
      <c r="C81" s="790"/>
      <c r="D81" s="790"/>
      <c r="E81" s="790"/>
      <c r="F81" s="790"/>
      <c r="G81" s="790"/>
      <c r="H81" s="790"/>
    </row>
    <row r="82" spans="1:8" ht="26.25" customHeight="1" x14ac:dyDescent="0.3">
      <c r="A82" s="1462"/>
      <c r="B82" s="815"/>
      <c r="C82" s="790"/>
      <c r="D82" s="790"/>
      <c r="E82" s="790"/>
      <c r="F82" s="790"/>
      <c r="G82" s="790"/>
      <c r="H82" s="796"/>
    </row>
    <row r="83" spans="1:8" ht="14.25" customHeight="1" x14ac:dyDescent="0.2">
      <c r="A83" s="1462"/>
      <c r="B83" s="790"/>
      <c r="C83" s="790"/>
      <c r="D83" s="790"/>
      <c r="E83" s="790"/>
      <c r="F83" s="790"/>
      <c r="G83" s="790"/>
      <c r="H83" s="790"/>
    </row>
    <row r="84" spans="1:8" ht="14.25" customHeight="1" x14ac:dyDescent="0.2">
      <c r="A84" s="1462"/>
      <c r="B84" s="790"/>
      <c r="C84" s="790"/>
      <c r="D84" s="790"/>
      <c r="E84" s="790"/>
      <c r="F84" s="790"/>
      <c r="G84" s="790"/>
      <c r="H84" s="790"/>
    </row>
    <row r="85" spans="1:8" ht="14.25" customHeight="1" x14ac:dyDescent="0.2">
      <c r="A85" s="1462"/>
      <c r="B85" s="1673"/>
      <c r="C85" s="1674"/>
      <c r="D85" s="1674"/>
      <c r="E85" s="1674"/>
      <c r="F85" s="1674"/>
      <c r="G85" s="1674"/>
      <c r="H85" s="1674"/>
    </row>
    <row r="86" spans="1:8" ht="14.25" customHeight="1" x14ac:dyDescent="0.2">
      <c r="A86" s="1462"/>
      <c r="B86" s="1673"/>
      <c r="C86" s="1674"/>
      <c r="D86" s="1674"/>
      <c r="E86" s="1674"/>
      <c r="F86" s="1674"/>
      <c r="G86" s="1674"/>
      <c r="H86" s="1674"/>
    </row>
    <row r="87" spans="1:8" ht="33" customHeight="1" x14ac:dyDescent="0.2">
      <c r="A87" s="1463"/>
      <c r="B87" s="1103"/>
      <c r="C87" s="1104"/>
      <c r="D87" s="1103"/>
      <c r="E87" s="1105"/>
      <c r="F87" s="1105"/>
      <c r="G87" s="1103"/>
      <c r="H87" s="1105"/>
    </row>
    <row r="88" spans="1:8" ht="12.75" customHeight="1" x14ac:dyDescent="0.2">
      <c r="A88" s="1462"/>
      <c r="B88" s="1106"/>
      <c r="C88" s="1106"/>
      <c r="D88" s="1106"/>
      <c r="E88" s="1107"/>
      <c r="F88" s="1108"/>
      <c r="G88" s="1109"/>
      <c r="H88" s="1110"/>
    </row>
    <row r="89" spans="1:8" ht="12.75" customHeight="1" x14ac:dyDescent="0.2">
      <c r="A89" s="1462"/>
      <c r="B89" s="1106"/>
      <c r="C89" s="1106"/>
      <c r="D89" s="1106"/>
      <c r="E89" s="1107"/>
      <c r="F89" s="1108"/>
      <c r="G89" s="1109"/>
      <c r="H89" s="1110"/>
    </row>
    <row r="90" spans="1:8" ht="12.75" customHeight="1" x14ac:dyDescent="0.2">
      <c r="A90" s="1462"/>
      <c r="B90" s="1106"/>
      <c r="C90" s="1106"/>
      <c r="D90" s="1106"/>
      <c r="E90" s="1107"/>
      <c r="F90" s="1108"/>
      <c r="G90" s="1109"/>
      <c r="H90" s="1110"/>
    </row>
    <row r="91" spans="1:8" ht="12.75" customHeight="1" x14ac:dyDescent="0.2">
      <c r="A91" s="1462"/>
      <c r="B91" s="1106"/>
      <c r="C91" s="1106"/>
      <c r="D91" s="1106"/>
      <c r="E91" s="1107"/>
      <c r="F91" s="1108"/>
      <c r="G91" s="1109"/>
      <c r="H91" s="1110"/>
    </row>
    <row r="92" spans="1:8" ht="18" customHeight="1" x14ac:dyDescent="0.2">
      <c r="A92" s="1462"/>
      <c r="B92" s="1106"/>
      <c r="C92" s="1106"/>
      <c r="D92" s="1106"/>
      <c r="E92" s="1107"/>
      <c r="F92" s="1108"/>
      <c r="G92" s="1109"/>
      <c r="H92" s="1110"/>
    </row>
    <row r="93" spans="1:8" ht="15.75" x14ac:dyDescent="0.2">
      <c r="A93" s="1462"/>
      <c r="B93" s="814"/>
      <c r="C93" s="796"/>
      <c r="D93" s="796"/>
      <c r="E93" s="796"/>
      <c r="F93" s="796"/>
      <c r="G93" s="796"/>
      <c r="H93" s="796"/>
    </row>
    <row r="94" spans="1:8" ht="27" customHeight="1" x14ac:dyDescent="0.3">
      <c r="A94" s="1462"/>
      <c r="B94" s="815"/>
      <c r="C94" s="796"/>
      <c r="D94" s="796"/>
      <c r="E94" s="796"/>
      <c r="F94" s="796"/>
      <c r="G94" s="796"/>
      <c r="H94" s="796"/>
    </row>
    <row r="95" spans="1:8" ht="42" customHeight="1" x14ac:dyDescent="0.2"/>
    <row r="96" spans="1:8"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sheetData>
  <mergeCells count="10">
    <mergeCell ref="B73:H73"/>
    <mergeCell ref="B74:H74"/>
    <mergeCell ref="B85:H85"/>
    <mergeCell ref="B86:H86"/>
    <mergeCell ref="B2:H3"/>
    <mergeCell ref="AE2:AG3"/>
    <mergeCell ref="R25:T25"/>
    <mergeCell ref="R26:T26"/>
    <mergeCell ref="B62:H62"/>
    <mergeCell ref="B63:H63"/>
  </mergeCells>
  <printOptions horizontalCentered="1"/>
  <pageMargins left="0.5" right="0.5" top="1" bottom="0.5" header="0.3" footer="0.511811023622047"/>
  <pageSetup paperSize="9" scale="35"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FF00"/>
    <pageSetUpPr fitToPage="1"/>
  </sheetPr>
  <dimension ref="A1:AG103"/>
  <sheetViews>
    <sheetView zoomScale="115" zoomScaleNormal="115" workbookViewId="0">
      <selection activeCell="B25" sqref="B25"/>
    </sheetView>
  </sheetViews>
  <sheetFormatPr defaultColWidth="12.5" defaultRowHeight="12.75" x14ac:dyDescent="0.2"/>
  <cols>
    <col min="1" max="1" width="12.5" style="146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7" width="5.5" style="14" customWidth="1"/>
    <col min="18" max="18" width="31.5" style="14" customWidth="1"/>
    <col min="19" max="19" width="16.625" style="14" bestFit="1" customWidth="1"/>
    <col min="20" max="27" width="12.5" style="14"/>
    <col min="28" max="28" width="6.75" style="14" customWidth="1"/>
    <col min="29" max="16384" width="12.5" style="14"/>
  </cols>
  <sheetData>
    <row r="1" spans="1:33" ht="28.5" customHeight="1" x14ac:dyDescent="0.2">
      <c r="B1" s="64" t="s">
        <v>231</v>
      </c>
      <c r="C1" s="65">
        <v>1000</v>
      </c>
      <c r="D1" s="66" t="s">
        <v>232</v>
      </c>
      <c r="E1" s="99">
        <f>S30</f>
        <v>17530</v>
      </c>
      <c r="F1" s="64" t="s">
        <v>233</v>
      </c>
      <c r="G1" s="99">
        <f>E1/C1</f>
        <v>17.53</v>
      </c>
      <c r="H1" s="64" t="s">
        <v>234</v>
      </c>
      <c r="I1" s="99">
        <f>G1/K1</f>
        <v>17.53</v>
      </c>
      <c r="J1" s="302" t="s">
        <v>235</v>
      </c>
      <c r="K1" s="303">
        <v>1</v>
      </c>
      <c r="L1" s="84"/>
      <c r="M1" s="84"/>
      <c r="N1" s="84"/>
      <c r="O1" s="84"/>
      <c r="P1" s="84"/>
      <c r="Q1" s="84"/>
      <c r="R1" s="84"/>
      <c r="S1" s="84"/>
      <c r="T1" s="84"/>
      <c r="U1" s="84"/>
      <c r="V1" s="84"/>
      <c r="Y1" s="75" t="s">
        <v>453</v>
      </c>
      <c r="Z1" s="766">
        <v>17530</v>
      </c>
      <c r="AA1" s="75" t="s">
        <v>556</v>
      </c>
      <c r="AB1" s="766">
        <v>0</v>
      </c>
      <c r="AC1" s="75" t="s">
        <v>546</v>
      </c>
      <c r="AD1" s="766">
        <v>119</v>
      </c>
    </row>
    <row r="2" spans="1:33" ht="12.75" customHeight="1" x14ac:dyDescent="0.2">
      <c r="A2" s="1502"/>
      <c r="B2" s="1632" t="s">
        <v>35</v>
      </c>
      <c r="C2" s="1661"/>
      <c r="D2" s="1661"/>
      <c r="E2" s="1661"/>
      <c r="F2" s="1661"/>
      <c r="G2" s="1661"/>
      <c r="H2" s="1661"/>
      <c r="I2" s="328"/>
      <c r="J2" s="328"/>
      <c r="K2" s="328"/>
      <c r="L2" s="84"/>
      <c r="M2" s="84"/>
      <c r="N2" s="84"/>
      <c r="O2" s="84"/>
      <c r="P2" s="84"/>
      <c r="Q2" s="84"/>
      <c r="R2" s="84"/>
      <c r="S2" s="84"/>
      <c r="T2" s="84"/>
      <c r="U2" s="84"/>
      <c r="AE2" s="1647"/>
      <c r="AF2" s="1655"/>
      <c r="AG2" s="1655"/>
    </row>
    <row r="3" spans="1:33" ht="12.75" customHeight="1" x14ac:dyDescent="0.2">
      <c r="A3" s="1502"/>
      <c r="B3" s="1633"/>
      <c r="C3" s="1633"/>
      <c r="D3" s="1633"/>
      <c r="E3" s="1633"/>
      <c r="F3" s="1633"/>
      <c r="G3" s="1633"/>
      <c r="H3" s="1633"/>
      <c r="I3" s="329"/>
      <c r="J3" s="328"/>
      <c r="K3" s="328"/>
      <c r="L3" s="84"/>
      <c r="M3" s="84"/>
      <c r="N3" s="84"/>
      <c r="O3" s="84"/>
      <c r="P3" s="84"/>
      <c r="Q3" s="84"/>
      <c r="R3" s="84"/>
      <c r="S3" s="84"/>
      <c r="T3" s="84"/>
      <c r="U3" s="84"/>
      <c r="AE3" s="1655"/>
      <c r="AF3" s="1655"/>
      <c r="AG3" s="1655"/>
    </row>
    <row r="4" spans="1:33" ht="69" customHeight="1" x14ac:dyDescent="0.2">
      <c r="A4" s="1589" t="s">
        <v>903</v>
      </c>
      <c r="B4" s="75" t="s">
        <v>241</v>
      </c>
      <c r="C4" s="90" t="s">
        <v>242</v>
      </c>
      <c r="D4" s="75" t="s">
        <v>231</v>
      </c>
      <c r="E4" s="197" t="s">
        <v>234</v>
      </c>
      <c r="F4" s="91" t="s">
        <v>243</v>
      </c>
      <c r="G4" s="75" t="s">
        <v>244</v>
      </c>
      <c r="H4" s="330" t="s">
        <v>335</v>
      </c>
      <c r="I4" s="75" t="s">
        <v>246</v>
      </c>
      <c r="J4" s="75" t="s">
        <v>247</v>
      </c>
      <c r="K4" s="75" t="s">
        <v>248</v>
      </c>
      <c r="L4" s="75" t="s">
        <v>249</v>
      </c>
      <c r="M4" s="84"/>
      <c r="N4" s="84"/>
      <c r="O4" s="84"/>
      <c r="P4" s="84"/>
      <c r="Q4" s="84"/>
      <c r="R4" s="84"/>
    </row>
    <row r="5" spans="1:33" ht="14.25" customHeight="1" x14ac:dyDescent="0.2">
      <c r="A5" s="1459"/>
      <c r="B5" s="586"/>
      <c r="C5" s="587"/>
      <c r="D5" s="198"/>
      <c r="E5" s="588"/>
      <c r="F5" s="198"/>
      <c r="G5" s="198"/>
      <c r="H5" s="589"/>
      <c r="I5" s="65"/>
      <c r="J5" s="101"/>
      <c r="K5" s="104"/>
      <c r="L5" s="104"/>
    </row>
    <row r="6" spans="1:33" ht="14.25" customHeight="1" x14ac:dyDescent="0.25">
      <c r="A6" s="1586" t="s">
        <v>909</v>
      </c>
      <c r="B6" s="20" t="s">
        <v>21</v>
      </c>
      <c r="C6" s="106" t="s">
        <v>14</v>
      </c>
      <c r="D6" s="98">
        <v>1400</v>
      </c>
      <c r="E6" s="98">
        <f t="shared" ref="E6:E13" si="0">$I$1</f>
        <v>17.53</v>
      </c>
      <c r="F6" s="109">
        <v>1</v>
      </c>
      <c r="G6" s="101">
        <f t="shared" ref="G6:G13" si="1">D6*E6</f>
        <v>24542</v>
      </c>
      <c r="H6" s="1060">
        <f t="shared" ref="H6:H13" si="2">G6*F6</f>
        <v>24542</v>
      </c>
      <c r="I6" s="65">
        <f>VLOOKUP(B6,All_Ingredients!$A$1:$F$156,6,FALSE())</f>
        <v>0.9</v>
      </c>
      <c r="J6" s="101">
        <f>VLOOKUP(B6,All_Ingredients!$A$1:$J$156,10,FALSE())</f>
        <v>2.2999999999999998</v>
      </c>
      <c r="K6" s="104">
        <f t="shared" ref="K6" si="3">(H6/I6)/1000</f>
        <v>27.268888888888888</v>
      </c>
      <c r="L6" s="104">
        <f t="shared" ref="L6" si="4">K6*J6</f>
        <v>62.718444444444437</v>
      </c>
    </row>
    <row r="7" spans="1:33" ht="14.25" customHeight="1" x14ac:dyDescent="0.2">
      <c r="A7" s="1460"/>
      <c r="B7" s="20" t="s">
        <v>729</v>
      </c>
      <c r="C7" s="106" t="s">
        <v>14</v>
      </c>
      <c r="D7" s="98">
        <v>1</v>
      </c>
      <c r="E7" s="98">
        <f t="shared" si="0"/>
        <v>17.53</v>
      </c>
      <c r="F7" s="109">
        <v>1</v>
      </c>
      <c r="G7" s="101">
        <f t="shared" si="1"/>
        <v>17.53</v>
      </c>
      <c r="H7" s="331">
        <f t="shared" si="2"/>
        <v>17.53</v>
      </c>
      <c r="I7" s="65">
        <f>VLOOKUP(B7,All_Ingredients!$A$1:$F$156,6,FALSE())</f>
        <v>0.5</v>
      </c>
      <c r="J7" s="101">
        <f>VLOOKUP(B7,All_Ingredients!$A$1:$J$156,10,FALSE())</f>
        <v>90</v>
      </c>
      <c r="K7" s="104">
        <f t="shared" ref="K7:K13" si="5">(H7/I7)/1000</f>
        <v>3.5060000000000001E-2</v>
      </c>
      <c r="L7" s="104">
        <f t="shared" ref="L7:L13" si="6">K7*J7</f>
        <v>3.1554000000000002</v>
      </c>
    </row>
    <row r="8" spans="1:33" ht="14.25" customHeight="1" x14ac:dyDescent="0.2">
      <c r="A8" s="1460"/>
      <c r="B8" s="20" t="s">
        <v>756</v>
      </c>
      <c r="C8" s="106" t="s">
        <v>14</v>
      </c>
      <c r="D8" s="98">
        <v>1</v>
      </c>
      <c r="E8" s="98">
        <f t="shared" si="0"/>
        <v>17.53</v>
      </c>
      <c r="F8" s="109">
        <v>1</v>
      </c>
      <c r="G8" s="101">
        <f t="shared" si="1"/>
        <v>17.53</v>
      </c>
      <c r="H8" s="331">
        <f t="shared" si="2"/>
        <v>17.53</v>
      </c>
      <c r="I8" s="65">
        <f>VLOOKUP(B8,All_Ingredients!$A$1:$F$156,6,FALSE())</f>
        <v>0.74</v>
      </c>
      <c r="J8" s="101">
        <f>VLOOKUP(B8,All_Ingredients!$A$1:$J$156,10,FALSE())</f>
        <v>100</v>
      </c>
      <c r="K8" s="104">
        <f t="shared" si="5"/>
        <v>2.3689189189189188E-2</v>
      </c>
      <c r="L8" s="104">
        <f t="shared" si="6"/>
        <v>2.3689189189189186</v>
      </c>
    </row>
    <row r="9" spans="1:33" ht="14.25" customHeight="1" x14ac:dyDescent="0.2">
      <c r="A9" s="1460"/>
      <c r="B9" s="20" t="s">
        <v>141</v>
      </c>
      <c r="C9" s="106" t="s">
        <v>14</v>
      </c>
      <c r="D9" s="98">
        <v>1</v>
      </c>
      <c r="E9" s="98">
        <f t="shared" si="0"/>
        <v>17.53</v>
      </c>
      <c r="F9" s="109">
        <v>1</v>
      </c>
      <c r="G9" s="101">
        <f t="shared" si="1"/>
        <v>17.53</v>
      </c>
      <c r="H9" s="331">
        <f t="shared" si="2"/>
        <v>17.53</v>
      </c>
      <c r="I9" s="65">
        <f>VLOOKUP(B9,All_Ingredients!$A$1:$F$156,6,FALSE())</f>
        <v>1</v>
      </c>
      <c r="J9" s="101">
        <f>VLOOKUP(B9,All_Ingredients!$A$1:$J$156,10,FALSE())</f>
        <v>249.99999999999997</v>
      </c>
      <c r="K9" s="104">
        <f t="shared" si="5"/>
        <v>1.753E-2</v>
      </c>
      <c r="L9" s="104">
        <f t="shared" si="6"/>
        <v>4.3824999999999994</v>
      </c>
    </row>
    <row r="10" spans="1:33" ht="14.25" customHeight="1" x14ac:dyDescent="0.2">
      <c r="A10" s="1460"/>
      <c r="B10" s="20" t="s">
        <v>82</v>
      </c>
      <c r="C10" s="106" t="s">
        <v>14</v>
      </c>
      <c r="D10" s="98">
        <v>1</v>
      </c>
      <c r="E10" s="98">
        <f t="shared" si="0"/>
        <v>17.53</v>
      </c>
      <c r="F10" s="109">
        <v>1</v>
      </c>
      <c r="G10" s="101">
        <f t="shared" si="1"/>
        <v>17.53</v>
      </c>
      <c r="H10" s="331">
        <f t="shared" si="2"/>
        <v>17.53</v>
      </c>
      <c r="I10" s="65">
        <f>VLOOKUP(B10,All_Ingredients!$A$1:$F$156,6,FALSE())</f>
        <v>1</v>
      </c>
      <c r="J10" s="101">
        <f>VLOOKUP(B10,All_Ingredients!$A$1:$J$156,10,FALSE())</f>
        <v>147.88732394366198</v>
      </c>
      <c r="K10" s="104">
        <f t="shared" si="5"/>
        <v>1.753E-2</v>
      </c>
      <c r="L10" s="104">
        <f t="shared" si="6"/>
        <v>2.5924647887323946</v>
      </c>
    </row>
    <row r="11" spans="1:33" ht="14.25" customHeight="1" x14ac:dyDescent="0.2">
      <c r="A11" s="1460"/>
      <c r="B11" s="20" t="s">
        <v>93</v>
      </c>
      <c r="C11" s="106" t="s">
        <v>14</v>
      </c>
      <c r="D11" s="98">
        <v>2</v>
      </c>
      <c r="E11" s="98">
        <f t="shared" si="0"/>
        <v>17.53</v>
      </c>
      <c r="F11" s="109">
        <v>0.75</v>
      </c>
      <c r="G11" s="101">
        <f t="shared" si="1"/>
        <v>35.06</v>
      </c>
      <c r="H11" s="331">
        <f t="shared" si="2"/>
        <v>26.295000000000002</v>
      </c>
      <c r="I11" s="65">
        <f>VLOOKUP(B11,All_Ingredients!$A$1:$F$156,6,FALSE())</f>
        <v>1</v>
      </c>
      <c r="J11" s="101">
        <f>VLOOKUP(B11,All_Ingredients!$A$1:$J$156,10,FALSE())</f>
        <v>0.74</v>
      </c>
      <c r="K11" s="104">
        <f t="shared" si="5"/>
        <v>2.6295000000000002E-2</v>
      </c>
      <c r="L11" s="104">
        <f t="shared" si="6"/>
        <v>1.9458300000000001E-2</v>
      </c>
    </row>
    <row r="12" spans="1:33" ht="14.25" customHeight="1" x14ac:dyDescent="0.2">
      <c r="A12" s="1460"/>
      <c r="B12" s="20" t="s">
        <v>99</v>
      </c>
      <c r="C12" s="106" t="s">
        <v>14</v>
      </c>
      <c r="D12" s="201">
        <v>0.5</v>
      </c>
      <c r="E12" s="98">
        <f t="shared" si="0"/>
        <v>17.53</v>
      </c>
      <c r="F12" s="109">
        <v>0.75</v>
      </c>
      <c r="G12" s="101">
        <f t="shared" si="1"/>
        <v>8.7650000000000006</v>
      </c>
      <c r="H12" s="331">
        <f t="shared" si="2"/>
        <v>6.5737500000000004</v>
      </c>
      <c r="I12" s="65">
        <f>VLOOKUP(B12,All_Ingredients!$A$1:$F$156,6,FALSE())</f>
        <v>1</v>
      </c>
      <c r="J12" s="101">
        <f>VLOOKUP(B12,All_Ingredients!$A$1:$J$156,10,FALSE())</f>
        <v>31</v>
      </c>
      <c r="K12" s="104">
        <f t="shared" si="5"/>
        <v>6.5737500000000006E-3</v>
      </c>
      <c r="L12" s="104">
        <f t="shared" si="6"/>
        <v>0.20378625000000003</v>
      </c>
    </row>
    <row r="13" spans="1:33" ht="14.25" customHeight="1" x14ac:dyDescent="0.2">
      <c r="A13" s="1460"/>
      <c r="B13" s="299" t="s">
        <v>212</v>
      </c>
      <c r="C13" s="106" t="s">
        <v>160</v>
      </c>
      <c r="D13" s="98">
        <v>5</v>
      </c>
      <c r="E13" s="98">
        <f t="shared" si="0"/>
        <v>17.53</v>
      </c>
      <c r="F13" s="109">
        <v>1</v>
      </c>
      <c r="G13" s="101">
        <f t="shared" si="1"/>
        <v>87.65</v>
      </c>
      <c r="H13" s="331">
        <f t="shared" si="2"/>
        <v>87.65</v>
      </c>
      <c r="I13" s="65">
        <f>VLOOKUP(B13,All_Ingredients!$A$1:$F$156,6,FALSE())</f>
        <v>1</v>
      </c>
      <c r="J13" s="101">
        <f>VLOOKUP(B13,All_Ingredients!$A$1:$J$156,10,FALSE())</f>
        <v>5</v>
      </c>
      <c r="K13" s="104">
        <f t="shared" si="5"/>
        <v>8.7650000000000006E-2</v>
      </c>
      <c r="L13" s="104">
        <f t="shared" si="6"/>
        <v>0.43825000000000003</v>
      </c>
    </row>
    <row r="14" spans="1:33" ht="14.25" customHeight="1" x14ac:dyDescent="0.2">
      <c r="B14" s="332"/>
      <c r="C14" s="333"/>
      <c r="D14" s="334"/>
      <c r="E14" s="335"/>
      <c r="F14" s="336"/>
      <c r="G14" s="337"/>
      <c r="H14" s="338"/>
      <c r="I14" s="76"/>
      <c r="J14" s="120"/>
    </row>
    <row r="15" spans="1:33" ht="14.25" customHeight="1" x14ac:dyDescent="0.2">
      <c r="B15" s="325"/>
      <c r="C15" s="114"/>
      <c r="D15" s="232"/>
      <c r="E15" s="203"/>
      <c r="F15" s="117"/>
      <c r="G15" s="121"/>
      <c r="H15" s="119"/>
    </row>
    <row r="16" spans="1:33" ht="14.25" customHeight="1" x14ac:dyDescent="0.2">
      <c r="E16" s="84"/>
      <c r="F16" s="84"/>
    </row>
    <row r="17" spans="2:29" ht="14.25" customHeight="1" x14ac:dyDescent="0.2">
      <c r="E17" s="84"/>
      <c r="F17" s="84"/>
    </row>
    <row r="18" spans="2:29" ht="14.25" customHeight="1" x14ac:dyDescent="0.2">
      <c r="E18" s="84"/>
      <c r="F18" s="84"/>
    </row>
    <row r="19" spans="2:29" ht="14.25" customHeight="1" x14ac:dyDescent="0.2">
      <c r="E19" s="84"/>
      <c r="F19" s="84"/>
    </row>
    <row r="20" spans="2:29" ht="14.25" customHeight="1" x14ac:dyDescent="0.2">
      <c r="E20" s="84"/>
      <c r="F20" s="84"/>
      <c r="N20" s="339"/>
    </row>
    <row r="21" spans="2:29" ht="14.25" customHeight="1" x14ac:dyDescent="0.2">
      <c r="E21" s="84"/>
      <c r="F21" s="84"/>
    </row>
    <row r="22" spans="2:29" ht="14.25" customHeight="1" x14ac:dyDescent="0.2">
      <c r="B22" s="11"/>
      <c r="C22" s="312"/>
      <c r="D22" s="313"/>
      <c r="E22" s="84"/>
      <c r="F22" s="84"/>
    </row>
    <row r="23" spans="2:29" ht="18" customHeight="1" x14ac:dyDescent="0.2">
      <c r="B23" s="11"/>
      <c r="C23" s="312"/>
      <c r="D23" s="313"/>
      <c r="E23" s="84"/>
      <c r="F23" s="84"/>
      <c r="Z23" s="1073"/>
    </row>
    <row r="24" spans="2:29" ht="14.25" customHeight="1" x14ac:dyDescent="0.2">
      <c r="B24" s="11"/>
      <c r="C24" s="312"/>
      <c r="D24" s="313"/>
      <c r="E24" s="84"/>
      <c r="F24" s="84"/>
      <c r="Z24" s="122" t="s">
        <v>14</v>
      </c>
      <c r="AA24" s="123">
        <v>1</v>
      </c>
      <c r="AB24" s="122" t="s">
        <v>249</v>
      </c>
      <c r="AC24" s="124">
        <f>(S31/S30)*AA24</f>
        <v>4.328535236856574E-3</v>
      </c>
    </row>
    <row r="25" spans="2:29" ht="14.25" customHeight="1" x14ac:dyDescent="0.2">
      <c r="B25" s="340"/>
      <c r="C25" s="312"/>
      <c r="D25" s="313"/>
      <c r="E25" s="84"/>
      <c r="F25" s="84"/>
      <c r="R25" s="1662" t="s">
        <v>337</v>
      </c>
      <c r="S25" s="1633"/>
      <c r="T25" s="1633"/>
    </row>
    <row r="26" spans="2:29" ht="14.25" customHeight="1" x14ac:dyDescent="0.2">
      <c r="B26" s="11"/>
      <c r="C26" s="312"/>
      <c r="D26" s="313"/>
      <c r="E26" s="84"/>
      <c r="F26" s="84"/>
      <c r="N26" s="339"/>
      <c r="R26" s="1672" t="s">
        <v>338</v>
      </c>
      <c r="S26" s="1639"/>
      <c r="T26" s="1639"/>
    </row>
    <row r="27" spans="2:29" ht="14.25" customHeight="1" x14ac:dyDescent="0.2">
      <c r="B27" s="11"/>
      <c r="C27" s="312"/>
      <c r="D27" s="313"/>
      <c r="E27" s="84"/>
      <c r="F27" s="84"/>
      <c r="R27" s="126" t="s">
        <v>254</v>
      </c>
      <c r="S27" s="126" t="s">
        <v>339</v>
      </c>
      <c r="T27" s="126" t="s">
        <v>257</v>
      </c>
    </row>
    <row r="28" spans="2:29" ht="14.25" customHeight="1" x14ac:dyDescent="0.2">
      <c r="B28" s="11"/>
      <c r="C28" s="312"/>
      <c r="D28" s="313"/>
      <c r="E28" s="84"/>
      <c r="F28" s="84"/>
      <c r="R28" s="126" t="s">
        <v>263</v>
      </c>
      <c r="S28" s="1206">
        <f>$Z$1</f>
        <v>17530</v>
      </c>
      <c r="T28" s="1216">
        <f>S28</f>
        <v>17530</v>
      </c>
      <c r="U28" s="1220"/>
    </row>
    <row r="29" spans="2:29" ht="14.25" customHeight="1" x14ac:dyDescent="0.2">
      <c r="B29" s="11"/>
      <c r="C29" s="312"/>
      <c r="D29" s="313"/>
      <c r="E29" s="84"/>
      <c r="F29" s="84"/>
      <c r="R29" s="126" t="s">
        <v>265</v>
      </c>
      <c r="S29" s="1206">
        <f>$AB$1</f>
        <v>0</v>
      </c>
      <c r="T29" s="723">
        <f>S29</f>
        <v>0</v>
      </c>
      <c r="U29" s="1220"/>
    </row>
    <row r="30" spans="2:29" ht="14.25" customHeight="1" thickBot="1" x14ac:dyDescent="0.25">
      <c r="B30" s="11"/>
      <c r="C30" s="312"/>
      <c r="D30" s="313"/>
      <c r="E30" s="84"/>
      <c r="F30" s="84"/>
      <c r="R30" s="126" t="s">
        <v>257</v>
      </c>
      <c r="S30" s="1240">
        <f>SUM(S28:S29)</f>
        <v>17530</v>
      </c>
      <c r="T30" s="1240">
        <f>S30</f>
        <v>17530</v>
      </c>
      <c r="U30" s="1220"/>
    </row>
    <row r="31" spans="2:29" ht="14.25" customHeight="1" thickBot="1" x14ac:dyDescent="0.25">
      <c r="B31" s="11"/>
      <c r="C31" s="312"/>
      <c r="D31" s="313"/>
      <c r="E31" s="84"/>
      <c r="F31" s="84"/>
      <c r="R31" s="144" t="s">
        <v>249</v>
      </c>
      <c r="S31" s="990">
        <f>SUM(L6:L13)</f>
        <v>75.879222702095745</v>
      </c>
      <c r="T31" s="1061">
        <f>S31</f>
        <v>75.879222702095745</v>
      </c>
    </row>
    <row r="32" spans="2:29" ht="14.25" customHeight="1" x14ac:dyDescent="0.2">
      <c r="B32" s="11"/>
      <c r="C32" s="312"/>
      <c r="D32" s="313"/>
      <c r="E32" s="84"/>
      <c r="F32" s="84"/>
      <c r="N32" s="315"/>
    </row>
    <row r="33" spans="2:7" ht="14.25" customHeight="1" x14ac:dyDescent="0.2">
      <c r="B33" s="11"/>
      <c r="C33" s="312"/>
      <c r="D33" s="313"/>
      <c r="E33" s="84"/>
      <c r="F33" s="84"/>
    </row>
    <row r="34" spans="2:7" ht="14.25" customHeight="1" x14ac:dyDescent="0.2">
      <c r="B34" s="11"/>
      <c r="C34" s="312"/>
      <c r="D34" s="313"/>
      <c r="E34" s="84"/>
      <c r="F34" s="84"/>
    </row>
    <row r="35" spans="2:7" ht="14.25" customHeight="1" x14ac:dyDescent="0.2">
      <c r="B35" s="11"/>
      <c r="C35" s="312"/>
      <c r="D35" s="313"/>
      <c r="E35" s="84"/>
      <c r="F35" s="84"/>
    </row>
    <row r="36" spans="2:7" ht="14.25" customHeight="1" x14ac:dyDescent="0.2">
      <c r="B36" s="11"/>
      <c r="C36" s="312"/>
      <c r="D36" s="313"/>
      <c r="E36" s="84"/>
      <c r="F36" s="84"/>
    </row>
    <row r="37" spans="2:7" ht="18" customHeight="1" x14ac:dyDescent="0.2">
      <c r="B37" s="11"/>
      <c r="C37" s="312"/>
      <c r="D37" s="313"/>
      <c r="E37" s="84"/>
      <c r="F37" s="84"/>
    </row>
    <row r="38" spans="2:7" ht="12.75" customHeight="1" x14ac:dyDescent="0.2">
      <c r="B38" s="84"/>
      <c r="E38" s="84"/>
      <c r="F38" s="84"/>
    </row>
    <row r="39" spans="2:7" x14ac:dyDescent="0.2">
      <c r="B39" s="84"/>
      <c r="E39" s="84"/>
      <c r="F39" s="84"/>
    </row>
    <row r="44" spans="2:7" ht="14.25" customHeight="1" x14ac:dyDescent="0.2">
      <c r="G44" s="314"/>
    </row>
    <row r="45" spans="2:7" ht="14.25" customHeight="1" x14ac:dyDescent="0.2"/>
    <row r="50" spans="1:8" ht="14.25" x14ac:dyDescent="0.2">
      <c r="B50" s="204"/>
      <c r="C50" s="204" t="s">
        <v>233</v>
      </c>
      <c r="D50" s="204" t="s">
        <v>279</v>
      </c>
    </row>
    <row r="51" spans="1:8" ht="14.25" x14ac:dyDescent="0.2">
      <c r="B51" s="161" t="s">
        <v>283</v>
      </c>
      <c r="C51" s="162">
        <f>10/$K$1</f>
        <v>10</v>
      </c>
      <c r="D51" s="163">
        <f>$C$1*10</f>
        <v>10000</v>
      </c>
    </row>
    <row r="52" spans="1:8" ht="18" customHeight="1" x14ac:dyDescent="0.2">
      <c r="B52" s="209" t="s">
        <v>257</v>
      </c>
      <c r="C52" s="211">
        <f>I1</f>
        <v>17.53</v>
      </c>
      <c r="D52" s="211">
        <f>E1</f>
        <v>17530</v>
      </c>
    </row>
    <row r="53" spans="1:8" ht="14.25" x14ac:dyDescent="0.2">
      <c r="B53" s="209" t="s">
        <v>284</v>
      </c>
      <c r="C53" s="212">
        <f>MIN($C$52, $C$51)</f>
        <v>10</v>
      </c>
      <c r="D53" s="211">
        <f>(C53*$K$1)*$C$1</f>
        <v>10000</v>
      </c>
    </row>
    <row r="54" spans="1:8" ht="14.25" x14ac:dyDescent="0.2">
      <c r="B54" s="209" t="s">
        <v>285</v>
      </c>
      <c r="C54" s="212">
        <f>MIN(MAX($C$52-C53,0),$C$51)</f>
        <v>7.5300000000000011</v>
      </c>
      <c r="D54" s="211">
        <f>(C54*$K$1)*$C$1</f>
        <v>7530.0000000000009</v>
      </c>
    </row>
    <row r="55" spans="1:8" ht="14.25" x14ac:dyDescent="0.2">
      <c r="B55" s="209" t="s">
        <v>286</v>
      </c>
      <c r="C55" s="212">
        <f>MIN(MAX($C$52-C53-C54,0),$C$51)</f>
        <v>0</v>
      </c>
      <c r="D55" s="211">
        <f>(C55*$K$1)*$C$1</f>
        <v>0</v>
      </c>
    </row>
    <row r="62" spans="1:8" ht="18" customHeight="1" x14ac:dyDescent="0.2">
      <c r="A62" s="1464"/>
      <c r="B62" s="1636" t="s">
        <v>786</v>
      </c>
      <c r="C62" s="1637"/>
      <c r="D62" s="1637"/>
      <c r="E62" s="1637"/>
      <c r="F62" s="1637"/>
      <c r="G62" s="1637"/>
      <c r="H62" s="1637"/>
    </row>
    <row r="63" spans="1:8" ht="14.25" x14ac:dyDescent="0.2">
      <c r="A63" s="1464"/>
      <c r="B63" s="1634" t="s">
        <v>35</v>
      </c>
      <c r="C63" s="1635"/>
      <c r="D63" s="1635"/>
      <c r="E63" s="1635"/>
      <c r="F63" s="1635"/>
      <c r="G63" s="1635"/>
      <c r="H63" s="1635"/>
    </row>
    <row r="64" spans="1:8" ht="51" customHeight="1" x14ac:dyDescent="0.2">
      <c r="A64" s="1589"/>
      <c r="B64" s="221" t="s">
        <v>241</v>
      </c>
      <c r="C64" s="222" t="s">
        <v>242</v>
      </c>
      <c r="D64" s="223" t="s">
        <v>231</v>
      </c>
      <c r="E64" s="197" t="s">
        <v>234</v>
      </c>
      <c r="F64" s="197" t="s">
        <v>243</v>
      </c>
      <c r="G64" s="223" t="s">
        <v>244</v>
      </c>
      <c r="H64" s="197" t="s">
        <v>245</v>
      </c>
    </row>
    <row r="65" spans="1:8" ht="14.25" customHeight="1" x14ac:dyDescent="0.2">
      <c r="A65" s="1460"/>
      <c r="B65" s="299" t="str">
        <f t="shared" ref="B65:D72" si="7">B6</f>
        <v>Potato - بطاطس</v>
      </c>
      <c r="C65" s="106" t="str">
        <f t="shared" si="7"/>
        <v>gm</v>
      </c>
      <c r="D65" s="107">
        <f t="shared" si="7"/>
        <v>1400</v>
      </c>
      <c r="E65" s="98">
        <f>$C$52</f>
        <v>17.53</v>
      </c>
      <c r="F65" s="109">
        <f t="shared" ref="F65:F72" si="8">F6</f>
        <v>1</v>
      </c>
      <c r="G65" s="101">
        <f t="shared" ref="G65:G72" si="9">D65*E65</f>
        <v>24542</v>
      </c>
      <c r="H65" s="102">
        <f t="shared" ref="H65:H72" si="10">G65*F65</f>
        <v>24542</v>
      </c>
    </row>
    <row r="66" spans="1:8" ht="14.25" customHeight="1" x14ac:dyDescent="0.2">
      <c r="A66" s="1460"/>
      <c r="B66" s="299" t="str">
        <f t="shared" si="7"/>
        <v>Fresh Thyme - بذور الزعتر</v>
      </c>
      <c r="C66" s="106" t="str">
        <f t="shared" si="7"/>
        <v>gm</v>
      </c>
      <c r="D66" s="107">
        <f t="shared" si="7"/>
        <v>1</v>
      </c>
      <c r="E66" s="98">
        <f t="shared" ref="E66:E72" si="11">$C$52</f>
        <v>17.53</v>
      </c>
      <c r="F66" s="109">
        <f t="shared" si="8"/>
        <v>1</v>
      </c>
      <c r="G66" s="101">
        <f t="shared" si="9"/>
        <v>17.53</v>
      </c>
      <c r="H66" s="102">
        <f t="shared" si="10"/>
        <v>17.53</v>
      </c>
    </row>
    <row r="67" spans="1:8" ht="14.25" customHeight="1" x14ac:dyDescent="0.2">
      <c r="A67" s="1460"/>
      <c r="B67" s="299" t="str">
        <f t="shared" si="7"/>
        <v>Rosemary - روزميري مستورد</v>
      </c>
      <c r="C67" s="106" t="str">
        <f t="shared" si="7"/>
        <v>gm</v>
      </c>
      <c r="D67" s="107">
        <f t="shared" si="7"/>
        <v>1</v>
      </c>
      <c r="E67" s="98">
        <f t="shared" si="11"/>
        <v>17.53</v>
      </c>
      <c r="F67" s="109">
        <f t="shared" si="8"/>
        <v>1</v>
      </c>
      <c r="G67" s="101">
        <f t="shared" si="9"/>
        <v>17.53</v>
      </c>
      <c r="H67" s="102">
        <f t="shared" si="10"/>
        <v>17.53</v>
      </c>
    </row>
    <row r="68" spans="1:8" ht="18" customHeight="1" x14ac:dyDescent="0.2">
      <c r="A68" s="1460"/>
      <c r="B68" s="299" t="str">
        <f t="shared" si="7"/>
        <v>Italian Seasoning - توابل إيطالية</v>
      </c>
      <c r="C68" s="106" t="str">
        <f t="shared" si="7"/>
        <v>gm</v>
      </c>
      <c r="D68" s="107">
        <f t="shared" si="7"/>
        <v>1</v>
      </c>
      <c r="E68" s="98">
        <f t="shared" si="11"/>
        <v>17.53</v>
      </c>
      <c r="F68" s="109">
        <f t="shared" si="8"/>
        <v>1</v>
      </c>
      <c r="G68" s="101">
        <f t="shared" si="9"/>
        <v>17.53</v>
      </c>
      <c r="H68" s="102">
        <f t="shared" si="10"/>
        <v>17.53</v>
      </c>
    </row>
    <row r="69" spans="1:8" ht="14.25" customHeight="1" x14ac:dyDescent="0.2">
      <c r="A69" s="1460"/>
      <c r="B69" s="299" t="str">
        <f t="shared" si="7"/>
        <v>Dry Oregano - أوريجانو مجفف</v>
      </c>
      <c r="C69" s="106" t="str">
        <f t="shared" si="7"/>
        <v>gm</v>
      </c>
      <c r="D69" s="107">
        <f t="shared" si="7"/>
        <v>1</v>
      </c>
      <c r="E69" s="98">
        <f t="shared" si="11"/>
        <v>17.53</v>
      </c>
      <c r="F69" s="109">
        <f t="shared" si="8"/>
        <v>1</v>
      </c>
      <c r="G69" s="101">
        <f t="shared" si="9"/>
        <v>17.53</v>
      </c>
      <c r="H69" s="102">
        <f t="shared" si="10"/>
        <v>17.53</v>
      </c>
    </row>
    <row r="70" spans="1:8" ht="14.25" customHeight="1" x14ac:dyDescent="0.2">
      <c r="A70" s="1460"/>
      <c r="B70" s="299" t="str">
        <f t="shared" si="7"/>
        <v>Salt - ملح</v>
      </c>
      <c r="C70" s="106" t="str">
        <f t="shared" si="7"/>
        <v>gm</v>
      </c>
      <c r="D70" s="107">
        <f t="shared" si="7"/>
        <v>2</v>
      </c>
      <c r="E70" s="98">
        <f t="shared" si="11"/>
        <v>17.53</v>
      </c>
      <c r="F70" s="109">
        <f t="shared" si="8"/>
        <v>0.75</v>
      </c>
      <c r="G70" s="101">
        <f t="shared" si="9"/>
        <v>35.06</v>
      </c>
      <c r="H70" s="102">
        <f t="shared" si="10"/>
        <v>26.295000000000002</v>
      </c>
    </row>
    <row r="71" spans="1:8" ht="14.25" customHeight="1" x14ac:dyDescent="0.2">
      <c r="A71" s="1460"/>
      <c r="B71" s="299" t="str">
        <f t="shared" si="7"/>
        <v>Black Pepper Powder - فلفل أسود مطحون</v>
      </c>
      <c r="C71" s="106" t="str">
        <f t="shared" si="7"/>
        <v>gm</v>
      </c>
      <c r="D71" s="107">
        <f t="shared" si="7"/>
        <v>0.5</v>
      </c>
      <c r="E71" s="98">
        <f t="shared" si="11"/>
        <v>17.53</v>
      </c>
      <c r="F71" s="109">
        <f t="shared" si="8"/>
        <v>0.75</v>
      </c>
      <c r="G71" s="101">
        <f t="shared" si="9"/>
        <v>8.7650000000000006</v>
      </c>
      <c r="H71" s="102">
        <f t="shared" si="10"/>
        <v>6.5737500000000004</v>
      </c>
    </row>
    <row r="72" spans="1:8" ht="12.75" customHeight="1" x14ac:dyDescent="0.2">
      <c r="A72" s="1460"/>
      <c r="B72" s="299" t="str">
        <f t="shared" si="7"/>
        <v>Lemon Juice - عصير ليمون</v>
      </c>
      <c r="C72" s="106" t="str">
        <f t="shared" si="7"/>
        <v>ml</v>
      </c>
      <c r="D72" s="107">
        <f t="shared" si="7"/>
        <v>5</v>
      </c>
      <c r="E72" s="98">
        <f t="shared" si="11"/>
        <v>17.53</v>
      </c>
      <c r="F72" s="109">
        <f t="shared" si="8"/>
        <v>1</v>
      </c>
      <c r="G72" s="101">
        <f t="shared" si="9"/>
        <v>87.65</v>
      </c>
      <c r="H72" s="102">
        <f t="shared" si="10"/>
        <v>87.65</v>
      </c>
    </row>
    <row r="73" spans="1:8" ht="18" customHeight="1" x14ac:dyDescent="0.2">
      <c r="B73" s="178" t="s">
        <v>703</v>
      </c>
      <c r="C73" s="84"/>
      <c r="D73" s="84"/>
      <c r="E73" s="84"/>
      <c r="F73" s="84"/>
      <c r="G73" s="84"/>
      <c r="H73" s="84"/>
    </row>
    <row r="74" spans="1:8" ht="21" customHeight="1" x14ac:dyDescent="0.3">
      <c r="B74" s="179">
        <f>D52</f>
        <v>17530</v>
      </c>
      <c r="C74" s="84"/>
      <c r="D74" s="84"/>
      <c r="E74" s="84"/>
      <c r="F74" s="84"/>
      <c r="G74" s="84"/>
    </row>
    <row r="75" spans="1:8" ht="18" customHeight="1" x14ac:dyDescent="0.2">
      <c r="A75" s="1462"/>
      <c r="B75" s="790"/>
      <c r="C75" s="790"/>
      <c r="D75" s="790"/>
      <c r="E75" s="790"/>
      <c r="F75" s="790"/>
      <c r="G75" s="790"/>
      <c r="H75" s="790"/>
    </row>
    <row r="76" spans="1:8" ht="18" customHeight="1" x14ac:dyDescent="0.2">
      <c r="A76" s="1462"/>
      <c r="B76" s="1673"/>
      <c r="C76" s="1674"/>
      <c r="D76" s="1674"/>
      <c r="E76" s="1674"/>
      <c r="F76" s="1674"/>
      <c r="G76" s="1674"/>
      <c r="H76" s="1674"/>
    </row>
    <row r="77" spans="1:8" ht="18" x14ac:dyDescent="0.2">
      <c r="A77" s="1462"/>
      <c r="B77" s="1673"/>
      <c r="C77" s="1674"/>
      <c r="D77" s="1674"/>
      <c r="E77" s="1674"/>
      <c r="F77" s="1674"/>
      <c r="G77" s="1674"/>
      <c r="H77" s="1674"/>
    </row>
    <row r="78" spans="1:8" ht="40.5" customHeight="1" x14ac:dyDescent="0.2">
      <c r="A78" s="1463"/>
      <c r="B78" s="1103"/>
      <c r="C78" s="1104"/>
      <c r="D78" s="1103"/>
      <c r="E78" s="1105"/>
      <c r="F78" s="1105"/>
      <c r="G78" s="1103"/>
      <c r="H78" s="1105"/>
    </row>
    <row r="79" spans="1:8" ht="14.25" customHeight="1" x14ac:dyDescent="0.2">
      <c r="A79" s="1462"/>
      <c r="B79" s="1106"/>
      <c r="C79" s="1106"/>
      <c r="D79" s="1106"/>
      <c r="E79" s="1107"/>
      <c r="F79" s="1108"/>
      <c r="G79" s="1109"/>
      <c r="H79" s="1110"/>
    </row>
    <row r="80" spans="1:8" ht="14.25" customHeight="1" x14ac:dyDescent="0.2">
      <c r="A80" s="1462"/>
      <c r="B80" s="1106"/>
      <c r="C80" s="1106"/>
      <c r="D80" s="1106"/>
      <c r="E80" s="1107"/>
      <c r="F80" s="1108"/>
      <c r="G80" s="1109"/>
      <c r="H80" s="1110"/>
    </row>
    <row r="81" spans="1:8" ht="14.25" customHeight="1" x14ac:dyDescent="0.2">
      <c r="A81" s="1462"/>
      <c r="B81" s="1106"/>
      <c r="C81" s="1106"/>
      <c r="D81" s="1106"/>
      <c r="E81" s="1107"/>
      <c r="F81" s="1108"/>
      <c r="G81" s="1109"/>
      <c r="H81" s="1110"/>
    </row>
    <row r="82" spans="1:8" ht="14.25" customHeight="1" x14ac:dyDescent="0.2">
      <c r="A82" s="1462"/>
      <c r="B82" s="1106"/>
      <c r="C82" s="1106"/>
      <c r="D82" s="1106"/>
      <c r="E82" s="1107"/>
      <c r="F82" s="1108"/>
      <c r="G82" s="1109"/>
      <c r="H82" s="1110"/>
    </row>
    <row r="83" spans="1:8" ht="14.25" customHeight="1" x14ac:dyDescent="0.2">
      <c r="A83" s="1462"/>
      <c r="B83" s="1106"/>
      <c r="C83" s="1106"/>
      <c r="D83" s="1106"/>
      <c r="E83" s="1107"/>
      <c r="F83" s="1108"/>
      <c r="G83" s="1109"/>
      <c r="H83" s="1110"/>
    </row>
    <row r="84" spans="1:8" ht="14.25" customHeight="1" x14ac:dyDescent="0.2">
      <c r="A84" s="1462"/>
      <c r="B84" s="1106"/>
      <c r="C84" s="1106"/>
      <c r="D84" s="1106"/>
      <c r="E84" s="1107"/>
      <c r="F84" s="1108"/>
      <c r="G84" s="1109"/>
      <c r="H84" s="1110"/>
    </row>
    <row r="85" spans="1:8" ht="14.25" customHeight="1" x14ac:dyDescent="0.2">
      <c r="A85" s="1462"/>
      <c r="B85" s="1106"/>
      <c r="C85" s="1106"/>
      <c r="D85" s="1106"/>
      <c r="E85" s="1107"/>
      <c r="F85" s="1108"/>
      <c r="G85" s="1109"/>
      <c r="H85" s="1110"/>
    </row>
    <row r="86" spans="1:8" ht="12.75" customHeight="1" x14ac:dyDescent="0.2">
      <c r="A86" s="1462"/>
      <c r="B86" s="1106"/>
      <c r="C86" s="1106"/>
      <c r="D86" s="1106"/>
      <c r="E86" s="1107"/>
      <c r="F86" s="1108"/>
      <c r="G86" s="1109"/>
      <c r="H86" s="1110"/>
    </row>
    <row r="87" spans="1:8" ht="16.5" customHeight="1" x14ac:dyDescent="0.2">
      <c r="A87" s="1462"/>
      <c r="B87" s="814"/>
      <c r="C87" s="790"/>
      <c r="D87" s="790"/>
      <c r="E87" s="790"/>
      <c r="F87" s="790"/>
      <c r="G87" s="790"/>
      <c r="H87" s="790"/>
    </row>
    <row r="88" spans="1:8" ht="17.25" customHeight="1" x14ac:dyDescent="0.3">
      <c r="A88" s="1462"/>
      <c r="B88" s="815"/>
      <c r="C88" s="790"/>
      <c r="D88" s="790"/>
      <c r="E88" s="790"/>
      <c r="F88" s="790"/>
      <c r="G88" s="790"/>
      <c r="H88" s="796"/>
    </row>
    <row r="89" spans="1:8" ht="12.75" customHeight="1" x14ac:dyDescent="0.2">
      <c r="A89" s="1462"/>
      <c r="B89" s="790"/>
      <c r="C89" s="790"/>
      <c r="D89" s="790"/>
      <c r="E89" s="790"/>
      <c r="F89" s="790"/>
      <c r="G89" s="790"/>
      <c r="H89" s="790"/>
    </row>
    <row r="90" spans="1:8" ht="18" customHeight="1" x14ac:dyDescent="0.2">
      <c r="A90" s="1462"/>
      <c r="B90" s="790"/>
      <c r="C90" s="790"/>
      <c r="D90" s="790"/>
      <c r="E90" s="790"/>
      <c r="F90" s="790"/>
      <c r="G90" s="790"/>
      <c r="H90" s="790"/>
    </row>
    <row r="91" spans="1:8" ht="18" x14ac:dyDescent="0.2">
      <c r="A91" s="1462"/>
      <c r="B91" s="1673"/>
      <c r="C91" s="1674"/>
      <c r="D91" s="1674"/>
      <c r="E91" s="1674"/>
      <c r="F91" s="1674"/>
      <c r="G91" s="1674"/>
      <c r="H91" s="1674"/>
    </row>
    <row r="92" spans="1:8" ht="18" x14ac:dyDescent="0.2">
      <c r="A92" s="1462"/>
      <c r="B92" s="1673"/>
      <c r="C92" s="1674"/>
      <c r="D92" s="1674"/>
      <c r="E92" s="1674"/>
      <c r="F92" s="1674"/>
      <c r="G92" s="1674"/>
      <c r="H92" s="1674"/>
    </row>
    <row r="93" spans="1:8" ht="42" customHeight="1" x14ac:dyDescent="0.2">
      <c r="A93" s="1463"/>
      <c r="B93" s="1103"/>
      <c r="C93" s="1104"/>
      <c r="D93" s="1103"/>
      <c r="E93" s="1105"/>
      <c r="F93" s="1105"/>
      <c r="G93" s="1103"/>
      <c r="H93" s="1105"/>
    </row>
    <row r="94" spans="1:8" ht="14.25" customHeight="1" x14ac:dyDescent="0.2">
      <c r="A94" s="1462"/>
      <c r="B94" s="1106"/>
      <c r="C94" s="1106"/>
      <c r="D94" s="1106"/>
      <c r="E94" s="1107"/>
      <c r="F94" s="1108"/>
      <c r="G94" s="1109"/>
      <c r="H94" s="1110"/>
    </row>
    <row r="95" spans="1:8" ht="14.25" customHeight="1" x14ac:dyDescent="0.2">
      <c r="A95" s="1462"/>
      <c r="B95" s="1106"/>
      <c r="C95" s="1106"/>
      <c r="D95" s="1106"/>
      <c r="E95" s="1107"/>
      <c r="F95" s="1108"/>
      <c r="G95" s="1109"/>
      <c r="H95" s="1110"/>
    </row>
    <row r="96" spans="1:8" ht="14.25" customHeight="1" x14ac:dyDescent="0.2">
      <c r="A96" s="1462"/>
      <c r="B96" s="1106"/>
      <c r="C96" s="1106"/>
      <c r="D96" s="1106"/>
      <c r="E96" s="1107"/>
      <c r="F96" s="1108"/>
      <c r="G96" s="1109"/>
      <c r="H96" s="1110"/>
    </row>
    <row r="97" spans="1:8" ht="14.25" customHeight="1" x14ac:dyDescent="0.2">
      <c r="A97" s="1462"/>
      <c r="B97" s="1106"/>
      <c r="C97" s="1106"/>
      <c r="D97" s="1106"/>
      <c r="E97" s="1107"/>
      <c r="F97" s="1108"/>
      <c r="G97" s="1109"/>
      <c r="H97" s="1110"/>
    </row>
    <row r="98" spans="1:8" ht="14.25" customHeight="1" x14ac:dyDescent="0.2">
      <c r="A98" s="1462"/>
      <c r="B98" s="1106"/>
      <c r="C98" s="1106"/>
      <c r="D98" s="1106"/>
      <c r="E98" s="1107"/>
      <c r="F98" s="1108"/>
      <c r="G98" s="1109"/>
      <c r="H98" s="1110"/>
    </row>
    <row r="99" spans="1:8" ht="14.25" customHeight="1" x14ac:dyDescent="0.2">
      <c r="A99" s="1462"/>
      <c r="B99" s="1106"/>
      <c r="C99" s="1106"/>
      <c r="D99" s="1106"/>
      <c r="E99" s="1107"/>
      <c r="F99" s="1108"/>
      <c r="G99" s="1109"/>
      <c r="H99" s="1110"/>
    </row>
    <row r="100" spans="1:8" ht="14.25" customHeight="1" x14ac:dyDescent="0.2">
      <c r="A100" s="1462"/>
      <c r="B100" s="1106"/>
      <c r="C100" s="1106"/>
      <c r="D100" s="1106"/>
      <c r="E100" s="1107"/>
      <c r="F100" s="1108"/>
      <c r="G100" s="1109"/>
      <c r="H100" s="1110"/>
    </row>
    <row r="101" spans="1:8" ht="14.25" x14ac:dyDescent="0.2">
      <c r="A101" s="1462"/>
      <c r="B101" s="1106"/>
      <c r="C101" s="1106"/>
      <c r="D101" s="1106"/>
      <c r="E101" s="1107"/>
      <c r="F101" s="1108"/>
      <c r="G101" s="1109"/>
      <c r="H101" s="1110"/>
    </row>
    <row r="102" spans="1:8" ht="21.75" customHeight="1" x14ac:dyDescent="0.2">
      <c r="A102" s="1462"/>
      <c r="B102" s="814"/>
      <c r="C102" s="796"/>
      <c r="D102" s="796"/>
      <c r="E102" s="796"/>
      <c r="F102" s="796"/>
      <c r="G102" s="796"/>
      <c r="H102" s="796"/>
    </row>
    <row r="103" spans="1:8" ht="20.25" x14ac:dyDescent="0.3">
      <c r="A103" s="1462"/>
      <c r="B103" s="815"/>
      <c r="C103" s="796"/>
      <c r="D103" s="796"/>
      <c r="E103" s="796"/>
      <c r="F103" s="796"/>
      <c r="G103" s="796"/>
      <c r="H103" s="796"/>
    </row>
  </sheetData>
  <mergeCells count="10">
    <mergeCell ref="AE2:AG3"/>
    <mergeCell ref="B91:H91"/>
    <mergeCell ref="B92:H92"/>
    <mergeCell ref="B77:H77"/>
    <mergeCell ref="B62:H62"/>
    <mergeCell ref="R26:T26"/>
    <mergeCell ref="B2:H3"/>
    <mergeCell ref="R25:T25"/>
    <mergeCell ref="B76:H76"/>
    <mergeCell ref="B63:H63"/>
  </mergeCells>
  <printOptions horizontalCentered="1"/>
  <pageMargins left="0.5" right="0.5" top="1" bottom="0.5" header="0.3" footer="0.511811023622047"/>
  <pageSetup paperSize="9" scale="3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4B47F-D714-41FE-BE41-B4CF3CBD53F0}">
  <sheetPr codeName="Sheet83">
    <tabColor rgb="FFFFFF00"/>
    <outlinePr summaryBelow="0" summaryRight="0"/>
    <pageSetUpPr fitToPage="1"/>
  </sheetPr>
  <dimension ref="A1:AD963"/>
  <sheetViews>
    <sheetView topLeftCell="I1" zoomScale="85" zoomScaleNormal="85" workbookViewId="0">
      <selection activeCell="B32" sqref="B32"/>
    </sheetView>
  </sheetViews>
  <sheetFormatPr defaultColWidth="12.5" defaultRowHeight="12.75" x14ac:dyDescent="0.2"/>
  <cols>
    <col min="1" max="1" width="12.5" style="599"/>
    <col min="2" max="2" width="31.375" style="599" bestFit="1" customWidth="1"/>
    <col min="3" max="3" width="24" style="599" customWidth="1"/>
    <col min="4" max="4" width="19" style="599" customWidth="1"/>
    <col min="5" max="5" width="16.125" style="599" bestFit="1" customWidth="1"/>
    <col min="6" max="6" width="23" style="599" customWidth="1"/>
    <col min="7" max="7" width="25.125" style="599" customWidth="1"/>
    <col min="8" max="8" width="36.125" style="599" bestFit="1" customWidth="1"/>
    <col min="9" max="10" width="12.5" style="599"/>
    <col min="11" max="11" width="7.125" style="599" customWidth="1"/>
    <col min="12" max="12" width="8.375" style="599" customWidth="1"/>
    <col min="13" max="13" width="5.75" style="599" customWidth="1"/>
    <col min="14" max="15" width="16.75" style="599" bestFit="1" customWidth="1"/>
    <col min="16" max="27" width="12.5" style="599"/>
    <col min="28" max="28" width="6.75" style="599" customWidth="1"/>
    <col min="29" max="16384" width="12.5" style="599"/>
  </cols>
  <sheetData>
    <row r="1" spans="1:30" ht="28.5" customHeight="1" x14ac:dyDescent="0.2">
      <c r="A1" s="1461"/>
      <c r="B1" s="590" t="s">
        <v>231</v>
      </c>
      <c r="C1" s="595">
        <v>1000</v>
      </c>
      <c r="D1" s="596" t="s">
        <v>232</v>
      </c>
      <c r="E1" s="597">
        <f>S29</f>
        <v>22050</v>
      </c>
      <c r="F1" s="590" t="s">
        <v>233</v>
      </c>
      <c r="G1" s="597">
        <f>E1/C1</f>
        <v>22.05</v>
      </c>
      <c r="H1" s="590" t="s">
        <v>234</v>
      </c>
      <c r="I1" s="700">
        <f>G1/K1</f>
        <v>7.3500000000000005</v>
      </c>
      <c r="J1" s="701" t="s">
        <v>235</v>
      </c>
      <c r="K1" s="702">
        <v>3</v>
      </c>
      <c r="L1" s="598"/>
      <c r="M1" s="598"/>
      <c r="N1" s="598"/>
      <c r="O1" s="598"/>
      <c r="P1" s="598"/>
      <c r="Q1" s="598"/>
      <c r="R1" s="598"/>
      <c r="S1" s="598"/>
      <c r="T1" s="598"/>
      <c r="U1" s="598"/>
      <c r="V1" s="598"/>
      <c r="Y1" s="75" t="s">
        <v>453</v>
      </c>
      <c r="Z1" s="766">
        <v>22050</v>
      </c>
      <c r="AA1" s="75" t="s">
        <v>556</v>
      </c>
      <c r="AB1" s="766">
        <v>0</v>
      </c>
      <c r="AC1" s="75" t="s">
        <v>546</v>
      </c>
      <c r="AD1" s="766">
        <v>156</v>
      </c>
    </row>
    <row r="2" spans="1:30" ht="12.75" customHeight="1" x14ac:dyDescent="0.2">
      <c r="A2" s="1502"/>
      <c r="B2" s="1675" t="s">
        <v>516</v>
      </c>
      <c r="C2" s="1675"/>
      <c r="D2" s="1675"/>
      <c r="E2" s="1675"/>
      <c r="F2" s="1675"/>
      <c r="G2" s="1675"/>
      <c r="H2" s="1675"/>
      <c r="I2" s="703"/>
      <c r="J2" s="703"/>
      <c r="K2" s="703"/>
      <c r="L2" s="598"/>
      <c r="M2" s="598"/>
      <c r="N2" s="598"/>
      <c r="O2" s="598"/>
      <c r="P2" s="598"/>
      <c r="Q2" s="598"/>
      <c r="R2" s="598"/>
      <c r="S2" s="598"/>
      <c r="T2" s="598"/>
      <c r="U2" s="598"/>
    </row>
    <row r="3" spans="1:30" ht="12.75" customHeight="1" x14ac:dyDescent="0.2">
      <c r="A3" s="1502"/>
      <c r="B3" s="1676"/>
      <c r="C3" s="1676"/>
      <c r="D3" s="1676"/>
      <c r="E3" s="1676"/>
      <c r="F3" s="1676"/>
      <c r="G3" s="1676"/>
      <c r="H3" s="1676"/>
      <c r="I3" s="703"/>
      <c r="J3" s="703"/>
      <c r="K3" s="703"/>
      <c r="L3" s="598"/>
      <c r="M3" s="598"/>
      <c r="N3" s="598"/>
      <c r="O3" s="598"/>
      <c r="P3" s="598"/>
      <c r="Q3" s="598"/>
      <c r="R3" s="598"/>
      <c r="S3" s="598"/>
      <c r="T3" s="598"/>
      <c r="U3" s="598"/>
    </row>
    <row r="4" spans="1:30" ht="69" customHeight="1" x14ac:dyDescent="0.2">
      <c r="A4" s="1589" t="s">
        <v>903</v>
      </c>
      <c r="B4" s="600" t="s">
        <v>241</v>
      </c>
      <c r="C4" s="601" t="s">
        <v>242</v>
      </c>
      <c r="D4" s="600" t="s">
        <v>231</v>
      </c>
      <c r="E4" s="602" t="s">
        <v>234</v>
      </c>
      <c r="F4" s="603" t="s">
        <v>243</v>
      </c>
      <c r="G4" s="600" t="s">
        <v>244</v>
      </c>
      <c r="H4" s="698" t="s">
        <v>512</v>
      </c>
      <c r="I4" s="75" t="s">
        <v>246</v>
      </c>
      <c r="J4" s="75" t="s">
        <v>247</v>
      </c>
      <c r="K4" s="75" t="s">
        <v>248</v>
      </c>
      <c r="L4" s="75" t="s">
        <v>249</v>
      </c>
      <c r="M4" s="598"/>
      <c r="N4" s="598"/>
      <c r="O4" s="598"/>
      <c r="P4" s="598"/>
      <c r="Q4" s="598"/>
      <c r="R4" s="598"/>
      <c r="S4" s="598"/>
      <c r="T4" s="598"/>
      <c r="U4" s="598"/>
    </row>
    <row r="5" spans="1:30" x14ac:dyDescent="0.2">
      <c r="A5" s="1470"/>
      <c r="B5" s="704"/>
      <c r="C5" s="705"/>
      <c r="D5" s="704"/>
      <c r="E5" s="706"/>
      <c r="F5" s="704"/>
      <c r="G5" s="704"/>
      <c r="H5" s="707"/>
      <c r="I5" s="65"/>
      <c r="J5" s="101"/>
      <c r="K5" s="104"/>
      <c r="L5" s="104"/>
    </row>
    <row r="6" spans="1:30" ht="15" x14ac:dyDescent="0.2">
      <c r="B6" s="604" t="s">
        <v>517</v>
      </c>
      <c r="C6" s="605" t="s">
        <v>14</v>
      </c>
      <c r="D6" s="976">
        <v>330</v>
      </c>
      <c r="E6" s="607">
        <f>$I$1</f>
        <v>7.3500000000000005</v>
      </c>
      <c r="F6" s="608">
        <v>1</v>
      </c>
      <c r="G6" s="609">
        <f>D6*E6</f>
        <v>2425.5</v>
      </c>
      <c r="H6" s="699">
        <f>G6*F6</f>
        <v>2425.5</v>
      </c>
      <c r="I6" s="65">
        <f>VLOOKUP(B6,All_Ingredients!$A$1:$F$156,6,FALSE())</f>
        <v>1</v>
      </c>
      <c r="J6" s="101">
        <f>VLOOKUP(B6,All_Ingredients!$A$1:$J$156,10,FALSE())</f>
        <v>9.0740740740740726</v>
      </c>
      <c r="K6" s="104">
        <f t="shared" ref="K6" si="0">(H6/I6)/1000</f>
        <v>2.4255</v>
      </c>
      <c r="L6" s="104">
        <f t="shared" ref="L6" si="1">K6*J6</f>
        <v>22.009166666666662</v>
      </c>
    </row>
    <row r="7" spans="1:30" ht="15" x14ac:dyDescent="0.2">
      <c r="B7" s="604" t="s">
        <v>203</v>
      </c>
      <c r="C7" s="106" t="s">
        <v>160</v>
      </c>
      <c r="D7" s="606">
        <v>8000</v>
      </c>
      <c r="E7" s="606">
        <f>$I$1</f>
        <v>7.3500000000000005</v>
      </c>
      <c r="F7" s="608">
        <v>1</v>
      </c>
      <c r="G7" s="609">
        <f>D7*E7</f>
        <v>58800.000000000007</v>
      </c>
      <c r="H7" s="699">
        <f>G7*F7</f>
        <v>58800.000000000007</v>
      </c>
      <c r="I7" s="65">
        <f>VLOOKUP(B7,All_Ingredients!$A$1:$F$156,6,FALSE())</f>
        <v>1</v>
      </c>
      <c r="J7" s="101">
        <f>VLOOKUP(B7,All_Ingredients!$A$1:$J$156,10,FALSE())</f>
        <v>0</v>
      </c>
      <c r="K7" s="104">
        <f t="shared" ref="K7:K9" si="2">(H7/I7)/1000</f>
        <v>58.800000000000004</v>
      </c>
      <c r="L7" s="104">
        <f t="shared" ref="L7:L9" si="3">K7*J7</f>
        <v>0</v>
      </c>
    </row>
    <row r="8" spans="1:30" ht="15" x14ac:dyDescent="0.2">
      <c r="B8" s="604" t="s">
        <v>93</v>
      </c>
      <c r="C8" s="605" t="s">
        <v>14</v>
      </c>
      <c r="D8" s="606">
        <v>10</v>
      </c>
      <c r="E8" s="606">
        <f>$I$1</f>
        <v>7.3500000000000005</v>
      </c>
      <c r="F8" s="608">
        <v>1</v>
      </c>
      <c r="G8" s="609">
        <f>D8*E8</f>
        <v>73.5</v>
      </c>
      <c r="H8" s="699">
        <f>G8*F8</f>
        <v>73.5</v>
      </c>
      <c r="I8" s="65">
        <f>VLOOKUP(B8,All_Ingredients!$A$1:$F$156,6,FALSE())</f>
        <v>1</v>
      </c>
      <c r="J8" s="101">
        <f>VLOOKUP(B8,All_Ingredients!$A$1:$J$156,10,FALSE())</f>
        <v>0.74</v>
      </c>
      <c r="K8" s="104">
        <f t="shared" si="2"/>
        <v>7.3499999999999996E-2</v>
      </c>
      <c r="L8" s="104">
        <f t="shared" si="3"/>
        <v>5.4389999999999994E-2</v>
      </c>
    </row>
    <row r="9" spans="1:30" ht="15" x14ac:dyDescent="0.2">
      <c r="B9" s="604" t="s">
        <v>211</v>
      </c>
      <c r="C9" s="605" t="s">
        <v>14</v>
      </c>
      <c r="D9" s="606">
        <v>5</v>
      </c>
      <c r="E9" s="606">
        <f>$I$1</f>
        <v>7.3500000000000005</v>
      </c>
      <c r="F9" s="608">
        <v>1</v>
      </c>
      <c r="G9" s="609">
        <f>D9*E9</f>
        <v>36.75</v>
      </c>
      <c r="H9" s="699">
        <f>G9*F9</f>
        <v>36.75</v>
      </c>
      <c r="I9" s="65">
        <f>VLOOKUP(B9,All_Ingredients!$A$1:$F$156,6,FALSE())</f>
        <v>1</v>
      </c>
      <c r="J9" s="101">
        <f>VLOOKUP(B9,All_Ingredients!$A$1:$J$156,10,FALSE())</f>
        <v>15.5</v>
      </c>
      <c r="K9" s="104">
        <f t="shared" si="2"/>
        <v>3.6749999999999998E-2</v>
      </c>
      <c r="L9" s="104">
        <f t="shared" si="3"/>
        <v>0.56962499999999994</v>
      </c>
    </row>
    <row r="10" spans="1:30" ht="15" x14ac:dyDescent="0.2">
      <c r="B10" s="611"/>
      <c r="C10" s="612"/>
      <c r="D10" s="613"/>
      <c r="E10" s="614"/>
      <c r="F10" s="615"/>
      <c r="G10" s="616"/>
      <c r="H10" s="617"/>
    </row>
    <row r="11" spans="1:30" x14ac:dyDescent="0.2">
      <c r="E11" s="598"/>
      <c r="F11" s="598"/>
      <c r="Q11" s="599">
        <v>3350</v>
      </c>
      <c r="R11" s="599">
        <v>10000</v>
      </c>
    </row>
    <row r="12" spans="1:30" x14ac:dyDescent="0.2">
      <c r="E12" s="598"/>
      <c r="F12" s="598"/>
      <c r="Q12" s="599">
        <v>3350</v>
      </c>
      <c r="R12" s="599">
        <v>10000</v>
      </c>
    </row>
    <row r="13" spans="1:30" x14ac:dyDescent="0.2">
      <c r="E13" s="598"/>
      <c r="F13" s="598"/>
      <c r="Q13" s="599">
        <v>3350</v>
      </c>
      <c r="R13" s="599">
        <v>10000</v>
      </c>
    </row>
    <row r="14" spans="1:30" x14ac:dyDescent="0.2">
      <c r="E14" s="598"/>
      <c r="F14" s="598"/>
      <c r="Q14" s="599">
        <v>1760</v>
      </c>
      <c r="R14" s="599">
        <v>8260</v>
      </c>
    </row>
    <row r="15" spans="1:30" x14ac:dyDescent="0.2">
      <c r="E15" s="598"/>
      <c r="F15" s="598"/>
      <c r="Q15" s="599">
        <f>SUM(Q11:Q14)</f>
        <v>11810</v>
      </c>
      <c r="R15" s="599">
        <f>SUM(R11:R14)</f>
        <v>38260</v>
      </c>
    </row>
    <row r="16" spans="1:30" x14ac:dyDescent="0.2">
      <c r="E16" s="598"/>
      <c r="F16" s="598"/>
    </row>
    <row r="17" spans="2:29" x14ac:dyDescent="0.2">
      <c r="E17" s="598"/>
      <c r="F17" s="598"/>
      <c r="H17" s="975"/>
    </row>
    <row r="18" spans="2:29" x14ac:dyDescent="0.2">
      <c r="B18" s="598"/>
      <c r="E18" s="598"/>
      <c r="F18" s="598"/>
    </row>
    <row r="23" spans="2:29" x14ac:dyDescent="0.2">
      <c r="Z23" s="1130"/>
    </row>
    <row r="24" spans="2:29" x14ac:dyDescent="0.2">
      <c r="Z24" s="122" t="s">
        <v>14</v>
      </c>
      <c r="AA24" s="123">
        <v>1</v>
      </c>
      <c r="AB24" s="122" t="s">
        <v>249</v>
      </c>
      <c r="AC24" s="124">
        <f>(S30/S29)*AA24</f>
        <v>1.0264481481481479E-3</v>
      </c>
    </row>
    <row r="25" spans="2:29" ht="14.25" x14ac:dyDescent="0.2">
      <c r="R25" s="1677" t="s">
        <v>518</v>
      </c>
      <c r="S25" s="1677"/>
    </row>
    <row r="26" spans="2:29" ht="14.25" x14ac:dyDescent="0.2">
      <c r="R26" s="619" t="s">
        <v>254</v>
      </c>
      <c r="S26" s="619" t="s">
        <v>547</v>
      </c>
    </row>
    <row r="27" spans="2:29" ht="14.25" x14ac:dyDescent="0.2">
      <c r="R27" s="619" t="s">
        <v>511</v>
      </c>
      <c r="S27" s="724">
        <f>$Z$1</f>
        <v>22050</v>
      </c>
    </row>
    <row r="28" spans="2:29" ht="14.25" x14ac:dyDescent="0.2">
      <c r="R28" s="619" t="s">
        <v>265</v>
      </c>
      <c r="S28" s="1217">
        <f>$AB$1</f>
        <v>0</v>
      </c>
      <c r="T28" s="1228"/>
      <c r="U28" s="1228"/>
    </row>
    <row r="29" spans="2:29" ht="15.75" thickBot="1" x14ac:dyDescent="0.25">
      <c r="R29" s="619" t="s">
        <v>257</v>
      </c>
      <c r="S29" s="1229">
        <f>S27+S28</f>
        <v>22050</v>
      </c>
      <c r="U29" s="1228"/>
    </row>
    <row r="30" spans="2:29" ht="13.5" thickBot="1" x14ac:dyDescent="0.25">
      <c r="R30" s="144" t="s">
        <v>249</v>
      </c>
      <c r="S30" s="1241">
        <f>SUM(L5:L9)</f>
        <v>22.633181666666662</v>
      </c>
      <c r="T30" s="1242"/>
      <c r="U30" s="1228"/>
    </row>
    <row r="32" spans="2:29" x14ac:dyDescent="0.2">
      <c r="U32" s="978"/>
    </row>
    <row r="34" spans="20:20" x14ac:dyDescent="0.2">
      <c r="T34" s="977"/>
    </row>
    <row r="35" spans="20:20" ht="14.25" customHeight="1" x14ac:dyDescent="0.2"/>
    <row r="36" spans="20:20" ht="14.25" customHeight="1" x14ac:dyDescent="0.2"/>
    <row r="50" spans="1:8" ht="15" x14ac:dyDescent="0.25">
      <c r="B50" s="618"/>
      <c r="C50" s="618" t="s">
        <v>233</v>
      </c>
      <c r="D50" s="618" t="s">
        <v>279</v>
      </c>
    </row>
    <row r="51" spans="1:8" ht="14.25" x14ac:dyDescent="0.2">
      <c r="B51" s="161" t="s">
        <v>283</v>
      </c>
      <c r="C51" s="162">
        <f>10/$K$1</f>
        <v>3.3333333333333335</v>
      </c>
      <c r="D51" s="163">
        <f>$C$1*10</f>
        <v>10000</v>
      </c>
    </row>
    <row r="52" spans="1:8" ht="15" x14ac:dyDescent="0.25">
      <c r="B52" s="620" t="s">
        <v>257</v>
      </c>
      <c r="C52" s="591">
        <f>G1</f>
        <v>22.05</v>
      </c>
      <c r="D52" s="591">
        <f>E1</f>
        <v>22050</v>
      </c>
    </row>
    <row r="53" spans="1:8" ht="15" x14ac:dyDescent="0.25">
      <c r="B53" s="620" t="s">
        <v>284</v>
      </c>
      <c r="C53" s="592">
        <f>MIN($C$52, $C$51)</f>
        <v>3.3333333333333335</v>
      </c>
      <c r="D53" s="837">
        <f>(C53*$K$1)*$C$1</f>
        <v>10000</v>
      </c>
    </row>
    <row r="54" spans="1:8" ht="15" x14ac:dyDescent="0.25">
      <c r="B54" s="620" t="s">
        <v>285</v>
      </c>
      <c r="C54" s="592">
        <f>MIN(MAX($C$52-C53,0),$C$51)</f>
        <v>3.3333333333333335</v>
      </c>
      <c r="D54" s="837">
        <f>(C54*$K$1)*$C$1</f>
        <v>10000</v>
      </c>
    </row>
    <row r="55" spans="1:8" ht="15" x14ac:dyDescent="0.25">
      <c r="B55" s="620" t="s">
        <v>286</v>
      </c>
      <c r="C55" s="592">
        <f>MIN(MAX($C$52-C53-C54,0),$C$51)</f>
        <v>3.3333333333333335</v>
      </c>
      <c r="D55" s="837">
        <f>(C55*$K$1)*$C$1</f>
        <v>10000</v>
      </c>
    </row>
    <row r="56" spans="1:8" ht="15" x14ac:dyDescent="0.25">
      <c r="B56" s="620" t="s">
        <v>293</v>
      </c>
      <c r="C56" s="592">
        <f>MIN(MAX($C$52-C53-C54-C55,0),$C$51)</f>
        <v>3.3333333333333335</v>
      </c>
      <c r="D56" s="593">
        <f>C56*$K$1</f>
        <v>10</v>
      </c>
    </row>
    <row r="57" spans="1:8" ht="14.25" customHeight="1" x14ac:dyDescent="0.2"/>
    <row r="58" spans="1:8" ht="14.25" customHeight="1" x14ac:dyDescent="0.2"/>
    <row r="62" spans="1:8" ht="19.5" customHeight="1" x14ac:dyDescent="0.2">
      <c r="A62" s="1464"/>
      <c r="B62" s="1636" t="s">
        <v>775</v>
      </c>
      <c r="C62" s="1637"/>
      <c r="D62" s="1637"/>
      <c r="E62" s="1637"/>
      <c r="F62" s="1637"/>
      <c r="G62" s="1637"/>
      <c r="H62" s="1637"/>
    </row>
    <row r="63" spans="1:8" ht="18" customHeight="1" x14ac:dyDescent="0.2">
      <c r="A63" s="1464"/>
      <c r="B63" s="1636" t="s">
        <v>776</v>
      </c>
      <c r="C63" s="1637"/>
      <c r="D63" s="1637"/>
      <c r="E63" s="1637"/>
      <c r="F63" s="1637"/>
      <c r="G63" s="1637"/>
      <c r="H63" s="1637"/>
    </row>
    <row r="64" spans="1:8" ht="25.5" x14ac:dyDescent="0.2">
      <c r="A64" s="1589"/>
      <c r="B64" s="221" t="s">
        <v>241</v>
      </c>
      <c r="C64" s="222" t="s">
        <v>242</v>
      </c>
      <c r="D64" s="223" t="s">
        <v>231</v>
      </c>
      <c r="E64" s="197" t="s">
        <v>234</v>
      </c>
      <c r="F64" s="197" t="s">
        <v>243</v>
      </c>
      <c r="G64" s="223" t="s">
        <v>244</v>
      </c>
      <c r="H64" s="197" t="s">
        <v>245</v>
      </c>
    </row>
    <row r="65" spans="1:8" ht="15" x14ac:dyDescent="0.2">
      <c r="A65" s="844"/>
      <c r="B65" s="604" t="str">
        <f t="shared" ref="B65:D68" si="4">B6</f>
        <v>Pasta Spaghettini  - مكرونة اسباجيتي</v>
      </c>
      <c r="C65" s="605" t="str">
        <f t="shared" si="4"/>
        <v>gm</v>
      </c>
      <c r="D65" s="621">
        <f t="shared" si="4"/>
        <v>330</v>
      </c>
      <c r="E65" s="606">
        <f>$C$52</f>
        <v>22.05</v>
      </c>
      <c r="F65" s="608">
        <f>F6</f>
        <v>1</v>
      </c>
      <c r="G65" s="609">
        <f>D65*E65</f>
        <v>7276.5</v>
      </c>
      <c r="H65" s="610">
        <f>G65*F65</f>
        <v>7276.5</v>
      </c>
    </row>
    <row r="66" spans="1:8" ht="15" x14ac:dyDescent="0.2">
      <c r="A66" s="844"/>
      <c r="B66" s="604" t="str">
        <f t="shared" si="4"/>
        <v>Water - ماء</v>
      </c>
      <c r="C66" s="605" t="str">
        <f t="shared" si="4"/>
        <v>ml</v>
      </c>
      <c r="D66" s="621">
        <f t="shared" si="4"/>
        <v>8000</v>
      </c>
      <c r="E66" s="606">
        <f>$C$52</f>
        <v>22.05</v>
      </c>
      <c r="F66" s="608">
        <f>F7</f>
        <v>1</v>
      </c>
      <c r="G66" s="609">
        <f>D66*E66</f>
        <v>176400</v>
      </c>
      <c r="H66" s="610">
        <f>G66*F66</f>
        <v>176400</v>
      </c>
    </row>
    <row r="67" spans="1:8" ht="15" x14ac:dyDescent="0.2">
      <c r="A67" s="844"/>
      <c r="B67" s="604" t="str">
        <f t="shared" si="4"/>
        <v>Salt - ملح</v>
      </c>
      <c r="C67" s="605" t="str">
        <f t="shared" si="4"/>
        <v>gm</v>
      </c>
      <c r="D67" s="621">
        <f t="shared" si="4"/>
        <v>10</v>
      </c>
      <c r="E67" s="606">
        <f>$C$52</f>
        <v>22.05</v>
      </c>
      <c r="F67" s="608">
        <f>F8</f>
        <v>1</v>
      </c>
      <c r="G67" s="609">
        <f>D67*E67</f>
        <v>220.5</v>
      </c>
      <c r="H67" s="610">
        <f>G67*F67</f>
        <v>220.5</v>
      </c>
    </row>
    <row r="68" spans="1:8" ht="15" x14ac:dyDescent="0.2">
      <c r="A68" s="844"/>
      <c r="B68" s="604" t="str">
        <f t="shared" si="4"/>
        <v>Olive Oil - زيت زيتون</v>
      </c>
      <c r="C68" s="605" t="str">
        <f t="shared" si="4"/>
        <v>gm</v>
      </c>
      <c r="D68" s="621">
        <f t="shared" si="4"/>
        <v>5</v>
      </c>
      <c r="E68" s="606">
        <f>$C$52</f>
        <v>22.05</v>
      </c>
      <c r="F68" s="608">
        <f>F9</f>
        <v>1</v>
      </c>
      <c r="G68" s="609">
        <f>D68*E68</f>
        <v>110.25</v>
      </c>
      <c r="H68" s="610">
        <f>G68*F68</f>
        <v>110.25</v>
      </c>
    </row>
    <row r="69" spans="1:8" ht="18" x14ac:dyDescent="0.2">
      <c r="B69" s="178" t="s">
        <v>702</v>
      </c>
      <c r="C69" s="451"/>
      <c r="D69" s="14"/>
      <c r="E69" s="451"/>
      <c r="F69" s="14"/>
      <c r="G69" s="451"/>
      <c r="H69" s="451"/>
    </row>
    <row r="70" spans="1:8" ht="20.25" x14ac:dyDescent="0.3">
      <c r="B70" s="179">
        <f>D52</f>
        <v>22050</v>
      </c>
      <c r="C70" s="450"/>
      <c r="D70" s="839"/>
      <c r="E70" s="450"/>
      <c r="F70" s="843"/>
      <c r="G70" s="450"/>
      <c r="H70" s="450"/>
    </row>
    <row r="71" spans="1:8" x14ac:dyDescent="0.2">
      <c r="B71" s="598"/>
      <c r="E71" s="598"/>
      <c r="F71" s="598"/>
    </row>
    <row r="72" spans="1:8" s="1090" customFormat="1" x14ac:dyDescent="0.2">
      <c r="A72" s="1465"/>
      <c r="B72" s="1091"/>
      <c r="C72" s="1091"/>
      <c r="D72" s="1091"/>
      <c r="E72" s="1091"/>
      <c r="F72" s="1091"/>
      <c r="G72" s="1091"/>
      <c r="H72" s="1091"/>
    </row>
    <row r="73" spans="1:8" s="1090" customFormat="1" ht="18" x14ac:dyDescent="0.2">
      <c r="A73" s="1462"/>
      <c r="B73" s="1673"/>
      <c r="C73" s="1674"/>
      <c r="D73" s="1674"/>
      <c r="E73" s="1674"/>
      <c r="F73" s="1674"/>
      <c r="G73" s="1674"/>
      <c r="H73" s="1674"/>
    </row>
    <row r="74" spans="1:8" s="1090" customFormat="1" ht="18" x14ac:dyDescent="0.2">
      <c r="A74" s="1462"/>
      <c r="B74" s="1673"/>
      <c r="C74" s="1674"/>
      <c r="D74" s="1674"/>
      <c r="E74" s="1674"/>
      <c r="F74" s="1674"/>
      <c r="G74" s="1674"/>
      <c r="H74" s="1674"/>
    </row>
    <row r="75" spans="1:8" s="1090" customFormat="1" x14ac:dyDescent="0.2">
      <c r="A75" s="1463"/>
      <c r="B75" s="1094"/>
      <c r="C75" s="1095"/>
      <c r="D75" s="1094"/>
      <c r="E75" s="1094"/>
      <c r="F75" s="1094"/>
      <c r="G75" s="1094"/>
      <c r="H75" s="1094"/>
    </row>
    <row r="76" spans="1:8" s="1090" customFormat="1" ht="15" x14ac:dyDescent="0.2">
      <c r="A76" s="1465"/>
      <c r="B76" s="1096"/>
      <c r="C76" s="1096"/>
      <c r="D76" s="1096"/>
      <c r="E76" s="1097"/>
      <c r="F76" s="1098"/>
      <c r="G76" s="1099"/>
      <c r="H76" s="1100"/>
    </row>
    <row r="77" spans="1:8" s="1090" customFormat="1" ht="15" x14ac:dyDescent="0.2">
      <c r="A77" s="1465"/>
      <c r="B77" s="1096"/>
      <c r="C77" s="1096"/>
      <c r="D77" s="1096"/>
      <c r="E77" s="1097"/>
      <c r="F77" s="1098"/>
      <c r="G77" s="1099"/>
      <c r="H77" s="1100"/>
    </row>
    <row r="78" spans="1:8" s="1090" customFormat="1" ht="15" x14ac:dyDescent="0.2">
      <c r="A78" s="1465"/>
      <c r="B78" s="1096"/>
      <c r="C78" s="1096"/>
      <c r="D78" s="1096"/>
      <c r="E78" s="1097"/>
      <c r="F78" s="1098"/>
      <c r="G78" s="1099"/>
      <c r="H78" s="1100"/>
    </row>
    <row r="79" spans="1:8" s="1090" customFormat="1" ht="15" x14ac:dyDescent="0.2">
      <c r="A79" s="1465"/>
      <c r="B79" s="1096"/>
      <c r="C79" s="1096"/>
      <c r="D79" s="1096"/>
      <c r="E79" s="1097"/>
      <c r="F79" s="1098"/>
      <c r="G79" s="1099"/>
      <c r="H79" s="1100"/>
    </row>
    <row r="80" spans="1:8" s="1090" customFormat="1" ht="15.75" x14ac:dyDescent="0.2">
      <c r="A80" s="1465"/>
      <c r="B80" s="814"/>
      <c r="E80" s="1091"/>
      <c r="F80" s="1091"/>
    </row>
    <row r="81" spans="1:8" s="1090" customFormat="1" ht="20.25" x14ac:dyDescent="0.3">
      <c r="A81" s="1465"/>
      <c r="B81" s="815"/>
      <c r="C81" s="1091"/>
      <c r="D81" s="1091"/>
      <c r="E81" s="1091"/>
      <c r="F81" s="1092"/>
    </row>
    <row r="82" spans="1:8" s="1090" customFormat="1" x14ac:dyDescent="0.2">
      <c r="A82" s="1465"/>
      <c r="B82" s="1091"/>
      <c r="C82" s="1091"/>
      <c r="D82" s="1091"/>
      <c r="E82" s="1091"/>
      <c r="F82" s="1091"/>
      <c r="G82" s="1091"/>
      <c r="H82" s="1091"/>
    </row>
    <row r="83" spans="1:8" s="1090" customFormat="1" x14ac:dyDescent="0.2">
      <c r="A83" s="1465"/>
      <c r="B83" s="1091"/>
      <c r="C83" s="1091"/>
      <c r="D83" s="1091"/>
      <c r="E83" s="1091"/>
      <c r="F83" s="1091"/>
      <c r="G83" s="1091"/>
      <c r="H83" s="1091"/>
    </row>
    <row r="84" spans="1:8" s="1090" customFormat="1" ht="18" x14ac:dyDescent="0.2">
      <c r="A84" s="1462"/>
      <c r="B84" s="1673"/>
      <c r="C84" s="1674"/>
      <c r="D84" s="1674"/>
      <c r="E84" s="1674"/>
      <c r="F84" s="1674"/>
      <c r="G84" s="1674"/>
      <c r="H84" s="1674"/>
    </row>
    <row r="85" spans="1:8" s="1090" customFormat="1" ht="18" x14ac:dyDescent="0.2">
      <c r="A85" s="1462"/>
      <c r="B85" s="1673"/>
      <c r="C85" s="1674"/>
      <c r="D85" s="1674"/>
      <c r="E85" s="1674"/>
      <c r="F85" s="1674"/>
      <c r="G85" s="1674"/>
      <c r="H85" s="1674"/>
    </row>
    <row r="86" spans="1:8" s="1090" customFormat="1" x14ac:dyDescent="0.2">
      <c r="A86" s="1463"/>
      <c r="B86" s="1094"/>
      <c r="C86" s="1095"/>
      <c r="D86" s="1094"/>
      <c r="E86" s="1094"/>
      <c r="F86" s="1094"/>
      <c r="G86" s="1094"/>
      <c r="H86" s="1094"/>
    </row>
    <row r="87" spans="1:8" s="1090" customFormat="1" ht="15" x14ac:dyDescent="0.2">
      <c r="A87" s="1465"/>
      <c r="B87" s="1096"/>
      <c r="C87" s="1096"/>
      <c r="D87" s="1096"/>
      <c r="E87" s="1101"/>
      <c r="F87" s="1102"/>
      <c r="G87" s="1099"/>
      <c r="H87" s="1100"/>
    </row>
    <row r="88" spans="1:8" s="1090" customFormat="1" ht="15" x14ac:dyDescent="0.2">
      <c r="A88" s="1465"/>
      <c r="B88" s="1096"/>
      <c r="C88" s="1096"/>
      <c r="D88" s="1096"/>
      <c r="E88" s="1101"/>
      <c r="F88" s="1102"/>
      <c r="G88" s="1099"/>
      <c r="H88" s="1100"/>
    </row>
    <row r="89" spans="1:8" s="1090" customFormat="1" ht="15" x14ac:dyDescent="0.2">
      <c r="A89" s="1465"/>
      <c r="B89" s="1096"/>
      <c r="C89" s="1096"/>
      <c r="D89" s="1096"/>
      <c r="E89" s="1101"/>
      <c r="F89" s="1102"/>
      <c r="G89" s="1099"/>
      <c r="H89" s="1100"/>
    </row>
    <row r="90" spans="1:8" s="1090" customFormat="1" ht="15" x14ac:dyDescent="0.2">
      <c r="A90" s="1465"/>
      <c r="B90" s="1096"/>
      <c r="C90" s="1096"/>
      <c r="D90" s="1096"/>
      <c r="E90" s="1101"/>
      <c r="F90" s="1102"/>
      <c r="G90" s="1099"/>
      <c r="H90" s="1100"/>
    </row>
    <row r="91" spans="1:8" s="1090" customFormat="1" ht="15.75" x14ac:dyDescent="0.2">
      <c r="A91" s="1465"/>
      <c r="B91" s="814"/>
      <c r="E91" s="1091"/>
      <c r="F91" s="1091"/>
    </row>
    <row r="92" spans="1:8" s="1090" customFormat="1" ht="20.25" x14ac:dyDescent="0.3">
      <c r="A92" s="1465"/>
      <c r="B92" s="815"/>
    </row>
    <row r="93" spans="1:8" s="1090" customFormat="1" ht="20.25" x14ac:dyDescent="0.3">
      <c r="A93" s="1465"/>
      <c r="B93" s="1093"/>
    </row>
    <row r="94" spans="1:8" s="1090" customFormat="1" ht="18" x14ac:dyDescent="0.2">
      <c r="A94" s="1462"/>
      <c r="B94" s="1673"/>
      <c r="C94" s="1674"/>
      <c r="D94" s="1674"/>
      <c r="E94" s="1674"/>
      <c r="F94" s="1674"/>
      <c r="G94" s="1674"/>
      <c r="H94" s="1674"/>
    </row>
    <row r="95" spans="1:8" s="1090" customFormat="1" ht="18" x14ac:dyDescent="0.2">
      <c r="A95" s="1462"/>
      <c r="B95" s="1673"/>
      <c r="C95" s="1674"/>
      <c r="D95" s="1674"/>
      <c r="E95" s="1674"/>
      <c r="F95" s="1674"/>
      <c r="G95" s="1674"/>
      <c r="H95" s="1674"/>
    </row>
    <row r="96" spans="1:8" s="1090" customFormat="1" x14ac:dyDescent="0.2">
      <c r="A96" s="1463"/>
      <c r="B96" s="1094"/>
      <c r="C96" s="1095"/>
      <c r="D96" s="1094"/>
      <c r="E96" s="1094"/>
      <c r="F96" s="1094"/>
      <c r="G96" s="1094"/>
      <c r="H96" s="1094"/>
    </row>
    <row r="97" spans="1:8" s="1090" customFormat="1" ht="15" x14ac:dyDescent="0.2">
      <c r="A97" s="1465"/>
      <c r="B97" s="1096"/>
      <c r="C97" s="1096"/>
      <c r="D97" s="1096"/>
      <c r="E97" s="1101"/>
      <c r="F97" s="1102"/>
      <c r="G97" s="1099"/>
      <c r="H97" s="1100"/>
    </row>
    <row r="98" spans="1:8" s="1090" customFormat="1" ht="15" x14ac:dyDescent="0.2">
      <c r="A98" s="1465"/>
      <c r="B98" s="1096"/>
      <c r="C98" s="1096"/>
      <c r="D98" s="1096"/>
      <c r="E98" s="1101"/>
      <c r="F98" s="1102"/>
      <c r="G98" s="1099"/>
      <c r="H98" s="1100"/>
    </row>
    <row r="99" spans="1:8" s="1090" customFormat="1" ht="15" x14ac:dyDescent="0.2">
      <c r="A99" s="1465"/>
      <c r="B99" s="1096"/>
      <c r="C99" s="1096"/>
      <c r="D99" s="1096"/>
      <c r="E99" s="1101"/>
      <c r="F99" s="1102"/>
      <c r="G99" s="1099"/>
      <c r="H99" s="1100"/>
    </row>
    <row r="100" spans="1:8" s="1090" customFormat="1" ht="15" x14ac:dyDescent="0.2">
      <c r="A100" s="1465"/>
      <c r="B100" s="1096"/>
      <c r="C100" s="1096"/>
      <c r="D100" s="1096"/>
      <c r="E100" s="1101"/>
      <c r="F100" s="1102"/>
      <c r="G100" s="1099"/>
      <c r="H100" s="1100"/>
    </row>
    <row r="101" spans="1:8" s="1090" customFormat="1" ht="15.75" x14ac:dyDescent="0.2">
      <c r="A101" s="1465"/>
      <c r="B101" s="814"/>
      <c r="E101" s="1091"/>
      <c r="F101" s="1091"/>
    </row>
    <row r="102" spans="1:8" s="1090" customFormat="1" ht="20.25" x14ac:dyDescent="0.3">
      <c r="A102" s="1465"/>
      <c r="B102" s="815"/>
      <c r="E102" s="1091"/>
      <c r="F102" s="1091"/>
    </row>
    <row r="103" spans="1:8" s="1090" customFormat="1" x14ac:dyDescent="0.2">
      <c r="A103" s="1465"/>
      <c r="B103" s="1091"/>
      <c r="E103" s="1091"/>
      <c r="F103" s="1091"/>
    </row>
    <row r="104" spans="1:8" s="1090" customFormat="1" x14ac:dyDescent="0.2">
      <c r="A104" s="1465"/>
      <c r="B104" s="1091"/>
      <c r="E104" s="1091"/>
      <c r="F104" s="1091"/>
    </row>
    <row r="105" spans="1:8" s="1090" customFormat="1" x14ac:dyDescent="0.2">
      <c r="A105" s="1465"/>
      <c r="B105" s="1091"/>
      <c r="E105" s="1091"/>
      <c r="F105" s="1091"/>
    </row>
    <row r="106" spans="1:8" s="1090" customFormat="1" x14ac:dyDescent="0.2">
      <c r="A106" s="1465"/>
      <c r="B106" s="1091"/>
      <c r="E106" s="1091"/>
      <c r="F106" s="1091"/>
    </row>
    <row r="107" spans="1:8" s="1090" customFormat="1" x14ac:dyDescent="0.2">
      <c r="A107" s="1465"/>
      <c r="B107" s="1091"/>
      <c r="E107" s="1091"/>
      <c r="F107" s="1091"/>
    </row>
    <row r="108" spans="1:8" s="1090" customFormat="1" x14ac:dyDescent="0.2">
      <c r="A108" s="1465"/>
      <c r="B108" s="1091"/>
      <c r="E108" s="1091"/>
      <c r="F108" s="1091"/>
    </row>
    <row r="109" spans="1:8" s="1090" customFormat="1" x14ac:dyDescent="0.2">
      <c r="A109" s="1465"/>
      <c r="B109" s="1091"/>
      <c r="E109" s="1091"/>
      <c r="F109" s="1091"/>
    </row>
    <row r="110" spans="1:8" s="1090" customFormat="1" x14ac:dyDescent="0.2">
      <c r="A110" s="1465"/>
      <c r="B110" s="1091"/>
      <c r="E110" s="1091"/>
      <c r="F110" s="1091"/>
    </row>
    <row r="111" spans="1:8" s="1090" customFormat="1" x14ac:dyDescent="0.2">
      <c r="A111" s="1465"/>
      <c r="B111" s="1091"/>
      <c r="E111" s="1091"/>
      <c r="F111" s="1091"/>
    </row>
    <row r="112" spans="1:8" s="1090" customFormat="1" x14ac:dyDescent="0.2">
      <c r="A112" s="1465"/>
      <c r="B112" s="1091"/>
      <c r="E112" s="1091"/>
      <c r="F112" s="1091"/>
    </row>
    <row r="113" spans="1:6" s="1090" customFormat="1" x14ac:dyDescent="0.2">
      <c r="A113" s="1465"/>
      <c r="B113" s="1091"/>
      <c r="E113" s="1091"/>
      <c r="F113" s="1091"/>
    </row>
    <row r="114" spans="1:6" s="1090" customFormat="1" x14ac:dyDescent="0.2">
      <c r="A114" s="1465"/>
      <c r="B114" s="1091"/>
      <c r="E114" s="1091"/>
      <c r="F114" s="1091"/>
    </row>
    <row r="115" spans="1:6" s="1090" customFormat="1" x14ac:dyDescent="0.2">
      <c r="A115" s="1465"/>
      <c r="B115" s="1091"/>
      <c r="E115" s="1091"/>
      <c r="F115" s="1091"/>
    </row>
    <row r="116" spans="1:6" s="1090" customFormat="1" x14ac:dyDescent="0.2">
      <c r="A116" s="1465"/>
      <c r="B116" s="1091"/>
      <c r="E116" s="1091"/>
      <c r="F116" s="1091"/>
    </row>
    <row r="117" spans="1:6" s="1090" customFormat="1" x14ac:dyDescent="0.2">
      <c r="A117" s="1465"/>
      <c r="B117" s="1091"/>
      <c r="E117" s="1091"/>
      <c r="F117" s="1091"/>
    </row>
    <row r="118" spans="1:6" s="1090" customFormat="1" x14ac:dyDescent="0.2">
      <c r="A118" s="1465"/>
      <c r="B118" s="1091"/>
      <c r="E118" s="1091"/>
      <c r="F118" s="1091"/>
    </row>
    <row r="119" spans="1:6" s="1090" customFormat="1" x14ac:dyDescent="0.2">
      <c r="A119" s="1465"/>
      <c r="B119" s="1091"/>
      <c r="E119" s="1091"/>
      <c r="F119" s="1091"/>
    </row>
    <row r="120" spans="1:6" s="1090" customFormat="1" x14ac:dyDescent="0.2">
      <c r="A120" s="1465"/>
      <c r="B120" s="1091"/>
      <c r="E120" s="1091"/>
      <c r="F120" s="1091"/>
    </row>
    <row r="121" spans="1:6" s="1090" customFormat="1" x14ac:dyDescent="0.2">
      <c r="A121" s="1465"/>
      <c r="B121" s="1091"/>
      <c r="E121" s="1091"/>
      <c r="F121" s="1091"/>
    </row>
    <row r="122" spans="1:6" s="1090" customFormat="1" x14ac:dyDescent="0.2">
      <c r="A122" s="1465"/>
      <c r="B122" s="1091"/>
      <c r="E122" s="1091"/>
      <c r="F122" s="1091"/>
    </row>
    <row r="123" spans="1:6" s="1090" customFormat="1" x14ac:dyDescent="0.2">
      <c r="A123" s="1465"/>
      <c r="B123" s="1091"/>
      <c r="E123" s="1091"/>
      <c r="F123" s="1091"/>
    </row>
    <row r="124" spans="1:6" s="1090" customFormat="1" x14ac:dyDescent="0.2">
      <c r="A124" s="1465"/>
      <c r="B124" s="1091"/>
      <c r="E124" s="1091"/>
      <c r="F124" s="1091"/>
    </row>
    <row r="125" spans="1:6" s="1090" customFormat="1" x14ac:dyDescent="0.2">
      <c r="A125" s="1465"/>
      <c r="B125" s="1091"/>
      <c r="E125" s="1091"/>
      <c r="F125" s="1091"/>
    </row>
    <row r="126" spans="1:6" s="1090" customFormat="1" x14ac:dyDescent="0.2">
      <c r="A126" s="1465"/>
      <c r="B126" s="1091"/>
      <c r="E126" s="1091"/>
      <c r="F126" s="1091"/>
    </row>
    <row r="127" spans="1:6" s="1090" customFormat="1" x14ac:dyDescent="0.2">
      <c r="A127" s="1465"/>
      <c r="B127" s="1091"/>
      <c r="E127" s="1091"/>
      <c r="F127" s="1091"/>
    </row>
    <row r="128" spans="1:6" s="1090" customFormat="1" x14ac:dyDescent="0.2">
      <c r="A128" s="1465"/>
      <c r="B128" s="1091"/>
      <c r="E128" s="1091"/>
      <c r="F128" s="1091"/>
    </row>
    <row r="129" spans="1:6" s="1090" customFormat="1" x14ac:dyDescent="0.2">
      <c r="A129" s="1465"/>
      <c r="B129" s="1091"/>
      <c r="E129" s="1091"/>
      <c r="F129" s="1091"/>
    </row>
    <row r="130" spans="1:6" s="1090" customFormat="1" x14ac:dyDescent="0.2">
      <c r="A130" s="1465"/>
      <c r="B130" s="1091"/>
      <c r="E130" s="1091"/>
      <c r="F130" s="1091"/>
    </row>
    <row r="131" spans="1:6" s="1090" customFormat="1" x14ac:dyDescent="0.2">
      <c r="A131" s="1465"/>
      <c r="B131" s="1091"/>
      <c r="E131" s="1091"/>
      <c r="F131" s="1091"/>
    </row>
    <row r="132" spans="1:6" s="1090" customFormat="1" x14ac:dyDescent="0.2">
      <c r="A132" s="1465"/>
      <c r="B132" s="1091"/>
      <c r="E132" s="1091"/>
      <c r="F132" s="1091"/>
    </row>
    <row r="133" spans="1:6" s="1090" customFormat="1" x14ac:dyDescent="0.2">
      <c r="A133" s="1465"/>
      <c r="B133" s="1091"/>
      <c r="E133" s="1091"/>
      <c r="F133" s="1091"/>
    </row>
    <row r="134" spans="1:6" s="1090" customFormat="1" x14ac:dyDescent="0.2">
      <c r="A134" s="1465"/>
      <c r="B134" s="1091"/>
      <c r="E134" s="1091"/>
      <c r="F134" s="1091"/>
    </row>
    <row r="135" spans="1:6" s="1090" customFormat="1" x14ac:dyDescent="0.2">
      <c r="A135" s="1465"/>
      <c r="B135" s="1091"/>
      <c r="E135" s="1091"/>
      <c r="F135" s="1091"/>
    </row>
    <row r="136" spans="1:6" s="1090" customFormat="1" x14ac:dyDescent="0.2">
      <c r="A136" s="1465"/>
      <c r="B136" s="1091"/>
      <c r="E136" s="1091"/>
      <c r="F136" s="1091"/>
    </row>
    <row r="137" spans="1:6" s="1090" customFormat="1" x14ac:dyDescent="0.2">
      <c r="A137" s="1465"/>
      <c r="B137" s="1091"/>
      <c r="E137" s="1091"/>
      <c r="F137" s="1091"/>
    </row>
    <row r="138" spans="1:6" s="1090" customFormat="1" x14ac:dyDescent="0.2">
      <c r="A138" s="1465"/>
      <c r="B138" s="1091"/>
      <c r="E138" s="1091"/>
      <c r="F138" s="1091"/>
    </row>
    <row r="139" spans="1:6" s="1090" customFormat="1" x14ac:dyDescent="0.2">
      <c r="A139" s="1465"/>
      <c r="B139" s="1091"/>
      <c r="E139" s="1091"/>
      <c r="F139" s="1091"/>
    </row>
    <row r="140" spans="1:6" s="1090" customFormat="1" x14ac:dyDescent="0.2">
      <c r="A140" s="1465"/>
      <c r="B140" s="1091"/>
      <c r="E140" s="1091"/>
      <c r="F140" s="1091"/>
    </row>
    <row r="141" spans="1:6" s="1090" customFormat="1" x14ac:dyDescent="0.2">
      <c r="A141" s="1465"/>
      <c r="B141" s="1091"/>
      <c r="E141" s="1091"/>
      <c r="F141" s="1091"/>
    </row>
    <row r="142" spans="1:6" s="1090" customFormat="1" x14ac:dyDescent="0.2">
      <c r="A142" s="1465"/>
      <c r="B142" s="1091"/>
      <c r="E142" s="1091"/>
      <c r="F142" s="1091"/>
    </row>
    <row r="143" spans="1:6" s="1090" customFormat="1" x14ac:dyDescent="0.2">
      <c r="A143" s="1465"/>
      <c r="B143" s="1091"/>
      <c r="E143" s="1091"/>
      <c r="F143" s="1091"/>
    </row>
    <row r="144" spans="1:6" s="1090" customFormat="1" x14ac:dyDescent="0.2">
      <c r="A144" s="1465"/>
      <c r="B144" s="1091"/>
      <c r="E144" s="1091"/>
      <c r="F144" s="1091"/>
    </row>
    <row r="145" spans="1:6" s="1090" customFormat="1" x14ac:dyDescent="0.2">
      <c r="A145" s="1465"/>
      <c r="B145" s="1091"/>
      <c r="E145" s="1091"/>
      <c r="F145" s="1091"/>
    </row>
    <row r="146" spans="1:6" s="1090" customFormat="1" x14ac:dyDescent="0.2">
      <c r="A146" s="1465"/>
      <c r="B146" s="1091"/>
      <c r="E146" s="1091"/>
      <c r="F146" s="1091"/>
    </row>
    <row r="147" spans="1:6" s="1090" customFormat="1" x14ac:dyDescent="0.2">
      <c r="A147" s="1465"/>
      <c r="B147" s="1091"/>
      <c r="E147" s="1091"/>
      <c r="F147" s="1091"/>
    </row>
    <row r="148" spans="1:6" s="1090" customFormat="1" x14ac:dyDescent="0.2">
      <c r="A148" s="1465"/>
      <c r="B148" s="1091"/>
      <c r="E148" s="1091"/>
      <c r="F148" s="1091"/>
    </row>
    <row r="149" spans="1:6" s="1090" customFormat="1" x14ac:dyDescent="0.2">
      <c r="A149" s="1465"/>
      <c r="B149" s="1091"/>
      <c r="E149" s="1091"/>
      <c r="F149" s="1091"/>
    </row>
    <row r="150" spans="1:6" s="1090" customFormat="1" x14ac:dyDescent="0.2">
      <c r="A150" s="1465"/>
      <c r="B150" s="1091"/>
      <c r="E150" s="1091"/>
      <c r="F150" s="1091"/>
    </row>
    <row r="151" spans="1:6" s="1090" customFormat="1" x14ac:dyDescent="0.2">
      <c r="A151" s="1465"/>
      <c r="B151" s="1091"/>
      <c r="E151" s="1091"/>
      <c r="F151" s="1091"/>
    </row>
    <row r="152" spans="1:6" s="1090" customFormat="1" x14ac:dyDescent="0.2">
      <c r="A152" s="1465"/>
      <c r="B152" s="1091"/>
      <c r="E152" s="1091"/>
      <c r="F152" s="1091"/>
    </row>
    <row r="153" spans="1:6" s="1090" customFormat="1" x14ac:dyDescent="0.2">
      <c r="A153" s="1465"/>
      <c r="B153" s="1091"/>
      <c r="E153" s="1091"/>
      <c r="F153" s="1091"/>
    </row>
    <row r="154" spans="1:6" s="1090" customFormat="1" x14ac:dyDescent="0.2">
      <c r="A154" s="1465"/>
      <c r="B154" s="1091"/>
      <c r="E154" s="1091"/>
      <c r="F154" s="1091"/>
    </row>
    <row r="155" spans="1:6" s="1090" customFormat="1" x14ac:dyDescent="0.2">
      <c r="A155" s="1465"/>
      <c r="B155" s="1091"/>
      <c r="E155" s="1091"/>
      <c r="F155" s="1091"/>
    </row>
    <row r="156" spans="1:6" s="1090" customFormat="1" x14ac:dyDescent="0.2">
      <c r="A156" s="1465"/>
      <c r="B156" s="1091"/>
      <c r="E156" s="1091"/>
      <c r="F156" s="1091"/>
    </row>
    <row r="157" spans="1:6" s="1090" customFormat="1" x14ac:dyDescent="0.2">
      <c r="A157" s="1465"/>
      <c r="B157" s="1091"/>
      <c r="E157" s="1091"/>
      <c r="F157" s="1091"/>
    </row>
    <row r="158" spans="1:6" s="1090" customFormat="1" x14ac:dyDescent="0.2">
      <c r="A158" s="1465"/>
      <c r="B158" s="1091"/>
      <c r="E158" s="1091"/>
      <c r="F158" s="1091"/>
    </row>
    <row r="159" spans="1:6" s="1090" customFormat="1" x14ac:dyDescent="0.2">
      <c r="A159" s="1465"/>
      <c r="B159" s="1091"/>
      <c r="E159" s="1091"/>
      <c r="F159" s="1091"/>
    </row>
    <row r="160" spans="1:6" s="1090" customFormat="1" x14ac:dyDescent="0.2">
      <c r="A160" s="1465"/>
      <c r="B160" s="1091"/>
      <c r="E160" s="1091"/>
      <c r="F160" s="1091"/>
    </row>
    <row r="161" spans="1:6" s="1090" customFormat="1" x14ac:dyDescent="0.2">
      <c r="A161" s="1465"/>
      <c r="B161" s="1091"/>
      <c r="E161" s="1091"/>
      <c r="F161" s="1091"/>
    </row>
    <row r="162" spans="1:6" s="1090" customFormat="1" x14ac:dyDescent="0.2">
      <c r="A162" s="1465"/>
      <c r="B162" s="1091"/>
      <c r="E162" s="1091"/>
      <c r="F162" s="1091"/>
    </row>
    <row r="163" spans="1:6" s="1090" customFormat="1" x14ac:dyDescent="0.2">
      <c r="A163" s="1465"/>
      <c r="B163" s="1091"/>
      <c r="E163" s="1091"/>
      <c r="F163" s="1091"/>
    </row>
    <row r="164" spans="1:6" s="1090" customFormat="1" x14ac:dyDescent="0.2">
      <c r="A164" s="1465"/>
      <c r="B164" s="1091"/>
      <c r="E164" s="1091"/>
      <c r="F164" s="1091"/>
    </row>
    <row r="165" spans="1:6" s="1090" customFormat="1" x14ac:dyDescent="0.2">
      <c r="A165" s="1465"/>
      <c r="B165" s="1091"/>
      <c r="E165" s="1091"/>
      <c r="F165" s="1091"/>
    </row>
    <row r="166" spans="1:6" s="1090" customFormat="1" x14ac:dyDescent="0.2">
      <c r="A166" s="1465"/>
      <c r="B166" s="1091"/>
      <c r="E166" s="1091"/>
      <c r="F166" s="1091"/>
    </row>
    <row r="167" spans="1:6" s="1090" customFormat="1" x14ac:dyDescent="0.2">
      <c r="A167" s="1465"/>
      <c r="B167" s="1091"/>
      <c r="E167" s="1091"/>
      <c r="F167" s="1091"/>
    </row>
    <row r="168" spans="1:6" s="1090" customFormat="1" x14ac:dyDescent="0.2">
      <c r="A168" s="1465"/>
      <c r="B168" s="1091"/>
      <c r="E168" s="1091"/>
      <c r="F168" s="1091"/>
    </row>
    <row r="169" spans="1:6" s="1090" customFormat="1" x14ac:dyDescent="0.2">
      <c r="A169" s="1465"/>
      <c r="B169" s="1091"/>
      <c r="E169" s="1091"/>
      <c r="F169" s="1091"/>
    </row>
    <row r="170" spans="1:6" s="1090" customFormat="1" x14ac:dyDescent="0.2">
      <c r="A170" s="1465"/>
      <c r="B170" s="1091"/>
      <c r="E170" s="1091"/>
      <c r="F170" s="1091"/>
    </row>
    <row r="171" spans="1:6" s="1090" customFormat="1" x14ac:dyDescent="0.2">
      <c r="A171" s="1465"/>
      <c r="B171" s="1091"/>
      <c r="E171" s="1091"/>
      <c r="F171" s="1091"/>
    </row>
    <row r="172" spans="1:6" s="1090" customFormat="1" x14ac:dyDescent="0.2">
      <c r="A172" s="1465"/>
      <c r="B172" s="1091"/>
      <c r="E172" s="1091"/>
      <c r="F172" s="1091"/>
    </row>
    <row r="173" spans="1:6" s="1090" customFormat="1" x14ac:dyDescent="0.2">
      <c r="A173" s="1465"/>
      <c r="B173" s="1091"/>
      <c r="E173" s="1091"/>
      <c r="F173" s="1091"/>
    </row>
    <row r="174" spans="1:6" s="1090" customFormat="1" x14ac:dyDescent="0.2">
      <c r="A174" s="1465"/>
      <c r="B174" s="1091"/>
      <c r="E174" s="1091"/>
      <c r="F174" s="1091"/>
    </row>
    <row r="175" spans="1:6" s="1090" customFormat="1" x14ac:dyDescent="0.2">
      <c r="A175" s="1465"/>
      <c r="B175" s="1091"/>
      <c r="E175" s="1091"/>
      <c r="F175" s="1091"/>
    </row>
    <row r="176" spans="1:6" s="1090" customFormat="1" x14ac:dyDescent="0.2">
      <c r="A176" s="1465"/>
      <c r="B176" s="1091"/>
      <c r="E176" s="1091"/>
      <c r="F176" s="1091"/>
    </row>
    <row r="177" spans="1:6" s="1090" customFormat="1" x14ac:dyDescent="0.2">
      <c r="A177" s="1465"/>
      <c r="B177" s="1091"/>
      <c r="E177" s="1091"/>
      <c r="F177" s="1091"/>
    </row>
    <row r="178" spans="1:6" s="1090" customFormat="1" x14ac:dyDescent="0.2">
      <c r="A178" s="1465"/>
      <c r="B178" s="1091"/>
      <c r="E178" s="1091"/>
      <c r="F178" s="1091"/>
    </row>
    <row r="179" spans="1:6" s="1090" customFormat="1" x14ac:dyDescent="0.2">
      <c r="A179" s="1465"/>
      <c r="B179" s="1091"/>
      <c r="E179" s="1091"/>
      <c r="F179" s="1091"/>
    </row>
    <row r="180" spans="1:6" s="1090" customFormat="1" x14ac:dyDescent="0.2">
      <c r="A180" s="1465"/>
      <c r="B180" s="1091"/>
      <c r="E180" s="1091"/>
      <c r="F180" s="1091"/>
    </row>
    <row r="181" spans="1:6" s="1090" customFormat="1" x14ac:dyDescent="0.2">
      <c r="A181" s="1465"/>
      <c r="B181" s="1091"/>
      <c r="E181" s="1091"/>
      <c r="F181" s="1091"/>
    </row>
    <row r="182" spans="1:6" x14ac:dyDescent="0.2">
      <c r="B182" s="598"/>
      <c r="E182" s="598"/>
      <c r="F182" s="598"/>
    </row>
    <row r="183" spans="1:6" x14ac:dyDescent="0.2">
      <c r="B183" s="598"/>
      <c r="E183" s="598"/>
      <c r="F183" s="598"/>
    </row>
    <row r="184" spans="1:6" x14ac:dyDescent="0.2">
      <c r="B184" s="598"/>
      <c r="E184" s="598"/>
      <c r="F184" s="598"/>
    </row>
    <row r="185" spans="1:6" x14ac:dyDescent="0.2">
      <c r="B185" s="598"/>
      <c r="E185" s="598"/>
      <c r="F185" s="598"/>
    </row>
    <row r="186" spans="1:6" x14ac:dyDescent="0.2">
      <c r="B186" s="598"/>
      <c r="E186" s="598"/>
      <c r="F186" s="598"/>
    </row>
    <row r="187" spans="1:6" x14ac:dyDescent="0.2">
      <c r="B187" s="598"/>
      <c r="E187" s="598"/>
      <c r="F187" s="598"/>
    </row>
    <row r="188" spans="1:6" x14ac:dyDescent="0.2">
      <c r="B188" s="598"/>
      <c r="E188" s="598"/>
      <c r="F188" s="598"/>
    </row>
    <row r="189" spans="1:6" x14ac:dyDescent="0.2">
      <c r="B189" s="598"/>
      <c r="E189" s="598"/>
      <c r="F189" s="598"/>
    </row>
    <row r="190" spans="1:6" x14ac:dyDescent="0.2">
      <c r="B190" s="598"/>
      <c r="E190" s="598"/>
      <c r="F190" s="598"/>
    </row>
    <row r="191" spans="1:6" x14ac:dyDescent="0.2">
      <c r="B191" s="598"/>
      <c r="E191" s="598"/>
      <c r="F191" s="598"/>
    </row>
    <row r="192" spans="1:6" x14ac:dyDescent="0.2">
      <c r="B192" s="598"/>
      <c r="E192" s="598"/>
      <c r="F192" s="598"/>
    </row>
    <row r="193" spans="2:6" x14ac:dyDescent="0.2">
      <c r="B193" s="598"/>
      <c r="E193" s="598"/>
      <c r="F193" s="598"/>
    </row>
    <row r="194" spans="2:6" x14ac:dyDescent="0.2">
      <c r="B194" s="598"/>
      <c r="E194" s="598"/>
      <c r="F194" s="598"/>
    </row>
    <row r="195" spans="2:6" x14ac:dyDescent="0.2">
      <c r="B195" s="598"/>
      <c r="E195" s="598"/>
      <c r="F195" s="598"/>
    </row>
    <row r="196" spans="2:6" x14ac:dyDescent="0.2">
      <c r="B196" s="598"/>
      <c r="E196" s="598"/>
      <c r="F196" s="598"/>
    </row>
    <row r="197" spans="2:6" x14ac:dyDescent="0.2">
      <c r="B197" s="598"/>
      <c r="E197" s="598"/>
      <c r="F197" s="598"/>
    </row>
    <row r="198" spans="2:6" x14ac:dyDescent="0.2">
      <c r="B198" s="598"/>
      <c r="E198" s="598"/>
      <c r="F198" s="598"/>
    </row>
    <row r="199" spans="2:6" x14ac:dyDescent="0.2">
      <c r="B199" s="598"/>
      <c r="E199" s="598"/>
      <c r="F199" s="598"/>
    </row>
    <row r="200" spans="2:6" x14ac:dyDescent="0.2">
      <c r="B200" s="598"/>
      <c r="E200" s="598"/>
      <c r="F200" s="598"/>
    </row>
    <row r="201" spans="2:6" x14ac:dyDescent="0.2">
      <c r="B201" s="598"/>
      <c r="E201" s="598"/>
      <c r="F201" s="598"/>
    </row>
    <row r="202" spans="2:6" x14ac:dyDescent="0.2">
      <c r="B202" s="598"/>
      <c r="E202" s="598"/>
      <c r="F202" s="598"/>
    </row>
    <row r="203" spans="2:6" x14ac:dyDescent="0.2">
      <c r="B203" s="598"/>
      <c r="E203" s="598"/>
      <c r="F203" s="598"/>
    </row>
    <row r="204" spans="2:6" x14ac:dyDescent="0.2">
      <c r="B204" s="598"/>
      <c r="E204" s="598"/>
      <c r="F204" s="598"/>
    </row>
    <row r="205" spans="2:6" x14ac:dyDescent="0.2">
      <c r="B205" s="598"/>
      <c r="E205" s="598"/>
      <c r="F205" s="598"/>
    </row>
    <row r="206" spans="2:6" x14ac:dyDescent="0.2">
      <c r="B206" s="598"/>
      <c r="E206" s="598"/>
      <c r="F206" s="598"/>
    </row>
    <row r="207" spans="2:6" x14ac:dyDescent="0.2">
      <c r="B207" s="598"/>
      <c r="E207" s="598"/>
      <c r="F207" s="598"/>
    </row>
    <row r="208" spans="2:6" x14ac:dyDescent="0.2">
      <c r="B208" s="598"/>
      <c r="E208" s="598"/>
      <c r="F208" s="598"/>
    </row>
    <row r="209" spans="2:6" x14ac:dyDescent="0.2">
      <c r="B209" s="598"/>
      <c r="E209" s="598"/>
      <c r="F209" s="598"/>
    </row>
    <row r="210" spans="2:6" x14ac:dyDescent="0.2">
      <c r="B210" s="598"/>
      <c r="E210" s="598"/>
      <c r="F210" s="598"/>
    </row>
    <row r="211" spans="2:6" x14ac:dyDescent="0.2">
      <c r="B211" s="598"/>
      <c r="E211" s="598"/>
      <c r="F211" s="598"/>
    </row>
    <row r="212" spans="2:6" x14ac:dyDescent="0.2">
      <c r="B212" s="598"/>
      <c r="E212" s="598"/>
      <c r="F212" s="598"/>
    </row>
    <row r="213" spans="2:6" x14ac:dyDescent="0.2">
      <c r="B213" s="598"/>
      <c r="E213" s="598"/>
      <c r="F213" s="598"/>
    </row>
    <row r="214" spans="2:6" x14ac:dyDescent="0.2">
      <c r="B214" s="598"/>
      <c r="E214" s="598"/>
      <c r="F214" s="598"/>
    </row>
    <row r="215" spans="2:6" x14ac:dyDescent="0.2">
      <c r="B215" s="598"/>
      <c r="E215" s="598"/>
      <c r="F215" s="598"/>
    </row>
    <row r="216" spans="2:6" x14ac:dyDescent="0.2">
      <c r="B216" s="598"/>
      <c r="E216" s="598"/>
      <c r="F216" s="598"/>
    </row>
    <row r="217" spans="2:6" x14ac:dyDescent="0.2">
      <c r="B217" s="598"/>
      <c r="E217" s="598"/>
      <c r="F217" s="598"/>
    </row>
    <row r="218" spans="2:6" x14ac:dyDescent="0.2">
      <c r="B218" s="598"/>
      <c r="E218" s="598"/>
      <c r="F218" s="598"/>
    </row>
    <row r="219" spans="2:6" x14ac:dyDescent="0.2">
      <c r="B219" s="598"/>
      <c r="E219" s="598"/>
      <c r="F219" s="598"/>
    </row>
    <row r="220" spans="2:6" x14ac:dyDescent="0.2">
      <c r="B220" s="598"/>
      <c r="E220" s="598"/>
      <c r="F220" s="598"/>
    </row>
    <row r="221" spans="2:6" x14ac:dyDescent="0.2">
      <c r="B221" s="598"/>
      <c r="E221" s="598"/>
      <c r="F221" s="598"/>
    </row>
    <row r="222" spans="2:6" x14ac:dyDescent="0.2">
      <c r="B222" s="598"/>
      <c r="E222" s="598"/>
      <c r="F222" s="598"/>
    </row>
    <row r="223" spans="2:6" x14ac:dyDescent="0.2">
      <c r="B223" s="598"/>
      <c r="E223" s="598"/>
      <c r="F223" s="598"/>
    </row>
    <row r="224" spans="2:6" x14ac:dyDescent="0.2">
      <c r="B224" s="598"/>
      <c r="E224" s="598"/>
      <c r="F224" s="598"/>
    </row>
    <row r="225" spans="2:6" x14ac:dyDescent="0.2">
      <c r="B225" s="598"/>
      <c r="E225" s="598"/>
      <c r="F225" s="598"/>
    </row>
    <row r="226" spans="2:6" x14ac:dyDescent="0.2">
      <c r="B226" s="598"/>
      <c r="E226" s="598"/>
      <c r="F226" s="598"/>
    </row>
    <row r="227" spans="2:6" x14ac:dyDescent="0.2">
      <c r="B227" s="598"/>
      <c r="E227" s="598"/>
      <c r="F227" s="598"/>
    </row>
    <row r="228" spans="2:6" x14ac:dyDescent="0.2">
      <c r="B228" s="598"/>
      <c r="E228" s="598"/>
      <c r="F228" s="598"/>
    </row>
    <row r="229" spans="2:6" x14ac:dyDescent="0.2">
      <c r="B229" s="598"/>
      <c r="E229" s="598"/>
      <c r="F229" s="598"/>
    </row>
    <row r="230" spans="2:6" x14ac:dyDescent="0.2">
      <c r="B230" s="598"/>
      <c r="E230" s="598"/>
      <c r="F230" s="598"/>
    </row>
    <row r="231" spans="2:6" x14ac:dyDescent="0.2">
      <c r="B231" s="598"/>
      <c r="E231" s="598"/>
      <c r="F231" s="598"/>
    </row>
    <row r="232" spans="2:6" x14ac:dyDescent="0.2">
      <c r="B232" s="598"/>
      <c r="E232" s="598"/>
      <c r="F232" s="598"/>
    </row>
    <row r="233" spans="2:6" x14ac:dyDescent="0.2">
      <c r="B233" s="598"/>
      <c r="E233" s="598"/>
      <c r="F233" s="598"/>
    </row>
    <row r="234" spans="2:6" x14ac:dyDescent="0.2">
      <c r="B234" s="598"/>
      <c r="E234" s="598"/>
      <c r="F234" s="598"/>
    </row>
    <row r="235" spans="2:6" x14ac:dyDescent="0.2">
      <c r="B235" s="598"/>
      <c r="E235" s="598"/>
      <c r="F235" s="598"/>
    </row>
    <row r="236" spans="2:6" x14ac:dyDescent="0.2">
      <c r="B236" s="598"/>
      <c r="E236" s="598"/>
      <c r="F236" s="598"/>
    </row>
    <row r="237" spans="2:6" x14ac:dyDescent="0.2">
      <c r="B237" s="598"/>
      <c r="E237" s="598"/>
      <c r="F237" s="598"/>
    </row>
    <row r="238" spans="2:6" x14ac:dyDescent="0.2">
      <c r="B238" s="598"/>
      <c r="E238" s="598"/>
      <c r="F238" s="598"/>
    </row>
    <row r="239" spans="2:6" x14ac:dyDescent="0.2">
      <c r="B239" s="598"/>
      <c r="E239" s="598"/>
      <c r="F239" s="598"/>
    </row>
    <row r="240" spans="2:6" x14ac:dyDescent="0.2">
      <c r="B240" s="598"/>
      <c r="E240" s="598"/>
      <c r="F240" s="598"/>
    </row>
    <row r="241" spans="2:6" x14ac:dyDescent="0.2">
      <c r="B241" s="598"/>
      <c r="E241" s="598"/>
      <c r="F241" s="598"/>
    </row>
    <row r="242" spans="2:6" x14ac:dyDescent="0.2">
      <c r="B242" s="598"/>
      <c r="E242" s="598"/>
      <c r="F242" s="598"/>
    </row>
    <row r="243" spans="2:6" x14ac:dyDescent="0.2">
      <c r="B243" s="598"/>
      <c r="E243" s="598"/>
      <c r="F243" s="598"/>
    </row>
    <row r="244" spans="2:6" x14ac:dyDescent="0.2">
      <c r="B244" s="598"/>
      <c r="E244" s="598"/>
      <c r="F244" s="598"/>
    </row>
    <row r="245" spans="2:6" x14ac:dyDescent="0.2">
      <c r="B245" s="598"/>
      <c r="E245" s="598"/>
      <c r="F245" s="598"/>
    </row>
    <row r="246" spans="2:6" x14ac:dyDescent="0.2">
      <c r="B246" s="598"/>
      <c r="E246" s="598"/>
      <c r="F246" s="598"/>
    </row>
    <row r="247" spans="2:6" x14ac:dyDescent="0.2">
      <c r="B247" s="598"/>
      <c r="E247" s="598"/>
      <c r="F247" s="598"/>
    </row>
    <row r="248" spans="2:6" x14ac:dyDescent="0.2">
      <c r="B248" s="598"/>
      <c r="E248" s="598"/>
      <c r="F248" s="598"/>
    </row>
    <row r="249" spans="2:6" x14ac:dyDescent="0.2">
      <c r="B249" s="598"/>
      <c r="E249" s="598"/>
      <c r="F249" s="598"/>
    </row>
    <row r="250" spans="2:6" x14ac:dyDescent="0.2">
      <c r="B250" s="598"/>
      <c r="E250" s="598"/>
      <c r="F250" s="598"/>
    </row>
    <row r="251" spans="2:6" x14ac:dyDescent="0.2">
      <c r="B251" s="598"/>
      <c r="E251" s="598"/>
      <c r="F251" s="598"/>
    </row>
    <row r="252" spans="2:6" x14ac:dyDescent="0.2">
      <c r="B252" s="598"/>
      <c r="E252" s="598"/>
      <c r="F252" s="598"/>
    </row>
    <row r="253" spans="2:6" x14ac:dyDescent="0.2">
      <c r="B253" s="598"/>
      <c r="E253" s="598"/>
      <c r="F253" s="598"/>
    </row>
    <row r="254" spans="2:6" x14ac:dyDescent="0.2">
      <c r="B254" s="598"/>
      <c r="E254" s="598"/>
      <c r="F254" s="598"/>
    </row>
    <row r="255" spans="2:6" x14ac:dyDescent="0.2">
      <c r="B255" s="598"/>
      <c r="E255" s="598"/>
      <c r="F255" s="598"/>
    </row>
    <row r="256" spans="2:6" x14ac:dyDescent="0.2">
      <c r="B256" s="598"/>
      <c r="E256" s="598"/>
      <c r="F256" s="598"/>
    </row>
    <row r="257" spans="2:6" x14ac:dyDescent="0.2">
      <c r="B257" s="598"/>
      <c r="E257" s="598"/>
      <c r="F257" s="598"/>
    </row>
    <row r="258" spans="2:6" x14ac:dyDescent="0.2">
      <c r="B258" s="598"/>
      <c r="E258" s="598"/>
      <c r="F258" s="598"/>
    </row>
    <row r="259" spans="2:6" x14ac:dyDescent="0.2">
      <c r="B259" s="598"/>
      <c r="E259" s="598"/>
      <c r="F259" s="598"/>
    </row>
    <row r="260" spans="2:6" x14ac:dyDescent="0.2">
      <c r="B260" s="598"/>
      <c r="E260" s="598"/>
      <c r="F260" s="598"/>
    </row>
    <row r="261" spans="2:6" x14ac:dyDescent="0.2">
      <c r="B261" s="598"/>
      <c r="E261" s="598"/>
      <c r="F261" s="598"/>
    </row>
    <row r="262" spans="2:6" x14ac:dyDescent="0.2">
      <c r="B262" s="598"/>
      <c r="E262" s="598"/>
      <c r="F262" s="598"/>
    </row>
    <row r="263" spans="2:6" x14ac:dyDescent="0.2">
      <c r="B263" s="598"/>
      <c r="E263" s="598"/>
      <c r="F263" s="598"/>
    </row>
    <row r="264" spans="2:6" x14ac:dyDescent="0.2">
      <c r="B264" s="598"/>
      <c r="E264" s="598"/>
      <c r="F264" s="598"/>
    </row>
    <row r="265" spans="2:6" x14ac:dyDescent="0.2">
      <c r="B265" s="598"/>
      <c r="E265" s="598"/>
      <c r="F265" s="598"/>
    </row>
    <row r="266" spans="2:6" x14ac:dyDescent="0.2">
      <c r="B266" s="598"/>
      <c r="E266" s="598"/>
      <c r="F266" s="598"/>
    </row>
    <row r="267" spans="2:6" x14ac:dyDescent="0.2">
      <c r="B267" s="598"/>
      <c r="E267" s="598"/>
      <c r="F267" s="598"/>
    </row>
    <row r="268" spans="2:6" x14ac:dyDescent="0.2">
      <c r="B268" s="598"/>
      <c r="E268" s="598"/>
      <c r="F268" s="598"/>
    </row>
    <row r="269" spans="2:6" x14ac:dyDescent="0.2">
      <c r="B269" s="598"/>
      <c r="E269" s="598"/>
      <c r="F269" s="598"/>
    </row>
    <row r="270" spans="2:6" x14ac:dyDescent="0.2">
      <c r="B270" s="598"/>
      <c r="E270" s="598"/>
      <c r="F270" s="598"/>
    </row>
    <row r="271" spans="2:6" x14ac:dyDescent="0.2">
      <c r="B271" s="598"/>
      <c r="E271" s="598"/>
      <c r="F271" s="598"/>
    </row>
    <row r="272" spans="2:6" x14ac:dyDescent="0.2">
      <c r="B272" s="598"/>
      <c r="E272" s="598"/>
      <c r="F272" s="598"/>
    </row>
    <row r="273" spans="2:6" x14ac:dyDescent="0.2">
      <c r="B273" s="598"/>
      <c r="E273" s="598"/>
      <c r="F273" s="598"/>
    </row>
    <row r="274" spans="2:6" x14ac:dyDescent="0.2">
      <c r="B274" s="598"/>
      <c r="E274" s="598"/>
      <c r="F274" s="598"/>
    </row>
    <row r="275" spans="2:6" x14ac:dyDescent="0.2">
      <c r="B275" s="598"/>
      <c r="E275" s="598"/>
      <c r="F275" s="598"/>
    </row>
    <row r="276" spans="2:6" x14ac:dyDescent="0.2">
      <c r="B276" s="598"/>
      <c r="E276" s="598"/>
      <c r="F276" s="598"/>
    </row>
    <row r="277" spans="2:6" x14ac:dyDescent="0.2">
      <c r="B277" s="598"/>
      <c r="E277" s="598"/>
      <c r="F277" s="598"/>
    </row>
    <row r="278" spans="2:6" x14ac:dyDescent="0.2">
      <c r="B278" s="598"/>
      <c r="E278" s="598"/>
      <c r="F278" s="598"/>
    </row>
    <row r="279" spans="2:6" x14ac:dyDescent="0.2">
      <c r="B279" s="598"/>
      <c r="E279" s="598"/>
      <c r="F279" s="598"/>
    </row>
    <row r="280" spans="2:6" x14ac:dyDescent="0.2">
      <c r="B280" s="598"/>
      <c r="E280" s="598"/>
      <c r="F280" s="598"/>
    </row>
    <row r="281" spans="2:6" x14ac:dyDescent="0.2">
      <c r="B281" s="598"/>
      <c r="E281" s="598"/>
      <c r="F281" s="598"/>
    </row>
    <row r="282" spans="2:6" x14ac:dyDescent="0.2">
      <c r="B282" s="598"/>
      <c r="E282" s="598"/>
      <c r="F282" s="598"/>
    </row>
    <row r="283" spans="2:6" x14ac:dyDescent="0.2">
      <c r="B283" s="598"/>
      <c r="E283" s="598"/>
      <c r="F283" s="598"/>
    </row>
    <row r="284" spans="2:6" x14ac:dyDescent="0.2">
      <c r="B284" s="598"/>
      <c r="E284" s="598"/>
      <c r="F284" s="598"/>
    </row>
    <row r="285" spans="2:6" x14ac:dyDescent="0.2">
      <c r="B285" s="598"/>
      <c r="E285" s="598"/>
      <c r="F285" s="598"/>
    </row>
    <row r="286" spans="2:6" x14ac:dyDescent="0.2">
      <c r="B286" s="598"/>
      <c r="E286" s="598"/>
      <c r="F286" s="598"/>
    </row>
    <row r="287" spans="2:6" x14ac:dyDescent="0.2">
      <c r="B287" s="598"/>
      <c r="E287" s="598"/>
      <c r="F287" s="598"/>
    </row>
    <row r="288" spans="2:6" x14ac:dyDescent="0.2">
      <c r="B288" s="598"/>
      <c r="E288" s="598"/>
      <c r="F288" s="598"/>
    </row>
    <row r="289" spans="2:6" x14ac:dyDescent="0.2">
      <c r="B289" s="598"/>
      <c r="E289" s="598"/>
      <c r="F289" s="598"/>
    </row>
    <row r="290" spans="2:6" x14ac:dyDescent="0.2">
      <c r="B290" s="598"/>
      <c r="E290" s="598"/>
      <c r="F290" s="598"/>
    </row>
    <row r="291" spans="2:6" x14ac:dyDescent="0.2">
      <c r="B291" s="598"/>
      <c r="E291" s="598"/>
      <c r="F291" s="598"/>
    </row>
    <row r="292" spans="2:6" x14ac:dyDescent="0.2">
      <c r="B292" s="598"/>
      <c r="E292" s="598"/>
      <c r="F292" s="598"/>
    </row>
    <row r="293" spans="2:6" x14ac:dyDescent="0.2">
      <c r="B293" s="598"/>
      <c r="E293" s="598"/>
      <c r="F293" s="598"/>
    </row>
    <row r="294" spans="2:6" x14ac:dyDescent="0.2">
      <c r="B294" s="598"/>
      <c r="E294" s="598"/>
      <c r="F294" s="598"/>
    </row>
    <row r="295" spans="2:6" x14ac:dyDescent="0.2">
      <c r="B295" s="598"/>
      <c r="E295" s="598"/>
      <c r="F295" s="598"/>
    </row>
    <row r="296" spans="2:6" x14ac:dyDescent="0.2">
      <c r="B296" s="598"/>
      <c r="E296" s="598"/>
      <c r="F296" s="598"/>
    </row>
    <row r="297" spans="2:6" x14ac:dyDescent="0.2">
      <c r="B297" s="598"/>
      <c r="E297" s="598"/>
      <c r="F297" s="598"/>
    </row>
    <row r="298" spans="2:6" x14ac:dyDescent="0.2">
      <c r="B298" s="598"/>
      <c r="E298" s="598"/>
      <c r="F298" s="598"/>
    </row>
    <row r="299" spans="2:6" x14ac:dyDescent="0.2">
      <c r="B299" s="598"/>
      <c r="E299" s="598"/>
      <c r="F299" s="598"/>
    </row>
    <row r="300" spans="2:6" x14ac:dyDescent="0.2">
      <c r="B300" s="598"/>
      <c r="E300" s="598"/>
      <c r="F300" s="598"/>
    </row>
    <row r="301" spans="2:6" x14ac:dyDescent="0.2">
      <c r="B301" s="598"/>
      <c r="E301" s="598"/>
      <c r="F301" s="598"/>
    </row>
    <row r="302" spans="2:6" x14ac:dyDescent="0.2">
      <c r="B302" s="598"/>
      <c r="E302" s="598"/>
      <c r="F302" s="598"/>
    </row>
    <row r="303" spans="2:6" x14ac:dyDescent="0.2">
      <c r="B303" s="598"/>
      <c r="E303" s="598"/>
      <c r="F303" s="598"/>
    </row>
    <row r="304" spans="2:6" x14ac:dyDescent="0.2">
      <c r="B304" s="598"/>
      <c r="E304" s="598"/>
      <c r="F304" s="598"/>
    </row>
    <row r="305" spans="2:6" x14ac:dyDescent="0.2">
      <c r="B305" s="598"/>
      <c r="E305" s="598"/>
      <c r="F305" s="598"/>
    </row>
    <row r="306" spans="2:6" x14ac:dyDescent="0.2">
      <c r="B306" s="598"/>
      <c r="E306" s="598"/>
      <c r="F306" s="598"/>
    </row>
    <row r="307" spans="2:6" x14ac:dyDescent="0.2">
      <c r="B307" s="598"/>
      <c r="E307" s="598"/>
      <c r="F307" s="598"/>
    </row>
    <row r="308" spans="2:6" x14ac:dyDescent="0.2">
      <c r="B308" s="598"/>
      <c r="E308" s="598"/>
      <c r="F308" s="598"/>
    </row>
    <row r="309" spans="2:6" x14ac:dyDescent="0.2">
      <c r="B309" s="598"/>
      <c r="E309" s="598"/>
      <c r="F309" s="598"/>
    </row>
    <row r="310" spans="2:6" x14ac:dyDescent="0.2">
      <c r="B310" s="598"/>
      <c r="E310" s="598"/>
      <c r="F310" s="598"/>
    </row>
    <row r="311" spans="2:6" x14ac:dyDescent="0.2">
      <c r="B311" s="598"/>
      <c r="E311" s="598"/>
      <c r="F311" s="598"/>
    </row>
    <row r="312" spans="2:6" x14ac:dyDescent="0.2">
      <c r="B312" s="598"/>
      <c r="E312" s="598"/>
      <c r="F312" s="598"/>
    </row>
    <row r="313" spans="2:6" x14ac:dyDescent="0.2">
      <c r="B313" s="598"/>
      <c r="E313" s="598"/>
      <c r="F313" s="598"/>
    </row>
    <row r="314" spans="2:6" x14ac:dyDescent="0.2">
      <c r="B314" s="598"/>
      <c r="E314" s="598"/>
      <c r="F314" s="598"/>
    </row>
    <row r="315" spans="2:6" x14ac:dyDescent="0.2">
      <c r="B315" s="598"/>
      <c r="E315" s="598"/>
      <c r="F315" s="598"/>
    </row>
    <row r="316" spans="2:6" x14ac:dyDescent="0.2">
      <c r="B316" s="598"/>
      <c r="E316" s="598"/>
      <c r="F316" s="598"/>
    </row>
    <row r="317" spans="2:6" x14ac:dyDescent="0.2">
      <c r="B317" s="598"/>
      <c r="E317" s="598"/>
      <c r="F317" s="598"/>
    </row>
    <row r="318" spans="2:6" x14ac:dyDescent="0.2">
      <c r="B318" s="598"/>
      <c r="E318" s="598"/>
      <c r="F318" s="598"/>
    </row>
    <row r="319" spans="2:6" x14ac:dyDescent="0.2">
      <c r="B319" s="598"/>
      <c r="E319" s="598"/>
      <c r="F319" s="598"/>
    </row>
    <row r="320" spans="2:6" x14ac:dyDescent="0.2">
      <c r="B320" s="598"/>
      <c r="E320" s="598"/>
      <c r="F320" s="598"/>
    </row>
    <row r="321" spans="2:6" x14ac:dyDescent="0.2">
      <c r="B321" s="598"/>
      <c r="E321" s="598"/>
      <c r="F321" s="598"/>
    </row>
    <row r="322" spans="2:6" x14ac:dyDescent="0.2">
      <c r="B322" s="598"/>
      <c r="E322" s="598"/>
      <c r="F322" s="598"/>
    </row>
    <row r="323" spans="2:6" x14ac:dyDescent="0.2">
      <c r="B323" s="598"/>
      <c r="E323" s="598"/>
      <c r="F323" s="598"/>
    </row>
    <row r="324" spans="2:6" x14ac:dyDescent="0.2">
      <c r="B324" s="598"/>
      <c r="E324" s="598"/>
      <c r="F324" s="598"/>
    </row>
    <row r="325" spans="2:6" x14ac:dyDescent="0.2">
      <c r="B325" s="598"/>
      <c r="E325" s="598"/>
      <c r="F325" s="598"/>
    </row>
    <row r="326" spans="2:6" x14ac:dyDescent="0.2">
      <c r="B326" s="598"/>
      <c r="E326" s="598"/>
      <c r="F326" s="598"/>
    </row>
    <row r="327" spans="2:6" x14ac:dyDescent="0.2">
      <c r="B327" s="598"/>
      <c r="E327" s="598"/>
      <c r="F327" s="598"/>
    </row>
    <row r="328" spans="2:6" x14ac:dyDescent="0.2">
      <c r="B328" s="598"/>
      <c r="E328" s="598"/>
      <c r="F328" s="598"/>
    </row>
    <row r="329" spans="2:6" x14ac:dyDescent="0.2">
      <c r="B329" s="598"/>
      <c r="E329" s="598"/>
      <c r="F329" s="598"/>
    </row>
    <row r="330" spans="2:6" x14ac:dyDescent="0.2">
      <c r="B330" s="598"/>
      <c r="E330" s="598"/>
      <c r="F330" s="598"/>
    </row>
    <row r="331" spans="2:6" x14ac:dyDescent="0.2">
      <c r="B331" s="598"/>
      <c r="E331" s="598"/>
      <c r="F331" s="598"/>
    </row>
    <row r="332" spans="2:6" x14ac:dyDescent="0.2">
      <c r="B332" s="598"/>
      <c r="E332" s="598"/>
      <c r="F332" s="598"/>
    </row>
    <row r="333" spans="2:6" x14ac:dyDescent="0.2">
      <c r="B333" s="598"/>
      <c r="E333" s="598"/>
      <c r="F333" s="598"/>
    </row>
    <row r="334" spans="2:6" x14ac:dyDescent="0.2">
      <c r="B334" s="598"/>
      <c r="E334" s="598"/>
      <c r="F334" s="598"/>
    </row>
    <row r="335" spans="2:6" x14ac:dyDescent="0.2">
      <c r="B335" s="598"/>
      <c r="E335" s="598"/>
      <c r="F335" s="598"/>
    </row>
    <row r="336" spans="2:6" x14ac:dyDescent="0.2">
      <c r="B336" s="598"/>
      <c r="E336" s="598"/>
      <c r="F336" s="598"/>
    </row>
    <row r="337" spans="2:6" x14ac:dyDescent="0.2">
      <c r="B337" s="598"/>
      <c r="E337" s="598"/>
      <c r="F337" s="598"/>
    </row>
    <row r="338" spans="2:6" x14ac:dyDescent="0.2">
      <c r="B338" s="598"/>
      <c r="E338" s="598"/>
      <c r="F338" s="598"/>
    </row>
    <row r="339" spans="2:6" x14ac:dyDescent="0.2">
      <c r="B339" s="598"/>
      <c r="E339" s="598"/>
      <c r="F339" s="598"/>
    </row>
    <row r="340" spans="2:6" x14ac:dyDescent="0.2">
      <c r="B340" s="598"/>
      <c r="E340" s="598"/>
      <c r="F340" s="598"/>
    </row>
    <row r="341" spans="2:6" x14ac:dyDescent="0.2">
      <c r="B341" s="598"/>
      <c r="E341" s="598"/>
      <c r="F341" s="598"/>
    </row>
    <row r="342" spans="2:6" x14ac:dyDescent="0.2">
      <c r="B342" s="598"/>
      <c r="E342" s="598"/>
      <c r="F342" s="598"/>
    </row>
    <row r="343" spans="2:6" x14ac:dyDescent="0.2">
      <c r="B343" s="598"/>
      <c r="E343" s="598"/>
      <c r="F343" s="598"/>
    </row>
    <row r="344" spans="2:6" x14ac:dyDescent="0.2">
      <c r="B344" s="598"/>
      <c r="E344" s="598"/>
      <c r="F344" s="598"/>
    </row>
    <row r="345" spans="2:6" x14ac:dyDescent="0.2">
      <c r="B345" s="598"/>
      <c r="E345" s="598"/>
      <c r="F345" s="598"/>
    </row>
    <row r="346" spans="2:6" x14ac:dyDescent="0.2">
      <c r="B346" s="598"/>
      <c r="E346" s="598"/>
      <c r="F346" s="598"/>
    </row>
    <row r="347" spans="2:6" x14ac:dyDescent="0.2">
      <c r="B347" s="598"/>
      <c r="E347" s="598"/>
      <c r="F347" s="598"/>
    </row>
    <row r="348" spans="2:6" x14ac:dyDescent="0.2">
      <c r="B348" s="598"/>
      <c r="E348" s="598"/>
      <c r="F348" s="598"/>
    </row>
    <row r="349" spans="2:6" x14ac:dyDescent="0.2">
      <c r="B349" s="598"/>
      <c r="E349" s="598"/>
      <c r="F349" s="598"/>
    </row>
    <row r="350" spans="2:6" x14ac:dyDescent="0.2">
      <c r="B350" s="598"/>
      <c r="E350" s="598"/>
      <c r="F350" s="598"/>
    </row>
    <row r="351" spans="2:6" x14ac:dyDescent="0.2">
      <c r="B351" s="598"/>
      <c r="E351" s="598"/>
      <c r="F351" s="598"/>
    </row>
    <row r="352" spans="2:6" x14ac:dyDescent="0.2">
      <c r="B352" s="598"/>
      <c r="E352" s="598"/>
      <c r="F352" s="598"/>
    </row>
    <row r="353" spans="2:6" x14ac:dyDescent="0.2">
      <c r="B353" s="598"/>
      <c r="E353" s="598"/>
      <c r="F353" s="598"/>
    </row>
    <row r="354" spans="2:6" x14ac:dyDescent="0.2">
      <c r="B354" s="598"/>
      <c r="E354" s="598"/>
      <c r="F354" s="598"/>
    </row>
    <row r="355" spans="2:6" x14ac:dyDescent="0.2">
      <c r="B355" s="598"/>
      <c r="E355" s="598"/>
      <c r="F355" s="598"/>
    </row>
    <row r="356" spans="2:6" x14ac:dyDescent="0.2">
      <c r="B356" s="598"/>
      <c r="E356" s="598"/>
      <c r="F356" s="598"/>
    </row>
    <row r="357" spans="2:6" x14ac:dyDescent="0.2">
      <c r="B357" s="598"/>
      <c r="E357" s="598"/>
      <c r="F357" s="598"/>
    </row>
    <row r="358" spans="2:6" x14ac:dyDescent="0.2">
      <c r="B358" s="598"/>
      <c r="E358" s="598"/>
      <c r="F358" s="598"/>
    </row>
    <row r="359" spans="2:6" x14ac:dyDescent="0.2">
      <c r="B359" s="598"/>
      <c r="E359" s="598"/>
      <c r="F359" s="598"/>
    </row>
    <row r="360" spans="2:6" x14ac:dyDescent="0.2">
      <c r="B360" s="598"/>
      <c r="E360" s="598"/>
      <c r="F360" s="598"/>
    </row>
    <row r="361" spans="2:6" x14ac:dyDescent="0.2">
      <c r="B361" s="598"/>
      <c r="E361" s="598"/>
      <c r="F361" s="598"/>
    </row>
    <row r="362" spans="2:6" x14ac:dyDescent="0.2">
      <c r="B362" s="598"/>
      <c r="E362" s="598"/>
      <c r="F362" s="598"/>
    </row>
    <row r="363" spans="2:6" x14ac:dyDescent="0.2">
      <c r="B363" s="598"/>
      <c r="E363" s="598"/>
      <c r="F363" s="598"/>
    </row>
    <row r="364" spans="2:6" x14ac:dyDescent="0.2">
      <c r="B364" s="598"/>
      <c r="E364" s="598"/>
      <c r="F364" s="598"/>
    </row>
    <row r="365" spans="2:6" x14ac:dyDescent="0.2">
      <c r="B365" s="598"/>
      <c r="E365" s="598"/>
      <c r="F365" s="598"/>
    </row>
    <row r="366" spans="2:6" x14ac:dyDescent="0.2">
      <c r="B366" s="598"/>
      <c r="E366" s="598"/>
      <c r="F366" s="598"/>
    </row>
    <row r="367" spans="2:6" x14ac:dyDescent="0.2">
      <c r="B367" s="598"/>
      <c r="E367" s="598"/>
      <c r="F367" s="598"/>
    </row>
    <row r="368" spans="2:6" x14ac:dyDescent="0.2">
      <c r="B368" s="598"/>
      <c r="E368" s="598"/>
      <c r="F368" s="598"/>
    </row>
    <row r="369" spans="2:6" x14ac:dyDescent="0.2">
      <c r="B369" s="598"/>
      <c r="E369" s="598"/>
      <c r="F369" s="598"/>
    </row>
    <row r="370" spans="2:6" x14ac:dyDescent="0.2">
      <c r="B370" s="598"/>
      <c r="E370" s="598"/>
      <c r="F370" s="598"/>
    </row>
    <row r="371" spans="2:6" x14ac:dyDescent="0.2">
      <c r="B371" s="598"/>
      <c r="E371" s="598"/>
      <c r="F371" s="598"/>
    </row>
    <row r="372" spans="2:6" x14ac:dyDescent="0.2">
      <c r="B372" s="598"/>
      <c r="E372" s="598"/>
      <c r="F372" s="598"/>
    </row>
    <row r="373" spans="2:6" x14ac:dyDescent="0.2">
      <c r="B373" s="598"/>
      <c r="E373" s="598"/>
      <c r="F373" s="598"/>
    </row>
    <row r="374" spans="2:6" x14ac:dyDescent="0.2">
      <c r="B374" s="598"/>
      <c r="E374" s="598"/>
      <c r="F374" s="598"/>
    </row>
    <row r="375" spans="2:6" x14ac:dyDescent="0.2">
      <c r="B375" s="598"/>
      <c r="E375" s="598"/>
      <c r="F375" s="598"/>
    </row>
    <row r="376" spans="2:6" x14ac:dyDescent="0.2">
      <c r="B376" s="598"/>
      <c r="E376" s="598"/>
      <c r="F376" s="598"/>
    </row>
    <row r="377" spans="2:6" x14ac:dyDescent="0.2">
      <c r="B377" s="598"/>
      <c r="E377" s="598"/>
      <c r="F377" s="598"/>
    </row>
    <row r="378" spans="2:6" x14ac:dyDescent="0.2">
      <c r="B378" s="598"/>
      <c r="E378" s="598"/>
      <c r="F378" s="598"/>
    </row>
    <row r="379" spans="2:6" x14ac:dyDescent="0.2">
      <c r="B379" s="598"/>
      <c r="E379" s="598"/>
      <c r="F379" s="598"/>
    </row>
    <row r="380" spans="2:6" x14ac:dyDescent="0.2">
      <c r="B380" s="598"/>
      <c r="E380" s="598"/>
      <c r="F380" s="598"/>
    </row>
    <row r="381" spans="2:6" x14ac:dyDescent="0.2">
      <c r="B381" s="598"/>
      <c r="E381" s="598"/>
      <c r="F381" s="598"/>
    </row>
    <row r="382" spans="2:6" x14ac:dyDescent="0.2">
      <c r="B382" s="598"/>
      <c r="E382" s="598"/>
      <c r="F382" s="598"/>
    </row>
    <row r="383" spans="2:6" x14ac:dyDescent="0.2">
      <c r="B383" s="598"/>
      <c r="E383" s="598"/>
      <c r="F383" s="598"/>
    </row>
    <row r="384" spans="2:6" x14ac:dyDescent="0.2">
      <c r="B384" s="598"/>
      <c r="E384" s="598"/>
      <c r="F384" s="598"/>
    </row>
    <row r="385" spans="2:6" x14ac:dyDescent="0.2">
      <c r="B385" s="598"/>
      <c r="E385" s="598"/>
      <c r="F385" s="598"/>
    </row>
    <row r="386" spans="2:6" x14ac:dyDescent="0.2">
      <c r="B386" s="598"/>
      <c r="E386" s="598"/>
      <c r="F386" s="598"/>
    </row>
    <row r="387" spans="2:6" x14ac:dyDescent="0.2">
      <c r="B387" s="598"/>
      <c r="E387" s="598"/>
      <c r="F387" s="598"/>
    </row>
    <row r="388" spans="2:6" x14ac:dyDescent="0.2">
      <c r="B388" s="598"/>
      <c r="E388" s="598"/>
      <c r="F388" s="598"/>
    </row>
    <row r="389" spans="2:6" x14ac:dyDescent="0.2">
      <c r="B389" s="598"/>
      <c r="E389" s="598"/>
      <c r="F389" s="598"/>
    </row>
    <row r="390" spans="2:6" x14ac:dyDescent="0.2">
      <c r="B390" s="598"/>
      <c r="E390" s="598"/>
      <c r="F390" s="598"/>
    </row>
    <row r="391" spans="2:6" x14ac:dyDescent="0.2">
      <c r="B391" s="598"/>
      <c r="E391" s="598"/>
      <c r="F391" s="598"/>
    </row>
    <row r="392" spans="2:6" x14ac:dyDescent="0.2">
      <c r="B392" s="598"/>
      <c r="E392" s="598"/>
      <c r="F392" s="598"/>
    </row>
    <row r="393" spans="2:6" x14ac:dyDescent="0.2">
      <c r="B393" s="598"/>
      <c r="E393" s="598"/>
      <c r="F393" s="598"/>
    </row>
    <row r="394" spans="2:6" x14ac:dyDescent="0.2">
      <c r="B394" s="598"/>
      <c r="E394" s="598"/>
      <c r="F394" s="598"/>
    </row>
    <row r="395" spans="2:6" x14ac:dyDescent="0.2">
      <c r="B395" s="598"/>
      <c r="E395" s="598"/>
      <c r="F395" s="598"/>
    </row>
    <row r="396" spans="2:6" x14ac:dyDescent="0.2">
      <c r="B396" s="598"/>
      <c r="E396" s="598"/>
      <c r="F396" s="598"/>
    </row>
    <row r="397" spans="2:6" x14ac:dyDescent="0.2">
      <c r="B397" s="598"/>
      <c r="E397" s="598"/>
      <c r="F397" s="598"/>
    </row>
    <row r="398" spans="2:6" x14ac:dyDescent="0.2">
      <c r="B398" s="598"/>
      <c r="E398" s="598"/>
      <c r="F398" s="598"/>
    </row>
    <row r="399" spans="2:6" x14ac:dyDescent="0.2">
      <c r="B399" s="598"/>
      <c r="E399" s="598"/>
      <c r="F399" s="598"/>
    </row>
    <row r="400" spans="2:6" x14ac:dyDescent="0.2">
      <c r="B400" s="598"/>
      <c r="E400" s="598"/>
      <c r="F400" s="598"/>
    </row>
    <row r="401" spans="2:6" x14ac:dyDescent="0.2">
      <c r="B401" s="598"/>
      <c r="E401" s="598"/>
      <c r="F401" s="598"/>
    </row>
    <row r="402" spans="2:6" x14ac:dyDescent="0.2">
      <c r="B402" s="598"/>
      <c r="E402" s="598"/>
      <c r="F402" s="598"/>
    </row>
    <row r="403" spans="2:6" x14ac:dyDescent="0.2">
      <c r="B403" s="598"/>
      <c r="E403" s="598"/>
      <c r="F403" s="598"/>
    </row>
    <row r="404" spans="2:6" x14ac:dyDescent="0.2">
      <c r="B404" s="598"/>
      <c r="E404" s="598"/>
      <c r="F404" s="598"/>
    </row>
    <row r="405" spans="2:6" x14ac:dyDescent="0.2">
      <c r="B405" s="598"/>
      <c r="E405" s="598"/>
      <c r="F405" s="598"/>
    </row>
    <row r="406" spans="2:6" x14ac:dyDescent="0.2">
      <c r="B406" s="598"/>
      <c r="E406" s="598"/>
      <c r="F406" s="598"/>
    </row>
    <row r="407" spans="2:6" x14ac:dyDescent="0.2">
      <c r="B407" s="598"/>
      <c r="E407" s="598"/>
      <c r="F407" s="598"/>
    </row>
    <row r="408" spans="2:6" x14ac:dyDescent="0.2">
      <c r="B408" s="598"/>
      <c r="E408" s="598"/>
      <c r="F408" s="598"/>
    </row>
    <row r="409" spans="2:6" x14ac:dyDescent="0.2">
      <c r="B409" s="598"/>
      <c r="E409" s="598"/>
      <c r="F409" s="598"/>
    </row>
    <row r="410" spans="2:6" x14ac:dyDescent="0.2">
      <c r="B410" s="598"/>
      <c r="E410" s="598"/>
      <c r="F410" s="598"/>
    </row>
    <row r="411" spans="2:6" x14ac:dyDescent="0.2">
      <c r="B411" s="598"/>
      <c r="E411" s="598"/>
      <c r="F411" s="598"/>
    </row>
    <row r="412" spans="2:6" x14ac:dyDescent="0.2">
      <c r="B412" s="598"/>
      <c r="E412" s="598"/>
      <c r="F412" s="598"/>
    </row>
    <row r="413" spans="2:6" x14ac:dyDescent="0.2">
      <c r="B413" s="598"/>
      <c r="E413" s="598"/>
      <c r="F413" s="598"/>
    </row>
    <row r="414" spans="2:6" x14ac:dyDescent="0.2">
      <c r="B414" s="598"/>
      <c r="E414" s="598"/>
      <c r="F414" s="598"/>
    </row>
    <row r="415" spans="2:6" x14ac:dyDescent="0.2">
      <c r="B415" s="598"/>
      <c r="E415" s="598"/>
      <c r="F415" s="598"/>
    </row>
    <row r="416" spans="2:6" x14ac:dyDescent="0.2">
      <c r="B416" s="598"/>
      <c r="E416" s="598"/>
      <c r="F416" s="598"/>
    </row>
    <row r="417" spans="2:6" x14ac:dyDescent="0.2">
      <c r="B417" s="598"/>
      <c r="E417" s="598"/>
      <c r="F417" s="598"/>
    </row>
    <row r="418" spans="2:6" x14ac:dyDescent="0.2">
      <c r="B418" s="598"/>
      <c r="E418" s="598"/>
      <c r="F418" s="598"/>
    </row>
    <row r="419" spans="2:6" x14ac:dyDescent="0.2">
      <c r="B419" s="598"/>
      <c r="E419" s="598"/>
      <c r="F419" s="598"/>
    </row>
    <row r="420" spans="2:6" x14ac:dyDescent="0.2">
      <c r="B420" s="598"/>
      <c r="E420" s="598"/>
      <c r="F420" s="598"/>
    </row>
    <row r="421" spans="2:6" x14ac:dyDescent="0.2">
      <c r="B421" s="598"/>
      <c r="E421" s="598"/>
      <c r="F421" s="598"/>
    </row>
    <row r="422" spans="2:6" x14ac:dyDescent="0.2">
      <c r="B422" s="598"/>
      <c r="E422" s="598"/>
      <c r="F422" s="598"/>
    </row>
    <row r="423" spans="2:6" x14ac:dyDescent="0.2">
      <c r="B423" s="598"/>
      <c r="E423" s="598"/>
      <c r="F423" s="598"/>
    </row>
    <row r="424" spans="2:6" x14ac:dyDescent="0.2">
      <c r="B424" s="598"/>
      <c r="E424" s="598"/>
      <c r="F424" s="598"/>
    </row>
    <row r="425" spans="2:6" x14ac:dyDescent="0.2">
      <c r="B425" s="598"/>
      <c r="E425" s="598"/>
      <c r="F425" s="598"/>
    </row>
    <row r="426" spans="2:6" x14ac:dyDescent="0.2">
      <c r="B426" s="598"/>
      <c r="E426" s="598"/>
      <c r="F426" s="598"/>
    </row>
    <row r="427" spans="2:6" x14ac:dyDescent="0.2">
      <c r="B427" s="598"/>
      <c r="E427" s="598"/>
      <c r="F427" s="598"/>
    </row>
    <row r="428" spans="2:6" x14ac:dyDescent="0.2">
      <c r="B428" s="598"/>
      <c r="E428" s="598"/>
      <c r="F428" s="598"/>
    </row>
    <row r="429" spans="2:6" x14ac:dyDescent="0.2">
      <c r="B429" s="598"/>
      <c r="E429" s="598"/>
      <c r="F429" s="598"/>
    </row>
    <row r="430" spans="2:6" x14ac:dyDescent="0.2">
      <c r="B430" s="598"/>
      <c r="E430" s="598"/>
      <c r="F430" s="598"/>
    </row>
    <row r="431" spans="2:6" x14ac:dyDescent="0.2">
      <c r="B431" s="598"/>
      <c r="E431" s="598"/>
      <c r="F431" s="598"/>
    </row>
    <row r="432" spans="2:6" x14ac:dyDescent="0.2">
      <c r="B432" s="598"/>
      <c r="E432" s="598"/>
      <c r="F432" s="598"/>
    </row>
    <row r="433" spans="2:6" x14ac:dyDescent="0.2">
      <c r="B433" s="598"/>
      <c r="E433" s="598"/>
      <c r="F433" s="598"/>
    </row>
    <row r="434" spans="2:6" x14ac:dyDescent="0.2">
      <c r="B434" s="598"/>
      <c r="E434" s="598"/>
      <c r="F434" s="598"/>
    </row>
    <row r="435" spans="2:6" x14ac:dyDescent="0.2">
      <c r="B435" s="598"/>
      <c r="E435" s="598"/>
      <c r="F435" s="598"/>
    </row>
    <row r="436" spans="2:6" x14ac:dyDescent="0.2">
      <c r="B436" s="598"/>
      <c r="E436" s="598"/>
      <c r="F436" s="598"/>
    </row>
    <row r="437" spans="2:6" x14ac:dyDescent="0.2">
      <c r="B437" s="598"/>
      <c r="E437" s="598"/>
      <c r="F437" s="598"/>
    </row>
    <row r="438" spans="2:6" x14ac:dyDescent="0.2">
      <c r="B438" s="598"/>
      <c r="E438" s="598"/>
      <c r="F438" s="598"/>
    </row>
    <row r="439" spans="2:6" x14ac:dyDescent="0.2">
      <c r="B439" s="598"/>
      <c r="E439" s="598"/>
      <c r="F439" s="598"/>
    </row>
    <row r="440" spans="2:6" x14ac:dyDescent="0.2">
      <c r="B440" s="598"/>
      <c r="E440" s="598"/>
      <c r="F440" s="598"/>
    </row>
    <row r="441" spans="2:6" x14ac:dyDescent="0.2">
      <c r="B441" s="598"/>
      <c r="E441" s="598"/>
      <c r="F441" s="598"/>
    </row>
    <row r="442" spans="2:6" x14ac:dyDescent="0.2">
      <c r="B442" s="598"/>
      <c r="E442" s="598"/>
      <c r="F442" s="598"/>
    </row>
    <row r="443" spans="2:6" x14ac:dyDescent="0.2">
      <c r="B443" s="598"/>
      <c r="E443" s="598"/>
      <c r="F443" s="598"/>
    </row>
    <row r="444" spans="2:6" x14ac:dyDescent="0.2">
      <c r="B444" s="598"/>
      <c r="E444" s="598"/>
      <c r="F444" s="598"/>
    </row>
    <row r="445" spans="2:6" x14ac:dyDescent="0.2">
      <c r="B445" s="598"/>
      <c r="E445" s="598"/>
      <c r="F445" s="598"/>
    </row>
    <row r="446" spans="2:6" x14ac:dyDescent="0.2">
      <c r="B446" s="598"/>
      <c r="E446" s="598"/>
      <c r="F446" s="598"/>
    </row>
    <row r="447" spans="2:6" x14ac:dyDescent="0.2">
      <c r="B447" s="598"/>
      <c r="E447" s="598"/>
      <c r="F447" s="598"/>
    </row>
    <row r="448" spans="2:6" x14ac:dyDescent="0.2">
      <c r="B448" s="598"/>
      <c r="E448" s="598"/>
      <c r="F448" s="598"/>
    </row>
    <row r="449" spans="2:6" x14ac:dyDescent="0.2">
      <c r="B449" s="598"/>
      <c r="E449" s="598"/>
      <c r="F449" s="598"/>
    </row>
    <row r="450" spans="2:6" x14ac:dyDescent="0.2">
      <c r="B450" s="598"/>
      <c r="E450" s="598"/>
      <c r="F450" s="598"/>
    </row>
    <row r="451" spans="2:6" x14ac:dyDescent="0.2">
      <c r="B451" s="598"/>
      <c r="E451" s="598"/>
      <c r="F451" s="598"/>
    </row>
    <row r="452" spans="2:6" x14ac:dyDescent="0.2">
      <c r="B452" s="598"/>
      <c r="E452" s="598"/>
      <c r="F452" s="598"/>
    </row>
    <row r="453" spans="2:6" x14ac:dyDescent="0.2">
      <c r="B453" s="598"/>
      <c r="E453" s="598"/>
      <c r="F453" s="598"/>
    </row>
    <row r="454" spans="2:6" x14ac:dyDescent="0.2">
      <c r="B454" s="598"/>
      <c r="E454" s="598"/>
      <c r="F454" s="598"/>
    </row>
    <row r="455" spans="2:6" x14ac:dyDescent="0.2">
      <c r="B455" s="598"/>
      <c r="E455" s="598"/>
      <c r="F455" s="598"/>
    </row>
    <row r="456" spans="2:6" x14ac:dyDescent="0.2">
      <c r="B456" s="598"/>
      <c r="E456" s="598"/>
      <c r="F456" s="598"/>
    </row>
    <row r="457" spans="2:6" x14ac:dyDescent="0.2">
      <c r="B457" s="598"/>
      <c r="E457" s="598"/>
      <c r="F457" s="598"/>
    </row>
    <row r="458" spans="2:6" x14ac:dyDescent="0.2">
      <c r="B458" s="598"/>
      <c r="E458" s="598"/>
      <c r="F458" s="598"/>
    </row>
    <row r="459" spans="2:6" x14ac:dyDescent="0.2">
      <c r="B459" s="598"/>
      <c r="E459" s="598"/>
      <c r="F459" s="598"/>
    </row>
    <row r="460" spans="2:6" x14ac:dyDescent="0.2">
      <c r="B460" s="598"/>
      <c r="E460" s="598"/>
      <c r="F460" s="598"/>
    </row>
    <row r="461" spans="2:6" x14ac:dyDescent="0.2">
      <c r="B461" s="598"/>
      <c r="E461" s="598"/>
      <c r="F461" s="598"/>
    </row>
    <row r="462" spans="2:6" x14ac:dyDescent="0.2">
      <c r="B462" s="598"/>
      <c r="E462" s="598"/>
      <c r="F462" s="598"/>
    </row>
    <row r="463" spans="2:6" x14ac:dyDescent="0.2">
      <c r="B463" s="598"/>
      <c r="E463" s="598"/>
      <c r="F463" s="598"/>
    </row>
    <row r="464" spans="2:6" x14ac:dyDescent="0.2">
      <c r="B464" s="598"/>
      <c r="E464" s="598"/>
      <c r="F464" s="598"/>
    </row>
    <row r="465" spans="2:6" x14ac:dyDescent="0.2">
      <c r="B465" s="598"/>
      <c r="E465" s="598"/>
      <c r="F465" s="598"/>
    </row>
    <row r="466" spans="2:6" x14ac:dyDescent="0.2">
      <c r="B466" s="598"/>
      <c r="E466" s="598"/>
      <c r="F466" s="598"/>
    </row>
    <row r="467" spans="2:6" x14ac:dyDescent="0.2">
      <c r="B467" s="598"/>
      <c r="E467" s="598"/>
      <c r="F467" s="598"/>
    </row>
    <row r="468" spans="2:6" x14ac:dyDescent="0.2">
      <c r="B468" s="598"/>
      <c r="E468" s="598"/>
      <c r="F468" s="598"/>
    </row>
    <row r="469" spans="2:6" x14ac:dyDescent="0.2">
      <c r="B469" s="598"/>
      <c r="E469" s="598"/>
      <c r="F469" s="598"/>
    </row>
    <row r="470" spans="2:6" x14ac:dyDescent="0.2">
      <c r="B470" s="598"/>
      <c r="E470" s="598"/>
      <c r="F470" s="598"/>
    </row>
    <row r="471" spans="2:6" x14ac:dyDescent="0.2">
      <c r="B471" s="598"/>
      <c r="E471" s="598"/>
      <c r="F471" s="598"/>
    </row>
    <row r="472" spans="2:6" x14ac:dyDescent="0.2">
      <c r="B472" s="598"/>
      <c r="E472" s="598"/>
      <c r="F472" s="598"/>
    </row>
    <row r="473" spans="2:6" x14ac:dyDescent="0.2">
      <c r="B473" s="598"/>
      <c r="E473" s="598"/>
      <c r="F473" s="598"/>
    </row>
    <row r="474" spans="2:6" x14ac:dyDescent="0.2">
      <c r="B474" s="598"/>
      <c r="E474" s="598"/>
      <c r="F474" s="598"/>
    </row>
    <row r="475" spans="2:6" x14ac:dyDescent="0.2">
      <c r="B475" s="598"/>
      <c r="E475" s="598"/>
      <c r="F475" s="598"/>
    </row>
    <row r="476" spans="2:6" x14ac:dyDescent="0.2">
      <c r="B476" s="598"/>
      <c r="E476" s="598"/>
      <c r="F476" s="598"/>
    </row>
    <row r="477" spans="2:6" x14ac:dyDescent="0.2">
      <c r="B477" s="598"/>
      <c r="E477" s="598"/>
      <c r="F477" s="598"/>
    </row>
    <row r="478" spans="2:6" x14ac:dyDescent="0.2">
      <c r="B478" s="598"/>
      <c r="E478" s="598"/>
      <c r="F478" s="598"/>
    </row>
    <row r="479" spans="2:6" x14ac:dyDescent="0.2">
      <c r="B479" s="598"/>
      <c r="E479" s="598"/>
      <c r="F479" s="598"/>
    </row>
    <row r="480" spans="2:6" x14ac:dyDescent="0.2">
      <c r="B480" s="598"/>
      <c r="E480" s="598"/>
      <c r="F480" s="598"/>
    </row>
    <row r="481" spans="2:6" x14ac:dyDescent="0.2">
      <c r="B481" s="598"/>
      <c r="E481" s="598"/>
      <c r="F481" s="598"/>
    </row>
    <row r="482" spans="2:6" x14ac:dyDescent="0.2">
      <c r="B482" s="598"/>
      <c r="E482" s="598"/>
      <c r="F482" s="598"/>
    </row>
    <row r="483" spans="2:6" x14ac:dyDescent="0.2">
      <c r="B483" s="598"/>
      <c r="E483" s="598"/>
      <c r="F483" s="598"/>
    </row>
    <row r="484" spans="2:6" x14ac:dyDescent="0.2">
      <c r="B484" s="598"/>
      <c r="E484" s="598"/>
      <c r="F484" s="598"/>
    </row>
    <row r="485" spans="2:6" x14ac:dyDescent="0.2">
      <c r="B485" s="598"/>
      <c r="E485" s="598"/>
      <c r="F485" s="598"/>
    </row>
    <row r="486" spans="2:6" x14ac:dyDescent="0.2">
      <c r="B486" s="598"/>
      <c r="E486" s="598"/>
      <c r="F486" s="598"/>
    </row>
    <row r="487" spans="2:6" x14ac:dyDescent="0.2">
      <c r="B487" s="598"/>
      <c r="E487" s="598"/>
      <c r="F487" s="598"/>
    </row>
    <row r="488" spans="2:6" x14ac:dyDescent="0.2">
      <c r="B488" s="598"/>
      <c r="E488" s="598"/>
      <c r="F488" s="598"/>
    </row>
    <row r="489" spans="2:6" x14ac:dyDescent="0.2">
      <c r="B489" s="598"/>
      <c r="E489" s="598"/>
      <c r="F489" s="598"/>
    </row>
    <row r="490" spans="2:6" x14ac:dyDescent="0.2">
      <c r="B490" s="598"/>
      <c r="E490" s="598"/>
      <c r="F490" s="598"/>
    </row>
    <row r="491" spans="2:6" x14ac:dyDescent="0.2">
      <c r="B491" s="598"/>
      <c r="E491" s="598"/>
      <c r="F491" s="598"/>
    </row>
    <row r="492" spans="2:6" x14ac:dyDescent="0.2">
      <c r="B492" s="598"/>
      <c r="E492" s="598"/>
      <c r="F492" s="598"/>
    </row>
    <row r="493" spans="2:6" x14ac:dyDescent="0.2">
      <c r="B493" s="598"/>
      <c r="E493" s="598"/>
      <c r="F493" s="598"/>
    </row>
    <row r="494" spans="2:6" x14ac:dyDescent="0.2">
      <c r="B494" s="598"/>
      <c r="E494" s="598"/>
      <c r="F494" s="598"/>
    </row>
    <row r="495" spans="2:6" x14ac:dyDescent="0.2">
      <c r="B495" s="598"/>
      <c r="E495" s="598"/>
      <c r="F495" s="598"/>
    </row>
    <row r="496" spans="2:6" x14ac:dyDescent="0.2">
      <c r="B496" s="598"/>
      <c r="E496" s="598"/>
      <c r="F496" s="598"/>
    </row>
    <row r="497" spans="2:6" x14ac:dyDescent="0.2">
      <c r="B497" s="598"/>
      <c r="E497" s="598"/>
      <c r="F497" s="598"/>
    </row>
    <row r="498" spans="2:6" x14ac:dyDescent="0.2">
      <c r="B498" s="598"/>
      <c r="E498" s="598"/>
      <c r="F498" s="598"/>
    </row>
    <row r="499" spans="2:6" x14ac:dyDescent="0.2">
      <c r="B499" s="598"/>
      <c r="E499" s="598"/>
      <c r="F499" s="598"/>
    </row>
    <row r="500" spans="2:6" x14ac:dyDescent="0.2">
      <c r="B500" s="598"/>
      <c r="E500" s="598"/>
      <c r="F500" s="598"/>
    </row>
    <row r="501" spans="2:6" x14ac:dyDescent="0.2">
      <c r="B501" s="598"/>
      <c r="E501" s="598"/>
      <c r="F501" s="598"/>
    </row>
    <row r="502" spans="2:6" x14ac:dyDescent="0.2">
      <c r="B502" s="598"/>
      <c r="E502" s="598"/>
      <c r="F502" s="598"/>
    </row>
    <row r="503" spans="2:6" x14ac:dyDescent="0.2">
      <c r="B503" s="598"/>
      <c r="E503" s="598"/>
      <c r="F503" s="598"/>
    </row>
    <row r="504" spans="2:6" x14ac:dyDescent="0.2">
      <c r="B504" s="598"/>
      <c r="E504" s="598"/>
      <c r="F504" s="598"/>
    </row>
    <row r="505" spans="2:6" x14ac:dyDescent="0.2">
      <c r="B505" s="598"/>
      <c r="E505" s="598"/>
      <c r="F505" s="598"/>
    </row>
    <row r="506" spans="2:6" x14ac:dyDescent="0.2">
      <c r="B506" s="598"/>
      <c r="E506" s="598"/>
      <c r="F506" s="598"/>
    </row>
    <row r="507" spans="2:6" x14ac:dyDescent="0.2">
      <c r="B507" s="598"/>
      <c r="E507" s="598"/>
      <c r="F507" s="598"/>
    </row>
    <row r="508" spans="2:6" x14ac:dyDescent="0.2">
      <c r="B508" s="598"/>
      <c r="E508" s="598"/>
      <c r="F508" s="598"/>
    </row>
    <row r="509" spans="2:6" x14ac:dyDescent="0.2">
      <c r="B509" s="598"/>
      <c r="E509" s="598"/>
      <c r="F509" s="598"/>
    </row>
    <row r="510" spans="2:6" x14ac:dyDescent="0.2">
      <c r="B510" s="598"/>
      <c r="E510" s="598"/>
      <c r="F510" s="598"/>
    </row>
    <row r="511" spans="2:6" x14ac:dyDescent="0.2">
      <c r="B511" s="598"/>
      <c r="E511" s="598"/>
      <c r="F511" s="598"/>
    </row>
    <row r="512" spans="2:6" x14ac:dyDescent="0.2">
      <c r="B512" s="598"/>
      <c r="E512" s="598"/>
      <c r="F512" s="598"/>
    </row>
    <row r="513" spans="2:6" x14ac:dyDescent="0.2">
      <c r="B513" s="598"/>
      <c r="E513" s="598"/>
      <c r="F513" s="598"/>
    </row>
    <row r="514" spans="2:6" x14ac:dyDescent="0.2">
      <c r="B514" s="598"/>
      <c r="E514" s="598"/>
      <c r="F514" s="598"/>
    </row>
    <row r="515" spans="2:6" x14ac:dyDescent="0.2">
      <c r="B515" s="598"/>
      <c r="E515" s="598"/>
      <c r="F515" s="598"/>
    </row>
    <row r="516" spans="2:6" x14ac:dyDescent="0.2">
      <c r="B516" s="598"/>
      <c r="E516" s="598"/>
      <c r="F516" s="598"/>
    </row>
    <row r="517" spans="2:6" x14ac:dyDescent="0.2">
      <c r="B517" s="598"/>
      <c r="E517" s="598"/>
      <c r="F517" s="598"/>
    </row>
    <row r="518" spans="2:6" x14ac:dyDescent="0.2">
      <c r="B518" s="598"/>
      <c r="E518" s="598"/>
      <c r="F518" s="598"/>
    </row>
    <row r="519" spans="2:6" x14ac:dyDescent="0.2">
      <c r="B519" s="598"/>
      <c r="E519" s="598"/>
      <c r="F519" s="598"/>
    </row>
    <row r="520" spans="2:6" x14ac:dyDescent="0.2">
      <c r="B520" s="598"/>
      <c r="E520" s="598"/>
      <c r="F520" s="598"/>
    </row>
    <row r="521" spans="2:6" x14ac:dyDescent="0.2">
      <c r="B521" s="598"/>
      <c r="E521" s="598"/>
      <c r="F521" s="598"/>
    </row>
    <row r="522" spans="2:6" x14ac:dyDescent="0.2">
      <c r="B522" s="598"/>
      <c r="E522" s="598"/>
      <c r="F522" s="598"/>
    </row>
    <row r="523" spans="2:6" x14ac:dyDescent="0.2">
      <c r="B523" s="598"/>
      <c r="E523" s="598"/>
      <c r="F523" s="598"/>
    </row>
    <row r="524" spans="2:6" x14ac:dyDescent="0.2">
      <c r="B524" s="598"/>
      <c r="E524" s="598"/>
      <c r="F524" s="598"/>
    </row>
    <row r="525" spans="2:6" x14ac:dyDescent="0.2">
      <c r="B525" s="598"/>
      <c r="E525" s="598"/>
      <c r="F525" s="598"/>
    </row>
    <row r="526" spans="2:6" x14ac:dyDescent="0.2">
      <c r="B526" s="598"/>
      <c r="E526" s="598"/>
      <c r="F526" s="598"/>
    </row>
    <row r="527" spans="2:6" x14ac:dyDescent="0.2">
      <c r="B527" s="598"/>
      <c r="E527" s="598"/>
      <c r="F527" s="598"/>
    </row>
    <row r="528" spans="2:6" x14ac:dyDescent="0.2">
      <c r="B528" s="598"/>
      <c r="E528" s="598"/>
      <c r="F528" s="598"/>
    </row>
    <row r="529" spans="2:6" x14ac:dyDescent="0.2">
      <c r="B529" s="598"/>
      <c r="E529" s="598"/>
      <c r="F529" s="598"/>
    </row>
    <row r="530" spans="2:6" x14ac:dyDescent="0.2">
      <c r="B530" s="598"/>
      <c r="E530" s="598"/>
      <c r="F530" s="598"/>
    </row>
    <row r="531" spans="2:6" x14ac:dyDescent="0.2">
      <c r="B531" s="598"/>
      <c r="E531" s="598"/>
      <c r="F531" s="598"/>
    </row>
    <row r="532" spans="2:6" x14ac:dyDescent="0.2">
      <c r="B532" s="598"/>
      <c r="E532" s="598"/>
      <c r="F532" s="598"/>
    </row>
    <row r="533" spans="2:6" x14ac:dyDescent="0.2">
      <c r="B533" s="598"/>
      <c r="E533" s="598"/>
      <c r="F533" s="598"/>
    </row>
    <row r="534" spans="2:6" x14ac:dyDescent="0.2">
      <c r="B534" s="598"/>
      <c r="E534" s="598"/>
      <c r="F534" s="598"/>
    </row>
    <row r="535" spans="2:6" x14ac:dyDescent="0.2">
      <c r="B535" s="598"/>
      <c r="E535" s="598"/>
      <c r="F535" s="598"/>
    </row>
    <row r="536" spans="2:6" x14ac:dyDescent="0.2">
      <c r="B536" s="598"/>
      <c r="E536" s="598"/>
      <c r="F536" s="598"/>
    </row>
    <row r="537" spans="2:6" x14ac:dyDescent="0.2">
      <c r="B537" s="598"/>
      <c r="E537" s="598"/>
      <c r="F537" s="598"/>
    </row>
    <row r="538" spans="2:6" x14ac:dyDescent="0.2">
      <c r="B538" s="598"/>
      <c r="E538" s="598"/>
      <c r="F538" s="598"/>
    </row>
    <row r="539" spans="2:6" x14ac:dyDescent="0.2">
      <c r="B539" s="598"/>
      <c r="E539" s="598"/>
      <c r="F539" s="598"/>
    </row>
    <row r="540" spans="2:6" x14ac:dyDescent="0.2">
      <c r="B540" s="598"/>
      <c r="E540" s="598"/>
      <c r="F540" s="598"/>
    </row>
    <row r="541" spans="2:6" x14ac:dyDescent="0.2">
      <c r="B541" s="598"/>
      <c r="E541" s="598"/>
      <c r="F541" s="598"/>
    </row>
    <row r="542" spans="2:6" x14ac:dyDescent="0.2">
      <c r="B542" s="598"/>
      <c r="E542" s="598"/>
      <c r="F542" s="598"/>
    </row>
    <row r="543" spans="2:6" x14ac:dyDescent="0.2">
      <c r="B543" s="598"/>
      <c r="E543" s="598"/>
      <c r="F543" s="598"/>
    </row>
    <row r="544" spans="2:6" x14ac:dyDescent="0.2">
      <c r="B544" s="598"/>
      <c r="E544" s="598"/>
      <c r="F544" s="598"/>
    </row>
    <row r="545" spans="2:6" x14ac:dyDescent="0.2">
      <c r="B545" s="598"/>
      <c r="E545" s="598"/>
      <c r="F545" s="598"/>
    </row>
    <row r="546" spans="2:6" x14ac:dyDescent="0.2">
      <c r="B546" s="598"/>
      <c r="E546" s="598"/>
      <c r="F546" s="598"/>
    </row>
    <row r="547" spans="2:6" x14ac:dyDescent="0.2">
      <c r="B547" s="598"/>
      <c r="E547" s="598"/>
      <c r="F547" s="598"/>
    </row>
    <row r="548" spans="2:6" x14ac:dyDescent="0.2">
      <c r="B548" s="598"/>
      <c r="E548" s="598"/>
      <c r="F548" s="598"/>
    </row>
    <row r="549" spans="2:6" x14ac:dyDescent="0.2">
      <c r="B549" s="598"/>
      <c r="E549" s="598"/>
      <c r="F549" s="598"/>
    </row>
    <row r="550" spans="2:6" x14ac:dyDescent="0.2">
      <c r="B550" s="598"/>
      <c r="E550" s="598"/>
      <c r="F550" s="598"/>
    </row>
    <row r="551" spans="2:6" x14ac:dyDescent="0.2">
      <c r="B551" s="598"/>
      <c r="E551" s="598"/>
      <c r="F551" s="598"/>
    </row>
    <row r="552" spans="2:6" x14ac:dyDescent="0.2">
      <c r="B552" s="598"/>
      <c r="E552" s="598"/>
      <c r="F552" s="598"/>
    </row>
    <row r="553" spans="2:6" x14ac:dyDescent="0.2">
      <c r="B553" s="598"/>
      <c r="E553" s="598"/>
      <c r="F553" s="598"/>
    </row>
    <row r="554" spans="2:6" x14ac:dyDescent="0.2">
      <c r="B554" s="598"/>
      <c r="E554" s="598"/>
      <c r="F554" s="598"/>
    </row>
    <row r="555" spans="2:6" x14ac:dyDescent="0.2">
      <c r="B555" s="598"/>
      <c r="E555" s="598"/>
      <c r="F555" s="598"/>
    </row>
    <row r="556" spans="2:6" x14ac:dyDescent="0.2">
      <c r="B556" s="598"/>
      <c r="E556" s="598"/>
      <c r="F556" s="598"/>
    </row>
    <row r="557" spans="2:6" x14ac:dyDescent="0.2">
      <c r="B557" s="598"/>
      <c r="E557" s="598"/>
      <c r="F557" s="598"/>
    </row>
    <row r="558" spans="2:6" x14ac:dyDescent="0.2">
      <c r="B558" s="598"/>
      <c r="E558" s="598"/>
      <c r="F558" s="598"/>
    </row>
    <row r="559" spans="2:6" x14ac:dyDescent="0.2">
      <c r="B559" s="598"/>
      <c r="E559" s="598"/>
      <c r="F559" s="598"/>
    </row>
    <row r="560" spans="2:6" x14ac:dyDescent="0.2">
      <c r="B560" s="598"/>
      <c r="E560" s="598"/>
      <c r="F560" s="598"/>
    </row>
    <row r="561" spans="2:6" x14ac:dyDescent="0.2">
      <c r="B561" s="598"/>
      <c r="E561" s="598"/>
      <c r="F561" s="598"/>
    </row>
    <row r="562" spans="2:6" x14ac:dyDescent="0.2">
      <c r="B562" s="598"/>
      <c r="E562" s="598"/>
      <c r="F562" s="598"/>
    </row>
    <row r="563" spans="2:6" x14ac:dyDescent="0.2">
      <c r="B563" s="598"/>
      <c r="E563" s="598"/>
      <c r="F563" s="598"/>
    </row>
    <row r="564" spans="2:6" x14ac:dyDescent="0.2">
      <c r="B564" s="598"/>
      <c r="E564" s="598"/>
      <c r="F564" s="598"/>
    </row>
    <row r="565" spans="2:6" x14ac:dyDescent="0.2">
      <c r="B565" s="598"/>
      <c r="E565" s="598"/>
      <c r="F565" s="598"/>
    </row>
    <row r="566" spans="2:6" x14ac:dyDescent="0.2">
      <c r="B566" s="598"/>
      <c r="E566" s="598"/>
      <c r="F566" s="598"/>
    </row>
    <row r="567" spans="2:6" x14ac:dyDescent="0.2">
      <c r="B567" s="598"/>
      <c r="E567" s="598"/>
      <c r="F567" s="598"/>
    </row>
    <row r="568" spans="2:6" x14ac:dyDescent="0.2">
      <c r="B568" s="598"/>
      <c r="E568" s="598"/>
      <c r="F568" s="598"/>
    </row>
    <row r="569" spans="2:6" x14ac:dyDescent="0.2">
      <c r="B569" s="598"/>
      <c r="E569" s="598"/>
      <c r="F569" s="598"/>
    </row>
    <row r="570" spans="2:6" x14ac:dyDescent="0.2">
      <c r="B570" s="598"/>
      <c r="E570" s="598"/>
      <c r="F570" s="598"/>
    </row>
    <row r="571" spans="2:6" x14ac:dyDescent="0.2">
      <c r="B571" s="598"/>
      <c r="E571" s="598"/>
      <c r="F571" s="598"/>
    </row>
    <row r="572" spans="2:6" x14ac:dyDescent="0.2">
      <c r="B572" s="598"/>
      <c r="E572" s="598"/>
      <c r="F572" s="598"/>
    </row>
    <row r="573" spans="2:6" x14ac:dyDescent="0.2">
      <c r="B573" s="598"/>
      <c r="E573" s="598"/>
      <c r="F573" s="598"/>
    </row>
    <row r="574" spans="2:6" x14ac:dyDescent="0.2">
      <c r="B574" s="598"/>
      <c r="E574" s="598"/>
      <c r="F574" s="598"/>
    </row>
    <row r="575" spans="2:6" x14ac:dyDescent="0.2">
      <c r="B575" s="598"/>
      <c r="E575" s="598"/>
      <c r="F575" s="598"/>
    </row>
    <row r="576" spans="2:6" x14ac:dyDescent="0.2">
      <c r="B576" s="598"/>
      <c r="E576" s="598"/>
      <c r="F576" s="598"/>
    </row>
    <row r="577" spans="2:6" x14ac:dyDescent="0.2">
      <c r="B577" s="598"/>
      <c r="E577" s="598"/>
      <c r="F577" s="598"/>
    </row>
    <row r="578" spans="2:6" x14ac:dyDescent="0.2">
      <c r="B578" s="598"/>
      <c r="E578" s="598"/>
      <c r="F578" s="598"/>
    </row>
    <row r="579" spans="2:6" x14ac:dyDescent="0.2">
      <c r="B579" s="598"/>
      <c r="E579" s="598"/>
      <c r="F579" s="598"/>
    </row>
    <row r="580" spans="2:6" x14ac:dyDescent="0.2">
      <c r="B580" s="598"/>
      <c r="E580" s="598"/>
      <c r="F580" s="598"/>
    </row>
    <row r="581" spans="2:6" x14ac:dyDescent="0.2">
      <c r="B581" s="598"/>
      <c r="E581" s="598"/>
      <c r="F581" s="598"/>
    </row>
    <row r="582" spans="2:6" x14ac:dyDescent="0.2">
      <c r="B582" s="598"/>
      <c r="E582" s="598"/>
      <c r="F582" s="598"/>
    </row>
    <row r="583" spans="2:6" x14ac:dyDescent="0.2">
      <c r="B583" s="598"/>
      <c r="E583" s="598"/>
      <c r="F583" s="598"/>
    </row>
    <row r="584" spans="2:6" x14ac:dyDescent="0.2">
      <c r="B584" s="598"/>
      <c r="E584" s="598"/>
      <c r="F584" s="598"/>
    </row>
    <row r="585" spans="2:6" x14ac:dyDescent="0.2">
      <c r="B585" s="598"/>
      <c r="E585" s="598"/>
      <c r="F585" s="598"/>
    </row>
    <row r="586" spans="2:6" x14ac:dyDescent="0.2">
      <c r="B586" s="598"/>
      <c r="E586" s="598"/>
      <c r="F586" s="598"/>
    </row>
    <row r="587" spans="2:6" x14ac:dyDescent="0.2">
      <c r="B587" s="598"/>
      <c r="E587" s="598"/>
      <c r="F587" s="598"/>
    </row>
    <row r="588" spans="2:6" x14ac:dyDescent="0.2">
      <c r="B588" s="598"/>
      <c r="E588" s="598"/>
      <c r="F588" s="598"/>
    </row>
    <row r="589" spans="2:6" x14ac:dyDescent="0.2">
      <c r="B589" s="598"/>
      <c r="E589" s="598"/>
      <c r="F589" s="598"/>
    </row>
    <row r="590" spans="2:6" x14ac:dyDescent="0.2">
      <c r="B590" s="598"/>
      <c r="E590" s="598"/>
      <c r="F590" s="598"/>
    </row>
    <row r="591" spans="2:6" x14ac:dyDescent="0.2">
      <c r="B591" s="598"/>
      <c r="E591" s="598"/>
      <c r="F591" s="598"/>
    </row>
    <row r="592" spans="2:6" x14ac:dyDescent="0.2">
      <c r="B592" s="598"/>
      <c r="E592" s="598"/>
      <c r="F592" s="598"/>
    </row>
    <row r="593" spans="2:6" x14ac:dyDescent="0.2">
      <c r="B593" s="598"/>
      <c r="E593" s="598"/>
      <c r="F593" s="598"/>
    </row>
    <row r="594" spans="2:6" x14ac:dyDescent="0.2">
      <c r="B594" s="598"/>
      <c r="E594" s="598"/>
      <c r="F594" s="598"/>
    </row>
    <row r="595" spans="2:6" x14ac:dyDescent="0.2">
      <c r="B595" s="598"/>
      <c r="E595" s="598"/>
      <c r="F595" s="598"/>
    </row>
    <row r="596" spans="2:6" x14ac:dyDescent="0.2">
      <c r="B596" s="598"/>
      <c r="E596" s="598"/>
      <c r="F596" s="598"/>
    </row>
    <row r="597" spans="2:6" x14ac:dyDescent="0.2">
      <c r="B597" s="598"/>
      <c r="E597" s="598"/>
      <c r="F597" s="598"/>
    </row>
    <row r="598" spans="2:6" x14ac:dyDescent="0.2">
      <c r="B598" s="598"/>
      <c r="E598" s="598"/>
      <c r="F598" s="598"/>
    </row>
    <row r="599" spans="2:6" x14ac:dyDescent="0.2">
      <c r="B599" s="598"/>
      <c r="E599" s="598"/>
      <c r="F599" s="598"/>
    </row>
    <row r="600" spans="2:6" x14ac:dyDescent="0.2">
      <c r="B600" s="598"/>
      <c r="E600" s="598"/>
      <c r="F600" s="598"/>
    </row>
    <row r="601" spans="2:6" x14ac:dyDescent="0.2">
      <c r="B601" s="598"/>
      <c r="E601" s="598"/>
      <c r="F601" s="598"/>
    </row>
    <row r="602" spans="2:6" x14ac:dyDescent="0.2">
      <c r="B602" s="598"/>
      <c r="E602" s="598"/>
      <c r="F602" s="598"/>
    </row>
    <row r="603" spans="2:6" x14ac:dyDescent="0.2">
      <c r="B603" s="598"/>
      <c r="E603" s="598"/>
      <c r="F603" s="598"/>
    </row>
    <row r="604" spans="2:6" x14ac:dyDescent="0.2">
      <c r="B604" s="598"/>
      <c r="E604" s="598"/>
      <c r="F604" s="598"/>
    </row>
    <row r="605" spans="2:6" x14ac:dyDescent="0.2">
      <c r="B605" s="598"/>
      <c r="E605" s="598"/>
      <c r="F605" s="598"/>
    </row>
    <row r="606" spans="2:6" x14ac:dyDescent="0.2">
      <c r="B606" s="598"/>
      <c r="E606" s="598"/>
      <c r="F606" s="598"/>
    </row>
    <row r="607" spans="2:6" x14ac:dyDescent="0.2">
      <c r="B607" s="598"/>
      <c r="E607" s="598"/>
      <c r="F607" s="598"/>
    </row>
    <row r="608" spans="2:6" x14ac:dyDescent="0.2">
      <c r="B608" s="598"/>
      <c r="E608" s="598"/>
      <c r="F608" s="598"/>
    </row>
    <row r="609" spans="2:6" x14ac:dyDescent="0.2">
      <c r="B609" s="598"/>
      <c r="E609" s="598"/>
      <c r="F609" s="598"/>
    </row>
    <row r="610" spans="2:6" x14ac:dyDescent="0.2">
      <c r="B610" s="598"/>
      <c r="E610" s="598"/>
      <c r="F610" s="598"/>
    </row>
    <row r="611" spans="2:6" x14ac:dyDescent="0.2">
      <c r="B611" s="598"/>
      <c r="E611" s="598"/>
      <c r="F611" s="598"/>
    </row>
    <row r="612" spans="2:6" x14ac:dyDescent="0.2">
      <c r="B612" s="598"/>
      <c r="E612" s="598"/>
      <c r="F612" s="598"/>
    </row>
    <row r="613" spans="2:6" x14ac:dyDescent="0.2">
      <c r="B613" s="598"/>
      <c r="E613" s="598"/>
      <c r="F613" s="598"/>
    </row>
    <row r="614" spans="2:6" x14ac:dyDescent="0.2">
      <c r="B614" s="598"/>
      <c r="E614" s="598"/>
      <c r="F614" s="598"/>
    </row>
    <row r="615" spans="2:6" x14ac:dyDescent="0.2">
      <c r="B615" s="598"/>
      <c r="E615" s="598"/>
      <c r="F615" s="598"/>
    </row>
    <row r="616" spans="2:6" x14ac:dyDescent="0.2">
      <c r="B616" s="598"/>
      <c r="E616" s="598"/>
      <c r="F616" s="598"/>
    </row>
    <row r="617" spans="2:6" x14ac:dyDescent="0.2">
      <c r="B617" s="598"/>
      <c r="E617" s="598"/>
      <c r="F617" s="598"/>
    </row>
    <row r="618" spans="2:6" x14ac:dyDescent="0.2">
      <c r="B618" s="598"/>
      <c r="E618" s="598"/>
      <c r="F618" s="598"/>
    </row>
    <row r="619" spans="2:6" x14ac:dyDescent="0.2">
      <c r="B619" s="598"/>
      <c r="E619" s="598"/>
      <c r="F619" s="598"/>
    </row>
    <row r="620" spans="2:6" x14ac:dyDescent="0.2">
      <c r="B620" s="598"/>
      <c r="E620" s="598"/>
      <c r="F620" s="598"/>
    </row>
    <row r="621" spans="2:6" x14ac:dyDescent="0.2">
      <c r="B621" s="598"/>
      <c r="E621" s="598"/>
      <c r="F621" s="598"/>
    </row>
    <row r="622" spans="2:6" x14ac:dyDescent="0.2">
      <c r="B622" s="598"/>
      <c r="E622" s="598"/>
      <c r="F622" s="598"/>
    </row>
    <row r="623" spans="2:6" x14ac:dyDescent="0.2">
      <c r="B623" s="598"/>
      <c r="E623" s="598"/>
      <c r="F623" s="598"/>
    </row>
    <row r="624" spans="2:6" x14ac:dyDescent="0.2">
      <c r="B624" s="598"/>
      <c r="E624" s="598"/>
      <c r="F624" s="598"/>
    </row>
    <row r="625" spans="2:6" x14ac:dyDescent="0.2">
      <c r="B625" s="598"/>
      <c r="E625" s="598"/>
      <c r="F625" s="598"/>
    </row>
    <row r="626" spans="2:6" x14ac:dyDescent="0.2">
      <c r="B626" s="598"/>
      <c r="E626" s="598"/>
      <c r="F626" s="598"/>
    </row>
    <row r="627" spans="2:6" x14ac:dyDescent="0.2">
      <c r="B627" s="598"/>
      <c r="E627" s="598"/>
      <c r="F627" s="598"/>
    </row>
    <row r="628" spans="2:6" x14ac:dyDescent="0.2">
      <c r="B628" s="598"/>
      <c r="E628" s="598"/>
      <c r="F628" s="598"/>
    </row>
    <row r="629" spans="2:6" x14ac:dyDescent="0.2">
      <c r="B629" s="598"/>
      <c r="E629" s="598"/>
      <c r="F629" s="598"/>
    </row>
    <row r="630" spans="2:6" x14ac:dyDescent="0.2">
      <c r="B630" s="598"/>
      <c r="E630" s="598"/>
      <c r="F630" s="598"/>
    </row>
    <row r="631" spans="2:6" x14ac:dyDescent="0.2">
      <c r="B631" s="598"/>
      <c r="E631" s="598"/>
      <c r="F631" s="598"/>
    </row>
    <row r="632" spans="2:6" x14ac:dyDescent="0.2">
      <c r="B632" s="598"/>
      <c r="E632" s="598"/>
      <c r="F632" s="598"/>
    </row>
    <row r="633" spans="2:6" x14ac:dyDescent="0.2">
      <c r="B633" s="598"/>
      <c r="E633" s="598"/>
      <c r="F633" s="598"/>
    </row>
    <row r="634" spans="2:6" x14ac:dyDescent="0.2">
      <c r="B634" s="598"/>
      <c r="E634" s="598"/>
      <c r="F634" s="598"/>
    </row>
    <row r="635" spans="2:6" x14ac:dyDescent="0.2">
      <c r="B635" s="598"/>
      <c r="E635" s="598"/>
      <c r="F635" s="598"/>
    </row>
    <row r="636" spans="2:6" x14ac:dyDescent="0.2">
      <c r="B636" s="598"/>
      <c r="E636" s="598"/>
      <c r="F636" s="598"/>
    </row>
    <row r="637" spans="2:6" x14ac:dyDescent="0.2">
      <c r="B637" s="598"/>
      <c r="E637" s="598"/>
      <c r="F637" s="598"/>
    </row>
    <row r="638" spans="2:6" x14ac:dyDescent="0.2">
      <c r="B638" s="598"/>
      <c r="E638" s="598"/>
      <c r="F638" s="598"/>
    </row>
    <row r="639" spans="2:6" x14ac:dyDescent="0.2">
      <c r="B639" s="598"/>
      <c r="E639" s="598"/>
      <c r="F639" s="598"/>
    </row>
    <row r="640" spans="2:6" x14ac:dyDescent="0.2">
      <c r="B640" s="598"/>
      <c r="E640" s="598"/>
      <c r="F640" s="598"/>
    </row>
    <row r="641" spans="2:6" x14ac:dyDescent="0.2">
      <c r="B641" s="598"/>
      <c r="E641" s="598"/>
      <c r="F641" s="598"/>
    </row>
    <row r="642" spans="2:6" x14ac:dyDescent="0.2">
      <c r="B642" s="598"/>
      <c r="E642" s="598"/>
      <c r="F642" s="598"/>
    </row>
    <row r="643" spans="2:6" x14ac:dyDescent="0.2">
      <c r="B643" s="598"/>
      <c r="E643" s="598"/>
      <c r="F643" s="598"/>
    </row>
    <row r="644" spans="2:6" x14ac:dyDescent="0.2">
      <c r="B644" s="598"/>
      <c r="E644" s="598"/>
      <c r="F644" s="598"/>
    </row>
    <row r="645" spans="2:6" x14ac:dyDescent="0.2">
      <c r="B645" s="598"/>
      <c r="E645" s="598"/>
      <c r="F645" s="598"/>
    </row>
    <row r="646" spans="2:6" x14ac:dyDescent="0.2">
      <c r="B646" s="598"/>
      <c r="E646" s="598"/>
      <c r="F646" s="598"/>
    </row>
    <row r="647" spans="2:6" x14ac:dyDescent="0.2">
      <c r="B647" s="598"/>
      <c r="E647" s="598"/>
      <c r="F647" s="598"/>
    </row>
    <row r="648" spans="2:6" x14ac:dyDescent="0.2">
      <c r="B648" s="598"/>
      <c r="E648" s="598"/>
      <c r="F648" s="598"/>
    </row>
    <row r="649" spans="2:6" x14ac:dyDescent="0.2">
      <c r="B649" s="598"/>
      <c r="E649" s="598"/>
      <c r="F649" s="598"/>
    </row>
    <row r="650" spans="2:6" x14ac:dyDescent="0.2">
      <c r="B650" s="598"/>
      <c r="E650" s="598"/>
      <c r="F650" s="598"/>
    </row>
    <row r="651" spans="2:6" x14ac:dyDescent="0.2">
      <c r="B651" s="598"/>
      <c r="E651" s="598"/>
      <c r="F651" s="598"/>
    </row>
    <row r="652" spans="2:6" x14ac:dyDescent="0.2">
      <c r="B652" s="598"/>
      <c r="E652" s="598"/>
      <c r="F652" s="598"/>
    </row>
    <row r="653" spans="2:6" x14ac:dyDescent="0.2">
      <c r="B653" s="598"/>
      <c r="E653" s="598"/>
      <c r="F653" s="598"/>
    </row>
    <row r="654" spans="2:6" x14ac:dyDescent="0.2">
      <c r="B654" s="598"/>
      <c r="E654" s="598"/>
      <c r="F654" s="598"/>
    </row>
    <row r="655" spans="2:6" x14ac:dyDescent="0.2">
      <c r="B655" s="598"/>
      <c r="E655" s="598"/>
      <c r="F655" s="598"/>
    </row>
    <row r="656" spans="2:6" x14ac:dyDescent="0.2">
      <c r="B656" s="598"/>
      <c r="E656" s="598"/>
      <c r="F656" s="598"/>
    </row>
    <row r="657" spans="2:6" x14ac:dyDescent="0.2">
      <c r="B657" s="598"/>
      <c r="E657" s="598"/>
      <c r="F657" s="598"/>
    </row>
    <row r="658" spans="2:6" x14ac:dyDescent="0.2">
      <c r="B658" s="598"/>
      <c r="E658" s="598"/>
      <c r="F658" s="598"/>
    </row>
    <row r="659" spans="2:6" x14ac:dyDescent="0.2">
      <c r="B659" s="598"/>
      <c r="E659" s="598"/>
      <c r="F659" s="598"/>
    </row>
    <row r="660" spans="2:6" x14ac:dyDescent="0.2">
      <c r="B660" s="598"/>
      <c r="E660" s="598"/>
      <c r="F660" s="598"/>
    </row>
    <row r="661" spans="2:6" x14ac:dyDescent="0.2">
      <c r="B661" s="598"/>
      <c r="E661" s="598"/>
      <c r="F661" s="598"/>
    </row>
    <row r="662" spans="2:6" x14ac:dyDescent="0.2">
      <c r="B662" s="598"/>
      <c r="E662" s="598"/>
      <c r="F662" s="598"/>
    </row>
    <row r="663" spans="2:6" x14ac:dyDescent="0.2">
      <c r="B663" s="598"/>
      <c r="E663" s="598"/>
      <c r="F663" s="598"/>
    </row>
    <row r="664" spans="2:6" x14ac:dyDescent="0.2">
      <c r="B664" s="598"/>
      <c r="E664" s="598"/>
      <c r="F664" s="598"/>
    </row>
    <row r="665" spans="2:6" x14ac:dyDescent="0.2">
      <c r="B665" s="598"/>
      <c r="E665" s="598"/>
      <c r="F665" s="598"/>
    </row>
    <row r="666" spans="2:6" x14ac:dyDescent="0.2">
      <c r="B666" s="598"/>
      <c r="E666" s="598"/>
      <c r="F666" s="598"/>
    </row>
    <row r="667" spans="2:6" x14ac:dyDescent="0.2">
      <c r="B667" s="598"/>
      <c r="E667" s="598"/>
      <c r="F667" s="598"/>
    </row>
    <row r="668" spans="2:6" x14ac:dyDescent="0.2">
      <c r="B668" s="598"/>
      <c r="E668" s="598"/>
      <c r="F668" s="598"/>
    </row>
    <row r="669" spans="2:6" x14ac:dyDescent="0.2">
      <c r="B669" s="598"/>
      <c r="E669" s="598"/>
      <c r="F669" s="598"/>
    </row>
    <row r="670" spans="2:6" x14ac:dyDescent="0.2">
      <c r="B670" s="598"/>
      <c r="E670" s="598"/>
      <c r="F670" s="598"/>
    </row>
    <row r="671" spans="2:6" x14ac:dyDescent="0.2">
      <c r="B671" s="598"/>
      <c r="E671" s="598"/>
      <c r="F671" s="598"/>
    </row>
    <row r="672" spans="2:6" x14ac:dyDescent="0.2">
      <c r="B672" s="598"/>
      <c r="E672" s="598"/>
      <c r="F672" s="598"/>
    </row>
    <row r="673" spans="2:6" x14ac:dyDescent="0.2">
      <c r="B673" s="598"/>
      <c r="E673" s="598"/>
      <c r="F673" s="598"/>
    </row>
    <row r="674" spans="2:6" x14ac:dyDescent="0.2">
      <c r="B674" s="598"/>
      <c r="E674" s="598"/>
      <c r="F674" s="598"/>
    </row>
    <row r="675" spans="2:6" x14ac:dyDescent="0.2">
      <c r="B675" s="598"/>
      <c r="E675" s="598"/>
      <c r="F675" s="598"/>
    </row>
    <row r="676" spans="2:6" x14ac:dyDescent="0.2">
      <c r="B676" s="598"/>
      <c r="E676" s="598"/>
      <c r="F676" s="598"/>
    </row>
    <row r="677" spans="2:6" x14ac:dyDescent="0.2">
      <c r="B677" s="598"/>
      <c r="E677" s="598"/>
      <c r="F677" s="598"/>
    </row>
    <row r="678" spans="2:6" x14ac:dyDescent="0.2">
      <c r="B678" s="598"/>
      <c r="E678" s="598"/>
      <c r="F678" s="598"/>
    </row>
    <row r="679" spans="2:6" x14ac:dyDescent="0.2">
      <c r="B679" s="598"/>
      <c r="E679" s="598"/>
      <c r="F679" s="598"/>
    </row>
    <row r="680" spans="2:6" x14ac:dyDescent="0.2">
      <c r="B680" s="598"/>
      <c r="E680" s="598"/>
      <c r="F680" s="598"/>
    </row>
    <row r="681" spans="2:6" x14ac:dyDescent="0.2">
      <c r="B681" s="598"/>
      <c r="E681" s="598"/>
      <c r="F681" s="598"/>
    </row>
    <row r="682" spans="2:6" x14ac:dyDescent="0.2">
      <c r="B682" s="598"/>
      <c r="E682" s="598"/>
      <c r="F682" s="598"/>
    </row>
    <row r="683" spans="2:6" x14ac:dyDescent="0.2">
      <c r="B683" s="598"/>
      <c r="E683" s="598"/>
      <c r="F683" s="598"/>
    </row>
    <row r="684" spans="2:6" x14ac:dyDescent="0.2">
      <c r="B684" s="598"/>
      <c r="E684" s="598"/>
      <c r="F684" s="598"/>
    </row>
    <row r="685" spans="2:6" x14ac:dyDescent="0.2">
      <c r="B685" s="598"/>
      <c r="E685" s="598"/>
      <c r="F685" s="598"/>
    </row>
    <row r="686" spans="2:6" x14ac:dyDescent="0.2">
      <c r="B686" s="598"/>
      <c r="E686" s="598"/>
      <c r="F686" s="598"/>
    </row>
    <row r="687" spans="2:6" x14ac:dyDescent="0.2">
      <c r="B687" s="598"/>
      <c r="E687" s="598"/>
      <c r="F687" s="598"/>
    </row>
    <row r="688" spans="2:6" x14ac:dyDescent="0.2">
      <c r="B688" s="598"/>
      <c r="E688" s="598"/>
      <c r="F688" s="598"/>
    </row>
    <row r="689" spans="2:6" x14ac:dyDescent="0.2">
      <c r="B689" s="598"/>
      <c r="E689" s="598"/>
      <c r="F689" s="598"/>
    </row>
    <row r="690" spans="2:6" x14ac:dyDescent="0.2">
      <c r="B690" s="598"/>
      <c r="E690" s="598"/>
      <c r="F690" s="598"/>
    </row>
    <row r="691" spans="2:6" x14ac:dyDescent="0.2">
      <c r="B691" s="598"/>
      <c r="E691" s="598"/>
      <c r="F691" s="598"/>
    </row>
    <row r="692" spans="2:6" x14ac:dyDescent="0.2">
      <c r="B692" s="598"/>
      <c r="E692" s="598"/>
      <c r="F692" s="598"/>
    </row>
    <row r="693" spans="2:6" x14ac:dyDescent="0.2">
      <c r="B693" s="598"/>
      <c r="E693" s="598"/>
      <c r="F693" s="598"/>
    </row>
    <row r="694" spans="2:6" x14ac:dyDescent="0.2">
      <c r="B694" s="598"/>
      <c r="E694" s="598"/>
      <c r="F694" s="598"/>
    </row>
    <row r="695" spans="2:6" x14ac:dyDescent="0.2">
      <c r="B695" s="598"/>
      <c r="E695" s="598"/>
      <c r="F695" s="598"/>
    </row>
    <row r="696" spans="2:6" x14ac:dyDescent="0.2">
      <c r="B696" s="598"/>
      <c r="E696" s="598"/>
      <c r="F696" s="598"/>
    </row>
    <row r="697" spans="2:6" x14ac:dyDescent="0.2">
      <c r="B697" s="598"/>
      <c r="E697" s="598"/>
      <c r="F697" s="598"/>
    </row>
    <row r="698" spans="2:6" x14ac:dyDescent="0.2">
      <c r="B698" s="598"/>
      <c r="E698" s="598"/>
      <c r="F698" s="598"/>
    </row>
    <row r="699" spans="2:6" x14ac:dyDescent="0.2">
      <c r="B699" s="598"/>
      <c r="E699" s="598"/>
      <c r="F699" s="598"/>
    </row>
    <row r="700" spans="2:6" x14ac:dyDescent="0.2">
      <c r="B700" s="598"/>
      <c r="E700" s="598"/>
      <c r="F700" s="598"/>
    </row>
    <row r="701" spans="2:6" x14ac:dyDescent="0.2">
      <c r="B701" s="598"/>
      <c r="E701" s="598"/>
      <c r="F701" s="598"/>
    </row>
    <row r="702" spans="2:6" x14ac:dyDescent="0.2">
      <c r="B702" s="598"/>
      <c r="E702" s="598"/>
      <c r="F702" s="598"/>
    </row>
    <row r="703" spans="2:6" x14ac:dyDescent="0.2">
      <c r="B703" s="598"/>
      <c r="E703" s="598"/>
      <c r="F703" s="598"/>
    </row>
    <row r="704" spans="2:6" x14ac:dyDescent="0.2">
      <c r="B704" s="598"/>
      <c r="E704" s="598"/>
      <c r="F704" s="598"/>
    </row>
    <row r="705" spans="2:6" x14ac:dyDescent="0.2">
      <c r="B705" s="598"/>
      <c r="E705" s="598"/>
      <c r="F705" s="598"/>
    </row>
    <row r="706" spans="2:6" x14ac:dyDescent="0.2">
      <c r="B706" s="598"/>
      <c r="E706" s="598"/>
      <c r="F706" s="598"/>
    </row>
    <row r="707" spans="2:6" x14ac:dyDescent="0.2">
      <c r="B707" s="598"/>
      <c r="E707" s="598"/>
      <c r="F707" s="598"/>
    </row>
    <row r="708" spans="2:6" x14ac:dyDescent="0.2">
      <c r="B708" s="598"/>
      <c r="E708" s="598"/>
      <c r="F708" s="598"/>
    </row>
    <row r="709" spans="2:6" x14ac:dyDescent="0.2">
      <c r="B709" s="598"/>
      <c r="E709" s="598"/>
      <c r="F709" s="598"/>
    </row>
    <row r="710" spans="2:6" x14ac:dyDescent="0.2">
      <c r="B710" s="598"/>
      <c r="E710" s="598"/>
      <c r="F710" s="598"/>
    </row>
    <row r="711" spans="2:6" x14ac:dyDescent="0.2">
      <c r="B711" s="598"/>
      <c r="E711" s="598"/>
      <c r="F711" s="598"/>
    </row>
    <row r="712" spans="2:6" x14ac:dyDescent="0.2">
      <c r="B712" s="598"/>
      <c r="E712" s="598"/>
      <c r="F712" s="598"/>
    </row>
    <row r="713" spans="2:6" x14ac:dyDescent="0.2">
      <c r="B713" s="598"/>
      <c r="E713" s="598"/>
      <c r="F713" s="598"/>
    </row>
    <row r="714" spans="2:6" x14ac:dyDescent="0.2">
      <c r="B714" s="598"/>
      <c r="E714" s="598"/>
      <c r="F714" s="598"/>
    </row>
    <row r="715" spans="2:6" x14ac:dyDescent="0.2">
      <c r="B715" s="598"/>
      <c r="E715" s="598"/>
      <c r="F715" s="598"/>
    </row>
    <row r="716" spans="2:6" x14ac:dyDescent="0.2">
      <c r="B716" s="598"/>
      <c r="E716" s="598"/>
      <c r="F716" s="598"/>
    </row>
    <row r="717" spans="2:6" x14ac:dyDescent="0.2">
      <c r="B717" s="598"/>
      <c r="E717" s="598"/>
      <c r="F717" s="598"/>
    </row>
    <row r="718" spans="2:6" x14ac:dyDescent="0.2">
      <c r="B718" s="598"/>
      <c r="E718" s="598"/>
      <c r="F718" s="598"/>
    </row>
    <row r="719" spans="2:6" x14ac:dyDescent="0.2">
      <c r="B719" s="598"/>
      <c r="E719" s="598"/>
      <c r="F719" s="598"/>
    </row>
    <row r="720" spans="2:6" x14ac:dyDescent="0.2">
      <c r="B720" s="598"/>
      <c r="E720" s="598"/>
      <c r="F720" s="598"/>
    </row>
    <row r="721" spans="2:6" x14ac:dyDescent="0.2">
      <c r="B721" s="598"/>
      <c r="E721" s="598"/>
      <c r="F721" s="598"/>
    </row>
    <row r="722" spans="2:6" x14ac:dyDescent="0.2">
      <c r="B722" s="598"/>
      <c r="E722" s="598"/>
      <c r="F722" s="598"/>
    </row>
    <row r="723" spans="2:6" x14ac:dyDescent="0.2">
      <c r="B723" s="598"/>
      <c r="E723" s="598"/>
      <c r="F723" s="598"/>
    </row>
    <row r="724" spans="2:6" x14ac:dyDescent="0.2">
      <c r="B724" s="598"/>
      <c r="E724" s="598"/>
      <c r="F724" s="598"/>
    </row>
    <row r="725" spans="2:6" x14ac:dyDescent="0.2">
      <c r="B725" s="598"/>
      <c r="E725" s="598"/>
      <c r="F725" s="598"/>
    </row>
    <row r="726" spans="2:6" x14ac:dyDescent="0.2">
      <c r="B726" s="598"/>
      <c r="E726" s="598"/>
      <c r="F726" s="598"/>
    </row>
    <row r="727" spans="2:6" x14ac:dyDescent="0.2">
      <c r="B727" s="598"/>
      <c r="E727" s="598"/>
      <c r="F727" s="598"/>
    </row>
    <row r="728" spans="2:6" x14ac:dyDescent="0.2">
      <c r="B728" s="598"/>
      <c r="E728" s="598"/>
      <c r="F728" s="598"/>
    </row>
    <row r="729" spans="2:6" x14ac:dyDescent="0.2">
      <c r="B729" s="598"/>
      <c r="E729" s="598"/>
      <c r="F729" s="598"/>
    </row>
    <row r="730" spans="2:6" x14ac:dyDescent="0.2">
      <c r="B730" s="598"/>
      <c r="E730" s="598"/>
      <c r="F730" s="598"/>
    </row>
    <row r="731" spans="2:6" x14ac:dyDescent="0.2">
      <c r="B731" s="598"/>
      <c r="E731" s="598"/>
      <c r="F731" s="598"/>
    </row>
    <row r="732" spans="2:6" x14ac:dyDescent="0.2">
      <c r="B732" s="598"/>
      <c r="E732" s="598"/>
      <c r="F732" s="598"/>
    </row>
    <row r="733" spans="2:6" x14ac:dyDescent="0.2">
      <c r="B733" s="598"/>
      <c r="E733" s="598"/>
      <c r="F733" s="598"/>
    </row>
    <row r="734" spans="2:6" x14ac:dyDescent="0.2">
      <c r="B734" s="598"/>
      <c r="E734" s="598"/>
      <c r="F734" s="598"/>
    </row>
    <row r="735" spans="2:6" x14ac:dyDescent="0.2">
      <c r="B735" s="598"/>
      <c r="E735" s="598"/>
      <c r="F735" s="598"/>
    </row>
    <row r="736" spans="2:6" x14ac:dyDescent="0.2">
      <c r="B736" s="598"/>
      <c r="E736" s="598"/>
      <c r="F736" s="598"/>
    </row>
    <row r="737" spans="2:6" x14ac:dyDescent="0.2">
      <c r="B737" s="598"/>
      <c r="E737" s="598"/>
      <c r="F737" s="598"/>
    </row>
    <row r="738" spans="2:6" x14ac:dyDescent="0.2">
      <c r="B738" s="598"/>
      <c r="E738" s="598"/>
      <c r="F738" s="598"/>
    </row>
    <row r="739" spans="2:6" x14ac:dyDescent="0.2">
      <c r="B739" s="598"/>
      <c r="E739" s="598"/>
      <c r="F739" s="598"/>
    </row>
    <row r="740" spans="2:6" x14ac:dyDescent="0.2">
      <c r="B740" s="598"/>
      <c r="E740" s="598"/>
      <c r="F740" s="598"/>
    </row>
    <row r="741" spans="2:6" x14ac:dyDescent="0.2">
      <c r="B741" s="598"/>
      <c r="E741" s="598"/>
      <c r="F741" s="598"/>
    </row>
    <row r="742" spans="2:6" x14ac:dyDescent="0.2">
      <c r="B742" s="598"/>
      <c r="E742" s="598"/>
      <c r="F742" s="598"/>
    </row>
    <row r="743" spans="2:6" x14ac:dyDescent="0.2">
      <c r="B743" s="598"/>
      <c r="E743" s="598"/>
      <c r="F743" s="598"/>
    </row>
    <row r="744" spans="2:6" x14ac:dyDescent="0.2">
      <c r="B744" s="598"/>
      <c r="E744" s="598"/>
      <c r="F744" s="598"/>
    </row>
    <row r="745" spans="2:6" x14ac:dyDescent="0.2">
      <c r="B745" s="598"/>
      <c r="E745" s="598"/>
      <c r="F745" s="598"/>
    </row>
    <row r="746" spans="2:6" x14ac:dyDescent="0.2">
      <c r="B746" s="598"/>
      <c r="E746" s="598"/>
      <c r="F746" s="598"/>
    </row>
    <row r="747" spans="2:6" x14ac:dyDescent="0.2">
      <c r="B747" s="598"/>
      <c r="E747" s="598"/>
      <c r="F747" s="598"/>
    </row>
    <row r="748" spans="2:6" x14ac:dyDescent="0.2">
      <c r="B748" s="598"/>
      <c r="E748" s="598"/>
      <c r="F748" s="598"/>
    </row>
    <row r="749" spans="2:6" x14ac:dyDescent="0.2">
      <c r="B749" s="598"/>
      <c r="E749" s="598"/>
      <c r="F749" s="598"/>
    </row>
    <row r="750" spans="2:6" x14ac:dyDescent="0.2">
      <c r="B750" s="598"/>
      <c r="E750" s="598"/>
      <c r="F750" s="598"/>
    </row>
    <row r="751" spans="2:6" x14ac:dyDescent="0.2">
      <c r="B751" s="598"/>
      <c r="E751" s="598"/>
      <c r="F751" s="598"/>
    </row>
    <row r="752" spans="2:6" x14ac:dyDescent="0.2">
      <c r="B752" s="598"/>
      <c r="E752" s="598"/>
      <c r="F752" s="598"/>
    </row>
    <row r="753" spans="2:6" x14ac:dyDescent="0.2">
      <c r="B753" s="598"/>
      <c r="E753" s="598"/>
      <c r="F753" s="598"/>
    </row>
    <row r="754" spans="2:6" x14ac:dyDescent="0.2">
      <c r="B754" s="598"/>
      <c r="E754" s="598"/>
      <c r="F754" s="598"/>
    </row>
    <row r="755" spans="2:6" x14ac:dyDescent="0.2">
      <c r="B755" s="598"/>
      <c r="E755" s="598"/>
      <c r="F755" s="598"/>
    </row>
    <row r="756" spans="2:6" x14ac:dyDescent="0.2">
      <c r="B756" s="598"/>
      <c r="E756" s="598"/>
      <c r="F756" s="598"/>
    </row>
    <row r="757" spans="2:6" x14ac:dyDescent="0.2">
      <c r="B757" s="598"/>
      <c r="E757" s="598"/>
      <c r="F757" s="598"/>
    </row>
    <row r="758" spans="2:6" x14ac:dyDescent="0.2">
      <c r="B758" s="598"/>
      <c r="E758" s="598"/>
      <c r="F758" s="598"/>
    </row>
    <row r="759" spans="2:6" x14ac:dyDescent="0.2">
      <c r="B759" s="598"/>
      <c r="E759" s="598"/>
      <c r="F759" s="598"/>
    </row>
    <row r="760" spans="2:6" x14ac:dyDescent="0.2">
      <c r="B760" s="598"/>
      <c r="E760" s="598"/>
      <c r="F760" s="598"/>
    </row>
    <row r="761" spans="2:6" x14ac:dyDescent="0.2">
      <c r="B761" s="598"/>
      <c r="E761" s="598"/>
      <c r="F761" s="598"/>
    </row>
    <row r="762" spans="2:6" x14ac:dyDescent="0.2">
      <c r="B762" s="598"/>
      <c r="E762" s="598"/>
      <c r="F762" s="598"/>
    </row>
    <row r="763" spans="2:6" x14ac:dyDescent="0.2">
      <c r="B763" s="598"/>
      <c r="E763" s="598"/>
      <c r="F763" s="598"/>
    </row>
    <row r="764" spans="2:6" x14ac:dyDescent="0.2">
      <c r="B764" s="598"/>
      <c r="E764" s="598"/>
      <c r="F764" s="598"/>
    </row>
    <row r="765" spans="2:6" x14ac:dyDescent="0.2">
      <c r="B765" s="598"/>
      <c r="E765" s="598"/>
      <c r="F765" s="598"/>
    </row>
    <row r="766" spans="2:6" x14ac:dyDescent="0.2">
      <c r="B766" s="598"/>
      <c r="E766" s="598"/>
      <c r="F766" s="598"/>
    </row>
    <row r="767" spans="2:6" x14ac:dyDescent="0.2">
      <c r="B767" s="598"/>
      <c r="E767" s="598"/>
      <c r="F767" s="598"/>
    </row>
    <row r="768" spans="2:6" x14ac:dyDescent="0.2">
      <c r="B768" s="598"/>
      <c r="E768" s="598"/>
      <c r="F768" s="598"/>
    </row>
    <row r="769" spans="2:6" x14ac:dyDescent="0.2">
      <c r="B769" s="598"/>
      <c r="E769" s="598"/>
      <c r="F769" s="598"/>
    </row>
    <row r="770" spans="2:6" x14ac:dyDescent="0.2">
      <c r="B770" s="598"/>
      <c r="E770" s="598"/>
      <c r="F770" s="598"/>
    </row>
    <row r="771" spans="2:6" x14ac:dyDescent="0.2">
      <c r="B771" s="598"/>
      <c r="E771" s="598"/>
      <c r="F771" s="598"/>
    </row>
    <row r="772" spans="2:6" x14ac:dyDescent="0.2">
      <c r="B772" s="598"/>
      <c r="E772" s="598"/>
      <c r="F772" s="598"/>
    </row>
    <row r="773" spans="2:6" x14ac:dyDescent="0.2">
      <c r="B773" s="598"/>
      <c r="E773" s="598"/>
      <c r="F773" s="598"/>
    </row>
    <row r="774" spans="2:6" x14ac:dyDescent="0.2">
      <c r="B774" s="598"/>
      <c r="E774" s="598"/>
      <c r="F774" s="598"/>
    </row>
    <row r="775" spans="2:6" x14ac:dyDescent="0.2">
      <c r="B775" s="598"/>
      <c r="E775" s="598"/>
      <c r="F775" s="598"/>
    </row>
    <row r="776" spans="2:6" x14ac:dyDescent="0.2">
      <c r="B776" s="598"/>
      <c r="E776" s="598"/>
      <c r="F776" s="598"/>
    </row>
    <row r="777" spans="2:6" x14ac:dyDescent="0.2">
      <c r="B777" s="598"/>
      <c r="E777" s="598"/>
      <c r="F777" s="598"/>
    </row>
    <row r="778" spans="2:6" x14ac:dyDescent="0.2">
      <c r="B778" s="598"/>
      <c r="E778" s="598"/>
      <c r="F778" s="598"/>
    </row>
    <row r="779" spans="2:6" x14ac:dyDescent="0.2">
      <c r="B779" s="598"/>
      <c r="E779" s="598"/>
      <c r="F779" s="598"/>
    </row>
    <row r="780" spans="2:6" x14ac:dyDescent="0.2">
      <c r="B780" s="598"/>
      <c r="E780" s="598"/>
      <c r="F780" s="598"/>
    </row>
    <row r="781" spans="2:6" x14ac:dyDescent="0.2">
      <c r="B781" s="598"/>
      <c r="E781" s="598"/>
      <c r="F781" s="598"/>
    </row>
    <row r="782" spans="2:6" x14ac:dyDescent="0.2">
      <c r="B782" s="598"/>
      <c r="E782" s="598"/>
      <c r="F782" s="598"/>
    </row>
    <row r="783" spans="2:6" x14ac:dyDescent="0.2">
      <c r="B783" s="598"/>
      <c r="E783" s="598"/>
      <c r="F783" s="598"/>
    </row>
    <row r="784" spans="2:6" x14ac:dyDescent="0.2">
      <c r="B784" s="598"/>
      <c r="E784" s="598"/>
      <c r="F784" s="598"/>
    </row>
    <row r="785" spans="2:6" x14ac:dyDescent="0.2">
      <c r="B785" s="598"/>
      <c r="E785" s="598"/>
      <c r="F785" s="598"/>
    </row>
    <row r="786" spans="2:6" x14ac:dyDescent="0.2">
      <c r="B786" s="598"/>
      <c r="E786" s="598"/>
      <c r="F786" s="598"/>
    </row>
    <row r="787" spans="2:6" x14ac:dyDescent="0.2">
      <c r="B787" s="598"/>
      <c r="E787" s="598"/>
      <c r="F787" s="598"/>
    </row>
    <row r="788" spans="2:6" x14ac:dyDescent="0.2">
      <c r="B788" s="598"/>
      <c r="E788" s="598"/>
      <c r="F788" s="598"/>
    </row>
    <row r="789" spans="2:6" x14ac:dyDescent="0.2">
      <c r="B789" s="598"/>
      <c r="E789" s="598"/>
      <c r="F789" s="598"/>
    </row>
    <row r="790" spans="2:6" x14ac:dyDescent="0.2">
      <c r="B790" s="598"/>
      <c r="E790" s="598"/>
      <c r="F790" s="598"/>
    </row>
    <row r="791" spans="2:6" x14ac:dyDescent="0.2">
      <c r="B791" s="598"/>
      <c r="E791" s="598"/>
      <c r="F791" s="598"/>
    </row>
    <row r="792" spans="2:6" x14ac:dyDescent="0.2">
      <c r="B792" s="598"/>
      <c r="E792" s="598"/>
      <c r="F792" s="598"/>
    </row>
    <row r="793" spans="2:6" x14ac:dyDescent="0.2">
      <c r="B793" s="598"/>
      <c r="E793" s="598"/>
      <c r="F793" s="598"/>
    </row>
    <row r="794" spans="2:6" x14ac:dyDescent="0.2">
      <c r="B794" s="598"/>
      <c r="E794" s="598"/>
      <c r="F794" s="598"/>
    </row>
    <row r="795" spans="2:6" x14ac:dyDescent="0.2">
      <c r="B795" s="598"/>
      <c r="E795" s="598"/>
      <c r="F795" s="598"/>
    </row>
    <row r="796" spans="2:6" x14ac:dyDescent="0.2">
      <c r="B796" s="598"/>
      <c r="E796" s="598"/>
      <c r="F796" s="598"/>
    </row>
    <row r="797" spans="2:6" x14ac:dyDescent="0.2">
      <c r="B797" s="598"/>
      <c r="E797" s="598"/>
      <c r="F797" s="598"/>
    </row>
    <row r="798" spans="2:6" x14ac:dyDescent="0.2">
      <c r="B798" s="598"/>
      <c r="E798" s="598"/>
      <c r="F798" s="598"/>
    </row>
    <row r="799" spans="2:6" x14ac:dyDescent="0.2">
      <c r="B799" s="598"/>
      <c r="E799" s="598"/>
      <c r="F799" s="598"/>
    </row>
    <row r="800" spans="2:6" x14ac:dyDescent="0.2">
      <c r="B800" s="598"/>
      <c r="E800" s="598"/>
      <c r="F800" s="598"/>
    </row>
    <row r="801" spans="2:6" x14ac:dyDescent="0.2">
      <c r="B801" s="598"/>
      <c r="E801" s="598"/>
      <c r="F801" s="598"/>
    </row>
    <row r="802" spans="2:6" x14ac:dyDescent="0.2">
      <c r="B802" s="598"/>
      <c r="E802" s="598"/>
      <c r="F802" s="598"/>
    </row>
    <row r="803" spans="2:6" x14ac:dyDescent="0.2">
      <c r="B803" s="598"/>
      <c r="E803" s="598"/>
      <c r="F803" s="598"/>
    </row>
    <row r="804" spans="2:6" x14ac:dyDescent="0.2">
      <c r="B804" s="598"/>
      <c r="E804" s="598"/>
      <c r="F804" s="598"/>
    </row>
    <row r="805" spans="2:6" x14ac:dyDescent="0.2">
      <c r="B805" s="598"/>
      <c r="E805" s="598"/>
      <c r="F805" s="598"/>
    </row>
    <row r="806" spans="2:6" x14ac:dyDescent="0.2">
      <c r="B806" s="598"/>
      <c r="E806" s="598"/>
      <c r="F806" s="598"/>
    </row>
    <row r="807" spans="2:6" x14ac:dyDescent="0.2">
      <c r="B807" s="598"/>
      <c r="E807" s="598"/>
      <c r="F807" s="598"/>
    </row>
    <row r="808" spans="2:6" x14ac:dyDescent="0.2">
      <c r="B808" s="598"/>
      <c r="E808" s="598"/>
      <c r="F808" s="598"/>
    </row>
    <row r="809" spans="2:6" x14ac:dyDescent="0.2">
      <c r="B809" s="598"/>
      <c r="E809" s="598"/>
      <c r="F809" s="598"/>
    </row>
    <row r="810" spans="2:6" x14ac:dyDescent="0.2">
      <c r="B810" s="598"/>
      <c r="E810" s="598"/>
      <c r="F810" s="598"/>
    </row>
    <row r="811" spans="2:6" x14ac:dyDescent="0.2">
      <c r="B811" s="598"/>
      <c r="E811" s="598"/>
      <c r="F811" s="598"/>
    </row>
    <row r="812" spans="2:6" x14ac:dyDescent="0.2">
      <c r="B812" s="598"/>
      <c r="E812" s="598"/>
      <c r="F812" s="598"/>
    </row>
    <row r="813" spans="2:6" x14ac:dyDescent="0.2">
      <c r="B813" s="598"/>
      <c r="E813" s="598"/>
      <c r="F813" s="598"/>
    </row>
    <row r="814" spans="2:6" x14ac:dyDescent="0.2">
      <c r="B814" s="598"/>
      <c r="E814" s="598"/>
      <c r="F814" s="598"/>
    </row>
    <row r="815" spans="2:6" x14ac:dyDescent="0.2">
      <c r="B815" s="598"/>
      <c r="E815" s="598"/>
      <c r="F815" s="598"/>
    </row>
    <row r="816" spans="2:6" x14ac:dyDescent="0.2">
      <c r="B816" s="598"/>
      <c r="E816" s="598"/>
      <c r="F816" s="598"/>
    </row>
    <row r="817" spans="2:6" x14ac:dyDescent="0.2">
      <c r="B817" s="598"/>
      <c r="E817" s="598"/>
      <c r="F817" s="598"/>
    </row>
    <row r="818" spans="2:6" x14ac:dyDescent="0.2">
      <c r="B818" s="598"/>
      <c r="E818" s="598"/>
      <c r="F818" s="598"/>
    </row>
    <row r="819" spans="2:6" x14ac:dyDescent="0.2">
      <c r="B819" s="598"/>
      <c r="E819" s="598"/>
      <c r="F819" s="598"/>
    </row>
    <row r="820" spans="2:6" x14ac:dyDescent="0.2">
      <c r="B820" s="598"/>
      <c r="E820" s="598"/>
      <c r="F820" s="598"/>
    </row>
    <row r="821" spans="2:6" x14ac:dyDescent="0.2">
      <c r="B821" s="598"/>
      <c r="E821" s="598"/>
      <c r="F821" s="598"/>
    </row>
    <row r="822" spans="2:6" x14ac:dyDescent="0.2">
      <c r="B822" s="598"/>
      <c r="E822" s="598"/>
      <c r="F822" s="598"/>
    </row>
    <row r="823" spans="2:6" x14ac:dyDescent="0.2">
      <c r="B823" s="598"/>
      <c r="E823" s="598"/>
      <c r="F823" s="598"/>
    </row>
    <row r="824" spans="2:6" x14ac:dyDescent="0.2">
      <c r="B824" s="598"/>
      <c r="E824" s="598"/>
      <c r="F824" s="598"/>
    </row>
    <row r="825" spans="2:6" x14ac:dyDescent="0.2">
      <c r="B825" s="598"/>
      <c r="E825" s="598"/>
      <c r="F825" s="598"/>
    </row>
    <row r="826" spans="2:6" x14ac:dyDescent="0.2">
      <c r="B826" s="598"/>
      <c r="E826" s="598"/>
      <c r="F826" s="598"/>
    </row>
    <row r="827" spans="2:6" x14ac:dyDescent="0.2">
      <c r="B827" s="598"/>
      <c r="E827" s="598"/>
      <c r="F827" s="598"/>
    </row>
    <row r="828" spans="2:6" x14ac:dyDescent="0.2">
      <c r="B828" s="598"/>
      <c r="E828" s="598"/>
      <c r="F828" s="598"/>
    </row>
    <row r="829" spans="2:6" x14ac:dyDescent="0.2">
      <c r="B829" s="598"/>
      <c r="E829" s="598"/>
      <c r="F829" s="598"/>
    </row>
    <row r="830" spans="2:6" x14ac:dyDescent="0.2">
      <c r="B830" s="598"/>
      <c r="E830" s="598"/>
      <c r="F830" s="598"/>
    </row>
    <row r="831" spans="2:6" x14ac:dyDescent="0.2">
      <c r="B831" s="598"/>
      <c r="E831" s="598"/>
      <c r="F831" s="598"/>
    </row>
    <row r="832" spans="2:6" x14ac:dyDescent="0.2">
      <c r="B832" s="598"/>
      <c r="E832" s="598"/>
      <c r="F832" s="598"/>
    </row>
    <row r="833" spans="2:6" x14ac:dyDescent="0.2">
      <c r="B833" s="598"/>
      <c r="E833" s="598"/>
      <c r="F833" s="598"/>
    </row>
    <row r="834" spans="2:6" x14ac:dyDescent="0.2">
      <c r="B834" s="598"/>
      <c r="E834" s="598"/>
      <c r="F834" s="598"/>
    </row>
    <row r="835" spans="2:6" x14ac:dyDescent="0.2">
      <c r="B835" s="598"/>
      <c r="E835" s="598"/>
      <c r="F835" s="598"/>
    </row>
    <row r="836" spans="2:6" x14ac:dyDescent="0.2">
      <c r="B836" s="598"/>
      <c r="E836" s="598"/>
      <c r="F836" s="598"/>
    </row>
    <row r="837" spans="2:6" x14ac:dyDescent="0.2">
      <c r="B837" s="598"/>
      <c r="E837" s="598"/>
      <c r="F837" s="598"/>
    </row>
    <row r="838" spans="2:6" x14ac:dyDescent="0.2">
      <c r="B838" s="598"/>
      <c r="E838" s="598"/>
      <c r="F838" s="598"/>
    </row>
    <row r="839" spans="2:6" x14ac:dyDescent="0.2">
      <c r="B839" s="598"/>
      <c r="E839" s="598"/>
      <c r="F839" s="598"/>
    </row>
    <row r="840" spans="2:6" x14ac:dyDescent="0.2">
      <c r="B840" s="598"/>
      <c r="E840" s="598"/>
      <c r="F840" s="598"/>
    </row>
    <row r="841" spans="2:6" x14ac:dyDescent="0.2">
      <c r="B841" s="598"/>
      <c r="E841" s="598"/>
      <c r="F841" s="598"/>
    </row>
    <row r="842" spans="2:6" x14ac:dyDescent="0.2">
      <c r="B842" s="598"/>
      <c r="E842" s="598"/>
      <c r="F842" s="598"/>
    </row>
    <row r="843" spans="2:6" x14ac:dyDescent="0.2">
      <c r="B843" s="598"/>
      <c r="E843" s="598"/>
      <c r="F843" s="598"/>
    </row>
    <row r="844" spans="2:6" x14ac:dyDescent="0.2">
      <c r="B844" s="598"/>
      <c r="E844" s="598"/>
      <c r="F844" s="598"/>
    </row>
    <row r="845" spans="2:6" x14ac:dyDescent="0.2">
      <c r="B845" s="598"/>
      <c r="E845" s="598"/>
      <c r="F845" s="598"/>
    </row>
    <row r="846" spans="2:6" x14ac:dyDescent="0.2">
      <c r="B846" s="598"/>
      <c r="E846" s="598"/>
      <c r="F846" s="598"/>
    </row>
    <row r="847" spans="2:6" x14ac:dyDescent="0.2">
      <c r="B847" s="598"/>
      <c r="E847" s="598"/>
      <c r="F847" s="598"/>
    </row>
    <row r="848" spans="2:6" x14ac:dyDescent="0.2">
      <c r="B848" s="598"/>
      <c r="E848" s="598"/>
      <c r="F848" s="598"/>
    </row>
    <row r="849" spans="2:6" x14ac:dyDescent="0.2">
      <c r="B849" s="598"/>
      <c r="E849" s="598"/>
      <c r="F849" s="598"/>
    </row>
    <row r="850" spans="2:6" x14ac:dyDescent="0.2">
      <c r="B850" s="598"/>
      <c r="E850" s="598"/>
      <c r="F850" s="598"/>
    </row>
    <row r="851" spans="2:6" x14ac:dyDescent="0.2">
      <c r="B851" s="598"/>
      <c r="E851" s="598"/>
      <c r="F851" s="598"/>
    </row>
    <row r="852" spans="2:6" x14ac:dyDescent="0.2">
      <c r="B852" s="598"/>
      <c r="E852" s="598"/>
      <c r="F852" s="598"/>
    </row>
    <row r="853" spans="2:6" x14ac:dyDescent="0.2">
      <c r="B853" s="598"/>
      <c r="E853" s="598"/>
      <c r="F853" s="598"/>
    </row>
    <row r="854" spans="2:6" x14ac:dyDescent="0.2">
      <c r="B854" s="598"/>
      <c r="E854" s="598"/>
      <c r="F854" s="598"/>
    </row>
    <row r="855" spans="2:6" x14ac:dyDescent="0.2">
      <c r="B855" s="598"/>
      <c r="E855" s="598"/>
      <c r="F855" s="598"/>
    </row>
    <row r="856" spans="2:6" x14ac:dyDescent="0.2">
      <c r="B856" s="598"/>
      <c r="E856" s="598"/>
      <c r="F856" s="598"/>
    </row>
    <row r="857" spans="2:6" x14ac:dyDescent="0.2">
      <c r="B857" s="598"/>
      <c r="E857" s="598"/>
      <c r="F857" s="598"/>
    </row>
    <row r="858" spans="2:6" x14ac:dyDescent="0.2">
      <c r="B858" s="598"/>
      <c r="E858" s="598"/>
      <c r="F858" s="598"/>
    </row>
    <row r="859" spans="2:6" x14ac:dyDescent="0.2">
      <c r="B859" s="598"/>
      <c r="E859" s="598"/>
      <c r="F859" s="598"/>
    </row>
    <row r="860" spans="2:6" x14ac:dyDescent="0.2">
      <c r="B860" s="598"/>
      <c r="E860" s="598"/>
      <c r="F860" s="598"/>
    </row>
    <row r="861" spans="2:6" x14ac:dyDescent="0.2">
      <c r="B861" s="598"/>
      <c r="E861" s="598"/>
      <c r="F861" s="598"/>
    </row>
    <row r="862" spans="2:6" x14ac:dyDescent="0.2">
      <c r="B862" s="598"/>
      <c r="E862" s="598"/>
      <c r="F862" s="598"/>
    </row>
    <row r="863" spans="2:6" x14ac:dyDescent="0.2">
      <c r="B863" s="598"/>
      <c r="E863" s="598"/>
      <c r="F863" s="598"/>
    </row>
    <row r="864" spans="2:6" x14ac:dyDescent="0.2">
      <c r="B864" s="598"/>
      <c r="E864" s="598"/>
      <c r="F864" s="598"/>
    </row>
    <row r="865" spans="2:6" x14ac:dyDescent="0.2">
      <c r="B865" s="598"/>
      <c r="E865" s="598"/>
      <c r="F865" s="598"/>
    </row>
    <row r="866" spans="2:6" x14ac:dyDescent="0.2">
      <c r="B866" s="598"/>
      <c r="E866" s="598"/>
      <c r="F866" s="598"/>
    </row>
    <row r="867" spans="2:6" x14ac:dyDescent="0.2">
      <c r="B867" s="598"/>
      <c r="E867" s="598"/>
      <c r="F867" s="598"/>
    </row>
    <row r="868" spans="2:6" x14ac:dyDescent="0.2">
      <c r="B868" s="598"/>
      <c r="E868" s="598"/>
      <c r="F868" s="598"/>
    </row>
    <row r="869" spans="2:6" x14ac:dyDescent="0.2">
      <c r="B869" s="598"/>
      <c r="E869" s="598"/>
      <c r="F869" s="598"/>
    </row>
    <row r="870" spans="2:6" x14ac:dyDescent="0.2">
      <c r="B870" s="598"/>
      <c r="E870" s="598"/>
      <c r="F870" s="598"/>
    </row>
    <row r="871" spans="2:6" x14ac:dyDescent="0.2">
      <c r="B871" s="598"/>
      <c r="E871" s="598"/>
      <c r="F871" s="598"/>
    </row>
    <row r="872" spans="2:6" x14ac:dyDescent="0.2">
      <c r="B872" s="598"/>
      <c r="E872" s="598"/>
      <c r="F872" s="598"/>
    </row>
    <row r="873" spans="2:6" x14ac:dyDescent="0.2">
      <c r="B873" s="598"/>
      <c r="E873" s="598"/>
      <c r="F873" s="598"/>
    </row>
    <row r="874" spans="2:6" x14ac:dyDescent="0.2">
      <c r="B874" s="598"/>
      <c r="E874" s="598"/>
      <c r="F874" s="598"/>
    </row>
    <row r="875" spans="2:6" x14ac:dyDescent="0.2">
      <c r="B875" s="598"/>
      <c r="E875" s="598"/>
      <c r="F875" s="598"/>
    </row>
    <row r="876" spans="2:6" x14ac:dyDescent="0.2">
      <c r="B876" s="598"/>
      <c r="E876" s="598"/>
      <c r="F876" s="598"/>
    </row>
    <row r="877" spans="2:6" x14ac:dyDescent="0.2">
      <c r="B877" s="598"/>
      <c r="E877" s="598"/>
      <c r="F877" s="598"/>
    </row>
    <row r="878" spans="2:6" x14ac:dyDescent="0.2">
      <c r="B878" s="598"/>
      <c r="E878" s="598"/>
      <c r="F878" s="598"/>
    </row>
    <row r="879" spans="2:6" x14ac:dyDescent="0.2">
      <c r="B879" s="598"/>
      <c r="E879" s="598"/>
      <c r="F879" s="598"/>
    </row>
    <row r="880" spans="2:6" x14ac:dyDescent="0.2">
      <c r="B880" s="598"/>
      <c r="E880" s="598"/>
      <c r="F880" s="598"/>
    </row>
    <row r="881" spans="2:6" x14ac:dyDescent="0.2">
      <c r="B881" s="598"/>
      <c r="E881" s="598"/>
      <c r="F881" s="598"/>
    </row>
    <row r="882" spans="2:6" x14ac:dyDescent="0.2">
      <c r="B882" s="598"/>
      <c r="E882" s="598"/>
      <c r="F882" s="598"/>
    </row>
    <row r="883" spans="2:6" x14ac:dyDescent="0.2">
      <c r="B883" s="598"/>
      <c r="E883" s="598"/>
      <c r="F883" s="598"/>
    </row>
    <row r="884" spans="2:6" x14ac:dyDescent="0.2">
      <c r="B884" s="598"/>
      <c r="E884" s="598"/>
      <c r="F884" s="598"/>
    </row>
    <row r="885" spans="2:6" x14ac:dyDescent="0.2">
      <c r="B885" s="598"/>
      <c r="E885" s="598"/>
      <c r="F885" s="598"/>
    </row>
    <row r="886" spans="2:6" x14ac:dyDescent="0.2">
      <c r="B886" s="598"/>
      <c r="E886" s="598"/>
      <c r="F886" s="598"/>
    </row>
    <row r="887" spans="2:6" x14ac:dyDescent="0.2">
      <c r="B887" s="598"/>
      <c r="E887" s="598"/>
      <c r="F887" s="598"/>
    </row>
    <row r="888" spans="2:6" x14ac:dyDescent="0.2">
      <c r="B888" s="598"/>
      <c r="E888" s="598"/>
      <c r="F888" s="598"/>
    </row>
    <row r="889" spans="2:6" x14ac:dyDescent="0.2">
      <c r="B889" s="598"/>
      <c r="E889" s="598"/>
      <c r="F889" s="598"/>
    </row>
    <row r="890" spans="2:6" x14ac:dyDescent="0.2">
      <c r="B890" s="598"/>
      <c r="E890" s="598"/>
      <c r="F890" s="598"/>
    </row>
    <row r="891" spans="2:6" x14ac:dyDescent="0.2">
      <c r="B891" s="598"/>
      <c r="E891" s="598"/>
      <c r="F891" s="598"/>
    </row>
    <row r="892" spans="2:6" x14ac:dyDescent="0.2">
      <c r="B892" s="598"/>
      <c r="E892" s="598"/>
      <c r="F892" s="598"/>
    </row>
    <row r="893" spans="2:6" x14ac:dyDescent="0.2">
      <c r="B893" s="598"/>
      <c r="E893" s="598"/>
      <c r="F893" s="598"/>
    </row>
    <row r="894" spans="2:6" x14ac:dyDescent="0.2">
      <c r="B894" s="598"/>
      <c r="E894" s="598"/>
      <c r="F894" s="598"/>
    </row>
    <row r="895" spans="2:6" x14ac:dyDescent="0.2">
      <c r="B895" s="598"/>
      <c r="E895" s="598"/>
      <c r="F895" s="598"/>
    </row>
    <row r="896" spans="2:6" x14ac:dyDescent="0.2">
      <c r="B896" s="598"/>
      <c r="E896" s="598"/>
      <c r="F896" s="598"/>
    </row>
    <row r="897" spans="2:6" x14ac:dyDescent="0.2">
      <c r="B897" s="598"/>
      <c r="E897" s="598"/>
      <c r="F897" s="598"/>
    </row>
    <row r="898" spans="2:6" x14ac:dyDescent="0.2">
      <c r="B898" s="598"/>
      <c r="E898" s="598"/>
      <c r="F898" s="598"/>
    </row>
    <row r="899" spans="2:6" x14ac:dyDescent="0.2">
      <c r="B899" s="598"/>
      <c r="E899" s="598"/>
      <c r="F899" s="598"/>
    </row>
    <row r="900" spans="2:6" x14ac:dyDescent="0.2">
      <c r="B900" s="598"/>
      <c r="E900" s="598"/>
      <c r="F900" s="598"/>
    </row>
    <row r="901" spans="2:6" x14ac:dyDescent="0.2">
      <c r="B901" s="598"/>
      <c r="E901" s="598"/>
      <c r="F901" s="598"/>
    </row>
    <row r="902" spans="2:6" x14ac:dyDescent="0.2">
      <c r="B902" s="598"/>
      <c r="E902" s="598"/>
      <c r="F902" s="598"/>
    </row>
    <row r="903" spans="2:6" x14ac:dyDescent="0.2">
      <c r="B903" s="598"/>
      <c r="E903" s="598"/>
      <c r="F903" s="598"/>
    </row>
    <row r="904" spans="2:6" x14ac:dyDescent="0.2">
      <c r="B904" s="598"/>
      <c r="E904" s="598"/>
      <c r="F904" s="598"/>
    </row>
    <row r="905" spans="2:6" x14ac:dyDescent="0.2">
      <c r="B905" s="598"/>
      <c r="E905" s="598"/>
      <c r="F905" s="598"/>
    </row>
    <row r="906" spans="2:6" x14ac:dyDescent="0.2">
      <c r="B906" s="598"/>
      <c r="E906" s="598"/>
      <c r="F906" s="598"/>
    </row>
    <row r="907" spans="2:6" x14ac:dyDescent="0.2">
      <c r="B907" s="598"/>
      <c r="E907" s="598"/>
      <c r="F907" s="598"/>
    </row>
    <row r="908" spans="2:6" x14ac:dyDescent="0.2">
      <c r="B908" s="598"/>
      <c r="E908" s="598"/>
      <c r="F908" s="598"/>
    </row>
    <row r="909" spans="2:6" x14ac:dyDescent="0.2">
      <c r="B909" s="598"/>
      <c r="E909" s="598"/>
      <c r="F909" s="598"/>
    </row>
    <row r="910" spans="2:6" x14ac:dyDescent="0.2">
      <c r="B910" s="598"/>
      <c r="E910" s="598"/>
      <c r="F910" s="598"/>
    </row>
    <row r="911" spans="2:6" x14ac:dyDescent="0.2">
      <c r="B911" s="598"/>
      <c r="E911" s="598"/>
      <c r="F911" s="598"/>
    </row>
    <row r="912" spans="2:6" x14ac:dyDescent="0.2">
      <c r="B912" s="598"/>
      <c r="E912" s="598"/>
      <c r="F912" s="598"/>
    </row>
    <row r="913" spans="2:6" x14ac:dyDescent="0.2">
      <c r="B913" s="598"/>
      <c r="E913" s="598"/>
      <c r="F913" s="598"/>
    </row>
    <row r="914" spans="2:6" x14ac:dyDescent="0.2">
      <c r="B914" s="598"/>
      <c r="E914" s="598"/>
      <c r="F914" s="598"/>
    </row>
    <row r="915" spans="2:6" x14ac:dyDescent="0.2">
      <c r="B915" s="598"/>
      <c r="E915" s="598"/>
      <c r="F915" s="598"/>
    </row>
    <row r="916" spans="2:6" x14ac:dyDescent="0.2">
      <c r="B916" s="598"/>
      <c r="E916" s="598"/>
      <c r="F916" s="598"/>
    </row>
    <row r="917" spans="2:6" x14ac:dyDescent="0.2">
      <c r="B917" s="598"/>
      <c r="E917" s="598"/>
      <c r="F917" s="598"/>
    </row>
    <row r="918" spans="2:6" x14ac:dyDescent="0.2">
      <c r="B918" s="598"/>
      <c r="E918" s="598"/>
      <c r="F918" s="598"/>
    </row>
    <row r="919" spans="2:6" x14ac:dyDescent="0.2">
      <c r="B919" s="598"/>
      <c r="E919" s="598"/>
      <c r="F919" s="598"/>
    </row>
    <row r="920" spans="2:6" x14ac:dyDescent="0.2">
      <c r="B920" s="598"/>
      <c r="E920" s="598"/>
      <c r="F920" s="598"/>
    </row>
    <row r="921" spans="2:6" x14ac:dyDescent="0.2">
      <c r="B921" s="598"/>
      <c r="E921" s="598"/>
      <c r="F921" s="598"/>
    </row>
    <row r="922" spans="2:6" x14ac:dyDescent="0.2">
      <c r="B922" s="598"/>
      <c r="E922" s="598"/>
      <c r="F922" s="598"/>
    </row>
    <row r="923" spans="2:6" x14ac:dyDescent="0.2">
      <c r="B923" s="598"/>
      <c r="E923" s="598"/>
      <c r="F923" s="598"/>
    </row>
    <row r="924" spans="2:6" x14ac:dyDescent="0.2">
      <c r="B924" s="598"/>
      <c r="E924" s="598"/>
      <c r="F924" s="598"/>
    </row>
    <row r="925" spans="2:6" x14ac:dyDescent="0.2">
      <c r="B925" s="598"/>
      <c r="E925" s="598"/>
      <c r="F925" s="598"/>
    </row>
    <row r="926" spans="2:6" x14ac:dyDescent="0.2">
      <c r="B926" s="598"/>
      <c r="E926" s="598"/>
      <c r="F926" s="598"/>
    </row>
    <row r="927" spans="2:6" x14ac:dyDescent="0.2">
      <c r="B927" s="598"/>
      <c r="E927" s="598"/>
      <c r="F927" s="598"/>
    </row>
    <row r="928" spans="2:6" x14ac:dyDescent="0.2">
      <c r="B928" s="598"/>
      <c r="E928" s="598"/>
      <c r="F928" s="598"/>
    </row>
    <row r="929" spans="2:6" x14ac:dyDescent="0.2">
      <c r="B929" s="598"/>
      <c r="E929" s="598"/>
      <c r="F929" s="598"/>
    </row>
    <row r="930" spans="2:6" x14ac:dyDescent="0.2">
      <c r="B930" s="598"/>
      <c r="E930" s="598"/>
      <c r="F930" s="598"/>
    </row>
    <row r="931" spans="2:6" x14ac:dyDescent="0.2">
      <c r="B931" s="598"/>
      <c r="E931" s="598"/>
      <c r="F931" s="598"/>
    </row>
    <row r="932" spans="2:6" x14ac:dyDescent="0.2">
      <c r="B932" s="598"/>
      <c r="E932" s="598"/>
      <c r="F932" s="598"/>
    </row>
    <row r="933" spans="2:6" x14ac:dyDescent="0.2">
      <c r="B933" s="598"/>
      <c r="E933" s="598"/>
      <c r="F933" s="598"/>
    </row>
    <row r="934" spans="2:6" x14ac:dyDescent="0.2">
      <c r="B934" s="598"/>
      <c r="E934" s="598"/>
      <c r="F934" s="598"/>
    </row>
    <row r="935" spans="2:6" x14ac:dyDescent="0.2">
      <c r="B935" s="598"/>
      <c r="E935" s="598"/>
      <c r="F935" s="598"/>
    </row>
    <row r="936" spans="2:6" x14ac:dyDescent="0.2">
      <c r="B936" s="598"/>
      <c r="E936" s="598"/>
      <c r="F936" s="598"/>
    </row>
    <row r="937" spans="2:6" x14ac:dyDescent="0.2">
      <c r="B937" s="598"/>
      <c r="E937" s="598"/>
      <c r="F937" s="598"/>
    </row>
    <row r="938" spans="2:6" x14ac:dyDescent="0.2">
      <c r="B938" s="598"/>
      <c r="E938" s="598"/>
      <c r="F938" s="598"/>
    </row>
    <row r="939" spans="2:6" x14ac:dyDescent="0.2">
      <c r="B939" s="598"/>
      <c r="E939" s="598"/>
      <c r="F939" s="598"/>
    </row>
    <row r="940" spans="2:6" x14ac:dyDescent="0.2">
      <c r="B940" s="598"/>
      <c r="E940" s="598"/>
      <c r="F940" s="598"/>
    </row>
    <row r="941" spans="2:6" x14ac:dyDescent="0.2">
      <c r="B941" s="598"/>
      <c r="E941" s="598"/>
      <c r="F941" s="598"/>
    </row>
    <row r="942" spans="2:6" x14ac:dyDescent="0.2">
      <c r="B942" s="598"/>
      <c r="E942" s="598"/>
      <c r="F942" s="598"/>
    </row>
    <row r="943" spans="2:6" x14ac:dyDescent="0.2">
      <c r="B943" s="598"/>
      <c r="E943" s="598"/>
      <c r="F943" s="598"/>
    </row>
    <row r="944" spans="2:6" x14ac:dyDescent="0.2">
      <c r="B944" s="598"/>
      <c r="E944" s="598"/>
      <c r="F944" s="598"/>
    </row>
    <row r="945" spans="2:6" x14ac:dyDescent="0.2">
      <c r="B945" s="598"/>
      <c r="E945" s="598"/>
      <c r="F945" s="598"/>
    </row>
    <row r="946" spans="2:6" x14ac:dyDescent="0.2">
      <c r="B946" s="598"/>
      <c r="E946" s="598"/>
      <c r="F946" s="598"/>
    </row>
    <row r="947" spans="2:6" x14ac:dyDescent="0.2">
      <c r="B947" s="598"/>
      <c r="E947" s="598"/>
      <c r="F947" s="598"/>
    </row>
    <row r="948" spans="2:6" x14ac:dyDescent="0.2">
      <c r="B948" s="598"/>
      <c r="E948" s="598"/>
      <c r="F948" s="598"/>
    </row>
    <row r="949" spans="2:6" x14ac:dyDescent="0.2">
      <c r="B949" s="598"/>
      <c r="E949" s="598"/>
      <c r="F949" s="598"/>
    </row>
    <row r="950" spans="2:6" x14ac:dyDescent="0.2">
      <c r="B950" s="598"/>
      <c r="E950" s="598"/>
      <c r="F950" s="598"/>
    </row>
    <row r="951" spans="2:6" x14ac:dyDescent="0.2">
      <c r="B951" s="598"/>
      <c r="E951" s="598"/>
      <c r="F951" s="598"/>
    </row>
    <row r="952" spans="2:6" x14ac:dyDescent="0.2">
      <c r="B952" s="598"/>
      <c r="E952" s="598"/>
      <c r="F952" s="598"/>
    </row>
    <row r="953" spans="2:6" x14ac:dyDescent="0.2">
      <c r="B953" s="598"/>
      <c r="E953" s="598"/>
      <c r="F953" s="598"/>
    </row>
    <row r="954" spans="2:6" x14ac:dyDescent="0.2">
      <c r="B954" s="598"/>
      <c r="E954" s="598"/>
      <c r="F954" s="598"/>
    </row>
    <row r="955" spans="2:6" x14ac:dyDescent="0.2">
      <c r="B955" s="598"/>
      <c r="E955" s="598"/>
      <c r="F955" s="598"/>
    </row>
    <row r="956" spans="2:6" x14ac:dyDescent="0.2">
      <c r="B956" s="598"/>
      <c r="E956" s="598"/>
      <c r="F956" s="598"/>
    </row>
    <row r="957" spans="2:6" x14ac:dyDescent="0.2">
      <c r="B957" s="598"/>
      <c r="E957" s="598"/>
      <c r="F957" s="598"/>
    </row>
    <row r="958" spans="2:6" x14ac:dyDescent="0.2">
      <c r="B958" s="598"/>
      <c r="E958" s="598"/>
      <c r="F958" s="598"/>
    </row>
    <row r="959" spans="2:6" x14ac:dyDescent="0.2">
      <c r="B959" s="598"/>
      <c r="E959" s="598"/>
      <c r="F959" s="598"/>
    </row>
    <row r="960" spans="2:6" x14ac:dyDescent="0.2">
      <c r="B960" s="598"/>
      <c r="E960" s="598"/>
      <c r="F960" s="598"/>
    </row>
    <row r="961" spans="2:6" x14ac:dyDescent="0.2">
      <c r="B961" s="598"/>
      <c r="E961" s="598"/>
      <c r="F961" s="598"/>
    </row>
    <row r="962" spans="2:6" x14ac:dyDescent="0.2">
      <c r="B962" s="598"/>
      <c r="E962" s="598"/>
      <c r="F962" s="598"/>
    </row>
    <row r="963" spans="2:6" x14ac:dyDescent="0.2">
      <c r="B963" s="598"/>
      <c r="E963" s="598"/>
      <c r="F963" s="598"/>
    </row>
  </sheetData>
  <mergeCells count="10">
    <mergeCell ref="B94:H94"/>
    <mergeCell ref="B95:H95"/>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1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FF00"/>
    <pageSetUpPr fitToPage="1"/>
  </sheetPr>
  <dimension ref="A1:AG107"/>
  <sheetViews>
    <sheetView topLeftCell="D1" zoomScale="70" zoomScaleNormal="70" workbookViewId="0">
      <selection activeCell="B32" sqref="B32"/>
    </sheetView>
  </sheetViews>
  <sheetFormatPr defaultColWidth="12.5" defaultRowHeight="12.75" x14ac:dyDescent="0.2"/>
  <cols>
    <col min="1" max="1" width="12.5" style="146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7" width="5" style="14" customWidth="1"/>
    <col min="18" max="27" width="12.5" style="14"/>
    <col min="28" max="28" width="6.75" style="14" customWidth="1"/>
    <col min="29" max="16384" width="12.5" style="14"/>
  </cols>
  <sheetData>
    <row r="1" spans="1:33" ht="28.5" customHeight="1" x14ac:dyDescent="0.2">
      <c r="B1" s="64" t="s">
        <v>231</v>
      </c>
      <c r="C1" s="65">
        <v>1000</v>
      </c>
      <c r="D1" s="66" t="s">
        <v>232</v>
      </c>
      <c r="E1" s="99">
        <f>S30</f>
        <v>11700</v>
      </c>
      <c r="F1" s="64" t="s">
        <v>233</v>
      </c>
      <c r="G1" s="99">
        <f>E1/C1</f>
        <v>11.7</v>
      </c>
      <c r="H1" s="64" t="s">
        <v>234</v>
      </c>
      <c r="I1" s="99">
        <f>G1/K1</f>
        <v>11.7</v>
      </c>
      <c r="J1" s="302" t="s">
        <v>235</v>
      </c>
      <c r="K1" s="303">
        <v>1</v>
      </c>
      <c r="L1" s="84"/>
      <c r="M1" s="84" t="s">
        <v>340</v>
      </c>
      <c r="N1" s="84"/>
      <c r="O1" s="84"/>
      <c r="P1" s="84"/>
      <c r="Q1" s="84"/>
      <c r="R1" s="84"/>
      <c r="S1" s="84"/>
      <c r="T1" s="84"/>
      <c r="U1" s="84"/>
      <c r="V1" s="84"/>
      <c r="Y1" s="75" t="s">
        <v>453</v>
      </c>
      <c r="Z1" s="766">
        <v>11700</v>
      </c>
      <c r="AA1" s="75" t="s">
        <v>556</v>
      </c>
      <c r="AB1" s="766">
        <v>0</v>
      </c>
      <c r="AC1" s="75" t="s">
        <v>546</v>
      </c>
      <c r="AD1" s="766">
        <v>78</v>
      </c>
    </row>
    <row r="2" spans="1:33" ht="12.75" customHeight="1" x14ac:dyDescent="0.2">
      <c r="A2" s="1502"/>
      <c r="B2" s="1632" t="s">
        <v>341</v>
      </c>
      <c r="C2" s="1661"/>
      <c r="D2" s="1661"/>
      <c r="E2" s="1661"/>
      <c r="F2" s="1661"/>
      <c r="G2" s="1661"/>
      <c r="H2" s="1661"/>
      <c r="I2" s="84"/>
      <c r="J2" s="84"/>
      <c r="K2" s="84"/>
      <c r="L2" s="84"/>
      <c r="M2" s="84"/>
      <c r="N2" s="84"/>
      <c r="O2" s="84"/>
      <c r="P2" s="84"/>
      <c r="Q2" s="84"/>
      <c r="R2" s="84"/>
      <c r="S2" s="84"/>
      <c r="T2" s="84"/>
      <c r="U2" s="84"/>
      <c r="AE2" s="1647"/>
      <c r="AF2" s="1655"/>
      <c r="AG2" s="1655"/>
    </row>
    <row r="3" spans="1:33" ht="12.75" customHeight="1" x14ac:dyDescent="0.2">
      <c r="A3" s="1502"/>
      <c r="B3" s="1633"/>
      <c r="C3" s="1633"/>
      <c r="D3" s="1633"/>
      <c r="E3" s="1633"/>
      <c r="F3" s="1633"/>
      <c r="G3" s="1633"/>
      <c r="H3" s="1633"/>
      <c r="N3" s="84"/>
      <c r="O3" s="84"/>
      <c r="P3" s="84"/>
      <c r="Q3" s="84"/>
      <c r="R3" s="84"/>
      <c r="S3" s="84"/>
      <c r="T3" s="84"/>
      <c r="U3" s="84"/>
      <c r="AE3" s="1655"/>
      <c r="AF3" s="1655"/>
      <c r="AG3" s="1655"/>
    </row>
    <row r="4" spans="1:33" ht="69" customHeight="1" x14ac:dyDescent="0.2">
      <c r="A4" s="1589"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Q4" s="84"/>
      <c r="R4" s="84"/>
    </row>
    <row r="5" spans="1:33" ht="14.25" customHeight="1" x14ac:dyDescent="0.2">
      <c r="A5" s="1459"/>
      <c r="B5" s="586"/>
      <c r="C5" s="587"/>
      <c r="D5" s="198"/>
      <c r="E5" s="588"/>
      <c r="F5" s="198"/>
      <c r="G5" s="198"/>
      <c r="H5" s="587"/>
      <c r="I5" s="65"/>
      <c r="J5" s="101"/>
      <c r="K5" s="104"/>
      <c r="L5" s="104"/>
    </row>
    <row r="6" spans="1:33" ht="14.25" customHeight="1" x14ac:dyDescent="0.2">
      <c r="A6" s="1460"/>
      <c r="B6" s="20" t="s">
        <v>19</v>
      </c>
      <c r="C6" s="106" t="s">
        <v>14</v>
      </c>
      <c r="D6" s="988">
        <v>450</v>
      </c>
      <c r="E6" s="98">
        <f t="shared" ref="E6:E14" si="0">$I$1</f>
        <v>11.7</v>
      </c>
      <c r="F6" s="109">
        <v>1</v>
      </c>
      <c r="G6" s="101">
        <f t="shared" ref="G6:G14" si="1">D6*E6</f>
        <v>5265</v>
      </c>
      <c r="H6" s="102">
        <f t="shared" ref="H6:H14" si="2">G6*F6</f>
        <v>5265</v>
      </c>
      <c r="I6" s="65">
        <f>VLOOKUP(B6,All_Ingredients!$A$1:$F$156,6,FALSE())</f>
        <v>0.8</v>
      </c>
      <c r="J6" s="101">
        <f>VLOOKUP(B6,All_Ingredients!$A$1:$J$156,10,FALSE())</f>
        <v>2.6</v>
      </c>
      <c r="K6" s="104">
        <f t="shared" ref="K6" si="3">(H6/I6)/1000</f>
        <v>6.5812499999999998</v>
      </c>
      <c r="L6" s="104">
        <f t="shared" ref="L6" si="4">K6*J6</f>
        <v>17.111250000000002</v>
      </c>
    </row>
    <row r="7" spans="1:33" ht="14.25" customHeight="1" x14ac:dyDescent="0.2">
      <c r="A7" s="1460"/>
      <c r="B7" s="20" t="s">
        <v>47</v>
      </c>
      <c r="C7" s="106" t="s">
        <v>14</v>
      </c>
      <c r="D7" s="988">
        <v>450</v>
      </c>
      <c r="E7" s="98">
        <f t="shared" si="0"/>
        <v>11.7</v>
      </c>
      <c r="F7" s="109">
        <v>1</v>
      </c>
      <c r="G7" s="101">
        <f t="shared" si="1"/>
        <v>5265</v>
      </c>
      <c r="H7" s="102">
        <f t="shared" si="2"/>
        <v>5265</v>
      </c>
      <c r="I7" s="65">
        <f>VLOOKUP(B7,All_Ingredients!$A$1:$F$156,6,FALSE())</f>
        <v>0.78</v>
      </c>
      <c r="J7" s="101">
        <f>VLOOKUP(B7,All_Ingredients!$A$1:$J$156,10,FALSE())</f>
        <v>3.7</v>
      </c>
      <c r="K7" s="104">
        <f t="shared" ref="K7:K14" si="5">(H7/I7)/1000</f>
        <v>6.75</v>
      </c>
      <c r="L7" s="104">
        <f t="shared" ref="L7:L14" si="6">K7*J7</f>
        <v>24.975000000000001</v>
      </c>
    </row>
    <row r="8" spans="1:33" ht="14.25" customHeight="1" x14ac:dyDescent="0.2">
      <c r="A8" s="1460"/>
      <c r="B8" s="20" t="s">
        <v>28</v>
      </c>
      <c r="C8" s="106" t="s">
        <v>14</v>
      </c>
      <c r="D8" s="988">
        <v>80</v>
      </c>
      <c r="E8" s="98">
        <f t="shared" si="0"/>
        <v>11.7</v>
      </c>
      <c r="F8" s="109">
        <v>1</v>
      </c>
      <c r="G8" s="101">
        <f t="shared" si="1"/>
        <v>936</v>
      </c>
      <c r="H8" s="102">
        <f t="shared" si="2"/>
        <v>936</v>
      </c>
      <c r="I8" s="65">
        <f>VLOOKUP(B8,All_Ingredients!$A$1:$F$156,6,FALSE())</f>
        <v>0.73</v>
      </c>
      <c r="J8" s="101">
        <f>VLOOKUP(B8,All_Ingredients!$A$1:$J$156,10,FALSE())</f>
        <v>8.5</v>
      </c>
      <c r="K8" s="104">
        <f t="shared" si="5"/>
        <v>1.2821917808219176</v>
      </c>
      <c r="L8" s="104">
        <f t="shared" si="6"/>
        <v>10.8986301369863</v>
      </c>
    </row>
    <row r="9" spans="1:33" ht="14.25" customHeight="1" x14ac:dyDescent="0.2">
      <c r="A9" s="1460"/>
      <c r="B9" s="20" t="s">
        <v>30</v>
      </c>
      <c r="C9" s="106" t="s">
        <v>14</v>
      </c>
      <c r="D9" s="988">
        <v>80</v>
      </c>
      <c r="E9" s="98">
        <f t="shared" si="0"/>
        <v>11.7</v>
      </c>
      <c r="F9" s="109">
        <v>1</v>
      </c>
      <c r="G9" s="101">
        <f t="shared" si="1"/>
        <v>936</v>
      </c>
      <c r="H9" s="102">
        <f t="shared" si="2"/>
        <v>936</v>
      </c>
      <c r="I9" s="65">
        <f>VLOOKUP(B9,All_Ingredients!$A$1:$F$156,6,FALSE())</f>
        <v>0.71</v>
      </c>
      <c r="J9" s="101">
        <f>VLOOKUP(B9,All_Ingredients!$A$1:$J$156,10,FALSE())</f>
        <v>8.5</v>
      </c>
      <c r="K9" s="104">
        <f t="shared" si="5"/>
        <v>1.3183098591549296</v>
      </c>
      <c r="L9" s="104">
        <f t="shared" si="6"/>
        <v>11.205633802816902</v>
      </c>
      <c r="S9" s="84" t="s">
        <v>767</v>
      </c>
      <c r="T9" s="84" t="s">
        <v>768</v>
      </c>
      <c r="U9" s="14" t="s">
        <v>771</v>
      </c>
      <c r="V9" s="14" t="s">
        <v>770</v>
      </c>
      <c r="W9" s="14" t="s">
        <v>769</v>
      </c>
    </row>
    <row r="10" spans="1:33" ht="14.25" customHeight="1" x14ac:dyDescent="0.2">
      <c r="A10" s="1460"/>
      <c r="B10" s="20" t="s">
        <v>32</v>
      </c>
      <c r="C10" s="106" t="s">
        <v>14</v>
      </c>
      <c r="D10" s="988">
        <v>80</v>
      </c>
      <c r="E10" s="98">
        <f t="shared" si="0"/>
        <v>11.7</v>
      </c>
      <c r="F10" s="109">
        <v>1</v>
      </c>
      <c r="G10" s="101">
        <f t="shared" si="1"/>
        <v>936</v>
      </c>
      <c r="H10" s="102">
        <f t="shared" si="2"/>
        <v>936</v>
      </c>
      <c r="I10" s="65">
        <f>VLOOKUP(B10,All_Ingredients!$A$1:$F$156,6,FALSE())</f>
        <v>0.69</v>
      </c>
      <c r="J10" s="101">
        <f>VLOOKUP(B10,All_Ingredients!$A$1:$J$156,10,FALSE())</f>
        <v>4</v>
      </c>
      <c r="K10" s="104">
        <f t="shared" si="5"/>
        <v>1.3565217391304349</v>
      </c>
      <c r="L10" s="104">
        <f t="shared" si="6"/>
        <v>5.4260869565217398</v>
      </c>
      <c r="S10" s="84">
        <v>4600</v>
      </c>
      <c r="T10" s="84">
        <v>4200</v>
      </c>
      <c r="U10" s="14">
        <v>2100</v>
      </c>
      <c r="V10" s="14">
        <v>1600</v>
      </c>
      <c r="W10" s="14">
        <v>1000</v>
      </c>
    </row>
    <row r="11" spans="1:33" ht="14.25" customHeight="1" x14ac:dyDescent="0.2">
      <c r="A11" s="1460"/>
      <c r="B11" s="20" t="s">
        <v>50</v>
      </c>
      <c r="C11" s="106" t="s">
        <v>14</v>
      </c>
      <c r="D11" s="988">
        <v>80</v>
      </c>
      <c r="E11" s="98">
        <f t="shared" si="0"/>
        <v>11.7</v>
      </c>
      <c r="F11" s="109">
        <v>1</v>
      </c>
      <c r="G11" s="101">
        <f t="shared" si="1"/>
        <v>936</v>
      </c>
      <c r="H11" s="102">
        <f t="shared" si="2"/>
        <v>936</v>
      </c>
      <c r="I11" s="65">
        <f>VLOOKUP(B11,All_Ingredients!$A$1:$F$156,6,FALSE())</f>
        <v>0.75</v>
      </c>
      <c r="J11" s="101">
        <f>VLOOKUP(B11,All_Ingredients!$A$1:$J$156,10,FALSE())</f>
        <v>20</v>
      </c>
      <c r="K11" s="104">
        <f t="shared" si="5"/>
        <v>1.248</v>
      </c>
      <c r="L11" s="104">
        <f t="shared" si="6"/>
        <v>24.96</v>
      </c>
      <c r="M11" s="84"/>
      <c r="S11" s="84">
        <v>3800</v>
      </c>
      <c r="T11" s="84">
        <v>4100</v>
      </c>
      <c r="U11" s="14">
        <v>1700</v>
      </c>
      <c r="W11" s="14">
        <v>650</v>
      </c>
    </row>
    <row r="12" spans="1:33" ht="14.25" customHeight="1" x14ac:dyDescent="0.2">
      <c r="A12" s="1460"/>
      <c r="B12" s="20" t="s">
        <v>525</v>
      </c>
      <c r="C12" s="106" t="s">
        <v>14</v>
      </c>
      <c r="D12" s="988">
        <v>80</v>
      </c>
      <c r="E12" s="98">
        <f t="shared" si="0"/>
        <v>11.7</v>
      </c>
      <c r="F12" s="109">
        <v>1</v>
      </c>
      <c r="G12" s="101">
        <f t="shared" si="1"/>
        <v>936</v>
      </c>
      <c r="H12" s="102">
        <f t="shared" si="2"/>
        <v>936</v>
      </c>
      <c r="I12" s="65">
        <f>VLOOKUP(B12,All_Ingredients!$A$1:$F$156,6,FALSE())</f>
        <v>1</v>
      </c>
      <c r="J12" s="101">
        <f>VLOOKUP(B12,All_Ingredients!$A$1:$J$156,10,FALSE())</f>
        <v>10.196078431372548</v>
      </c>
      <c r="K12" s="104">
        <f t="shared" si="5"/>
        <v>0.93600000000000005</v>
      </c>
      <c r="L12" s="104">
        <f t="shared" si="6"/>
        <v>9.5435294117647054</v>
      </c>
      <c r="S12" s="84">
        <f>S10+S11</f>
        <v>8400</v>
      </c>
      <c r="T12" s="84">
        <f>T10+T11</f>
        <v>8300</v>
      </c>
      <c r="U12" s="84">
        <f>U10+U11</f>
        <v>3800</v>
      </c>
      <c r="V12" s="84">
        <f t="shared" ref="V12" si="7">V10+V11</f>
        <v>1600</v>
      </c>
      <c r="W12" s="84">
        <f>W10+W11</f>
        <v>1650</v>
      </c>
      <c r="X12" s="14">
        <v>23750</v>
      </c>
    </row>
    <row r="13" spans="1:33" ht="14.25" customHeight="1" x14ac:dyDescent="0.2">
      <c r="A13" s="1460"/>
      <c r="B13" s="299" t="s">
        <v>93</v>
      </c>
      <c r="C13" s="106" t="s">
        <v>14</v>
      </c>
      <c r="D13" s="98">
        <v>4</v>
      </c>
      <c r="E13" s="98">
        <f t="shared" si="0"/>
        <v>11.7</v>
      </c>
      <c r="F13" s="109">
        <v>0.75</v>
      </c>
      <c r="G13" s="101">
        <f t="shared" si="1"/>
        <v>46.8</v>
      </c>
      <c r="H13" s="102">
        <f t="shared" si="2"/>
        <v>35.099999999999994</v>
      </c>
      <c r="I13" s="65">
        <f>VLOOKUP(B13,All_Ingredients!$A$1:$F$156,6,FALSE())</f>
        <v>1</v>
      </c>
      <c r="J13" s="101">
        <f>VLOOKUP(B13,All_Ingredients!$A$1:$J$156,10,FALSE())</f>
        <v>0.74</v>
      </c>
      <c r="K13" s="104">
        <f t="shared" si="5"/>
        <v>3.5099999999999992E-2</v>
      </c>
      <c r="L13" s="104">
        <f t="shared" si="6"/>
        <v>2.5973999999999994E-2</v>
      </c>
      <c r="S13" s="84"/>
      <c r="T13" s="84"/>
      <c r="U13" s="14" t="s">
        <v>553</v>
      </c>
    </row>
    <row r="14" spans="1:33" ht="14.25" customHeight="1" x14ac:dyDescent="0.2">
      <c r="A14" s="1460"/>
      <c r="B14" s="299" t="s">
        <v>99</v>
      </c>
      <c r="C14" s="106" t="s">
        <v>14</v>
      </c>
      <c r="D14" s="177">
        <v>0.5</v>
      </c>
      <c r="E14" s="98">
        <f t="shared" si="0"/>
        <v>11.7</v>
      </c>
      <c r="F14" s="109">
        <v>1</v>
      </c>
      <c r="G14" s="101">
        <f t="shared" si="1"/>
        <v>5.85</v>
      </c>
      <c r="H14" s="102">
        <f t="shared" si="2"/>
        <v>5.85</v>
      </c>
      <c r="I14" s="65">
        <f>VLOOKUP(B14,All_Ingredients!$A$1:$F$156,6,FALSE())</f>
        <v>1</v>
      </c>
      <c r="J14" s="101">
        <f>VLOOKUP(B14,All_Ingredients!$A$1:$J$156,10,FALSE())</f>
        <v>31</v>
      </c>
      <c r="K14" s="104">
        <f t="shared" si="5"/>
        <v>5.8499999999999993E-3</v>
      </c>
      <c r="L14" s="104">
        <f t="shared" si="6"/>
        <v>0.18134999999999998</v>
      </c>
      <c r="S14" s="84"/>
      <c r="T14" s="84"/>
    </row>
    <row r="15" spans="1:33" ht="14.25" customHeight="1" x14ac:dyDescent="0.2">
      <c r="B15" s="332"/>
      <c r="C15" s="333"/>
      <c r="D15" s="335"/>
      <c r="E15" s="335"/>
      <c r="F15" s="336"/>
      <c r="G15" s="337"/>
      <c r="H15" s="338"/>
      <c r="S15" s="84"/>
      <c r="T15" s="84"/>
    </row>
    <row r="16" spans="1:33" ht="14.25" customHeight="1" x14ac:dyDescent="0.2">
      <c r="E16" s="203"/>
      <c r="F16" s="117"/>
      <c r="G16" s="121"/>
      <c r="H16" s="119"/>
      <c r="S16" s="84"/>
      <c r="T16" s="84"/>
    </row>
    <row r="17" spans="2:29" ht="14.25" customHeight="1" x14ac:dyDescent="0.2">
      <c r="E17" s="84"/>
      <c r="F17" s="84"/>
      <c r="S17" s="84">
        <v>11400</v>
      </c>
      <c r="T17" s="84"/>
    </row>
    <row r="18" spans="2:29" ht="14.25" customHeight="1" x14ac:dyDescent="0.2">
      <c r="E18" s="84"/>
      <c r="F18" s="84"/>
      <c r="S18" s="84">
        <v>7900</v>
      </c>
      <c r="T18" s="84"/>
    </row>
    <row r="19" spans="2:29" ht="14.25" customHeight="1" x14ac:dyDescent="0.2">
      <c r="E19" s="84"/>
      <c r="F19" s="84"/>
      <c r="S19" s="84"/>
      <c r="T19" s="84"/>
    </row>
    <row r="20" spans="2:29" ht="12.75" customHeight="1" x14ac:dyDescent="0.2">
      <c r="E20" s="84"/>
      <c r="F20" s="84"/>
      <c r="S20" s="84">
        <v>19300</v>
      </c>
      <c r="T20" s="84"/>
    </row>
    <row r="21" spans="2:29" ht="12.75" customHeight="1" x14ac:dyDescent="0.2">
      <c r="E21" s="84"/>
      <c r="F21" s="84"/>
    </row>
    <row r="22" spans="2:29" ht="12.75" customHeight="1" x14ac:dyDescent="0.2">
      <c r="B22" s="84"/>
      <c r="E22" s="84"/>
      <c r="F22" s="84"/>
    </row>
    <row r="23" spans="2:29" ht="12.75" customHeight="1" x14ac:dyDescent="0.2">
      <c r="B23" s="84"/>
      <c r="E23" s="84"/>
      <c r="F23" s="84"/>
    </row>
    <row r="24" spans="2:29" ht="12.75" customHeight="1" x14ac:dyDescent="0.2">
      <c r="B24" s="84"/>
      <c r="Z24" s="1073"/>
    </row>
    <row r="25" spans="2:29" ht="12.75" customHeight="1" x14ac:dyDescent="0.2">
      <c r="B25" s="84"/>
      <c r="R25" s="1662" t="s">
        <v>342</v>
      </c>
      <c r="S25" s="1633"/>
      <c r="T25" s="1633"/>
      <c r="Z25" s="122" t="s">
        <v>14</v>
      </c>
      <c r="AA25" s="123">
        <v>1</v>
      </c>
      <c r="AB25" s="122" t="s">
        <v>249</v>
      </c>
      <c r="AC25" s="124">
        <f>(S31/S30)*AA25</f>
        <v>8.9168764365888595E-3</v>
      </c>
    </row>
    <row r="26" spans="2:29" ht="12.75" customHeight="1" x14ac:dyDescent="0.2">
      <c r="B26" s="84"/>
      <c r="R26" s="1672" t="s">
        <v>338</v>
      </c>
      <c r="S26" s="1639"/>
      <c r="T26" s="1639"/>
    </row>
    <row r="27" spans="2:29" ht="14.25" customHeight="1" x14ac:dyDescent="0.2">
      <c r="B27" s="84"/>
      <c r="R27" s="126" t="s">
        <v>254</v>
      </c>
      <c r="S27" s="126" t="s">
        <v>339</v>
      </c>
      <c r="T27" s="126" t="s">
        <v>257</v>
      </c>
    </row>
    <row r="28" spans="2:29" ht="14.25" customHeight="1" x14ac:dyDescent="0.2">
      <c r="B28" s="84"/>
      <c r="R28" s="126" t="s">
        <v>263</v>
      </c>
      <c r="S28" s="1216">
        <f>T28</f>
        <v>11700</v>
      </c>
      <c r="T28" s="1206">
        <f>$Z$1</f>
        <v>11700</v>
      </c>
      <c r="U28" s="1220"/>
    </row>
    <row r="29" spans="2:29" ht="14.25" customHeight="1" x14ac:dyDescent="0.2">
      <c r="B29" s="84"/>
      <c r="R29" s="126" t="s">
        <v>265</v>
      </c>
      <c r="S29" s="1206">
        <f>$AB$1</f>
        <v>0</v>
      </c>
      <c r="T29" s="723">
        <f>S29</f>
        <v>0</v>
      </c>
      <c r="U29" s="1220"/>
    </row>
    <row r="30" spans="2:29" ht="14.25" customHeight="1" thickBot="1" x14ac:dyDescent="0.25">
      <c r="B30" s="84"/>
      <c r="R30" s="126" t="s">
        <v>257</v>
      </c>
      <c r="S30" s="1240">
        <f>SUM(S28:S29)</f>
        <v>11700</v>
      </c>
      <c r="T30" s="1240">
        <f>S30</f>
        <v>11700</v>
      </c>
      <c r="U30" s="1220"/>
    </row>
    <row r="31" spans="2:29" ht="14.25" customHeight="1" thickBot="1" x14ac:dyDescent="0.25">
      <c r="B31" s="84"/>
      <c r="R31" s="144" t="s">
        <v>249</v>
      </c>
      <c r="S31" s="990">
        <f>SUM(L6:L14)</f>
        <v>104.32745430808966</v>
      </c>
      <c r="T31" s="1061">
        <f>S31</f>
        <v>104.32745430808966</v>
      </c>
    </row>
    <row r="32" spans="2:29" ht="14.25" customHeight="1" x14ac:dyDescent="0.2">
      <c r="B32" s="84"/>
    </row>
    <row r="33" spans="2:6" ht="12.75" customHeight="1" x14ac:dyDescent="0.2">
      <c r="B33" s="84"/>
    </row>
    <row r="34" spans="2:6" ht="12.75" customHeight="1" x14ac:dyDescent="0.2">
      <c r="B34" s="84"/>
    </row>
    <row r="35" spans="2:6" ht="12.75" customHeight="1" x14ac:dyDescent="0.2">
      <c r="B35" s="84"/>
    </row>
    <row r="36" spans="2:6" ht="12.75" customHeight="1" x14ac:dyDescent="0.2">
      <c r="B36" s="84"/>
      <c r="E36" s="84"/>
      <c r="F36" s="84"/>
    </row>
    <row r="37" spans="2:6" ht="12.75" customHeight="1" x14ac:dyDescent="0.2">
      <c r="B37" s="84"/>
      <c r="E37" s="84"/>
      <c r="F37" s="84"/>
    </row>
    <row r="38" spans="2:6" ht="12.75" customHeight="1" x14ac:dyDescent="0.2">
      <c r="B38" s="84"/>
      <c r="E38" s="84"/>
      <c r="F38" s="84"/>
    </row>
    <row r="39" spans="2:6" ht="12.75" customHeight="1" x14ac:dyDescent="0.2">
      <c r="B39" s="84"/>
      <c r="E39" s="84"/>
      <c r="F39" s="84"/>
    </row>
    <row r="40" spans="2:6" ht="12.75" customHeight="1" x14ac:dyDescent="0.2">
      <c r="B40" s="84"/>
      <c r="E40" s="84"/>
      <c r="F40" s="84"/>
    </row>
    <row r="41" spans="2:6" ht="12.75" customHeight="1" x14ac:dyDescent="0.2">
      <c r="B41" s="84"/>
      <c r="E41" s="84"/>
      <c r="F41" s="84"/>
    </row>
    <row r="42" spans="2:6" ht="12.75" customHeight="1" x14ac:dyDescent="0.2">
      <c r="B42" s="84"/>
      <c r="E42" s="84"/>
      <c r="F42" s="84"/>
    </row>
    <row r="43" spans="2:6" ht="14.25" customHeight="1" x14ac:dyDescent="0.2">
      <c r="B43" s="84"/>
      <c r="E43" s="84"/>
      <c r="F43" s="84"/>
    </row>
    <row r="44" spans="2:6" ht="14.25" customHeight="1" x14ac:dyDescent="0.2">
      <c r="B44" s="84"/>
      <c r="E44" s="84"/>
      <c r="F44" s="84"/>
    </row>
    <row r="45" spans="2:6" ht="12.75" customHeight="1" x14ac:dyDescent="0.2">
      <c r="B45" s="84"/>
      <c r="E45" s="84"/>
      <c r="F45" s="84"/>
    </row>
    <row r="46" spans="2:6" ht="12.75" customHeight="1" x14ac:dyDescent="0.2">
      <c r="B46" s="84"/>
      <c r="E46" s="84"/>
      <c r="F46" s="84"/>
    </row>
    <row r="47" spans="2:6" ht="12.75" customHeight="1" x14ac:dyDescent="0.2">
      <c r="B47" s="84"/>
      <c r="E47" s="84"/>
      <c r="F47" s="84"/>
    </row>
    <row r="48" spans="2:6" ht="12.75" customHeight="1" x14ac:dyDescent="0.2">
      <c r="B48" s="84"/>
      <c r="E48" s="84"/>
      <c r="F48" s="84"/>
    </row>
    <row r="49" spans="1:8" ht="12.75" customHeight="1" x14ac:dyDescent="0.2">
      <c r="B49" s="84"/>
      <c r="E49" s="84"/>
      <c r="F49" s="84"/>
    </row>
    <row r="50" spans="1:8" ht="12.75" customHeight="1" x14ac:dyDescent="0.2">
      <c r="B50" s="204"/>
      <c r="C50" s="204" t="s">
        <v>233</v>
      </c>
      <c r="D50" s="204" t="s">
        <v>279</v>
      </c>
      <c r="E50" s="84"/>
      <c r="F50" s="84"/>
    </row>
    <row r="51" spans="1:8" ht="12.75" customHeight="1" x14ac:dyDescent="0.2">
      <c r="B51" s="161" t="s">
        <v>283</v>
      </c>
      <c r="C51" s="162">
        <f>10/$K$1</f>
        <v>10</v>
      </c>
      <c r="D51" s="163">
        <f>$C$1*10</f>
        <v>10000</v>
      </c>
      <c r="E51" s="84"/>
      <c r="F51" s="84"/>
    </row>
    <row r="52" spans="1:8" ht="12.75" customHeight="1" x14ac:dyDescent="0.2">
      <c r="B52" s="209" t="s">
        <v>257</v>
      </c>
      <c r="C52" s="211">
        <f>G1</f>
        <v>11.7</v>
      </c>
      <c r="D52" s="211">
        <f>E1</f>
        <v>11700</v>
      </c>
      <c r="E52" s="84"/>
      <c r="F52" s="84"/>
    </row>
    <row r="53" spans="1:8" ht="12.75" customHeight="1" x14ac:dyDescent="0.2">
      <c r="B53" s="209" t="s">
        <v>284</v>
      </c>
      <c r="C53" s="212">
        <f>MIN($C$52, $C$51)</f>
        <v>10</v>
      </c>
      <c r="D53" s="211">
        <f>(C53*$K$1)*$C$1</f>
        <v>10000</v>
      </c>
      <c r="E53" s="84"/>
      <c r="F53" s="84"/>
    </row>
    <row r="54" spans="1:8" ht="12.75" customHeight="1" x14ac:dyDescent="0.2">
      <c r="B54" s="209" t="s">
        <v>285</v>
      </c>
      <c r="C54" s="212">
        <f>MIN(MAX($C$52-C53,0),$C$51)</f>
        <v>1.6999999999999993</v>
      </c>
      <c r="D54" s="211">
        <f>(C54*$K$1)*$C$1</f>
        <v>1699.9999999999993</v>
      </c>
      <c r="E54" s="84"/>
      <c r="F54" s="84"/>
    </row>
    <row r="55" spans="1:8" ht="12.75" customHeight="1" x14ac:dyDescent="0.2">
      <c r="B55" s="209" t="s">
        <v>286</v>
      </c>
      <c r="C55" s="212">
        <f>MIN(MAX($C$52-C53-C54,0),$C$51)</f>
        <v>0</v>
      </c>
      <c r="D55" s="211">
        <f>(C55*$K$1)*$C$1</f>
        <v>0</v>
      </c>
      <c r="E55" s="84"/>
      <c r="F55" s="84"/>
    </row>
    <row r="56" spans="1:8" ht="12.75" customHeight="1" x14ac:dyDescent="0.2">
      <c r="B56" s="84"/>
      <c r="E56" s="84"/>
      <c r="F56" s="84"/>
    </row>
    <row r="57" spans="1:8" ht="12.75" customHeight="1" x14ac:dyDescent="0.2">
      <c r="B57" s="84"/>
      <c r="E57" s="84"/>
      <c r="F57" s="84"/>
    </row>
    <row r="58" spans="1:8" ht="12.75" customHeight="1" x14ac:dyDescent="0.2">
      <c r="B58" s="84"/>
      <c r="E58" s="84"/>
      <c r="F58" s="84"/>
    </row>
    <row r="59" spans="1:8" ht="12.75" customHeight="1" x14ac:dyDescent="0.2">
      <c r="B59" s="84"/>
      <c r="E59" s="84"/>
      <c r="F59" s="84"/>
    </row>
    <row r="60" spans="1:8" x14ac:dyDescent="0.2">
      <c r="B60" s="84"/>
      <c r="E60" s="84"/>
      <c r="F60" s="84"/>
    </row>
    <row r="62" spans="1:8" ht="18" customHeight="1" x14ac:dyDescent="0.2">
      <c r="A62" s="1464"/>
      <c r="B62" s="1636" t="s">
        <v>787</v>
      </c>
      <c r="C62" s="1637"/>
      <c r="D62" s="1637"/>
      <c r="E62" s="1637"/>
      <c r="F62" s="1637"/>
      <c r="G62" s="1637"/>
      <c r="H62" s="1637"/>
    </row>
    <row r="63" spans="1:8" ht="14.25" x14ac:dyDescent="0.2">
      <c r="A63" s="1464"/>
      <c r="B63" s="1634" t="s">
        <v>341</v>
      </c>
      <c r="C63" s="1635"/>
      <c r="D63" s="1635"/>
      <c r="E63" s="1635"/>
      <c r="F63" s="1635"/>
      <c r="G63" s="1635"/>
      <c r="H63" s="1635"/>
    </row>
    <row r="64" spans="1:8" ht="52.5" customHeight="1" x14ac:dyDescent="0.2">
      <c r="A64" s="1589"/>
      <c r="B64" s="221" t="s">
        <v>241</v>
      </c>
      <c r="C64" s="222" t="s">
        <v>242</v>
      </c>
      <c r="D64" s="223" t="s">
        <v>231</v>
      </c>
      <c r="E64" s="197" t="s">
        <v>234</v>
      </c>
      <c r="F64" s="197" t="s">
        <v>243</v>
      </c>
      <c r="G64" s="223" t="s">
        <v>244</v>
      </c>
      <c r="H64" s="197" t="s">
        <v>245</v>
      </c>
    </row>
    <row r="65" spans="1:8" ht="14.25" customHeight="1" x14ac:dyDescent="0.2">
      <c r="A65" s="1460"/>
      <c r="B65" s="299" t="str">
        <f t="shared" ref="B65:D73" si="8">B6</f>
        <v>Carrot - جزر</v>
      </c>
      <c r="C65" s="106" t="str">
        <f t="shared" si="8"/>
        <v>gm</v>
      </c>
      <c r="D65" s="98">
        <f t="shared" si="8"/>
        <v>450</v>
      </c>
      <c r="E65" s="98">
        <f>$C$52</f>
        <v>11.7</v>
      </c>
      <c r="F65" s="109">
        <f t="shared" ref="F65:F73" si="9">F6</f>
        <v>1</v>
      </c>
      <c r="G65" s="101">
        <f t="shared" ref="G65:G73" si="10">D65*E65</f>
        <v>5265</v>
      </c>
      <c r="H65" s="102">
        <f t="shared" ref="H65:H73" si="11">G65*F65</f>
        <v>5265</v>
      </c>
    </row>
    <row r="66" spans="1:8" ht="14.25" customHeight="1" x14ac:dyDescent="0.2">
      <c r="A66" s="1460"/>
      <c r="B66" s="299" t="str">
        <f t="shared" si="8"/>
        <v>Zucchini - كوسة</v>
      </c>
      <c r="C66" s="106" t="str">
        <f t="shared" si="8"/>
        <v>gm</v>
      </c>
      <c r="D66" s="98">
        <f t="shared" si="8"/>
        <v>450</v>
      </c>
      <c r="E66" s="98">
        <f t="shared" ref="E66:E73" si="12">$C$52</f>
        <v>11.7</v>
      </c>
      <c r="F66" s="109">
        <f t="shared" si="9"/>
        <v>1</v>
      </c>
      <c r="G66" s="101">
        <f t="shared" si="10"/>
        <v>5265</v>
      </c>
      <c r="H66" s="102">
        <f t="shared" si="11"/>
        <v>5265</v>
      </c>
    </row>
    <row r="67" spans="1:8" ht="14.25" customHeight="1" x14ac:dyDescent="0.2">
      <c r="A67" s="1460"/>
      <c r="B67" s="299" t="str">
        <f t="shared" si="8"/>
        <v xml:space="preserve">Red Bell Pepper - فلفل أحمر </v>
      </c>
      <c r="C67" s="106" t="str">
        <f t="shared" si="8"/>
        <v>gm</v>
      </c>
      <c r="D67" s="98">
        <f t="shared" si="8"/>
        <v>80</v>
      </c>
      <c r="E67" s="98">
        <f t="shared" si="12"/>
        <v>11.7</v>
      </c>
      <c r="F67" s="109">
        <f t="shared" si="9"/>
        <v>1</v>
      </c>
      <c r="G67" s="101">
        <f t="shared" si="10"/>
        <v>936</v>
      </c>
      <c r="H67" s="102">
        <f t="shared" si="11"/>
        <v>936</v>
      </c>
    </row>
    <row r="68" spans="1:8" ht="14.25" customHeight="1" x14ac:dyDescent="0.2">
      <c r="A68" s="1460"/>
      <c r="B68" s="299" t="str">
        <f t="shared" si="8"/>
        <v xml:space="preserve">Yellow Bell Pepper - فلفل أصفر </v>
      </c>
      <c r="C68" s="106" t="str">
        <f t="shared" si="8"/>
        <v>gm</v>
      </c>
      <c r="D68" s="98">
        <f t="shared" si="8"/>
        <v>80</v>
      </c>
      <c r="E68" s="98">
        <f t="shared" si="12"/>
        <v>11.7</v>
      </c>
      <c r="F68" s="109">
        <f t="shared" si="9"/>
        <v>1</v>
      </c>
      <c r="G68" s="101">
        <f t="shared" si="10"/>
        <v>936</v>
      </c>
      <c r="H68" s="102">
        <f t="shared" si="11"/>
        <v>936</v>
      </c>
    </row>
    <row r="69" spans="1:8" ht="14.25" customHeight="1" x14ac:dyDescent="0.2">
      <c r="A69" s="1460"/>
      <c r="B69" s="299" t="str">
        <f t="shared" si="8"/>
        <v>Green Bell Pepper - فلفل أخضر رومى</v>
      </c>
      <c r="C69" s="106" t="str">
        <f t="shared" si="8"/>
        <v>gm</v>
      </c>
      <c r="D69" s="98">
        <f t="shared" si="8"/>
        <v>80</v>
      </c>
      <c r="E69" s="98">
        <f t="shared" si="12"/>
        <v>11.7</v>
      </c>
      <c r="F69" s="109">
        <f t="shared" si="9"/>
        <v>1</v>
      </c>
      <c r="G69" s="101">
        <f t="shared" si="10"/>
        <v>936</v>
      </c>
      <c r="H69" s="102">
        <f t="shared" si="11"/>
        <v>936</v>
      </c>
    </row>
    <row r="70" spans="1:8" ht="14.25" customHeight="1" x14ac:dyDescent="0.2">
      <c r="A70" s="1460"/>
      <c r="B70" s="299" t="str">
        <f t="shared" si="8"/>
        <v>Chinese Cabbage - ملفوف صيني</v>
      </c>
      <c r="C70" s="106" t="str">
        <f t="shared" si="8"/>
        <v>gm</v>
      </c>
      <c r="D70" s="98">
        <f t="shared" si="8"/>
        <v>80</v>
      </c>
      <c r="E70" s="98">
        <f t="shared" si="12"/>
        <v>11.7</v>
      </c>
      <c r="F70" s="109">
        <f t="shared" si="9"/>
        <v>1</v>
      </c>
      <c r="G70" s="101">
        <f t="shared" si="10"/>
        <v>936</v>
      </c>
      <c r="H70" s="102">
        <f t="shared" si="11"/>
        <v>936</v>
      </c>
    </row>
    <row r="71" spans="1:8" ht="14.25" customHeight="1" x14ac:dyDescent="0.2">
      <c r="A71" s="1460"/>
      <c r="B71" s="299" t="str">
        <f t="shared" si="8"/>
        <v>Sweet Corn - ذرة حلوة</v>
      </c>
      <c r="C71" s="106" t="str">
        <f t="shared" si="8"/>
        <v>gm</v>
      </c>
      <c r="D71" s="98">
        <f t="shared" si="8"/>
        <v>80</v>
      </c>
      <c r="E71" s="98">
        <f t="shared" si="12"/>
        <v>11.7</v>
      </c>
      <c r="F71" s="109">
        <f t="shared" si="9"/>
        <v>1</v>
      </c>
      <c r="G71" s="101">
        <f t="shared" si="10"/>
        <v>936</v>
      </c>
      <c r="H71" s="102">
        <f t="shared" si="11"/>
        <v>936</v>
      </c>
    </row>
    <row r="72" spans="1:8" ht="14.25" customHeight="1" x14ac:dyDescent="0.2">
      <c r="A72" s="1460"/>
      <c r="B72" s="299" t="str">
        <f t="shared" si="8"/>
        <v>Salt - ملح</v>
      </c>
      <c r="C72" s="106" t="str">
        <f t="shared" si="8"/>
        <v>gm</v>
      </c>
      <c r="D72" s="98">
        <f t="shared" si="8"/>
        <v>4</v>
      </c>
      <c r="E72" s="98">
        <f t="shared" si="12"/>
        <v>11.7</v>
      </c>
      <c r="F72" s="109">
        <f t="shared" si="9"/>
        <v>0.75</v>
      </c>
      <c r="G72" s="101">
        <f t="shared" si="10"/>
        <v>46.8</v>
      </c>
      <c r="H72" s="102">
        <f t="shared" si="11"/>
        <v>35.099999999999994</v>
      </c>
    </row>
    <row r="73" spans="1:8" ht="12.75" customHeight="1" x14ac:dyDescent="0.2">
      <c r="A73" s="1460"/>
      <c r="B73" s="299" t="str">
        <f t="shared" si="8"/>
        <v>Black Pepper Powder - فلفل أسود مطحون</v>
      </c>
      <c r="C73" s="106" t="str">
        <f t="shared" si="8"/>
        <v>gm</v>
      </c>
      <c r="D73" s="177">
        <f t="shared" si="8"/>
        <v>0.5</v>
      </c>
      <c r="E73" s="98">
        <f t="shared" si="12"/>
        <v>11.7</v>
      </c>
      <c r="F73" s="109">
        <f t="shared" si="9"/>
        <v>1</v>
      </c>
      <c r="G73" s="101">
        <f t="shared" si="10"/>
        <v>5.85</v>
      </c>
      <c r="H73" s="102">
        <f t="shared" si="11"/>
        <v>5.85</v>
      </c>
    </row>
    <row r="74" spans="1:8" ht="21" customHeight="1" x14ac:dyDescent="0.2">
      <c r="B74" s="178" t="s">
        <v>704</v>
      </c>
      <c r="E74" s="84"/>
      <c r="F74" s="84"/>
    </row>
    <row r="75" spans="1:8" ht="21" customHeight="1" x14ac:dyDescent="0.3">
      <c r="B75" s="179">
        <f>D52</f>
        <v>11700</v>
      </c>
      <c r="C75" s="84"/>
      <c r="D75" s="84"/>
      <c r="E75" s="84"/>
      <c r="F75" s="84"/>
      <c r="G75" s="84"/>
    </row>
    <row r="76" spans="1:8" ht="12.75" customHeight="1" x14ac:dyDescent="0.2">
      <c r="B76" s="84"/>
      <c r="E76" s="84"/>
      <c r="F76" s="84"/>
    </row>
    <row r="77" spans="1:8" x14ac:dyDescent="0.2">
      <c r="B77" s="84"/>
      <c r="C77" s="84"/>
      <c r="D77" s="322"/>
      <c r="E77" s="84"/>
      <c r="F77" s="84"/>
      <c r="G77" s="84"/>
      <c r="H77" s="84"/>
    </row>
    <row r="78" spans="1:8" ht="18" customHeight="1" x14ac:dyDescent="0.2">
      <c r="A78" s="1462"/>
      <c r="B78" s="796"/>
      <c r="C78" s="796"/>
      <c r="D78" s="796"/>
      <c r="E78" s="796"/>
      <c r="F78" s="796"/>
      <c r="G78" s="796"/>
      <c r="H78" s="796"/>
    </row>
    <row r="79" spans="1:8" ht="18" customHeight="1" x14ac:dyDescent="0.2">
      <c r="A79" s="1462"/>
      <c r="B79" s="1673"/>
      <c r="C79" s="1673"/>
      <c r="D79" s="1673"/>
      <c r="E79" s="1673"/>
      <c r="F79" s="1673"/>
      <c r="G79" s="1673"/>
      <c r="H79" s="1673"/>
    </row>
    <row r="80" spans="1:8" ht="14.25" customHeight="1" x14ac:dyDescent="0.2">
      <c r="A80" s="1462"/>
      <c r="B80" s="1673"/>
      <c r="C80" s="1673"/>
      <c r="D80" s="1673"/>
      <c r="E80" s="1673"/>
      <c r="F80" s="1673"/>
      <c r="G80" s="1673"/>
      <c r="H80" s="1673"/>
    </row>
    <row r="81" spans="1:8" ht="49.5" customHeight="1" x14ac:dyDescent="0.2">
      <c r="A81" s="1463"/>
      <c r="B81" s="1103"/>
      <c r="C81" s="1104"/>
      <c r="D81" s="1103"/>
      <c r="E81" s="1105"/>
      <c r="F81" s="1105"/>
      <c r="G81" s="1103"/>
      <c r="H81" s="1105"/>
    </row>
    <row r="82" spans="1:8" ht="14.25" customHeight="1" x14ac:dyDescent="0.2">
      <c r="A82" s="1462"/>
      <c r="B82" s="1106"/>
      <c r="C82" s="1106"/>
      <c r="D82" s="1111"/>
      <c r="E82" s="1112"/>
      <c r="F82" s="1108"/>
      <c r="G82" s="1109"/>
      <c r="H82" s="1110"/>
    </row>
    <row r="83" spans="1:8" ht="14.25" customHeight="1" x14ac:dyDescent="0.2">
      <c r="A83" s="1462"/>
      <c r="B83" s="1106"/>
      <c r="C83" s="1106"/>
      <c r="D83" s="1111"/>
      <c r="E83" s="1112"/>
      <c r="F83" s="1108"/>
      <c r="G83" s="1109"/>
      <c r="H83" s="1110"/>
    </row>
    <row r="84" spans="1:8" ht="14.25" customHeight="1" x14ac:dyDescent="0.2">
      <c r="A84" s="1462"/>
      <c r="B84" s="1106"/>
      <c r="C84" s="1106"/>
      <c r="D84" s="1111"/>
      <c r="E84" s="1112"/>
      <c r="F84" s="1108"/>
      <c r="G84" s="1109"/>
      <c r="H84" s="1110"/>
    </row>
    <row r="85" spans="1:8" ht="14.25" customHeight="1" x14ac:dyDescent="0.2">
      <c r="A85" s="1462"/>
      <c r="B85" s="1106"/>
      <c r="C85" s="1106"/>
      <c r="D85" s="1111"/>
      <c r="E85" s="1112"/>
      <c r="F85" s="1108"/>
      <c r="G85" s="1109"/>
      <c r="H85" s="1110"/>
    </row>
    <row r="86" spans="1:8" ht="14.25" customHeight="1" x14ac:dyDescent="0.2">
      <c r="A86" s="1462"/>
      <c r="B86" s="1106"/>
      <c r="C86" s="1106"/>
      <c r="D86" s="1111"/>
      <c r="E86" s="1112"/>
      <c r="F86" s="1108"/>
      <c r="G86" s="1109"/>
      <c r="H86" s="1110"/>
    </row>
    <row r="87" spans="1:8" ht="14.25" customHeight="1" x14ac:dyDescent="0.2">
      <c r="A87" s="1462"/>
      <c r="B87" s="1106"/>
      <c r="C87" s="1106"/>
      <c r="D87" s="1111"/>
      <c r="E87" s="1112"/>
      <c r="F87" s="1108"/>
      <c r="G87" s="1109"/>
      <c r="H87" s="1110"/>
    </row>
    <row r="88" spans="1:8" ht="14.25" customHeight="1" x14ac:dyDescent="0.2">
      <c r="A88" s="1462"/>
      <c r="B88" s="1106"/>
      <c r="C88" s="1106"/>
      <c r="D88" s="1111"/>
      <c r="E88" s="1112"/>
      <c r="F88" s="1108"/>
      <c r="G88" s="1109"/>
      <c r="H88" s="1110"/>
    </row>
    <row r="89" spans="1:8" ht="14.25" customHeight="1" x14ac:dyDescent="0.2">
      <c r="A89" s="1462"/>
      <c r="B89" s="1106"/>
      <c r="C89" s="1106"/>
      <c r="D89" s="1111"/>
      <c r="E89" s="1112"/>
      <c r="F89" s="1108"/>
      <c r="G89" s="1109"/>
      <c r="H89" s="1110"/>
    </row>
    <row r="90" spans="1:8" ht="12.75" customHeight="1" x14ac:dyDescent="0.2">
      <c r="A90" s="1462"/>
      <c r="B90" s="1106"/>
      <c r="C90" s="1106"/>
      <c r="D90" s="1113"/>
      <c r="E90" s="1112"/>
      <c r="F90" s="1108"/>
      <c r="G90" s="1109"/>
      <c r="H90" s="1110"/>
    </row>
    <row r="91" spans="1:8" ht="17.25" customHeight="1" x14ac:dyDescent="0.2">
      <c r="A91" s="1462"/>
      <c r="B91" s="814"/>
      <c r="C91" s="796"/>
      <c r="D91" s="796"/>
      <c r="E91" s="790"/>
      <c r="F91" s="790"/>
      <c r="G91" s="796"/>
      <c r="H91" s="796"/>
    </row>
    <row r="92" spans="1:8" ht="20.25" x14ac:dyDescent="0.3">
      <c r="A92" s="1462"/>
      <c r="B92" s="815"/>
      <c r="C92" s="790"/>
      <c r="D92" s="790"/>
      <c r="E92" s="790"/>
      <c r="F92" s="790"/>
      <c r="G92" s="790"/>
      <c r="H92" s="796"/>
    </row>
    <row r="93" spans="1:8" ht="18" customHeight="1" x14ac:dyDescent="0.2">
      <c r="A93" s="1462"/>
      <c r="B93" s="796"/>
      <c r="C93" s="796"/>
      <c r="D93" s="796"/>
      <c r="E93" s="796"/>
      <c r="F93" s="796"/>
      <c r="G93" s="796"/>
      <c r="H93" s="796"/>
    </row>
    <row r="94" spans="1:8" ht="18" customHeight="1" x14ac:dyDescent="0.2">
      <c r="A94" s="1462"/>
      <c r="B94" s="1673"/>
      <c r="C94" s="1674"/>
      <c r="D94" s="1674"/>
      <c r="E94" s="1674"/>
      <c r="F94" s="1674"/>
      <c r="G94" s="1674"/>
      <c r="H94" s="1674"/>
    </row>
    <row r="95" spans="1:8" ht="18" x14ac:dyDescent="0.2">
      <c r="A95" s="1462"/>
      <c r="B95" s="1673"/>
      <c r="C95" s="1674"/>
      <c r="D95" s="1674"/>
      <c r="E95" s="1674"/>
      <c r="F95" s="1674"/>
      <c r="G95" s="1674"/>
      <c r="H95" s="1674"/>
    </row>
    <row r="96" spans="1:8" ht="60.75" customHeight="1" x14ac:dyDescent="0.2">
      <c r="A96" s="1463"/>
      <c r="B96" s="1103"/>
      <c r="C96" s="1104"/>
      <c r="D96" s="1103"/>
      <c r="E96" s="1105"/>
      <c r="F96" s="1105"/>
      <c r="G96" s="1103"/>
      <c r="H96" s="1105"/>
    </row>
    <row r="97" spans="1:8" ht="14.25" customHeight="1" x14ac:dyDescent="0.2">
      <c r="A97" s="1462"/>
      <c r="B97" s="1106"/>
      <c r="C97" s="1106"/>
      <c r="D97" s="1106"/>
      <c r="E97" s="1107"/>
      <c r="F97" s="1108"/>
      <c r="G97" s="1109"/>
      <c r="H97" s="1110"/>
    </row>
    <row r="98" spans="1:8" ht="14.25" customHeight="1" x14ac:dyDescent="0.2">
      <c r="A98" s="1462"/>
      <c r="B98" s="1106"/>
      <c r="C98" s="1106"/>
      <c r="D98" s="1106"/>
      <c r="E98" s="1107"/>
      <c r="F98" s="1108"/>
      <c r="G98" s="1109"/>
      <c r="H98" s="1110"/>
    </row>
    <row r="99" spans="1:8" ht="14.25" customHeight="1" x14ac:dyDescent="0.2">
      <c r="A99" s="1462"/>
      <c r="B99" s="1106"/>
      <c r="C99" s="1106"/>
      <c r="D99" s="1106"/>
      <c r="E99" s="1107"/>
      <c r="F99" s="1108"/>
      <c r="G99" s="1109"/>
      <c r="H99" s="1110"/>
    </row>
    <row r="100" spans="1:8" ht="14.25" customHeight="1" x14ac:dyDescent="0.2">
      <c r="A100" s="1462"/>
      <c r="B100" s="1106"/>
      <c r="C100" s="1106"/>
      <c r="D100" s="1106"/>
      <c r="E100" s="1107"/>
      <c r="F100" s="1108"/>
      <c r="G100" s="1109"/>
      <c r="H100" s="1110"/>
    </row>
    <row r="101" spans="1:8" ht="14.25" customHeight="1" x14ac:dyDescent="0.2">
      <c r="A101" s="1462"/>
      <c r="B101" s="1106"/>
      <c r="C101" s="1106"/>
      <c r="D101" s="1106"/>
      <c r="E101" s="1107"/>
      <c r="F101" s="1108"/>
      <c r="G101" s="1109"/>
      <c r="H101" s="1110"/>
    </row>
    <row r="102" spans="1:8" ht="14.25" customHeight="1" x14ac:dyDescent="0.2">
      <c r="A102" s="1462"/>
      <c r="B102" s="1106"/>
      <c r="C102" s="1106"/>
      <c r="D102" s="1106"/>
      <c r="E102" s="1107"/>
      <c r="F102" s="1108"/>
      <c r="G102" s="1109"/>
      <c r="H102" s="1110"/>
    </row>
    <row r="103" spans="1:8" ht="14.25" customHeight="1" x14ac:dyDescent="0.2">
      <c r="A103" s="1462"/>
      <c r="B103" s="1106"/>
      <c r="C103" s="1106"/>
      <c r="D103" s="1106"/>
      <c r="E103" s="1107"/>
      <c r="F103" s="1108"/>
      <c r="G103" s="1109"/>
      <c r="H103" s="1110"/>
    </row>
    <row r="104" spans="1:8" ht="14.25" customHeight="1" x14ac:dyDescent="0.2">
      <c r="A104" s="1462"/>
      <c r="B104" s="1106"/>
      <c r="C104" s="1106"/>
      <c r="D104" s="1106"/>
      <c r="E104" s="1107"/>
      <c r="F104" s="1108"/>
      <c r="G104" s="1109"/>
      <c r="H104" s="1110"/>
    </row>
    <row r="105" spans="1:8" ht="12.75" customHeight="1" x14ac:dyDescent="0.2">
      <c r="A105" s="1462"/>
      <c r="B105" s="1106"/>
      <c r="C105" s="1106"/>
      <c r="D105" s="1106"/>
      <c r="E105" s="1107"/>
      <c r="F105" s="1108"/>
      <c r="G105" s="1109"/>
      <c r="H105" s="1110"/>
    </row>
    <row r="106" spans="1:8" ht="19.5" customHeight="1" x14ac:dyDescent="0.2">
      <c r="A106" s="1462"/>
      <c r="B106" s="814"/>
      <c r="C106" s="796"/>
      <c r="D106" s="796"/>
      <c r="E106" s="790"/>
      <c r="F106" s="790"/>
      <c r="G106" s="796"/>
      <c r="H106" s="796"/>
    </row>
    <row r="107" spans="1:8" ht="20.25" x14ac:dyDescent="0.3">
      <c r="A107" s="1462"/>
      <c r="B107" s="815"/>
      <c r="C107" s="790"/>
      <c r="D107" s="790"/>
      <c r="E107" s="790"/>
      <c r="F107" s="790"/>
      <c r="G107" s="790"/>
      <c r="H107" s="796"/>
    </row>
  </sheetData>
  <mergeCells count="10">
    <mergeCell ref="AE2:AG3"/>
    <mergeCell ref="B95:H95"/>
    <mergeCell ref="B79:H79"/>
    <mergeCell ref="R26:T26"/>
    <mergeCell ref="B63:H63"/>
    <mergeCell ref="B2:H3"/>
    <mergeCell ref="B94:H94"/>
    <mergeCell ref="R25:T25"/>
    <mergeCell ref="B80:H80"/>
    <mergeCell ref="B62:H62"/>
  </mergeCells>
  <printOptions horizontalCentered="1"/>
  <pageMargins left="0.5" right="0.5" top="1" bottom="0.5" header="0.3" footer="0.511811023622047"/>
  <pageSetup paperSize="9" scale="3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FFF00"/>
    <pageSetUpPr fitToPage="1"/>
  </sheetPr>
  <dimension ref="A1:AG128"/>
  <sheetViews>
    <sheetView topLeftCell="D1" zoomScale="55" zoomScaleNormal="55" workbookViewId="0">
      <selection activeCell="B91" sqref="B91:H91"/>
    </sheetView>
  </sheetViews>
  <sheetFormatPr defaultColWidth="12.5" defaultRowHeight="12.75" x14ac:dyDescent="0.2"/>
  <cols>
    <col min="1" max="1" width="12.5" style="146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10.375" style="14" customWidth="1"/>
    <col min="13" max="13" width="5.25" style="14" customWidth="1"/>
    <col min="14" max="14" width="11.5" style="14" customWidth="1"/>
    <col min="15" max="17" width="4.75" style="14" customWidth="1"/>
    <col min="18" max="27" width="12.5" style="14"/>
    <col min="28" max="28" width="6.75" style="14" customWidth="1"/>
    <col min="29" max="16384" width="12.5" style="14"/>
  </cols>
  <sheetData>
    <row r="1" spans="1:33" ht="28.5" customHeight="1" x14ac:dyDescent="0.2">
      <c r="B1" s="64" t="s">
        <v>231</v>
      </c>
      <c r="C1" s="65">
        <v>1000</v>
      </c>
      <c r="D1" s="66" t="s">
        <v>232</v>
      </c>
      <c r="E1" s="99">
        <f>S30</f>
        <v>12660</v>
      </c>
      <c r="F1" s="64" t="s">
        <v>233</v>
      </c>
      <c r="G1" s="342">
        <f>E1/C1</f>
        <v>12.66</v>
      </c>
      <c r="H1" s="64" t="s">
        <v>234</v>
      </c>
      <c r="I1" s="343">
        <f>G1/K1</f>
        <v>12.534653465346535</v>
      </c>
      <c r="J1" s="344" t="s">
        <v>235</v>
      </c>
      <c r="K1" s="345">
        <v>1.01</v>
      </c>
      <c r="L1" s="344" t="s">
        <v>809</v>
      </c>
      <c r="M1" s="84" t="s">
        <v>299</v>
      </c>
      <c r="N1" s="344" t="s">
        <v>810</v>
      </c>
      <c r="O1" s="84">
        <f>T15</f>
        <v>0.91089108910891092</v>
      </c>
      <c r="P1" s="84"/>
      <c r="Q1" s="84"/>
      <c r="R1" s="84"/>
      <c r="S1" s="84"/>
      <c r="T1" s="84"/>
      <c r="U1" s="84"/>
      <c r="V1" s="84"/>
      <c r="Y1" s="75" t="s">
        <v>453</v>
      </c>
      <c r="Z1" s="766">
        <v>12660</v>
      </c>
      <c r="AA1" s="75" t="s">
        <v>556</v>
      </c>
      <c r="AB1" s="766">
        <v>0</v>
      </c>
      <c r="AC1" s="75" t="s">
        <v>546</v>
      </c>
      <c r="AD1" s="766">
        <v>87</v>
      </c>
    </row>
    <row r="2" spans="1:33" ht="12.75" customHeight="1" x14ac:dyDescent="0.2">
      <c r="A2" s="1502"/>
      <c r="B2" s="1644" t="s">
        <v>343</v>
      </c>
      <c r="C2" s="1661"/>
      <c r="D2" s="1661"/>
      <c r="E2" s="1661"/>
      <c r="F2" s="1661"/>
      <c r="G2" s="1661"/>
      <c r="H2" s="1661"/>
      <c r="I2" s="328"/>
      <c r="J2" s="328"/>
      <c r="K2" s="328"/>
      <c r="L2" s="84"/>
      <c r="M2" s="84"/>
      <c r="N2" s="84"/>
      <c r="O2" s="84"/>
      <c r="P2" s="84"/>
      <c r="Q2" s="84"/>
      <c r="R2" s="84"/>
      <c r="S2" s="84"/>
      <c r="T2" s="84"/>
      <c r="U2" s="84"/>
      <c r="AE2" s="1647"/>
      <c r="AF2" s="1655"/>
      <c r="AG2" s="1655"/>
    </row>
    <row r="3" spans="1:33" ht="12.75" customHeight="1" x14ac:dyDescent="0.2">
      <c r="A3" s="1502"/>
      <c r="B3" s="346"/>
      <c r="C3" s="346"/>
      <c r="D3" s="346"/>
      <c r="E3" s="346"/>
      <c r="F3" s="346"/>
      <c r="G3" s="346"/>
      <c r="H3" s="346"/>
      <c r="I3" s="328"/>
      <c r="J3" s="328"/>
      <c r="K3" s="328"/>
      <c r="L3" s="84"/>
      <c r="M3" s="84"/>
      <c r="N3" s="84"/>
      <c r="O3" s="84"/>
      <c r="P3" s="84"/>
      <c r="Q3" s="84"/>
      <c r="R3" s="84"/>
      <c r="S3" s="84"/>
      <c r="T3" s="84"/>
      <c r="U3" s="84"/>
      <c r="AE3" s="1655"/>
      <c r="AF3" s="1655"/>
      <c r="AG3" s="1655"/>
    </row>
    <row r="4" spans="1:33" ht="69" customHeight="1" x14ac:dyDescent="0.2">
      <c r="A4" s="1589"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Q4" s="84"/>
      <c r="R4" s="84"/>
      <c r="S4" s="84"/>
      <c r="T4" s="84"/>
      <c r="U4" s="84"/>
    </row>
    <row r="5" spans="1:33" ht="14.25" customHeight="1" x14ac:dyDescent="0.2">
      <c r="A5" s="1459"/>
      <c r="B5" s="586"/>
      <c r="C5" s="587"/>
      <c r="D5" s="198"/>
      <c r="E5" s="588"/>
      <c r="F5" s="198"/>
      <c r="G5" s="198"/>
      <c r="H5" s="587"/>
      <c r="I5" s="65"/>
      <c r="J5" s="101"/>
      <c r="K5" s="104"/>
      <c r="L5" s="104"/>
    </row>
    <row r="6" spans="1:33" ht="14.25" customHeight="1" x14ac:dyDescent="0.2">
      <c r="A6" s="1460"/>
      <c r="B6" s="20" t="s">
        <v>21</v>
      </c>
      <c r="C6" s="106" t="s">
        <v>14</v>
      </c>
      <c r="D6" s="98">
        <f>1000/O1</f>
        <v>1097.8260869565217</v>
      </c>
      <c r="E6" s="98">
        <f t="shared" ref="E6:E12" si="0">$I$1</f>
        <v>12.534653465346535</v>
      </c>
      <c r="F6" s="109">
        <v>1</v>
      </c>
      <c r="G6" s="101">
        <f t="shared" ref="G6:G12" si="1">D6*E6</f>
        <v>13760.869565217392</v>
      </c>
      <c r="H6" s="102">
        <f t="shared" ref="H6:H12" si="2">G6*F6</f>
        <v>13760.869565217392</v>
      </c>
      <c r="I6" s="65">
        <f>VLOOKUP(B6,All_Ingredients!$A$1:$F$156,6,FALSE())</f>
        <v>0.9</v>
      </c>
      <c r="J6" s="101">
        <f>VLOOKUP(B6,All_Ingredients!$A$1:$J$156,10,FALSE())</f>
        <v>2.2999999999999998</v>
      </c>
      <c r="K6" s="104">
        <f t="shared" ref="K6:K12" si="3">(H6/I6)/1000</f>
        <v>15.289855072463768</v>
      </c>
      <c r="L6" s="104">
        <f t="shared" ref="L6:L12" si="4">K6*J6</f>
        <v>35.166666666666664</v>
      </c>
    </row>
    <row r="7" spans="1:33" ht="14.25" customHeight="1" x14ac:dyDescent="0.2">
      <c r="A7" s="1460"/>
      <c r="B7" s="20" t="s">
        <v>54</v>
      </c>
      <c r="C7" s="106" t="s">
        <v>14</v>
      </c>
      <c r="D7" s="98">
        <v>10</v>
      </c>
      <c r="E7" s="98">
        <f t="shared" si="0"/>
        <v>12.534653465346535</v>
      </c>
      <c r="F7" s="109">
        <v>1</v>
      </c>
      <c r="G7" s="101">
        <f t="shared" si="1"/>
        <v>125.34653465346535</v>
      </c>
      <c r="H7" s="102">
        <f t="shared" si="2"/>
        <v>125.34653465346535</v>
      </c>
      <c r="I7" s="65">
        <f>VLOOKUP(B7,All_Ingredients!$A$1:$F$156,6,FALSE())</f>
        <v>0.87</v>
      </c>
      <c r="J7" s="101">
        <f>VLOOKUP(B7,All_Ingredients!$A$1:$J$156,10,FALSE())</f>
        <v>7</v>
      </c>
      <c r="K7" s="104">
        <f t="shared" si="3"/>
        <v>0.14407647661317854</v>
      </c>
      <c r="L7" s="104">
        <f t="shared" si="4"/>
        <v>1.0085353362922498</v>
      </c>
    </row>
    <row r="8" spans="1:33" ht="14.25" customHeight="1" x14ac:dyDescent="0.2">
      <c r="A8" s="1460"/>
      <c r="B8" s="20" t="s">
        <v>60</v>
      </c>
      <c r="C8" s="106" t="s">
        <v>14</v>
      </c>
      <c r="D8" s="98">
        <v>5</v>
      </c>
      <c r="E8" s="98">
        <f t="shared" si="0"/>
        <v>12.534653465346535</v>
      </c>
      <c r="F8" s="109">
        <v>1</v>
      </c>
      <c r="G8" s="101">
        <f t="shared" si="1"/>
        <v>62.673267326732677</v>
      </c>
      <c r="H8" s="102">
        <f t="shared" si="2"/>
        <v>62.673267326732677</v>
      </c>
      <c r="I8" s="65">
        <f>VLOOKUP(B8,All_Ingredients!$A$1:$F$156,6,FALSE())</f>
        <v>0.94</v>
      </c>
      <c r="J8" s="101">
        <f>VLOOKUP(B8,All_Ingredients!$A$1:$J$156,10,FALSE())</f>
        <v>3.6363636363636367</v>
      </c>
      <c r="K8" s="104">
        <f t="shared" si="3"/>
        <v>6.6673688645460305E-2</v>
      </c>
      <c r="L8" s="104">
        <f t="shared" si="4"/>
        <v>0.24244977689258296</v>
      </c>
    </row>
    <row r="9" spans="1:33" ht="14.25" customHeight="1" x14ac:dyDescent="0.2">
      <c r="A9" s="1460"/>
      <c r="B9" s="20" t="s">
        <v>152</v>
      </c>
      <c r="C9" s="106" t="s">
        <v>14</v>
      </c>
      <c r="D9" s="98">
        <v>10</v>
      </c>
      <c r="E9" s="98">
        <f t="shared" si="0"/>
        <v>12.534653465346535</v>
      </c>
      <c r="F9" s="109">
        <v>1</v>
      </c>
      <c r="G9" s="101">
        <f t="shared" si="1"/>
        <v>125.34653465346535</v>
      </c>
      <c r="H9" s="102">
        <f t="shared" si="2"/>
        <v>125.34653465346535</v>
      </c>
      <c r="I9" s="65">
        <f>VLOOKUP(B9,All_Ingredients!$A$1:$F$156,6,FALSE())</f>
        <v>1</v>
      </c>
      <c r="J9" s="101">
        <f>VLOOKUP(B9,All_Ingredients!$A$1:$J$156,10,FALSE())</f>
        <v>30</v>
      </c>
      <c r="K9" s="104">
        <f t="shared" si="3"/>
        <v>0.12534653465346535</v>
      </c>
      <c r="L9" s="104">
        <f t="shared" si="4"/>
        <v>3.7603960396039602</v>
      </c>
    </row>
    <row r="10" spans="1:33" ht="14.25" customHeight="1" x14ac:dyDescent="0.2">
      <c r="A10" s="1460"/>
      <c r="B10" s="20" t="s">
        <v>101</v>
      </c>
      <c r="C10" s="106" t="s">
        <v>14</v>
      </c>
      <c r="D10" s="98">
        <v>2</v>
      </c>
      <c r="E10" s="98">
        <f t="shared" si="0"/>
        <v>12.534653465346535</v>
      </c>
      <c r="F10" s="109">
        <v>0.75</v>
      </c>
      <c r="G10" s="101">
        <f t="shared" si="1"/>
        <v>25.06930693069307</v>
      </c>
      <c r="H10" s="102">
        <f t="shared" si="2"/>
        <v>18.801980198019802</v>
      </c>
      <c r="I10" s="65">
        <f>VLOOKUP(B10,All_Ingredients!$A$1:$F$156,6,FALSE())</f>
        <v>1</v>
      </c>
      <c r="J10" s="101">
        <f>VLOOKUP(B10,All_Ingredients!$A$1:$J$156,10,FALSE())</f>
        <v>47</v>
      </c>
      <c r="K10" s="104">
        <f t="shared" si="3"/>
        <v>1.8801980198019801E-2</v>
      </c>
      <c r="L10" s="104">
        <f t="shared" si="4"/>
        <v>0.8836930693069307</v>
      </c>
    </row>
    <row r="11" spans="1:33" ht="14.25" customHeight="1" x14ac:dyDescent="0.2">
      <c r="A11" s="1460"/>
      <c r="B11" s="20" t="s">
        <v>93</v>
      </c>
      <c r="C11" s="106" t="s">
        <v>14</v>
      </c>
      <c r="D11" s="98">
        <v>5</v>
      </c>
      <c r="E11" s="98">
        <f t="shared" si="0"/>
        <v>12.534653465346535</v>
      </c>
      <c r="F11" s="109">
        <v>0.75</v>
      </c>
      <c r="G11" s="101">
        <f t="shared" si="1"/>
        <v>62.673267326732677</v>
      </c>
      <c r="H11" s="102">
        <f t="shared" si="2"/>
        <v>47.004950495049506</v>
      </c>
      <c r="I11" s="65">
        <f>VLOOKUP(B11,All_Ingredients!$A$1:$F$156,6,FALSE())</f>
        <v>1</v>
      </c>
      <c r="J11" s="101">
        <f>VLOOKUP(B11,All_Ingredients!$A$1:$J$156,10,FALSE())</f>
        <v>0.74</v>
      </c>
      <c r="K11" s="104">
        <f t="shared" si="3"/>
        <v>4.7004950495049505E-2</v>
      </c>
      <c r="L11" s="104">
        <f t="shared" si="4"/>
        <v>3.4783663366336634E-2</v>
      </c>
      <c r="R11" s="14">
        <v>11000</v>
      </c>
      <c r="S11" s="14">
        <v>10200</v>
      </c>
    </row>
    <row r="12" spans="1:33" ht="14.25" customHeight="1" x14ac:dyDescent="0.2">
      <c r="A12" s="1460"/>
      <c r="B12" s="20" t="s">
        <v>105</v>
      </c>
      <c r="C12" s="106" t="s">
        <v>14</v>
      </c>
      <c r="D12" s="98">
        <v>1</v>
      </c>
      <c r="E12" s="98">
        <f t="shared" si="0"/>
        <v>12.534653465346535</v>
      </c>
      <c r="F12" s="109">
        <v>0.75</v>
      </c>
      <c r="G12" s="101">
        <f t="shared" si="1"/>
        <v>12.534653465346535</v>
      </c>
      <c r="H12" s="102">
        <f t="shared" si="2"/>
        <v>9.4009900990099009</v>
      </c>
      <c r="I12" s="65">
        <f>VLOOKUP(B12,All_Ingredients!$A$1:$F$156,6,FALSE())</f>
        <v>1</v>
      </c>
      <c r="J12" s="101">
        <f>VLOOKUP(B12,All_Ingredients!$A$1:$J$156,10,FALSE())</f>
        <v>15</v>
      </c>
      <c r="K12" s="104">
        <f t="shared" si="3"/>
        <v>9.4009900990099007E-3</v>
      </c>
      <c r="L12" s="104">
        <f t="shared" si="4"/>
        <v>0.1410148514851485</v>
      </c>
      <c r="R12" s="14">
        <v>11000</v>
      </c>
      <c r="S12" s="14">
        <v>10100</v>
      </c>
    </row>
    <row r="13" spans="1:33" ht="14.25" customHeight="1" x14ac:dyDescent="0.2">
      <c r="B13" s="325"/>
      <c r="C13" s="114"/>
      <c r="D13" s="232"/>
      <c r="E13" s="203"/>
      <c r="F13" s="117"/>
      <c r="G13" s="121"/>
      <c r="H13" s="119"/>
      <c r="R13" s="14">
        <v>8300</v>
      </c>
      <c r="S13" s="14">
        <v>7300</v>
      </c>
    </row>
    <row r="14" spans="1:33" ht="14.25" customHeight="1" x14ac:dyDescent="0.2">
      <c r="E14" s="84"/>
      <c r="F14" s="84"/>
      <c r="U14" s="14" t="s">
        <v>804</v>
      </c>
    </row>
    <row r="15" spans="1:33" ht="14.25" customHeight="1" x14ac:dyDescent="0.2">
      <c r="E15" s="84"/>
      <c r="F15" s="84"/>
      <c r="R15" s="1185">
        <f>SUM(R11:R13)</f>
        <v>30300</v>
      </c>
      <c r="S15" s="1185">
        <f>SUM(S11:S13)</f>
        <v>27600</v>
      </c>
      <c r="T15" s="14">
        <f>S15/R15</f>
        <v>0.91089108910891092</v>
      </c>
      <c r="U15" s="14" t="s">
        <v>803</v>
      </c>
    </row>
    <row r="16" spans="1:33" ht="14.25" customHeight="1" x14ac:dyDescent="0.2">
      <c r="E16" s="84"/>
      <c r="F16" s="84"/>
    </row>
    <row r="17" spans="5:29" ht="14.25" customHeight="1" x14ac:dyDescent="0.2">
      <c r="E17" s="84"/>
      <c r="F17" s="84"/>
    </row>
    <row r="18" spans="5:29" ht="14.25" customHeight="1" x14ac:dyDescent="0.2">
      <c r="E18" s="84"/>
      <c r="F18" s="84"/>
    </row>
    <row r="19" spans="5:29" ht="14.25" customHeight="1" x14ac:dyDescent="0.2">
      <c r="E19" s="84"/>
      <c r="F19" s="84"/>
    </row>
    <row r="20" spans="5:29" ht="14.25" customHeight="1" x14ac:dyDescent="0.2">
      <c r="E20" s="84"/>
      <c r="F20" s="84"/>
    </row>
    <row r="21" spans="5:29" x14ac:dyDescent="0.2">
      <c r="E21" s="84"/>
      <c r="F21" s="84"/>
    </row>
    <row r="24" spans="5:29" x14ac:dyDescent="0.2">
      <c r="Z24" s="1073"/>
    </row>
    <row r="25" spans="5:29" ht="12.75" customHeight="1" x14ac:dyDescent="0.2">
      <c r="R25" s="1679" t="s">
        <v>345</v>
      </c>
      <c r="S25" s="1639"/>
      <c r="T25" s="1680"/>
      <c r="Z25" s="122" t="s">
        <v>14</v>
      </c>
      <c r="AA25" s="123">
        <v>1</v>
      </c>
      <c r="AB25" s="122" t="s">
        <v>249</v>
      </c>
      <c r="AC25" s="124">
        <f>(S31/S30)*AA25</f>
        <v>3.2573095895429595E-3</v>
      </c>
    </row>
    <row r="26" spans="5:29" ht="12.75" customHeight="1" x14ac:dyDescent="0.2">
      <c r="R26" s="348" t="s">
        <v>338</v>
      </c>
      <c r="S26" s="348"/>
      <c r="T26" s="348"/>
    </row>
    <row r="27" spans="5:29" ht="14.25" customHeight="1" x14ac:dyDescent="0.2">
      <c r="R27" s="126" t="s">
        <v>254</v>
      </c>
      <c r="S27" s="126" t="s">
        <v>339</v>
      </c>
      <c r="T27" s="126" t="s">
        <v>257</v>
      </c>
    </row>
    <row r="28" spans="5:29" ht="14.25" customHeight="1" x14ac:dyDescent="0.2">
      <c r="R28" s="126" t="s">
        <v>263</v>
      </c>
      <c r="S28" s="721">
        <f>T28</f>
        <v>12660</v>
      </c>
      <c r="T28" s="1206">
        <f>$Z$1</f>
        <v>12660</v>
      </c>
      <c r="U28" s="1220"/>
    </row>
    <row r="29" spans="5:29" ht="14.25" customHeight="1" x14ac:dyDescent="0.2">
      <c r="R29" s="126" t="s">
        <v>265</v>
      </c>
      <c r="S29" s="1206">
        <f>$AB$1</f>
        <v>0</v>
      </c>
      <c r="T29" s="723">
        <f>S29</f>
        <v>0</v>
      </c>
      <c r="U29" s="1220"/>
    </row>
    <row r="30" spans="5:29" ht="14.25" customHeight="1" thickBot="1" x14ac:dyDescent="0.25">
      <c r="R30" s="126" t="s">
        <v>257</v>
      </c>
      <c r="S30" s="1240">
        <f>SUM(S28:S29)</f>
        <v>12660</v>
      </c>
      <c r="T30" s="1240">
        <f>S30</f>
        <v>12660</v>
      </c>
      <c r="U30" s="1220"/>
    </row>
    <row r="31" spans="5:29" ht="14.25" customHeight="1" thickBot="1" x14ac:dyDescent="0.25">
      <c r="R31" s="144" t="s">
        <v>249</v>
      </c>
      <c r="S31" s="990">
        <f>SUM(L6:L12)</f>
        <v>41.237539403613866</v>
      </c>
      <c r="T31" s="1061">
        <f>S31</f>
        <v>41.237539403613866</v>
      </c>
    </row>
    <row r="32" spans="5:29" ht="14.25" customHeight="1" x14ac:dyDescent="0.2">
      <c r="S32" s="314"/>
    </row>
    <row r="41" spans="6:8" ht="14.25" customHeight="1" x14ac:dyDescent="0.2">
      <c r="F41" s="314"/>
      <c r="G41" s="314"/>
      <c r="H41" s="987"/>
    </row>
    <row r="42" spans="6:8" ht="14.25" customHeight="1" x14ac:dyDescent="0.2">
      <c r="F42" s="314"/>
      <c r="G42" s="314"/>
      <c r="H42" s="987"/>
    </row>
    <row r="43" spans="6:8" x14ac:dyDescent="0.2">
      <c r="F43" s="314"/>
      <c r="G43" s="314"/>
      <c r="H43" s="987"/>
    </row>
    <row r="50" spans="1:8" ht="14.25" x14ac:dyDescent="0.2">
      <c r="B50" s="204"/>
      <c r="C50" s="204" t="s">
        <v>233</v>
      </c>
      <c r="D50" s="204" t="s">
        <v>279</v>
      </c>
    </row>
    <row r="51" spans="1:8" ht="14.25" x14ac:dyDescent="0.2">
      <c r="B51" s="161" t="s">
        <v>283</v>
      </c>
      <c r="C51" s="162">
        <f>10/$K$1</f>
        <v>9.9009900990099009</v>
      </c>
      <c r="D51" s="163">
        <f>$C$1*10</f>
        <v>10000</v>
      </c>
    </row>
    <row r="52" spans="1:8" ht="14.25" x14ac:dyDescent="0.2">
      <c r="B52" s="209" t="s">
        <v>257</v>
      </c>
      <c r="C52" s="210">
        <f>G1</f>
        <v>12.66</v>
      </c>
      <c r="D52" s="211">
        <f>E1</f>
        <v>12660</v>
      </c>
    </row>
    <row r="53" spans="1:8" ht="14.25" x14ac:dyDescent="0.2">
      <c r="B53" s="209" t="s">
        <v>284</v>
      </c>
      <c r="C53" s="212">
        <f>MIN($C$52, $C$51)</f>
        <v>9.9009900990099009</v>
      </c>
      <c r="D53" s="211">
        <f>(C53*$K$1)*$C$1</f>
        <v>10000</v>
      </c>
    </row>
    <row r="54" spans="1:8" ht="14.25" x14ac:dyDescent="0.2">
      <c r="B54" s="209" t="s">
        <v>285</v>
      </c>
      <c r="C54" s="212">
        <f>MIN($C$52-C53, $C$51)</f>
        <v>2.7590099009900992</v>
      </c>
      <c r="D54" s="211">
        <f>(C54*$K$1)*$C$1</f>
        <v>2786.6000000000004</v>
      </c>
    </row>
    <row r="55" spans="1:8" ht="14.25" x14ac:dyDescent="0.2">
      <c r="B55" s="209" t="s">
        <v>286</v>
      </c>
      <c r="C55" s="212">
        <f>MIN($C$52-C53-C54, $C$51)</f>
        <v>0</v>
      </c>
      <c r="D55" s="211">
        <f>(C55*$K$1)*$C$1</f>
        <v>0</v>
      </c>
    </row>
    <row r="56" spans="1:8" ht="14.25" x14ac:dyDescent="0.2">
      <c r="B56" s="209" t="s">
        <v>293</v>
      </c>
      <c r="C56" s="212">
        <f>MIN($C$52-C53-C54-C55, $C$51)</f>
        <v>0</v>
      </c>
      <c r="D56" s="211">
        <f>(C56*$K$1)*$C$1</f>
        <v>0</v>
      </c>
    </row>
    <row r="57" spans="1:8" ht="14.25" x14ac:dyDescent="0.2">
      <c r="B57" s="209" t="s">
        <v>344</v>
      </c>
      <c r="C57" s="212">
        <f>MIN($C$52-C53-C54-C55-C56, $C$51)</f>
        <v>0</v>
      </c>
      <c r="D57" s="211">
        <f>(C57*$K$1)*$C$1</f>
        <v>0</v>
      </c>
    </row>
    <row r="62" spans="1:8" ht="14.25" customHeight="1" x14ac:dyDescent="0.2">
      <c r="A62" s="1464"/>
      <c r="B62" s="1636" t="s">
        <v>589</v>
      </c>
      <c r="C62" s="1637"/>
      <c r="D62" s="1637"/>
      <c r="E62" s="1637"/>
      <c r="F62" s="1637"/>
      <c r="G62" s="1637"/>
      <c r="H62" s="1637"/>
    </row>
    <row r="63" spans="1:8" ht="14.25" x14ac:dyDescent="0.2">
      <c r="A63" s="1464"/>
      <c r="B63" s="1634" t="s">
        <v>343</v>
      </c>
      <c r="C63" s="1635"/>
      <c r="D63" s="1635"/>
      <c r="E63" s="1635"/>
      <c r="F63" s="1635"/>
      <c r="G63" s="1635"/>
      <c r="H63" s="1635"/>
    </row>
    <row r="64" spans="1:8" ht="42" customHeight="1" x14ac:dyDescent="0.2">
      <c r="A64" s="1589"/>
      <c r="B64" s="221" t="s">
        <v>241</v>
      </c>
      <c r="C64" s="222" t="s">
        <v>242</v>
      </c>
      <c r="D64" s="223" t="s">
        <v>231</v>
      </c>
      <c r="E64" s="197" t="s">
        <v>234</v>
      </c>
      <c r="F64" s="197" t="s">
        <v>243</v>
      </c>
      <c r="G64" s="223" t="s">
        <v>244</v>
      </c>
      <c r="H64" s="197" t="s">
        <v>245</v>
      </c>
    </row>
    <row r="65" spans="1:8" ht="14.25" customHeight="1" x14ac:dyDescent="0.2">
      <c r="A65" s="1460"/>
      <c r="B65" s="299" t="str">
        <f t="shared" ref="B65:D71" si="5">B6</f>
        <v>Potato - بطاطس</v>
      </c>
      <c r="C65" s="106" t="str">
        <f t="shared" si="5"/>
        <v>gm</v>
      </c>
      <c r="D65" s="98">
        <f t="shared" si="5"/>
        <v>1097.8260869565217</v>
      </c>
      <c r="E65" s="98">
        <f>$C$52</f>
        <v>12.66</v>
      </c>
      <c r="F65" s="109">
        <f t="shared" ref="F65:F71" si="6">F6</f>
        <v>1</v>
      </c>
      <c r="G65" s="101">
        <f t="shared" ref="G65:G71" si="7">D65*E65</f>
        <v>13898.478260869566</v>
      </c>
      <c r="H65" s="102">
        <f t="shared" ref="H65:H71" si="8">G65*F65</f>
        <v>13898.478260869566</v>
      </c>
    </row>
    <row r="66" spans="1:8" ht="14.25" customHeight="1" x14ac:dyDescent="0.2">
      <c r="A66" s="1460"/>
      <c r="B66" s="299" t="str">
        <f t="shared" si="5"/>
        <v>Ginger - زنجبيل</v>
      </c>
      <c r="C66" s="106" t="str">
        <f t="shared" si="5"/>
        <v>gm</v>
      </c>
      <c r="D66" s="107">
        <f t="shared" si="5"/>
        <v>10</v>
      </c>
      <c r="E66" s="98">
        <f t="shared" ref="E66:E71" si="9">$C$52</f>
        <v>12.66</v>
      </c>
      <c r="F66" s="109">
        <f t="shared" si="6"/>
        <v>1</v>
      </c>
      <c r="G66" s="101">
        <f t="shared" si="7"/>
        <v>126.6</v>
      </c>
      <c r="H66" s="102">
        <f t="shared" si="8"/>
        <v>126.6</v>
      </c>
    </row>
    <row r="67" spans="1:8" ht="14.25" customHeight="1" x14ac:dyDescent="0.2">
      <c r="A67" s="1460"/>
      <c r="B67" s="299" t="str">
        <f t="shared" si="5"/>
        <v>Coriander Leaves - كزبرة خضراء</v>
      </c>
      <c r="C67" s="106" t="str">
        <f t="shared" si="5"/>
        <v>gm</v>
      </c>
      <c r="D67" s="107">
        <f t="shared" si="5"/>
        <v>5</v>
      </c>
      <c r="E67" s="98">
        <f t="shared" si="9"/>
        <v>12.66</v>
      </c>
      <c r="F67" s="109">
        <f t="shared" si="6"/>
        <v>1</v>
      </c>
      <c r="G67" s="101">
        <f t="shared" si="7"/>
        <v>63.3</v>
      </c>
      <c r="H67" s="102">
        <f t="shared" si="8"/>
        <v>63.3</v>
      </c>
    </row>
    <row r="68" spans="1:8" ht="14.25" customHeight="1" x14ac:dyDescent="0.2">
      <c r="A68" s="1460"/>
      <c r="B68" s="299" t="str">
        <f t="shared" si="5"/>
        <v>Butter - زبدة</v>
      </c>
      <c r="C68" s="106" t="str">
        <f t="shared" si="5"/>
        <v>gm</v>
      </c>
      <c r="D68" s="107">
        <f t="shared" si="5"/>
        <v>10</v>
      </c>
      <c r="E68" s="98">
        <f t="shared" si="9"/>
        <v>12.66</v>
      </c>
      <c r="F68" s="109">
        <f t="shared" si="6"/>
        <v>1</v>
      </c>
      <c r="G68" s="101">
        <f t="shared" si="7"/>
        <v>126.6</v>
      </c>
      <c r="H68" s="102">
        <f t="shared" si="8"/>
        <v>126.6</v>
      </c>
    </row>
    <row r="69" spans="1:8" ht="14.25" customHeight="1" x14ac:dyDescent="0.2">
      <c r="A69" s="1460"/>
      <c r="B69" s="299" t="str">
        <f t="shared" si="5"/>
        <v>White Pepper - فلفل أبيض</v>
      </c>
      <c r="C69" s="106" t="str">
        <f t="shared" si="5"/>
        <v>gm</v>
      </c>
      <c r="D69" s="107">
        <f t="shared" si="5"/>
        <v>2</v>
      </c>
      <c r="E69" s="98">
        <f t="shared" si="9"/>
        <v>12.66</v>
      </c>
      <c r="F69" s="109">
        <f t="shared" si="6"/>
        <v>0.75</v>
      </c>
      <c r="G69" s="101">
        <f t="shared" si="7"/>
        <v>25.32</v>
      </c>
      <c r="H69" s="102">
        <f t="shared" si="8"/>
        <v>18.990000000000002</v>
      </c>
    </row>
    <row r="70" spans="1:8" ht="14.25" customHeight="1" x14ac:dyDescent="0.2">
      <c r="A70" s="1460"/>
      <c r="B70" s="299" t="str">
        <f t="shared" si="5"/>
        <v>Salt - ملح</v>
      </c>
      <c r="C70" s="106" t="str">
        <f t="shared" si="5"/>
        <v>gm</v>
      </c>
      <c r="D70" s="107">
        <f t="shared" si="5"/>
        <v>5</v>
      </c>
      <c r="E70" s="98">
        <f t="shared" si="9"/>
        <v>12.66</v>
      </c>
      <c r="F70" s="109">
        <f t="shared" si="6"/>
        <v>0.75</v>
      </c>
      <c r="G70" s="101">
        <f t="shared" si="7"/>
        <v>63.3</v>
      </c>
      <c r="H70" s="102">
        <f t="shared" si="8"/>
        <v>47.474999999999994</v>
      </c>
    </row>
    <row r="71" spans="1:8" ht="12.75" customHeight="1" x14ac:dyDescent="0.2">
      <c r="A71" s="1460"/>
      <c r="B71" s="299" t="str">
        <f t="shared" si="5"/>
        <v>Cumin Powder - كمون مطحون</v>
      </c>
      <c r="C71" s="106" t="str">
        <f t="shared" si="5"/>
        <v>gm</v>
      </c>
      <c r="D71" s="107">
        <f t="shared" si="5"/>
        <v>1</v>
      </c>
      <c r="E71" s="98">
        <f t="shared" si="9"/>
        <v>12.66</v>
      </c>
      <c r="F71" s="109">
        <f t="shared" si="6"/>
        <v>0.75</v>
      </c>
      <c r="G71" s="101">
        <f t="shared" si="7"/>
        <v>12.66</v>
      </c>
      <c r="H71" s="102">
        <f t="shared" si="8"/>
        <v>9.495000000000001</v>
      </c>
    </row>
    <row r="72" spans="1:8" ht="18" customHeight="1" x14ac:dyDescent="0.2">
      <c r="B72" s="178" t="s">
        <v>703</v>
      </c>
      <c r="E72" s="84"/>
      <c r="F72" s="84"/>
    </row>
    <row r="73" spans="1:8" ht="19.5" customHeight="1" x14ac:dyDescent="0.3">
      <c r="B73" s="179">
        <f>D52</f>
        <v>12660</v>
      </c>
      <c r="C73" s="188"/>
      <c r="D73" s="4"/>
      <c r="E73" s="84"/>
      <c r="F73" s="164"/>
    </row>
    <row r="74" spans="1:8" ht="12.75" customHeight="1" x14ac:dyDescent="0.2">
      <c r="B74" s="84"/>
      <c r="E74" s="84"/>
      <c r="F74" s="84"/>
    </row>
    <row r="75" spans="1:8" ht="18" customHeight="1" x14ac:dyDescent="0.2">
      <c r="B75" s="84"/>
      <c r="C75" s="84"/>
      <c r="D75" s="84"/>
      <c r="E75" s="84"/>
      <c r="F75" s="84"/>
      <c r="G75" s="84"/>
      <c r="H75" s="84"/>
    </row>
    <row r="76" spans="1:8" ht="18" customHeight="1" x14ac:dyDescent="0.2">
      <c r="A76" s="1462"/>
      <c r="B76" s="1673"/>
      <c r="C76" s="1674"/>
      <c r="D76" s="1674"/>
      <c r="E76" s="1674"/>
      <c r="F76" s="1674"/>
      <c r="G76" s="1674"/>
      <c r="H76" s="1674"/>
    </row>
    <row r="77" spans="1:8" ht="18" x14ac:dyDescent="0.2">
      <c r="A77" s="1462"/>
      <c r="B77" s="1673"/>
      <c r="C77" s="1674"/>
      <c r="D77" s="1674"/>
      <c r="E77" s="1674"/>
      <c r="F77" s="1674"/>
      <c r="G77" s="1674"/>
      <c r="H77" s="1674"/>
    </row>
    <row r="78" spans="1:8" ht="45.75" customHeight="1" x14ac:dyDescent="0.2">
      <c r="A78" s="1463"/>
      <c r="B78" s="1103"/>
      <c r="C78" s="1104"/>
      <c r="D78" s="1103"/>
      <c r="E78" s="1105"/>
      <c r="F78" s="1105"/>
      <c r="G78" s="1103"/>
      <c r="H78" s="1105"/>
    </row>
    <row r="79" spans="1:8" ht="14.25" customHeight="1" x14ac:dyDescent="0.2">
      <c r="A79" s="1462"/>
      <c r="B79" s="1106"/>
      <c r="C79" s="1106"/>
      <c r="D79" s="1106"/>
      <c r="E79" s="1107"/>
      <c r="F79" s="1108"/>
      <c r="G79" s="1109"/>
      <c r="H79" s="1110"/>
    </row>
    <row r="80" spans="1:8" ht="14.25" customHeight="1" x14ac:dyDescent="0.2">
      <c r="A80" s="1462"/>
      <c r="B80" s="1106"/>
      <c r="C80" s="1106"/>
      <c r="D80" s="1106"/>
      <c r="E80" s="1107"/>
      <c r="F80" s="1108"/>
      <c r="G80" s="1109"/>
      <c r="H80" s="1110"/>
    </row>
    <row r="81" spans="1:8" ht="14.25" customHeight="1" x14ac:dyDescent="0.2">
      <c r="A81" s="1462"/>
      <c r="B81" s="1106"/>
      <c r="C81" s="1106"/>
      <c r="D81" s="1106"/>
      <c r="E81" s="1107"/>
      <c r="F81" s="1108"/>
      <c r="G81" s="1109"/>
      <c r="H81" s="1110"/>
    </row>
    <row r="82" spans="1:8" ht="14.25" customHeight="1" x14ac:dyDescent="0.2">
      <c r="A82" s="1462"/>
      <c r="B82" s="1106"/>
      <c r="C82" s="1106"/>
      <c r="D82" s="1106"/>
      <c r="E82" s="1107"/>
      <c r="F82" s="1108"/>
      <c r="G82" s="1109"/>
      <c r="H82" s="1110"/>
    </row>
    <row r="83" spans="1:8" ht="14.25" customHeight="1" x14ac:dyDescent="0.2">
      <c r="A83" s="1462"/>
      <c r="B83" s="1106"/>
      <c r="C83" s="1106"/>
      <c r="D83" s="1106"/>
      <c r="E83" s="1107"/>
      <c r="F83" s="1108"/>
      <c r="G83" s="1109"/>
      <c r="H83" s="1110"/>
    </row>
    <row r="84" spans="1:8" ht="14.25" customHeight="1" x14ac:dyDescent="0.2">
      <c r="A84" s="1462"/>
      <c r="B84" s="1106"/>
      <c r="C84" s="1106"/>
      <c r="D84" s="1106"/>
      <c r="E84" s="1107"/>
      <c r="F84" s="1108"/>
      <c r="G84" s="1109"/>
      <c r="H84" s="1110"/>
    </row>
    <row r="85" spans="1:8" ht="12.75" customHeight="1" x14ac:dyDescent="0.2">
      <c r="A85" s="1462"/>
      <c r="B85" s="1106"/>
      <c r="C85" s="1106"/>
      <c r="D85" s="1106"/>
      <c r="E85" s="1107"/>
      <c r="F85" s="1108"/>
      <c r="G85" s="1109"/>
      <c r="H85" s="1110"/>
    </row>
    <row r="86" spans="1:8" ht="19.5" customHeight="1" x14ac:dyDescent="0.2">
      <c r="A86" s="1462"/>
      <c r="B86" s="814"/>
      <c r="C86" s="796"/>
      <c r="D86" s="796"/>
      <c r="E86" s="790"/>
      <c r="F86" s="790"/>
      <c r="G86" s="796"/>
      <c r="H86" s="796"/>
    </row>
    <row r="87" spans="1:8" ht="21" customHeight="1" x14ac:dyDescent="0.3">
      <c r="A87" s="1462"/>
      <c r="B87" s="815"/>
      <c r="C87" s="819"/>
      <c r="D87" s="1114"/>
      <c r="E87" s="790"/>
      <c r="F87" s="1115"/>
      <c r="G87" s="796"/>
      <c r="H87" s="796"/>
    </row>
    <row r="88" spans="1:8" ht="12.75" customHeight="1" x14ac:dyDescent="0.2">
      <c r="A88" s="1462"/>
      <c r="B88" s="790"/>
      <c r="C88" s="790"/>
      <c r="D88" s="790"/>
      <c r="E88" s="790"/>
      <c r="F88" s="790"/>
      <c r="G88" s="790"/>
      <c r="H88" s="790"/>
    </row>
    <row r="89" spans="1:8" ht="18" customHeight="1" x14ac:dyDescent="0.2">
      <c r="A89" s="1462"/>
      <c r="B89" s="790"/>
      <c r="C89" s="790"/>
      <c r="D89" s="790"/>
      <c r="E89" s="790"/>
      <c r="F89" s="790"/>
      <c r="G89" s="790"/>
      <c r="H89" s="790"/>
    </row>
    <row r="90" spans="1:8" ht="18" customHeight="1" x14ac:dyDescent="0.2">
      <c r="A90" s="1462"/>
      <c r="B90" s="1673"/>
      <c r="C90" s="1674"/>
      <c r="D90" s="1674"/>
      <c r="E90" s="1674"/>
      <c r="F90" s="1674"/>
      <c r="G90" s="1674"/>
      <c r="H90" s="1674"/>
    </row>
    <row r="91" spans="1:8" ht="18" x14ac:dyDescent="0.2">
      <c r="A91" s="1462"/>
      <c r="B91" s="1673"/>
      <c r="C91" s="1674"/>
      <c r="D91" s="1674"/>
      <c r="E91" s="1674"/>
      <c r="F91" s="1674"/>
      <c r="G91" s="1674"/>
      <c r="H91" s="1674"/>
    </row>
    <row r="92" spans="1:8" ht="48.75" customHeight="1" x14ac:dyDescent="0.2">
      <c r="A92" s="1463"/>
      <c r="B92" s="1103"/>
      <c r="C92" s="1104"/>
      <c r="D92" s="1103"/>
      <c r="E92" s="1105"/>
      <c r="F92" s="1105"/>
      <c r="G92" s="1103"/>
      <c r="H92" s="1105"/>
    </row>
    <row r="93" spans="1:8" ht="14.25" customHeight="1" x14ac:dyDescent="0.2">
      <c r="A93" s="1462"/>
      <c r="B93" s="1106"/>
      <c r="C93" s="1106"/>
      <c r="D93" s="1106"/>
      <c r="E93" s="1107"/>
      <c r="F93" s="1108"/>
      <c r="G93" s="1109"/>
      <c r="H93" s="1110"/>
    </row>
    <row r="94" spans="1:8" ht="14.25" customHeight="1" x14ac:dyDescent="0.2">
      <c r="A94" s="1462"/>
      <c r="B94" s="1106"/>
      <c r="C94" s="1106"/>
      <c r="D94" s="1106"/>
      <c r="E94" s="1107"/>
      <c r="F94" s="1108"/>
      <c r="G94" s="1109"/>
      <c r="H94" s="1110"/>
    </row>
    <row r="95" spans="1:8" ht="14.25" customHeight="1" x14ac:dyDescent="0.2">
      <c r="A95" s="1462"/>
      <c r="B95" s="1106"/>
      <c r="C95" s="1106"/>
      <c r="D95" s="1106"/>
      <c r="E95" s="1107"/>
      <c r="F95" s="1108"/>
      <c r="G95" s="1109"/>
      <c r="H95" s="1110"/>
    </row>
    <row r="96" spans="1:8" ht="14.25" customHeight="1" x14ac:dyDescent="0.2">
      <c r="A96" s="1462"/>
      <c r="B96" s="1106"/>
      <c r="C96" s="1106"/>
      <c r="D96" s="1106"/>
      <c r="E96" s="1107"/>
      <c r="F96" s="1108"/>
      <c r="G96" s="1109"/>
      <c r="H96" s="1110"/>
    </row>
    <row r="97" spans="1:8" ht="14.25" customHeight="1" x14ac:dyDescent="0.2">
      <c r="A97" s="1462"/>
      <c r="B97" s="1106"/>
      <c r="C97" s="1106"/>
      <c r="D97" s="1106"/>
      <c r="E97" s="1107"/>
      <c r="F97" s="1108"/>
      <c r="G97" s="1109"/>
      <c r="H97" s="1110"/>
    </row>
    <row r="98" spans="1:8" ht="14.25" customHeight="1" x14ac:dyDescent="0.2">
      <c r="A98" s="1462"/>
      <c r="B98" s="1106"/>
      <c r="C98" s="1106"/>
      <c r="D98" s="1106"/>
      <c r="E98" s="1107"/>
      <c r="F98" s="1108"/>
      <c r="G98" s="1109"/>
      <c r="H98" s="1110"/>
    </row>
    <row r="99" spans="1:8" ht="12.75" customHeight="1" x14ac:dyDescent="0.2">
      <c r="A99" s="1462"/>
      <c r="B99" s="1106"/>
      <c r="C99" s="1106"/>
      <c r="D99" s="1106"/>
      <c r="E99" s="1107"/>
      <c r="F99" s="1108"/>
      <c r="G99" s="1109"/>
      <c r="H99" s="1110"/>
    </row>
    <row r="100" spans="1:8" ht="18.75" customHeight="1" x14ac:dyDescent="0.2">
      <c r="A100" s="1462"/>
      <c r="B100" s="814"/>
      <c r="C100" s="796"/>
      <c r="D100" s="796"/>
      <c r="E100" s="790"/>
      <c r="F100" s="790"/>
      <c r="G100" s="796"/>
      <c r="H100" s="796"/>
    </row>
    <row r="101" spans="1:8" ht="20.25" x14ac:dyDescent="0.3">
      <c r="A101" s="1462"/>
      <c r="B101" s="815"/>
      <c r="C101" s="819"/>
      <c r="D101" s="1114"/>
      <c r="E101" s="790"/>
      <c r="F101" s="1115"/>
      <c r="G101" s="796"/>
      <c r="H101" s="796"/>
    </row>
    <row r="103" spans="1:8" ht="18" customHeight="1" x14ac:dyDescent="0.2"/>
    <row r="104" spans="1:8" ht="18" customHeight="1" x14ac:dyDescent="0.2">
      <c r="A104" s="1502"/>
      <c r="B104" s="1678" t="s">
        <v>346</v>
      </c>
      <c r="C104" s="1655"/>
      <c r="D104" s="1655"/>
      <c r="E104" s="1655"/>
      <c r="F104" s="1655"/>
      <c r="G104" s="1655"/>
      <c r="H104" s="1655"/>
    </row>
    <row r="105" spans="1:8" ht="14.25" x14ac:dyDescent="0.2">
      <c r="A105" s="1502"/>
      <c r="B105" s="1636" t="s">
        <v>347</v>
      </c>
      <c r="C105" s="1633"/>
      <c r="D105" s="1633"/>
      <c r="E105" s="1633"/>
      <c r="F105" s="1633"/>
      <c r="G105" s="1633"/>
      <c r="H105" s="1633"/>
    </row>
    <row r="106" spans="1:8" ht="41.25" customHeight="1" x14ac:dyDescent="0.2">
      <c r="A106" s="1589"/>
      <c r="B106" s="221" t="s">
        <v>241</v>
      </c>
      <c r="C106" s="222" t="s">
        <v>242</v>
      </c>
      <c r="D106" s="223" t="s">
        <v>231</v>
      </c>
      <c r="E106" s="197" t="s">
        <v>234</v>
      </c>
      <c r="F106" s="197" t="s">
        <v>243</v>
      </c>
      <c r="G106" s="223" t="s">
        <v>244</v>
      </c>
      <c r="H106" s="197" t="s">
        <v>245</v>
      </c>
    </row>
    <row r="107" spans="1:8" ht="14.25" customHeight="1" x14ac:dyDescent="0.2">
      <c r="A107" s="1460"/>
      <c r="B107" s="299" t="str">
        <f t="shared" ref="B107:D113" si="10">B6</f>
        <v>Potato - بطاطس</v>
      </c>
      <c r="C107" s="299" t="str">
        <f t="shared" si="10"/>
        <v>gm</v>
      </c>
      <c r="D107" s="299">
        <f t="shared" si="10"/>
        <v>1097.8260869565217</v>
      </c>
      <c r="E107" s="327">
        <f t="shared" ref="E107:E113" si="11">$C$56</f>
        <v>0</v>
      </c>
      <c r="F107" s="109">
        <f t="shared" ref="F107:F113" si="12">F6</f>
        <v>1</v>
      </c>
      <c r="G107" s="101">
        <f t="shared" ref="G107:G113" si="13">D107*E107</f>
        <v>0</v>
      </c>
      <c r="H107" s="102">
        <f t="shared" ref="H107:H113" si="14">G107*F107</f>
        <v>0</v>
      </c>
    </row>
    <row r="108" spans="1:8" ht="14.25" customHeight="1" x14ac:dyDescent="0.2">
      <c r="A108" s="1460"/>
      <c r="B108" s="299" t="str">
        <f t="shared" si="10"/>
        <v>Ginger - زنجبيل</v>
      </c>
      <c r="C108" s="299" t="str">
        <f t="shared" si="10"/>
        <v>gm</v>
      </c>
      <c r="D108" s="299">
        <f t="shared" si="10"/>
        <v>10</v>
      </c>
      <c r="E108" s="327">
        <f t="shared" si="11"/>
        <v>0</v>
      </c>
      <c r="F108" s="109">
        <f t="shared" si="12"/>
        <v>1</v>
      </c>
      <c r="G108" s="101">
        <f t="shared" si="13"/>
        <v>0</v>
      </c>
      <c r="H108" s="102">
        <f t="shared" si="14"/>
        <v>0</v>
      </c>
    </row>
    <row r="109" spans="1:8" ht="14.25" customHeight="1" x14ac:dyDescent="0.2">
      <c r="A109" s="1460"/>
      <c r="B109" s="299" t="str">
        <f t="shared" si="10"/>
        <v>Coriander Leaves - كزبرة خضراء</v>
      </c>
      <c r="C109" s="299" t="str">
        <f t="shared" si="10"/>
        <v>gm</v>
      </c>
      <c r="D109" s="299">
        <f t="shared" si="10"/>
        <v>5</v>
      </c>
      <c r="E109" s="327">
        <f t="shared" si="11"/>
        <v>0</v>
      </c>
      <c r="F109" s="109">
        <f t="shared" si="12"/>
        <v>1</v>
      </c>
      <c r="G109" s="101">
        <f t="shared" si="13"/>
        <v>0</v>
      </c>
      <c r="H109" s="102">
        <f t="shared" si="14"/>
        <v>0</v>
      </c>
    </row>
    <row r="110" spans="1:8" ht="14.25" customHeight="1" x14ac:dyDescent="0.2">
      <c r="A110" s="1460"/>
      <c r="B110" s="299" t="str">
        <f t="shared" si="10"/>
        <v>Butter - زبدة</v>
      </c>
      <c r="C110" s="299" t="str">
        <f t="shared" si="10"/>
        <v>gm</v>
      </c>
      <c r="D110" s="299">
        <f t="shared" si="10"/>
        <v>10</v>
      </c>
      <c r="E110" s="327">
        <f t="shared" si="11"/>
        <v>0</v>
      </c>
      <c r="F110" s="109">
        <f t="shared" si="12"/>
        <v>1</v>
      </c>
      <c r="G110" s="101">
        <f t="shared" si="13"/>
        <v>0</v>
      </c>
      <c r="H110" s="102">
        <f t="shared" si="14"/>
        <v>0</v>
      </c>
    </row>
    <row r="111" spans="1:8" ht="14.25" customHeight="1" x14ac:dyDescent="0.2">
      <c r="A111" s="1460"/>
      <c r="B111" s="299" t="str">
        <f t="shared" si="10"/>
        <v>White Pepper - فلفل أبيض</v>
      </c>
      <c r="C111" s="299" t="str">
        <f t="shared" si="10"/>
        <v>gm</v>
      </c>
      <c r="D111" s="299">
        <f t="shared" si="10"/>
        <v>2</v>
      </c>
      <c r="E111" s="327">
        <f t="shared" si="11"/>
        <v>0</v>
      </c>
      <c r="F111" s="109">
        <f t="shared" si="12"/>
        <v>0.75</v>
      </c>
      <c r="G111" s="101">
        <f t="shared" si="13"/>
        <v>0</v>
      </c>
      <c r="H111" s="102">
        <f t="shared" si="14"/>
        <v>0</v>
      </c>
    </row>
    <row r="112" spans="1:8" ht="14.25" customHeight="1" x14ac:dyDescent="0.2">
      <c r="A112" s="1460"/>
      <c r="B112" s="299" t="str">
        <f t="shared" si="10"/>
        <v>Salt - ملح</v>
      </c>
      <c r="C112" s="299" t="str">
        <f t="shared" si="10"/>
        <v>gm</v>
      </c>
      <c r="D112" s="299">
        <f t="shared" si="10"/>
        <v>5</v>
      </c>
      <c r="E112" s="327">
        <f t="shared" si="11"/>
        <v>0</v>
      </c>
      <c r="F112" s="109">
        <f t="shared" si="12"/>
        <v>0.75</v>
      </c>
      <c r="G112" s="101">
        <f t="shared" si="13"/>
        <v>0</v>
      </c>
      <c r="H112" s="102">
        <f t="shared" si="14"/>
        <v>0</v>
      </c>
    </row>
    <row r="113" spans="1:8" ht="12.75" customHeight="1" x14ac:dyDescent="0.2">
      <c r="A113" s="1460"/>
      <c r="B113" s="299" t="str">
        <f t="shared" si="10"/>
        <v>Cumin Powder - كمون مطحون</v>
      </c>
      <c r="C113" s="299" t="str">
        <f t="shared" si="10"/>
        <v>gm</v>
      </c>
      <c r="D113" s="299">
        <f t="shared" si="10"/>
        <v>1</v>
      </c>
      <c r="E113" s="327">
        <f t="shared" si="11"/>
        <v>0</v>
      </c>
      <c r="F113" s="109">
        <f t="shared" si="12"/>
        <v>0.75</v>
      </c>
      <c r="G113" s="101">
        <f t="shared" si="13"/>
        <v>0</v>
      </c>
      <c r="H113" s="102">
        <f t="shared" si="14"/>
        <v>0</v>
      </c>
    </row>
    <row r="114" spans="1:8" ht="19.5" customHeight="1" x14ac:dyDescent="0.2">
      <c r="B114" s="178" t="s">
        <v>703</v>
      </c>
      <c r="E114" s="84"/>
      <c r="F114" s="84"/>
    </row>
    <row r="115" spans="1:8" ht="20.25" x14ac:dyDescent="0.3">
      <c r="B115" s="179">
        <f>D56</f>
        <v>0</v>
      </c>
      <c r="C115" s="188"/>
      <c r="D115" s="4"/>
      <c r="E115" s="84"/>
      <c r="F115" s="164"/>
    </row>
    <row r="116" spans="1:8" ht="18" customHeight="1" x14ac:dyDescent="0.2"/>
    <row r="117" spans="1:8" ht="18" customHeight="1" x14ac:dyDescent="0.2">
      <c r="A117" s="1502"/>
      <c r="B117" s="1678" t="s">
        <v>348</v>
      </c>
      <c r="C117" s="1655"/>
      <c r="D117" s="1655"/>
      <c r="E117" s="1655"/>
      <c r="F117" s="1655"/>
      <c r="G117" s="1655"/>
      <c r="H117" s="1655"/>
    </row>
    <row r="118" spans="1:8" ht="14.25" x14ac:dyDescent="0.2">
      <c r="A118" s="1502"/>
      <c r="B118" s="1636" t="s">
        <v>349</v>
      </c>
      <c r="C118" s="1633"/>
      <c r="D118" s="1633"/>
      <c r="E118" s="1633"/>
      <c r="F118" s="1633"/>
      <c r="G118" s="1633"/>
      <c r="H118" s="1633"/>
    </row>
    <row r="119" spans="1:8" ht="45" customHeight="1" x14ac:dyDescent="0.2">
      <c r="A119" s="1589"/>
      <c r="B119" s="221" t="s">
        <v>241</v>
      </c>
      <c r="C119" s="222" t="s">
        <v>242</v>
      </c>
      <c r="D119" s="223" t="s">
        <v>231</v>
      </c>
      <c r="E119" s="197" t="s">
        <v>234</v>
      </c>
      <c r="F119" s="197" t="s">
        <v>243</v>
      </c>
      <c r="G119" s="223" t="s">
        <v>244</v>
      </c>
      <c r="H119" s="197" t="s">
        <v>245</v>
      </c>
    </row>
    <row r="120" spans="1:8" ht="14.25" customHeight="1" x14ac:dyDescent="0.2">
      <c r="A120" s="1460"/>
      <c r="B120" s="299" t="str">
        <f t="shared" ref="B120:D126" si="15">B6</f>
        <v>Potato - بطاطس</v>
      </c>
      <c r="C120" s="299" t="str">
        <f t="shared" si="15"/>
        <v>gm</v>
      </c>
      <c r="D120" s="299">
        <f t="shared" si="15"/>
        <v>1097.8260869565217</v>
      </c>
      <c r="E120" s="327">
        <f t="shared" ref="E120:E126" si="16">$C$57</f>
        <v>0</v>
      </c>
      <c r="F120" s="109">
        <f t="shared" ref="F120:F126" si="17">F6</f>
        <v>1</v>
      </c>
      <c r="G120" s="101">
        <f t="shared" ref="G120:G126" si="18">D120*E120</f>
        <v>0</v>
      </c>
      <c r="H120" s="102">
        <f t="shared" ref="H120:H126" si="19">G120*F120</f>
        <v>0</v>
      </c>
    </row>
    <row r="121" spans="1:8" ht="14.25" customHeight="1" x14ac:dyDescent="0.2">
      <c r="A121" s="1460"/>
      <c r="B121" s="299" t="str">
        <f t="shared" si="15"/>
        <v>Ginger - زنجبيل</v>
      </c>
      <c r="C121" s="299" t="str">
        <f t="shared" si="15"/>
        <v>gm</v>
      </c>
      <c r="D121" s="299">
        <f t="shared" si="15"/>
        <v>10</v>
      </c>
      <c r="E121" s="327">
        <f t="shared" si="16"/>
        <v>0</v>
      </c>
      <c r="F121" s="109">
        <f t="shared" si="17"/>
        <v>1</v>
      </c>
      <c r="G121" s="101">
        <f t="shared" si="18"/>
        <v>0</v>
      </c>
      <c r="H121" s="102">
        <f t="shared" si="19"/>
        <v>0</v>
      </c>
    </row>
    <row r="122" spans="1:8" ht="14.25" customHeight="1" x14ac:dyDescent="0.2">
      <c r="A122" s="1460"/>
      <c r="B122" s="299" t="str">
        <f t="shared" si="15"/>
        <v>Coriander Leaves - كزبرة خضراء</v>
      </c>
      <c r="C122" s="299" t="str">
        <f t="shared" si="15"/>
        <v>gm</v>
      </c>
      <c r="D122" s="299">
        <f t="shared" si="15"/>
        <v>5</v>
      </c>
      <c r="E122" s="327">
        <f t="shared" si="16"/>
        <v>0</v>
      </c>
      <c r="F122" s="109">
        <f t="shared" si="17"/>
        <v>1</v>
      </c>
      <c r="G122" s="101">
        <f t="shared" si="18"/>
        <v>0</v>
      </c>
      <c r="H122" s="102">
        <f t="shared" si="19"/>
        <v>0</v>
      </c>
    </row>
    <row r="123" spans="1:8" ht="14.25" customHeight="1" x14ac:dyDescent="0.2">
      <c r="A123" s="1460"/>
      <c r="B123" s="299" t="str">
        <f t="shared" si="15"/>
        <v>Butter - زبدة</v>
      </c>
      <c r="C123" s="299" t="str">
        <f t="shared" si="15"/>
        <v>gm</v>
      </c>
      <c r="D123" s="299">
        <f t="shared" si="15"/>
        <v>10</v>
      </c>
      <c r="E123" s="327">
        <f t="shared" si="16"/>
        <v>0</v>
      </c>
      <c r="F123" s="109">
        <f t="shared" si="17"/>
        <v>1</v>
      </c>
      <c r="G123" s="101">
        <f t="shared" si="18"/>
        <v>0</v>
      </c>
      <c r="H123" s="102">
        <f t="shared" si="19"/>
        <v>0</v>
      </c>
    </row>
    <row r="124" spans="1:8" ht="14.25" customHeight="1" x14ac:dyDescent="0.2">
      <c r="A124" s="1460"/>
      <c r="B124" s="299" t="str">
        <f t="shared" si="15"/>
        <v>White Pepper - فلفل أبيض</v>
      </c>
      <c r="C124" s="299" t="str">
        <f t="shared" si="15"/>
        <v>gm</v>
      </c>
      <c r="D124" s="299">
        <f t="shared" si="15"/>
        <v>2</v>
      </c>
      <c r="E124" s="327">
        <f t="shared" si="16"/>
        <v>0</v>
      </c>
      <c r="F124" s="109">
        <f t="shared" si="17"/>
        <v>0.75</v>
      </c>
      <c r="G124" s="101">
        <f t="shared" si="18"/>
        <v>0</v>
      </c>
      <c r="H124" s="102">
        <f t="shared" si="19"/>
        <v>0</v>
      </c>
    </row>
    <row r="125" spans="1:8" ht="14.25" customHeight="1" x14ac:dyDescent="0.2">
      <c r="A125" s="1460"/>
      <c r="B125" s="299" t="str">
        <f t="shared" si="15"/>
        <v>Salt - ملح</v>
      </c>
      <c r="C125" s="299" t="str">
        <f t="shared" si="15"/>
        <v>gm</v>
      </c>
      <c r="D125" s="299">
        <f t="shared" si="15"/>
        <v>5</v>
      </c>
      <c r="E125" s="327">
        <f t="shared" si="16"/>
        <v>0</v>
      </c>
      <c r="F125" s="109">
        <f t="shared" si="17"/>
        <v>0.75</v>
      </c>
      <c r="G125" s="101">
        <f t="shared" si="18"/>
        <v>0</v>
      </c>
      <c r="H125" s="102">
        <f t="shared" si="19"/>
        <v>0</v>
      </c>
    </row>
    <row r="126" spans="1:8" ht="14.25" x14ac:dyDescent="0.2">
      <c r="A126" s="1460"/>
      <c r="B126" s="299" t="str">
        <f t="shared" si="15"/>
        <v>Cumin Powder - كمون مطحون</v>
      </c>
      <c r="C126" s="299" t="str">
        <f t="shared" si="15"/>
        <v>gm</v>
      </c>
      <c r="D126" s="299">
        <f t="shared" si="15"/>
        <v>1</v>
      </c>
      <c r="E126" s="327">
        <f t="shared" si="16"/>
        <v>0</v>
      </c>
      <c r="F126" s="109">
        <f t="shared" si="17"/>
        <v>0.75</v>
      </c>
      <c r="G126" s="101">
        <f t="shared" si="18"/>
        <v>0</v>
      </c>
      <c r="H126" s="102">
        <f t="shared" si="19"/>
        <v>0</v>
      </c>
    </row>
    <row r="127" spans="1:8" ht="21" customHeight="1" x14ac:dyDescent="0.2">
      <c r="B127" s="178" t="s">
        <v>703</v>
      </c>
    </row>
    <row r="128" spans="1:8" ht="20.25" x14ac:dyDescent="0.3">
      <c r="B128" s="179">
        <f>D57</f>
        <v>0</v>
      </c>
    </row>
  </sheetData>
  <mergeCells count="13">
    <mergeCell ref="AE2:AG3"/>
    <mergeCell ref="B118:H118"/>
    <mergeCell ref="B90:H90"/>
    <mergeCell ref="B105:H105"/>
    <mergeCell ref="B77:H77"/>
    <mergeCell ref="B91:H91"/>
    <mergeCell ref="B62:H62"/>
    <mergeCell ref="B2:H2"/>
    <mergeCell ref="B117:H117"/>
    <mergeCell ref="B104:H104"/>
    <mergeCell ref="R25:T25"/>
    <mergeCell ref="B76:H76"/>
    <mergeCell ref="B63:H63"/>
  </mergeCells>
  <printOptions horizontalCentered="1"/>
  <pageMargins left="0.5" right="0.5" top="1" bottom="0.5" header="0.3" footer="0.511811023622047"/>
  <pageSetup paperSize="9" scale="32"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2E75B6"/>
    <pageSetUpPr fitToPage="1"/>
  </sheetPr>
  <dimension ref="A1:AT174"/>
  <sheetViews>
    <sheetView zoomScale="55" zoomScaleNormal="55" workbookViewId="0">
      <selection activeCell="D5" sqref="D5"/>
    </sheetView>
  </sheetViews>
  <sheetFormatPr defaultColWidth="12.5" defaultRowHeight="15" x14ac:dyDescent="0.25"/>
  <cols>
    <col min="1" max="1" width="12.5" style="63" customWidth="1"/>
    <col min="2" max="2" width="30.8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9" width="12.5" style="14" customWidth="1"/>
    <col min="10" max="10" width="11" style="14" customWidth="1"/>
    <col min="11" max="11" width="12.5" style="14" customWidth="1"/>
    <col min="12" max="12" width="8.375" style="14" customWidth="1"/>
    <col min="13" max="14" width="5.125" style="14" customWidth="1"/>
    <col min="15" max="17" width="12.5" style="14" customWidth="1"/>
    <col min="18" max="18" width="32.875" style="14" customWidth="1"/>
    <col min="19" max="27" width="12.5" style="14" customWidth="1"/>
    <col min="28" max="28" width="11.875" style="14" bestFit="1" customWidth="1"/>
    <col min="29" max="29" width="13.375" style="14" bestFit="1" customWidth="1"/>
    <col min="30" max="31" width="10" style="14" bestFit="1" customWidth="1"/>
    <col min="32" max="32" width="7.125" style="14" bestFit="1" customWidth="1"/>
    <col min="33" max="35" width="4.125" style="14" customWidth="1"/>
    <col min="36" max="36" width="32.5" style="14" customWidth="1"/>
    <col min="37" max="37" width="12.5" style="14" customWidth="1"/>
    <col min="38" max="38" width="16.875" style="14" customWidth="1"/>
    <col min="39" max="16384" width="12.5" style="14"/>
  </cols>
  <sheetData>
    <row r="1" spans="1:46" s="228" customFormat="1" ht="35.25" customHeight="1" x14ac:dyDescent="0.2">
      <c r="A1" s="226"/>
      <c r="B1" s="64" t="s">
        <v>231</v>
      </c>
      <c r="C1" s="65">
        <v>1000</v>
      </c>
      <c r="D1" s="66" t="s">
        <v>232</v>
      </c>
      <c r="E1" s="99">
        <f>T32</f>
        <v>7705.3846153846234</v>
      </c>
      <c r="F1" s="64" t="s">
        <v>233</v>
      </c>
      <c r="G1" s="65">
        <f>E1/C1</f>
        <v>7.7053846153846237</v>
      </c>
      <c r="H1" s="64" t="s">
        <v>234</v>
      </c>
      <c r="I1" s="227">
        <f>(G1/K1)</f>
        <v>7.7053846153846237</v>
      </c>
      <c r="J1" s="70" t="s">
        <v>235</v>
      </c>
      <c r="K1" s="227">
        <v>1</v>
      </c>
      <c r="L1" s="76"/>
      <c r="M1" s="73"/>
      <c r="N1" s="74"/>
      <c r="O1" s="75" t="s">
        <v>236</v>
      </c>
      <c r="P1" s="76" t="s">
        <v>237</v>
      </c>
      <c r="Q1" s="77" t="s">
        <v>238</v>
      </c>
      <c r="R1" s="76">
        <v>0.59</v>
      </c>
      <c r="S1" s="76"/>
      <c r="T1" s="76"/>
      <c r="Y1" s="75" t="s">
        <v>453</v>
      </c>
      <c r="Z1" s="766">
        <v>33390</v>
      </c>
      <c r="AA1" s="75" t="s">
        <v>556</v>
      </c>
      <c r="AB1" s="766">
        <v>0</v>
      </c>
      <c r="AC1" s="75" t="s">
        <v>546</v>
      </c>
      <c r="AD1" s="766">
        <v>230</v>
      </c>
      <c r="AF1" s="230"/>
      <c r="AG1" s="76"/>
      <c r="AI1" s="14"/>
      <c r="AJ1" s="78" t="s">
        <v>250</v>
      </c>
      <c r="AK1" s="78">
        <v>10000</v>
      </c>
      <c r="AL1" s="561" t="s">
        <v>483</v>
      </c>
      <c r="AM1" s="562">
        <f>$S$32</f>
        <v>25684.615384615379</v>
      </c>
      <c r="AN1" s="78" t="s">
        <v>239</v>
      </c>
      <c r="AO1" s="80">
        <f>($S$32/$R$1)/$AK$1</f>
        <v>4.353324641460234</v>
      </c>
      <c r="AP1" s="79"/>
    </row>
    <row r="2" spans="1:46" ht="15.75" customHeight="1" x14ac:dyDescent="0.25">
      <c r="A2" s="81"/>
      <c r="B2" s="1645" t="s">
        <v>43</v>
      </c>
      <c r="C2" s="1655"/>
      <c r="D2" s="1655"/>
      <c r="E2" s="1655"/>
      <c r="F2" s="1655"/>
      <c r="G2" s="1655"/>
      <c r="H2" s="1655"/>
      <c r="I2" s="1655"/>
      <c r="J2" s="1655"/>
      <c r="K2" s="1632"/>
      <c r="L2" s="1632"/>
      <c r="O2" s="84"/>
      <c r="P2" s="84"/>
      <c r="Q2" s="84"/>
      <c r="R2" s="84"/>
      <c r="S2" s="84"/>
      <c r="T2" s="84"/>
      <c r="U2" s="84"/>
      <c r="AC2" s="83"/>
      <c r="AD2" s="83"/>
      <c r="AE2" s="1652"/>
      <c r="AF2" s="1655"/>
      <c r="AG2" s="1655"/>
      <c r="AJ2" s="85"/>
      <c r="AK2" s="1631" t="s">
        <v>351</v>
      </c>
      <c r="AL2" s="1631"/>
      <c r="AM2" s="1631"/>
      <c r="AN2" s="86"/>
      <c r="AO2" s="85"/>
      <c r="AP2" s="85"/>
    </row>
    <row r="3" spans="1:46" ht="15.75" customHeight="1" x14ac:dyDescent="0.25">
      <c r="A3" s="81"/>
      <c r="B3" s="1633"/>
      <c r="C3" s="1633"/>
      <c r="D3" s="1633"/>
      <c r="E3" s="1633"/>
      <c r="F3" s="1633"/>
      <c r="G3" s="1633"/>
      <c r="H3" s="1633"/>
      <c r="I3" s="1633"/>
      <c r="J3" s="1633"/>
      <c r="K3" s="1633"/>
      <c r="L3" s="1633"/>
      <c r="O3" s="84"/>
      <c r="P3" s="84"/>
      <c r="Q3" s="84"/>
      <c r="R3" s="84"/>
      <c r="S3" s="84"/>
      <c r="T3" s="84"/>
      <c r="U3" s="84"/>
      <c r="AC3" s="83"/>
      <c r="AD3" s="83"/>
      <c r="AE3" s="1655"/>
      <c r="AF3" s="1655"/>
      <c r="AG3" s="1655"/>
      <c r="AJ3" s="349"/>
      <c r="AK3" s="88"/>
      <c r="AL3" s="89"/>
      <c r="AM3" s="89"/>
      <c r="AN3" s="89"/>
      <c r="AO3" s="88"/>
      <c r="AP3" s="88"/>
    </row>
    <row r="4" spans="1:46" ht="69" customHeight="1" x14ac:dyDescent="0.2">
      <c r="A4" s="75" t="s">
        <v>903</v>
      </c>
      <c r="B4" s="75" t="s">
        <v>350</v>
      </c>
      <c r="C4" s="90" t="s">
        <v>242</v>
      </c>
      <c r="D4" s="75" t="s">
        <v>231</v>
      </c>
      <c r="E4" s="91" t="s">
        <v>234</v>
      </c>
      <c r="F4" s="91" t="s">
        <v>243</v>
      </c>
      <c r="G4" s="75" t="s">
        <v>244</v>
      </c>
      <c r="H4" s="92" t="s">
        <v>245</v>
      </c>
      <c r="I4" s="75" t="s">
        <v>246</v>
      </c>
      <c r="J4" s="75" t="s">
        <v>247</v>
      </c>
      <c r="K4" s="75" t="s">
        <v>248</v>
      </c>
      <c r="L4" s="75" t="s">
        <v>249</v>
      </c>
      <c r="O4" s="84"/>
      <c r="P4" s="84"/>
      <c r="Q4" s="84"/>
      <c r="R4" s="84"/>
      <c r="S4" s="84"/>
      <c r="AA4" s="229"/>
      <c r="AB4" s="231"/>
      <c r="AC4" s="229"/>
      <c r="AD4" s="229"/>
      <c r="AE4" s="229"/>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454"/>
      <c r="B5" s="286" t="s">
        <v>220</v>
      </c>
      <c r="C5" s="106" t="s">
        <v>14</v>
      </c>
      <c r="D5" s="103">
        <f>I51/H51</f>
        <v>5649.8305084745762</v>
      </c>
      <c r="E5" s="99">
        <f>H52</f>
        <v>7.705230510774399</v>
      </c>
      <c r="F5" s="109">
        <v>1</v>
      </c>
      <c r="G5" s="101">
        <f t="shared" ref="G5:G29" si="0">D5*E5</f>
        <v>43533.246414602341</v>
      </c>
      <c r="H5" s="102">
        <f t="shared" ref="H5:H29" si="1">G5*F5</f>
        <v>43533.246414602341</v>
      </c>
      <c r="I5" s="65">
        <f>VLOOKUP(B5,All_Ingredients!$A$1:$F$156,6,FALSE())</f>
        <v>0.86</v>
      </c>
      <c r="J5" s="101">
        <f>VLOOKUP(B5,All_Ingredients!$A$1:$J$156,10,FALSE())</f>
        <v>17.100000000000001</v>
      </c>
      <c r="K5" s="104">
        <f t="shared" ref="K5" si="2">(H5/I5)/1000</f>
        <v>50.620053970467836</v>
      </c>
      <c r="L5" s="104">
        <f t="shared" ref="L5" si="3">K5*J5</f>
        <v>865.60292289500012</v>
      </c>
      <c r="O5" s="84"/>
      <c r="P5" s="84"/>
      <c r="Q5" s="84"/>
      <c r="R5" s="84"/>
      <c r="S5" s="84"/>
      <c r="AA5" s="76"/>
      <c r="AB5" s="114"/>
      <c r="AC5" s="232"/>
      <c r="AD5" s="116"/>
      <c r="AE5" s="117"/>
      <c r="AJ5" s="350" t="s">
        <v>220</v>
      </c>
      <c r="AK5" s="106" t="s">
        <v>227</v>
      </c>
      <c r="AL5" s="351">
        <v>10</v>
      </c>
      <c r="AM5" s="352">
        <f t="shared" ref="AM5:AM12" si="4">$AO$1</f>
        <v>4.353324641460234</v>
      </c>
      <c r="AN5" s="353">
        <v>1</v>
      </c>
      <c r="AO5" s="354">
        <f t="shared" ref="AO5:AO12" si="5">AL5*AM5</f>
        <v>43.533246414602338</v>
      </c>
      <c r="AP5" s="355">
        <f t="shared" ref="AP5:AP12" si="6">AO5*AN5</f>
        <v>43.533246414602338</v>
      </c>
      <c r="AR5" s="993"/>
      <c r="AS5" s="514"/>
      <c r="AT5" s="991"/>
    </row>
    <row r="6" spans="1:46" ht="14.25" customHeight="1" x14ac:dyDescent="0.25">
      <c r="A6" s="1500"/>
      <c r="B6" s="244" t="s">
        <v>152</v>
      </c>
      <c r="C6" s="106" t="s">
        <v>14</v>
      </c>
      <c r="D6" s="107">
        <v>40</v>
      </c>
      <c r="E6" s="177">
        <f t="shared" ref="E6:E29" si="7">$I$1</f>
        <v>7.7053846153846237</v>
      </c>
      <c r="F6" s="109">
        <v>1</v>
      </c>
      <c r="G6" s="101">
        <f t="shared" si="0"/>
        <v>308.21538461538495</v>
      </c>
      <c r="H6" s="102">
        <f t="shared" si="1"/>
        <v>308.21538461538495</v>
      </c>
      <c r="I6" s="65">
        <f>VLOOKUP(B6,All_Ingredients!$A$1:$F$156,6,FALSE())</f>
        <v>1</v>
      </c>
      <c r="J6" s="101">
        <f>VLOOKUP(B6,All_Ingredients!$A$1:$J$156,10,FALSE())</f>
        <v>30</v>
      </c>
      <c r="K6" s="104">
        <f t="shared" ref="K6:K29" si="8">(H6/I6)/1000</f>
        <v>0.30821538461538495</v>
      </c>
      <c r="L6" s="104">
        <f t="shared" ref="L6:L29" si="9">K6*J6</f>
        <v>9.2464615384615492</v>
      </c>
      <c r="AJ6" s="350" t="s">
        <v>54</v>
      </c>
      <c r="AK6" s="310" t="s">
        <v>14</v>
      </c>
      <c r="AL6" s="98">
        <v>100</v>
      </c>
      <c r="AM6" s="352">
        <f t="shared" si="4"/>
        <v>4.353324641460234</v>
      </c>
      <c r="AN6" s="353">
        <v>1</v>
      </c>
      <c r="AO6" s="354">
        <f t="shared" si="5"/>
        <v>435.33246414602343</v>
      </c>
      <c r="AP6" s="355">
        <f t="shared" si="6"/>
        <v>435.33246414602343</v>
      </c>
      <c r="AQ6" s="991">
        <f>VLOOKUP(AJ6,Marination_Ordering!$A:$J,6,FALSE)</f>
        <v>0.87</v>
      </c>
      <c r="AR6" s="991">
        <f>VLOOKUP(AJ6,Marination_Ordering!$A:$J,10,FALSE)</f>
        <v>7</v>
      </c>
      <c r="AS6" s="514">
        <f>AP6/AQ6</f>
        <v>500.38214269657863</v>
      </c>
      <c r="AT6" s="991">
        <f>AR6*(AS6/1000)</f>
        <v>3.5026749988760506</v>
      </c>
    </row>
    <row r="7" spans="1:46" ht="14.25" customHeight="1" x14ac:dyDescent="0.25">
      <c r="A7" s="1500" t="s">
        <v>905</v>
      </c>
      <c r="B7" s="244" t="s">
        <v>12</v>
      </c>
      <c r="C7" s="106" t="s">
        <v>14</v>
      </c>
      <c r="D7" s="107">
        <v>350</v>
      </c>
      <c r="E7" s="177">
        <f t="shared" si="7"/>
        <v>7.7053846153846237</v>
      </c>
      <c r="F7" s="109">
        <v>0.75</v>
      </c>
      <c r="G7" s="101">
        <f t="shared" si="0"/>
        <v>2696.8846153846184</v>
      </c>
      <c r="H7" s="102">
        <f t="shared" si="1"/>
        <v>2022.6634615384637</v>
      </c>
      <c r="I7" s="65">
        <f>VLOOKUP(B7,All_Ingredients!$A$1:$F$156,6,FALSE())</f>
        <v>0.9</v>
      </c>
      <c r="J7" s="101">
        <f>VLOOKUP(B7,All_Ingredients!$A$1:$J$156,10,FALSE())</f>
        <v>3</v>
      </c>
      <c r="K7" s="104">
        <f t="shared" si="8"/>
        <v>2.2474038461538486</v>
      </c>
      <c r="L7" s="104">
        <f t="shared" si="9"/>
        <v>6.7422115384615458</v>
      </c>
      <c r="AJ7" s="350" t="s">
        <v>727</v>
      </c>
      <c r="AK7" s="310" t="s">
        <v>14</v>
      </c>
      <c r="AL7" s="98">
        <v>150</v>
      </c>
      <c r="AM7" s="352">
        <f t="shared" si="4"/>
        <v>4.353324641460234</v>
      </c>
      <c r="AN7" s="353">
        <v>1</v>
      </c>
      <c r="AO7" s="354">
        <f t="shared" si="5"/>
        <v>652.99869621903508</v>
      </c>
      <c r="AP7" s="355">
        <f t="shared" si="6"/>
        <v>652.99869621903508</v>
      </c>
      <c r="AQ7" s="991">
        <f>VLOOKUP(AJ7,Marination_Ordering!$A:$J,6,FALSE)</f>
        <v>1</v>
      </c>
      <c r="AR7" s="991">
        <f>VLOOKUP(AJ7,Marination_Ordering!$A:$J,10,FALSE)</f>
        <v>10.5</v>
      </c>
      <c r="AS7" s="514">
        <f t="shared" ref="AS7:AS12" si="10">AP7/AQ7</f>
        <v>652.99869621903508</v>
      </c>
      <c r="AT7" s="991">
        <f t="shared" ref="AT7:AT12" si="11">AR7*(AS7/1000)</f>
        <v>6.8564863102998679</v>
      </c>
    </row>
    <row r="8" spans="1:46" ht="14.25" customHeight="1" x14ac:dyDescent="0.25">
      <c r="A8" s="1500"/>
      <c r="B8" s="244" t="s">
        <v>163</v>
      </c>
      <c r="C8" s="106" t="s">
        <v>14</v>
      </c>
      <c r="D8" s="107">
        <v>250</v>
      </c>
      <c r="E8" s="177">
        <f t="shared" si="7"/>
        <v>7.7053846153846237</v>
      </c>
      <c r="F8" s="109">
        <v>0.9</v>
      </c>
      <c r="G8" s="101">
        <f t="shared" si="0"/>
        <v>1926.3461538461559</v>
      </c>
      <c r="H8" s="102">
        <f t="shared" si="1"/>
        <v>1733.7115384615404</v>
      </c>
      <c r="I8" s="65">
        <f>VLOOKUP(B8,All_Ingredients!$A$1:$F$156,6,FALSE())</f>
        <v>1</v>
      </c>
      <c r="J8" s="101">
        <f>VLOOKUP(B8,All_Ingredients!$A$1:$J$156,10,FALSE())</f>
        <v>6.6959999999999997</v>
      </c>
      <c r="K8" s="104">
        <f t="shared" si="8"/>
        <v>1.7337115384615405</v>
      </c>
      <c r="L8" s="104">
        <f t="shared" si="9"/>
        <v>11.608932461538474</v>
      </c>
      <c r="AJ8" s="350" t="s">
        <v>212</v>
      </c>
      <c r="AK8" s="310" t="s">
        <v>160</v>
      </c>
      <c r="AL8" s="98">
        <v>150</v>
      </c>
      <c r="AM8" s="352">
        <f t="shared" si="4"/>
        <v>4.353324641460234</v>
      </c>
      <c r="AN8" s="353">
        <v>1</v>
      </c>
      <c r="AO8" s="354">
        <f t="shared" si="5"/>
        <v>652.99869621903508</v>
      </c>
      <c r="AP8" s="355">
        <f t="shared" si="6"/>
        <v>652.99869621903508</v>
      </c>
      <c r="AQ8" s="991">
        <f>VLOOKUP(AJ8,Marination_Ordering!$A:$J,6,FALSE)</f>
        <v>1</v>
      </c>
      <c r="AR8" s="991">
        <f>VLOOKUP(AJ8,Marination_Ordering!$A:$J,10,FALSE)</f>
        <v>5</v>
      </c>
      <c r="AS8" s="514">
        <f t="shared" si="10"/>
        <v>652.99869621903508</v>
      </c>
      <c r="AT8" s="991">
        <f t="shared" si="11"/>
        <v>3.2649934810951753</v>
      </c>
    </row>
    <row r="9" spans="1:46" ht="14.25" customHeight="1" x14ac:dyDescent="0.25">
      <c r="A9" s="1500" t="s">
        <v>907</v>
      </c>
      <c r="B9" s="244" t="s">
        <v>727</v>
      </c>
      <c r="C9" s="106" t="s">
        <v>14</v>
      </c>
      <c r="D9" s="107">
        <v>20</v>
      </c>
      <c r="E9" s="177">
        <f t="shared" si="7"/>
        <v>7.7053846153846237</v>
      </c>
      <c r="F9" s="109">
        <v>1</v>
      </c>
      <c r="G9" s="101">
        <f t="shared" si="0"/>
        <v>154.10769230769247</v>
      </c>
      <c r="H9" s="102">
        <f t="shared" si="1"/>
        <v>154.10769230769247</v>
      </c>
      <c r="I9" s="65">
        <f>VLOOKUP(B9,All_Ingredients!$A$1:$F$156,6,FALSE())</f>
        <v>1</v>
      </c>
      <c r="J9" s="101">
        <f>VLOOKUP(B9,All_Ingredients!$A$1:$J$156,10,FALSE())</f>
        <v>10.5</v>
      </c>
      <c r="K9" s="104">
        <f t="shared" si="8"/>
        <v>0.15410769230769247</v>
      </c>
      <c r="L9" s="104">
        <f t="shared" si="9"/>
        <v>1.6181307692307709</v>
      </c>
      <c r="AJ9" s="350" t="s">
        <v>208</v>
      </c>
      <c r="AK9" s="106" t="s">
        <v>160</v>
      </c>
      <c r="AL9" s="98">
        <v>100</v>
      </c>
      <c r="AM9" s="352">
        <f t="shared" si="4"/>
        <v>4.353324641460234</v>
      </c>
      <c r="AN9" s="353">
        <v>1</v>
      </c>
      <c r="AO9" s="354">
        <f t="shared" si="5"/>
        <v>435.33246414602343</v>
      </c>
      <c r="AP9" s="355">
        <f t="shared" si="6"/>
        <v>435.33246414602343</v>
      </c>
      <c r="AQ9" s="991">
        <f>VLOOKUP(AJ9,Marination_Ordering!$A:$J,6,FALSE)</f>
        <v>1</v>
      </c>
      <c r="AR9" s="991">
        <f>VLOOKUP(AJ9,Marination_Ordering!$A:$J,10,FALSE)</f>
        <v>2.1621621621621623</v>
      </c>
      <c r="AS9" s="514">
        <f t="shared" si="10"/>
        <v>435.33246414602343</v>
      </c>
      <c r="AT9" s="991">
        <f t="shared" si="11"/>
        <v>0.94125938193734804</v>
      </c>
    </row>
    <row r="10" spans="1:46" ht="14.25" customHeight="1" x14ac:dyDescent="0.25">
      <c r="A10" s="1500" t="s">
        <v>906</v>
      </c>
      <c r="B10" s="244" t="s">
        <v>54</v>
      </c>
      <c r="C10" s="106" t="s">
        <v>14</v>
      </c>
      <c r="D10" s="107">
        <v>20</v>
      </c>
      <c r="E10" s="177">
        <f t="shared" si="7"/>
        <v>7.7053846153846237</v>
      </c>
      <c r="F10" s="109">
        <v>0.5</v>
      </c>
      <c r="G10" s="101">
        <f t="shared" si="0"/>
        <v>154.10769230769247</v>
      </c>
      <c r="H10" s="102">
        <f t="shared" si="1"/>
        <v>77.053846153846237</v>
      </c>
      <c r="I10" s="65">
        <f>VLOOKUP(B10,All_Ingredients!$A$1:$F$156,6,FALSE())</f>
        <v>0.87</v>
      </c>
      <c r="J10" s="101">
        <f>VLOOKUP(B10,All_Ingredients!$A$1:$J$156,10,FALSE())</f>
        <v>7</v>
      </c>
      <c r="K10" s="104">
        <f t="shared" si="8"/>
        <v>8.8567639257294536E-2</v>
      </c>
      <c r="L10" s="104">
        <f t="shared" si="9"/>
        <v>0.6199734748010618</v>
      </c>
      <c r="AJ10" s="350" t="s">
        <v>93</v>
      </c>
      <c r="AK10" s="310" t="s">
        <v>14</v>
      </c>
      <c r="AL10" s="98">
        <v>5</v>
      </c>
      <c r="AM10" s="352">
        <f t="shared" si="4"/>
        <v>4.353324641460234</v>
      </c>
      <c r="AN10" s="353">
        <v>1</v>
      </c>
      <c r="AO10" s="354">
        <f t="shared" si="5"/>
        <v>21.766623207301169</v>
      </c>
      <c r="AP10" s="355">
        <f t="shared" si="6"/>
        <v>21.766623207301169</v>
      </c>
      <c r="AQ10" s="991">
        <f>VLOOKUP(AJ10,Marination_Ordering!$A:$J,6,FALSE)</f>
        <v>1</v>
      </c>
      <c r="AR10" s="991">
        <f>VLOOKUP(AJ10,Marination_Ordering!$A:$J,10,FALSE)</f>
        <v>0.74</v>
      </c>
      <c r="AS10" s="514">
        <f t="shared" si="10"/>
        <v>21.766623207301169</v>
      </c>
      <c r="AT10" s="991">
        <f t="shared" si="11"/>
        <v>1.6107301173402866E-2</v>
      </c>
    </row>
    <row r="11" spans="1:46" ht="14.25" customHeight="1" x14ac:dyDescent="0.25">
      <c r="A11" s="1500"/>
      <c r="B11" s="244" t="s">
        <v>107</v>
      </c>
      <c r="C11" s="106" t="s">
        <v>14</v>
      </c>
      <c r="D11" s="107">
        <v>10</v>
      </c>
      <c r="E11" s="177">
        <f t="shared" si="7"/>
        <v>7.7053846153846237</v>
      </c>
      <c r="F11" s="109">
        <v>0.95</v>
      </c>
      <c r="G11" s="101">
        <f t="shared" si="0"/>
        <v>77.053846153846237</v>
      </c>
      <c r="H11" s="102">
        <f t="shared" si="1"/>
        <v>73.201153846153929</v>
      </c>
      <c r="I11" s="65">
        <f>VLOOKUP(B11,All_Ingredients!$A$1:$F$156,6,FALSE())</f>
        <v>1</v>
      </c>
      <c r="J11" s="101">
        <f>VLOOKUP(B11,All_Ingredients!$A$1:$J$156,10,FALSE())</f>
        <v>8</v>
      </c>
      <c r="K11" s="104">
        <f t="shared" si="8"/>
        <v>7.320115384615393E-2</v>
      </c>
      <c r="L11" s="104">
        <f t="shared" si="9"/>
        <v>0.58560923076923144</v>
      </c>
      <c r="AJ11" s="350" t="s">
        <v>99</v>
      </c>
      <c r="AK11" s="310" t="s">
        <v>14</v>
      </c>
      <c r="AL11" s="98">
        <v>5</v>
      </c>
      <c r="AM11" s="352">
        <f t="shared" si="4"/>
        <v>4.353324641460234</v>
      </c>
      <c r="AN11" s="353">
        <v>1</v>
      </c>
      <c r="AO11" s="354">
        <f t="shared" si="5"/>
        <v>21.766623207301169</v>
      </c>
      <c r="AP11" s="355">
        <f t="shared" si="6"/>
        <v>21.766623207301169</v>
      </c>
      <c r="AQ11" s="991">
        <f>VLOOKUP(AJ11,Marination_Ordering!$A:$J,6,FALSE)</f>
        <v>1</v>
      </c>
      <c r="AR11" s="991">
        <f>VLOOKUP(AJ11,Marination_Ordering!$A:$J,10,FALSE)</f>
        <v>31</v>
      </c>
      <c r="AS11" s="514">
        <f t="shared" si="10"/>
        <v>21.766623207301169</v>
      </c>
      <c r="AT11" s="991">
        <f t="shared" si="11"/>
        <v>0.67476531942633622</v>
      </c>
    </row>
    <row r="12" spans="1:46" ht="14.25" customHeight="1" x14ac:dyDescent="0.25">
      <c r="A12" s="1500"/>
      <c r="B12" s="244" t="s">
        <v>105</v>
      </c>
      <c r="C12" s="106" t="s">
        <v>14</v>
      </c>
      <c r="D12" s="107">
        <v>5</v>
      </c>
      <c r="E12" s="177">
        <f t="shared" si="7"/>
        <v>7.7053846153846237</v>
      </c>
      <c r="F12" s="109">
        <v>0.95</v>
      </c>
      <c r="G12" s="101">
        <f t="shared" si="0"/>
        <v>38.526923076923119</v>
      </c>
      <c r="H12" s="102">
        <f t="shared" si="1"/>
        <v>36.600576923076964</v>
      </c>
      <c r="I12" s="65">
        <f>VLOOKUP(B12,All_Ingredients!$A$1:$F$156,6,FALSE())</f>
        <v>1</v>
      </c>
      <c r="J12" s="101">
        <f>VLOOKUP(B12,All_Ingredients!$A$1:$J$156,10,FALSE())</f>
        <v>15</v>
      </c>
      <c r="K12" s="104">
        <f t="shared" si="8"/>
        <v>3.6600576923076965E-2</v>
      </c>
      <c r="L12" s="104">
        <f t="shared" si="9"/>
        <v>0.54900865384615449</v>
      </c>
      <c r="AJ12" s="350" t="s">
        <v>837</v>
      </c>
      <c r="AK12" s="310" t="s">
        <v>14</v>
      </c>
      <c r="AL12" s="107">
        <v>5</v>
      </c>
      <c r="AM12" s="352">
        <f t="shared" si="4"/>
        <v>4.353324641460234</v>
      </c>
      <c r="AN12" s="353">
        <v>1</v>
      </c>
      <c r="AO12" s="354">
        <f t="shared" si="5"/>
        <v>21.766623207301169</v>
      </c>
      <c r="AP12" s="355">
        <f t="shared" si="6"/>
        <v>21.766623207301169</v>
      </c>
      <c r="AQ12" s="991">
        <f>VLOOKUP(AJ12,Marination_Ordering!$A:$J,6,FALSE)</f>
        <v>1</v>
      </c>
      <c r="AR12" s="991">
        <f>VLOOKUP(AJ12,Marination_Ordering!$A:$J,10,FALSE)</f>
        <v>22.5</v>
      </c>
      <c r="AS12" s="514">
        <f t="shared" si="10"/>
        <v>21.766623207301169</v>
      </c>
      <c r="AT12" s="991">
        <f t="shared" si="11"/>
        <v>0.48974902216427629</v>
      </c>
    </row>
    <row r="13" spans="1:46" ht="14.25" customHeight="1" x14ac:dyDescent="0.25">
      <c r="A13" s="1500"/>
      <c r="B13" s="244" t="s">
        <v>113</v>
      </c>
      <c r="C13" s="106" t="s">
        <v>14</v>
      </c>
      <c r="D13" s="107">
        <v>3</v>
      </c>
      <c r="E13" s="177">
        <f t="shared" si="7"/>
        <v>7.7053846153846237</v>
      </c>
      <c r="F13" s="109">
        <v>0.6</v>
      </c>
      <c r="G13" s="101">
        <f t="shared" si="0"/>
        <v>23.116153846153871</v>
      </c>
      <c r="H13" s="102">
        <f t="shared" si="1"/>
        <v>13.869692307692322</v>
      </c>
      <c r="I13" s="65">
        <f>VLOOKUP(B13,All_Ingredients!$A$1:$F$156,6,FALSE())</f>
        <v>1</v>
      </c>
      <c r="J13" s="101">
        <f>VLOOKUP(B13,All_Ingredients!$A$1:$J$156,10,FALSE())</f>
        <v>20</v>
      </c>
      <c r="K13" s="104">
        <f t="shared" si="8"/>
        <v>1.3869692307692322E-2</v>
      </c>
      <c r="L13" s="104">
        <f t="shared" si="9"/>
        <v>0.27739384615384644</v>
      </c>
    </row>
    <row r="14" spans="1:46" ht="14.25" customHeight="1" x14ac:dyDescent="0.25">
      <c r="A14" s="1500"/>
      <c r="B14" s="244" t="s">
        <v>166</v>
      </c>
      <c r="C14" s="106" t="s">
        <v>160</v>
      </c>
      <c r="D14" s="107">
        <v>500</v>
      </c>
      <c r="E14" s="177">
        <f t="shared" si="7"/>
        <v>7.7053846153846237</v>
      </c>
      <c r="F14" s="109">
        <v>1</v>
      </c>
      <c r="G14" s="101">
        <f t="shared" si="0"/>
        <v>3852.6923076923117</v>
      </c>
      <c r="H14" s="102">
        <f t="shared" si="1"/>
        <v>3852.6923076923117</v>
      </c>
      <c r="I14" s="65">
        <f>VLOOKUP(B14,All_Ingredients!$A$1:$F$156,6,FALSE())</f>
        <v>1</v>
      </c>
      <c r="J14" s="101">
        <f>VLOOKUP(B14,All_Ingredients!$A$1:$J$156,10,FALSE())</f>
        <v>12.666666666666666</v>
      </c>
      <c r="K14" s="104">
        <f t="shared" si="8"/>
        <v>3.8526923076923119</v>
      </c>
      <c r="L14" s="104">
        <f t="shared" si="9"/>
        <v>48.800769230769284</v>
      </c>
    </row>
    <row r="15" spans="1:46" ht="14.25" customHeight="1" x14ac:dyDescent="0.25">
      <c r="A15" s="1500"/>
      <c r="B15" s="244" t="s">
        <v>837</v>
      </c>
      <c r="C15" s="106" t="s">
        <v>14</v>
      </c>
      <c r="D15" s="107">
        <v>3</v>
      </c>
      <c r="E15" s="177">
        <f t="shared" si="7"/>
        <v>7.7053846153846237</v>
      </c>
      <c r="F15" s="109">
        <v>1</v>
      </c>
      <c r="G15" s="101">
        <f t="shared" si="0"/>
        <v>23.116153846153871</v>
      </c>
      <c r="H15" s="102">
        <f t="shared" si="1"/>
        <v>23.116153846153871</v>
      </c>
      <c r="I15" s="65">
        <f>VLOOKUP(B15,All_Ingredients!$A$1:$F$156,6,FALSE())</f>
        <v>1</v>
      </c>
      <c r="J15" s="101">
        <f>VLOOKUP(B15,All_Ingredients!$A$1:$J$156,10,FALSE())</f>
        <v>22.5</v>
      </c>
      <c r="K15" s="104">
        <f t="shared" si="8"/>
        <v>2.311615384615387E-2</v>
      </c>
      <c r="L15" s="104">
        <f t="shared" si="9"/>
        <v>0.52011346153846205</v>
      </c>
    </row>
    <row r="16" spans="1:46" ht="14.25" customHeight="1" x14ac:dyDescent="0.25">
      <c r="A16" s="1500"/>
      <c r="B16" s="244" t="s">
        <v>93</v>
      </c>
      <c r="C16" s="106" t="s">
        <v>14</v>
      </c>
      <c r="D16" s="107">
        <v>6</v>
      </c>
      <c r="E16" s="177">
        <f t="shared" si="7"/>
        <v>7.7053846153846237</v>
      </c>
      <c r="F16" s="109">
        <v>0.75</v>
      </c>
      <c r="G16" s="101">
        <f t="shared" si="0"/>
        <v>46.232307692307742</v>
      </c>
      <c r="H16" s="102">
        <f t="shared" si="1"/>
        <v>34.674230769230803</v>
      </c>
      <c r="I16" s="65">
        <f>VLOOKUP(B16,All_Ingredients!$A$1:$F$156,6,FALSE())</f>
        <v>1</v>
      </c>
      <c r="J16" s="101">
        <f>VLOOKUP(B16,All_Ingredients!$A$1:$J$156,10,FALSE())</f>
        <v>0.74</v>
      </c>
      <c r="K16" s="104">
        <f t="shared" si="8"/>
        <v>3.4674230769230804E-2</v>
      </c>
      <c r="L16" s="104">
        <f t="shared" si="9"/>
        <v>2.5658930769230794E-2</v>
      </c>
    </row>
    <row r="17" spans="1:42" ht="14.25" customHeight="1" x14ac:dyDescent="0.25">
      <c r="A17" s="1500"/>
      <c r="B17" s="244" t="s">
        <v>82</v>
      </c>
      <c r="C17" s="106" t="s">
        <v>14</v>
      </c>
      <c r="D17" s="107">
        <v>1</v>
      </c>
      <c r="E17" s="177">
        <f t="shared" si="7"/>
        <v>7.7053846153846237</v>
      </c>
      <c r="F17" s="109">
        <v>0.75</v>
      </c>
      <c r="G17" s="101">
        <f t="shared" si="0"/>
        <v>7.7053846153846237</v>
      </c>
      <c r="H17" s="102">
        <f t="shared" si="1"/>
        <v>5.7790384615384678</v>
      </c>
      <c r="I17" s="65">
        <f>VLOOKUP(B17,All_Ingredients!$A$1:$F$156,6,FALSE())</f>
        <v>1</v>
      </c>
      <c r="J17" s="101">
        <f>VLOOKUP(B17,All_Ingredients!$A$1:$J$156,10,FALSE())</f>
        <v>147.88732394366198</v>
      </c>
      <c r="K17" s="104">
        <f t="shared" si="8"/>
        <v>5.7790384615384674E-3</v>
      </c>
      <c r="L17" s="104">
        <f t="shared" si="9"/>
        <v>0.85464653304442129</v>
      </c>
    </row>
    <row r="18" spans="1:42" ht="15.75" customHeight="1" x14ac:dyDescent="0.25">
      <c r="A18" s="1500"/>
      <c r="B18" s="244" t="s">
        <v>139</v>
      </c>
      <c r="C18" s="106" t="s">
        <v>14</v>
      </c>
      <c r="D18" s="107">
        <v>7</v>
      </c>
      <c r="E18" s="177">
        <f t="shared" si="7"/>
        <v>7.7053846153846237</v>
      </c>
      <c r="F18" s="109">
        <v>0.75</v>
      </c>
      <c r="G18" s="101">
        <f t="shared" si="0"/>
        <v>53.937692307692366</v>
      </c>
      <c r="H18" s="102">
        <f t="shared" si="1"/>
        <v>40.453269230769273</v>
      </c>
      <c r="I18" s="65">
        <f>VLOOKUP(B18,All_Ingredients!$A$1:$F$156,6,FALSE())</f>
        <v>1</v>
      </c>
      <c r="J18" s="101">
        <f>VLOOKUP(B18,All_Ingredients!$A$1:$J$156,10,FALSE())</f>
        <v>15.277777777777779</v>
      </c>
      <c r="K18" s="104">
        <f t="shared" si="8"/>
        <v>4.0453269230769272E-2</v>
      </c>
      <c r="L18" s="104">
        <f t="shared" si="9"/>
        <v>0.6180360576923084</v>
      </c>
      <c r="M18" s="356"/>
      <c r="N18" s="356"/>
    </row>
    <row r="19" spans="1:42" ht="15.75" customHeight="1" x14ac:dyDescent="0.25">
      <c r="A19" s="1500"/>
      <c r="B19" s="244" t="s">
        <v>728</v>
      </c>
      <c r="C19" s="106" t="s">
        <v>14</v>
      </c>
      <c r="D19" s="107">
        <v>50</v>
      </c>
      <c r="E19" s="177">
        <f t="shared" si="7"/>
        <v>7.7053846153846237</v>
      </c>
      <c r="F19" s="109">
        <v>1</v>
      </c>
      <c r="G19" s="101">
        <f t="shared" si="0"/>
        <v>385.26923076923117</v>
      </c>
      <c r="H19" s="102">
        <f t="shared" si="1"/>
        <v>385.26923076923117</v>
      </c>
      <c r="I19" s="65">
        <f>VLOOKUP(B19,All_Ingredients!$A$1:$F$156,6,FALSE())</f>
        <v>1</v>
      </c>
      <c r="J19" s="101">
        <f>VLOOKUP(B19,All_Ingredients!$A$1:$J$156,10,FALSE())</f>
        <v>40.74074074074074</v>
      </c>
      <c r="K19" s="104">
        <f t="shared" si="8"/>
        <v>0.3852692307692312</v>
      </c>
      <c r="L19" s="104">
        <f t="shared" si="9"/>
        <v>15.696153846153864</v>
      </c>
      <c r="M19" s="357"/>
      <c r="N19" s="357"/>
      <c r="AJ19" s="113"/>
      <c r="AK19" s="113"/>
      <c r="AL19" s="113"/>
      <c r="AM19" s="113"/>
      <c r="AN19" s="113"/>
      <c r="AO19" s="113"/>
      <c r="AP19" s="113"/>
    </row>
    <row r="20" spans="1:42" ht="15.75" customHeight="1" x14ac:dyDescent="0.25">
      <c r="A20" s="1500"/>
      <c r="B20" s="358" t="s">
        <v>118</v>
      </c>
      <c r="C20" s="106" t="s">
        <v>14</v>
      </c>
      <c r="D20" s="107">
        <v>2</v>
      </c>
      <c r="E20" s="177">
        <f t="shared" si="7"/>
        <v>7.7053846153846237</v>
      </c>
      <c r="F20" s="109">
        <v>1</v>
      </c>
      <c r="G20" s="101">
        <f t="shared" si="0"/>
        <v>15.410769230769247</v>
      </c>
      <c r="H20" s="102">
        <f t="shared" si="1"/>
        <v>15.410769230769247</v>
      </c>
      <c r="I20" s="65">
        <f>VLOOKUP(B20,All_Ingredients!$A$1:$F$156,6,FALSE())</f>
        <v>1</v>
      </c>
      <c r="J20" s="101">
        <f>VLOOKUP(B20,All_Ingredients!$A$1:$J$156,10,FALSE())</f>
        <v>15</v>
      </c>
      <c r="K20" s="104">
        <f t="shared" si="8"/>
        <v>1.5410769230769247E-2</v>
      </c>
      <c r="L20" s="104">
        <f t="shared" si="9"/>
        <v>0.2311615384615387</v>
      </c>
      <c r="M20" s="357"/>
      <c r="N20" s="357"/>
      <c r="S20"/>
      <c r="AJ20" s="113"/>
      <c r="AK20" s="113"/>
      <c r="AL20" s="113"/>
      <c r="AM20" s="113"/>
      <c r="AN20" s="113"/>
      <c r="AO20" s="113"/>
      <c r="AP20" s="113"/>
    </row>
    <row r="21" spans="1:42" ht="15.75" customHeight="1" x14ac:dyDescent="0.25">
      <c r="A21" s="1500"/>
      <c r="B21" s="244" t="s">
        <v>159</v>
      </c>
      <c r="C21" s="106" t="s">
        <v>160</v>
      </c>
      <c r="D21" s="107">
        <v>100</v>
      </c>
      <c r="E21" s="177">
        <f t="shared" si="7"/>
        <v>7.7053846153846237</v>
      </c>
      <c r="F21" s="109">
        <v>1</v>
      </c>
      <c r="G21" s="101">
        <f t="shared" si="0"/>
        <v>770.53846153846234</v>
      </c>
      <c r="H21" s="102">
        <f t="shared" si="1"/>
        <v>770.53846153846234</v>
      </c>
      <c r="I21" s="65">
        <f>VLOOKUP(B21,All_Ingredients!$A$1:$F$156,6,FALSE())</f>
        <v>1</v>
      </c>
      <c r="J21" s="101">
        <f>VLOOKUP(B21,All_Ingredients!$A$1:$J$156,10,FALSE())</f>
        <v>4.2033333333333331</v>
      </c>
      <c r="K21" s="104">
        <f t="shared" si="8"/>
        <v>0.77053846153846239</v>
      </c>
      <c r="L21" s="104">
        <f t="shared" si="9"/>
        <v>3.2388300000000037</v>
      </c>
      <c r="M21" s="357"/>
      <c r="N21" s="357"/>
      <c r="AM21" s="113"/>
      <c r="AN21" s="113"/>
      <c r="AO21" s="113"/>
      <c r="AP21" s="113"/>
    </row>
    <row r="22" spans="1:42" ht="15.75" customHeight="1" x14ac:dyDescent="0.25">
      <c r="A22" s="1500" t="s">
        <v>923</v>
      </c>
      <c r="B22" s="244" t="s">
        <v>34</v>
      </c>
      <c r="C22" s="106" t="s">
        <v>14</v>
      </c>
      <c r="D22" s="107">
        <v>2</v>
      </c>
      <c r="E22" s="177">
        <f t="shared" si="7"/>
        <v>7.7053846153846237</v>
      </c>
      <c r="F22" s="109">
        <v>0.75</v>
      </c>
      <c r="G22" s="101">
        <f t="shared" si="0"/>
        <v>15.410769230769247</v>
      </c>
      <c r="H22" s="102">
        <f t="shared" si="1"/>
        <v>11.558076923076936</v>
      </c>
      <c r="I22" s="65">
        <f>VLOOKUP(B22,All_Ingredients!$A$1:$F$156,6,FALSE())</f>
        <v>0.86</v>
      </c>
      <c r="J22" s="101">
        <f>VLOOKUP(B22,All_Ingredients!$A$1:$J$156,10,FALSE())</f>
        <v>14</v>
      </c>
      <c r="K22" s="104">
        <f t="shared" si="8"/>
        <v>1.3439624329159228E-2</v>
      </c>
      <c r="L22" s="104">
        <f t="shared" si="9"/>
        <v>0.1881547406082292</v>
      </c>
      <c r="M22" s="357"/>
      <c r="N22" s="357"/>
      <c r="AM22" s="113"/>
      <c r="AN22" s="113"/>
      <c r="AO22" s="113"/>
      <c r="AP22" s="113"/>
    </row>
    <row r="23" spans="1:42" s="113" customFormat="1" ht="14.25" customHeight="1" x14ac:dyDescent="0.25">
      <c r="A23" s="1500" t="s">
        <v>919</v>
      </c>
      <c r="B23" s="359" t="s">
        <v>32</v>
      </c>
      <c r="C23" s="106" t="s">
        <v>14</v>
      </c>
      <c r="D23" s="107">
        <v>50</v>
      </c>
      <c r="E23" s="177">
        <f t="shared" si="7"/>
        <v>7.7053846153846237</v>
      </c>
      <c r="F23" s="109">
        <v>1.75</v>
      </c>
      <c r="G23" s="101">
        <f t="shared" si="0"/>
        <v>385.26923076923117</v>
      </c>
      <c r="H23" s="102">
        <f t="shared" si="1"/>
        <v>674.22115384615449</v>
      </c>
      <c r="I23" s="65">
        <f>VLOOKUP(B23,All_Ingredients!$A$1:$F$156,6,FALSE())</f>
        <v>0.69</v>
      </c>
      <c r="J23" s="101">
        <f>VLOOKUP(B23,All_Ingredients!$A$1:$J$156,10,FALSE())</f>
        <v>4</v>
      </c>
      <c r="K23" s="104">
        <f t="shared" si="8"/>
        <v>0.97713210702341236</v>
      </c>
      <c r="L23" s="104">
        <f t="shared" si="9"/>
        <v>3.9085284280936494</v>
      </c>
      <c r="M23" s="76"/>
      <c r="N23" s="76"/>
      <c r="AJ23" s="14"/>
      <c r="AK23" s="14"/>
      <c r="AL23" s="14"/>
      <c r="AM23" s="14"/>
      <c r="AN23" s="14"/>
      <c r="AO23" s="14"/>
      <c r="AP23" s="14"/>
    </row>
    <row r="24" spans="1:42" s="113" customFormat="1" ht="14.25" customHeight="1" x14ac:dyDescent="0.25">
      <c r="A24" s="1500" t="s">
        <v>919</v>
      </c>
      <c r="B24" s="244" t="s">
        <v>28</v>
      </c>
      <c r="C24" s="106" t="s">
        <v>14</v>
      </c>
      <c r="D24" s="107">
        <v>50</v>
      </c>
      <c r="E24" s="177">
        <f t="shared" si="7"/>
        <v>7.7053846153846237</v>
      </c>
      <c r="F24" s="109">
        <v>0.75</v>
      </c>
      <c r="G24" s="101">
        <f t="shared" si="0"/>
        <v>385.26923076923117</v>
      </c>
      <c r="H24" s="102">
        <f t="shared" si="1"/>
        <v>288.95192307692338</v>
      </c>
      <c r="I24" s="65">
        <f>VLOOKUP(B24,All_Ingredients!$A$1:$F$156,6,FALSE())</f>
        <v>0.73</v>
      </c>
      <c r="J24" s="101">
        <f>VLOOKUP(B24,All_Ingredients!$A$1:$J$156,10,FALSE())</f>
        <v>8.5</v>
      </c>
      <c r="K24" s="104">
        <f t="shared" si="8"/>
        <v>0.39582455216016904</v>
      </c>
      <c r="L24" s="104">
        <f t="shared" si="9"/>
        <v>3.364508693361437</v>
      </c>
      <c r="M24" s="112"/>
      <c r="N24" s="112"/>
      <c r="O24" s="76"/>
      <c r="P24" s="76"/>
      <c r="Z24" s="1126"/>
      <c r="AJ24" s="14"/>
      <c r="AK24" s="14"/>
      <c r="AL24" s="14"/>
      <c r="AM24" s="14"/>
      <c r="AN24" s="14"/>
      <c r="AO24" s="14"/>
      <c r="AP24" s="14"/>
    </row>
    <row r="25" spans="1:42" s="113" customFormat="1" ht="14.25" customHeight="1" x14ac:dyDescent="0.25">
      <c r="A25" s="1501" t="s">
        <v>919</v>
      </c>
      <c r="B25" s="244" t="s">
        <v>30</v>
      </c>
      <c r="C25" s="106" t="s">
        <v>14</v>
      </c>
      <c r="D25" s="105">
        <v>50</v>
      </c>
      <c r="E25" s="177">
        <f t="shared" si="7"/>
        <v>7.7053846153846237</v>
      </c>
      <c r="F25" s="109">
        <v>1</v>
      </c>
      <c r="G25" s="101">
        <f t="shared" si="0"/>
        <v>385.26923076923117</v>
      </c>
      <c r="H25" s="102">
        <f t="shared" si="1"/>
        <v>385.26923076923117</v>
      </c>
      <c r="I25" s="65">
        <f>VLOOKUP(B25,All_Ingredients!$A$1:$F$156,6,FALSE())</f>
        <v>0.71</v>
      </c>
      <c r="J25" s="101">
        <f>VLOOKUP(B25,All_Ingredients!$A$1:$J$156,10,FALSE())</f>
        <v>8.5</v>
      </c>
      <c r="K25" s="104">
        <f t="shared" si="8"/>
        <v>0.54263271939328339</v>
      </c>
      <c r="L25" s="104">
        <f t="shared" si="9"/>
        <v>4.612378114842909</v>
      </c>
      <c r="M25" s="112"/>
      <c r="N25" s="112"/>
      <c r="O25" s="76"/>
      <c r="P25" s="76"/>
      <c r="R25" s="1640" t="s">
        <v>351</v>
      </c>
      <c r="S25" s="1633"/>
      <c r="T25" s="1633"/>
      <c r="U25" s="1633"/>
      <c r="V25" s="1052"/>
      <c r="W25" s="1062"/>
      <c r="Z25" s="122" t="s">
        <v>252</v>
      </c>
      <c r="AA25" s="123">
        <v>1</v>
      </c>
      <c r="AB25" s="122" t="s">
        <v>249</v>
      </c>
      <c r="AC25" s="124">
        <f>(AA25*AF30)+(AA30*(AB28/R1))</f>
        <v>2.9859620498724666E-2</v>
      </c>
      <c r="AD25" s="14"/>
      <c r="AJ25" s="14"/>
      <c r="AK25" s="14"/>
      <c r="AL25" s="14"/>
      <c r="AM25" s="14"/>
      <c r="AN25" s="14"/>
      <c r="AO25" s="14"/>
      <c r="AP25" s="14"/>
    </row>
    <row r="26" spans="1:42" s="113" customFormat="1" ht="14.25" customHeight="1" x14ac:dyDescent="0.2">
      <c r="A26" s="1501"/>
      <c r="B26" s="200" t="s">
        <v>120</v>
      </c>
      <c r="C26" s="106" t="s">
        <v>14</v>
      </c>
      <c r="D26" s="105">
        <v>1</v>
      </c>
      <c r="E26" s="177">
        <f t="shared" si="7"/>
        <v>7.7053846153846237</v>
      </c>
      <c r="F26" s="109">
        <v>0.75</v>
      </c>
      <c r="G26" s="101">
        <f t="shared" si="0"/>
        <v>7.7053846153846237</v>
      </c>
      <c r="H26" s="102">
        <f t="shared" si="1"/>
        <v>5.7790384615384678</v>
      </c>
      <c r="I26" s="65">
        <f>VLOOKUP(B26,All_Ingredients!$A$1:$F$156,6,FALSE())</f>
        <v>1</v>
      </c>
      <c r="J26" s="101">
        <f>VLOOKUP(B26,All_Ingredients!$A$1:$J$156,10,FALSE())</f>
        <v>15</v>
      </c>
      <c r="K26" s="104">
        <f t="shared" si="8"/>
        <v>5.7790384615384674E-3</v>
      </c>
      <c r="L26" s="104">
        <f t="shared" si="9"/>
        <v>8.6685576923077018E-2</v>
      </c>
      <c r="M26" s="112"/>
      <c r="N26" s="112"/>
      <c r="O26" s="76"/>
      <c r="P26" s="76"/>
      <c r="R26" s="1654" t="s">
        <v>297</v>
      </c>
      <c r="S26" s="1633"/>
      <c r="T26" s="1633"/>
      <c r="U26" s="1633"/>
      <c r="V26" s="1052"/>
      <c r="W26" s="1062"/>
      <c r="Z26" s="14"/>
      <c r="AA26" s="14"/>
      <c r="AB26" s="14"/>
      <c r="AC26" s="14"/>
      <c r="AD26" s="14"/>
      <c r="AJ26" s="14"/>
      <c r="AK26" s="14"/>
      <c r="AL26" s="14"/>
      <c r="AM26" s="14"/>
      <c r="AN26" s="14"/>
      <c r="AO26" s="14"/>
      <c r="AP26" s="14"/>
    </row>
    <row r="27" spans="1:42" ht="15" customHeight="1" thickBot="1" x14ac:dyDescent="0.3">
      <c r="A27" s="1501"/>
      <c r="B27" s="200" t="s">
        <v>124</v>
      </c>
      <c r="C27" s="106" t="s">
        <v>14</v>
      </c>
      <c r="D27" s="105">
        <v>1</v>
      </c>
      <c r="E27" s="177">
        <f t="shared" si="7"/>
        <v>7.7053846153846237</v>
      </c>
      <c r="F27" s="109">
        <v>0.75</v>
      </c>
      <c r="G27" s="101">
        <f t="shared" si="0"/>
        <v>7.7053846153846237</v>
      </c>
      <c r="H27" s="102">
        <f t="shared" si="1"/>
        <v>5.7790384615384678</v>
      </c>
      <c r="I27" s="65">
        <f>VLOOKUP(B27,All_Ingredients!$A$1:$F$156,6,FALSE())</f>
        <v>1</v>
      </c>
      <c r="J27" s="101">
        <f>VLOOKUP(B27,All_Ingredients!$A$1:$J$156,10,FALSE())</f>
        <v>37</v>
      </c>
      <c r="K27" s="104">
        <f t="shared" si="8"/>
        <v>5.7790384615384674E-3</v>
      </c>
      <c r="L27" s="104">
        <f t="shared" si="9"/>
        <v>0.21382442307692329</v>
      </c>
      <c r="M27" s="112"/>
      <c r="N27" s="112"/>
      <c r="O27" s="357"/>
      <c r="P27" s="357"/>
      <c r="R27" s="126" t="s">
        <v>254</v>
      </c>
      <c r="S27" s="127" t="s">
        <v>255</v>
      </c>
      <c r="T27" s="127" t="s">
        <v>256</v>
      </c>
      <c r="U27" s="127" t="s">
        <v>262</v>
      </c>
      <c r="V27" s="127" t="s">
        <v>772</v>
      </c>
      <c r="W27" s="127" t="s">
        <v>779</v>
      </c>
      <c r="Z27" s="122" t="s">
        <v>258</v>
      </c>
      <c r="AA27" s="1031" t="s">
        <v>312</v>
      </c>
      <c r="AB27" s="128" t="s">
        <v>259</v>
      </c>
      <c r="AC27" s="128" t="s">
        <v>260</v>
      </c>
      <c r="AD27" s="128" t="s">
        <v>261</v>
      </c>
      <c r="AE27" s="1032" t="s">
        <v>779</v>
      </c>
      <c r="AF27" s="128" t="s">
        <v>262</v>
      </c>
    </row>
    <row r="28" spans="1:42" ht="15" customHeight="1" thickBot="1" x14ac:dyDescent="0.3">
      <c r="A28" s="1501"/>
      <c r="B28" s="233" t="s">
        <v>97</v>
      </c>
      <c r="C28" s="106" t="s">
        <v>14</v>
      </c>
      <c r="D28" s="105">
        <v>1</v>
      </c>
      <c r="E28" s="177">
        <f t="shared" si="7"/>
        <v>7.7053846153846237</v>
      </c>
      <c r="F28" s="109">
        <v>0.75</v>
      </c>
      <c r="G28" s="101">
        <f t="shared" si="0"/>
        <v>7.7053846153846237</v>
      </c>
      <c r="H28" s="102">
        <f t="shared" si="1"/>
        <v>5.7790384615384678</v>
      </c>
      <c r="I28" s="65">
        <f>VLOOKUP(B28,All_Ingredients!$A$1:$F$156,6,FALSE())</f>
        <v>1</v>
      </c>
      <c r="J28" s="101">
        <f>VLOOKUP(B28,All_Ingredients!$A$1:$J$156,10,FALSE())</f>
        <v>38</v>
      </c>
      <c r="K28" s="104">
        <f t="shared" si="8"/>
        <v>5.7790384615384674E-3</v>
      </c>
      <c r="L28" s="104">
        <f t="shared" si="9"/>
        <v>0.21960346153846177</v>
      </c>
      <c r="M28" s="112"/>
      <c r="N28" s="112"/>
      <c r="O28" s="357"/>
      <c r="P28" s="357"/>
      <c r="R28" s="129" t="s">
        <v>263</v>
      </c>
      <c r="S28" s="1215">
        <f>U28*S40</f>
        <v>25684.615384615379</v>
      </c>
      <c r="T28" s="1215">
        <f>U28*U40</f>
        <v>7705.3846153846234</v>
      </c>
      <c r="U28" s="1186">
        <f>$Z$1</f>
        <v>33390</v>
      </c>
      <c r="V28" s="130">
        <f>SUM(AP5:AP13)</f>
        <v>2285.4954367666228</v>
      </c>
      <c r="W28" s="1064">
        <f>H37</f>
        <v>16.100000000000001</v>
      </c>
      <c r="Z28" s="132"/>
      <c r="AA28" s="1034"/>
      <c r="AB28" s="133">
        <f>AA25*$S$40</f>
        <v>0.76923076923076905</v>
      </c>
      <c r="AC28" s="133">
        <f>AA25-AB28</f>
        <v>0.23076923076923095</v>
      </c>
      <c r="AD28" s="134"/>
      <c r="AE28" s="1034"/>
      <c r="AF28" s="135">
        <f>SUM(AB28:AD28)</f>
        <v>1</v>
      </c>
    </row>
    <row r="29" spans="1:42" ht="14.25" customHeight="1" thickBot="1" x14ac:dyDescent="0.3">
      <c r="A29" s="1500"/>
      <c r="B29" s="233" t="s">
        <v>126</v>
      </c>
      <c r="C29" s="106" t="s">
        <v>14</v>
      </c>
      <c r="D29" s="105">
        <v>1</v>
      </c>
      <c r="E29" s="177">
        <f t="shared" si="7"/>
        <v>7.7053846153846237</v>
      </c>
      <c r="F29" s="109">
        <v>0.75</v>
      </c>
      <c r="G29" s="101">
        <f t="shared" si="0"/>
        <v>7.7053846153846237</v>
      </c>
      <c r="H29" s="102">
        <f t="shared" si="1"/>
        <v>5.7790384615384678</v>
      </c>
      <c r="I29" s="65">
        <f>VLOOKUP(B29,All_Ingredients!$A$1:$F$156,6,FALSE())</f>
        <v>1</v>
      </c>
      <c r="J29" s="101">
        <f>VLOOKUP(B29,All_Ingredients!$A$1:$J$156,10,FALSE())</f>
        <v>125</v>
      </c>
      <c r="K29" s="104">
        <f t="shared" si="8"/>
        <v>5.7790384615384674E-3</v>
      </c>
      <c r="L29" s="104">
        <f t="shared" si="9"/>
        <v>0.72237980769230847</v>
      </c>
      <c r="M29" s="112"/>
      <c r="N29" s="112"/>
      <c r="R29" s="129" t="s">
        <v>264</v>
      </c>
      <c r="S29" s="1218"/>
      <c r="T29" s="130"/>
      <c r="U29" s="1215">
        <f>T29</f>
        <v>0</v>
      </c>
      <c r="V29" s="130"/>
      <c r="W29" s="130"/>
      <c r="Z29" s="132"/>
      <c r="AA29" s="1038"/>
      <c r="AB29" s="137">
        <f>AB28/$AF$28</f>
        <v>0.76923076923076905</v>
      </c>
      <c r="AC29" s="137">
        <f>AC28/$AF$28</f>
        <v>0.23076923076923095</v>
      </c>
      <c r="AD29" s="137"/>
      <c r="AE29" s="1038"/>
      <c r="AF29" s="137">
        <f>AF28/$AF$28</f>
        <v>1</v>
      </c>
    </row>
    <row r="30" spans="1:42" ht="14.25" customHeight="1" thickBot="1" x14ac:dyDescent="0.3">
      <c r="A30" s="1472"/>
      <c r="R30" s="129" t="s">
        <v>265</v>
      </c>
      <c r="S30" s="1225">
        <f>U30*S40</f>
        <v>0</v>
      </c>
      <c r="T30" s="1225">
        <f>U30*U40</f>
        <v>0</v>
      </c>
      <c r="U30" s="1186">
        <f>$AB$1</f>
        <v>0</v>
      </c>
      <c r="V30" s="989"/>
      <c r="W30" s="989"/>
      <c r="Z30" s="122" t="s">
        <v>266</v>
      </c>
      <c r="AA30" s="1042">
        <f>V35/(S32/R1)</f>
        <v>3.6170139173656411E-4</v>
      </c>
      <c r="AB30" s="138">
        <f>S35/(S28)</f>
        <v>3.3701221915648408E-2</v>
      </c>
      <c r="AC30" s="139">
        <f>T35/T32</f>
        <v>1.4866117666484695E-2</v>
      </c>
      <c r="AD30" s="139"/>
      <c r="AE30" s="1065">
        <f>W35/U32</f>
        <v>3.3381712626995646E-5</v>
      </c>
      <c r="AF30" s="1047">
        <f>SUMPRODUCT(AB30:AD30,AB29:AD29)+AE30</f>
        <v>2.9388041109237619E-2</v>
      </c>
    </row>
    <row r="31" spans="1:42" ht="14.25" customHeight="1" thickBot="1" x14ac:dyDescent="0.3">
      <c r="A31" s="1472"/>
      <c r="B31" s="113"/>
      <c r="C31" s="114"/>
      <c r="D31" s="232"/>
      <c r="E31" s="273"/>
      <c r="F31" s="117"/>
      <c r="H31" s="119"/>
      <c r="I31" s="76"/>
      <c r="J31" s="120"/>
      <c r="R31" s="129" t="s">
        <v>267</v>
      </c>
      <c r="S31" s="136"/>
      <c r="T31" s="130"/>
      <c r="U31" s="130"/>
      <c r="V31" s="130"/>
      <c r="W31" s="130"/>
    </row>
    <row r="32" spans="1:42" ht="14.25" customHeight="1" thickBot="1" x14ac:dyDescent="0.3">
      <c r="A32" s="1472"/>
      <c r="B32" s="84"/>
      <c r="C32" s="152"/>
      <c r="D32" s="152"/>
      <c r="E32" s="84"/>
      <c r="F32" s="84"/>
      <c r="G32" s="152"/>
      <c r="R32" s="141" t="s">
        <v>257</v>
      </c>
      <c r="S32" s="130">
        <f>SUM(S28:S30)</f>
        <v>25684.615384615379</v>
      </c>
      <c r="T32" s="130">
        <f>SUM(T28:T30)</f>
        <v>7705.3846153846234</v>
      </c>
      <c r="U32" s="130">
        <f>SUM(U28:U30)</f>
        <v>33390</v>
      </c>
      <c r="V32" s="130">
        <f>SUM(V28:V30)</f>
        <v>2285.4954367666228</v>
      </c>
      <c r="W32" s="1063">
        <f>SUM(W28:W30)</f>
        <v>16.100000000000001</v>
      </c>
    </row>
    <row r="33" spans="1:23" ht="14.25" customHeight="1" thickBot="1" x14ac:dyDescent="0.3">
      <c r="A33" s="1472"/>
      <c r="R33" s="142" t="s">
        <v>268</v>
      </c>
      <c r="S33" s="136"/>
      <c r="T33" s="136"/>
      <c r="U33" s="136"/>
      <c r="V33" s="136"/>
      <c r="W33" s="136"/>
    </row>
    <row r="34" spans="1:23" ht="14.25" customHeight="1" thickBot="1" x14ac:dyDescent="0.3">
      <c r="A34" s="1472"/>
      <c r="R34" s="143" t="s">
        <v>269</v>
      </c>
      <c r="S34" s="136"/>
      <c r="T34" s="130"/>
      <c r="U34" s="136"/>
      <c r="V34" s="136"/>
      <c r="W34" s="136"/>
    </row>
    <row r="35" spans="1:23" ht="14.25" customHeight="1" thickBot="1" x14ac:dyDescent="0.3">
      <c r="A35" s="1472"/>
      <c r="B35" s="1681" t="s">
        <v>634</v>
      </c>
      <c r="C35" s="1681"/>
      <c r="D35" s="1681"/>
      <c r="E35" s="1681"/>
      <c r="F35" s="1681"/>
      <c r="G35" s="803"/>
      <c r="H35" s="803"/>
      <c r="I35" s="803"/>
      <c r="J35" s="803"/>
      <c r="K35" s="803"/>
      <c r="L35" s="803"/>
      <c r="R35" s="144" t="s">
        <v>249</v>
      </c>
      <c r="S35" s="145">
        <f>$L$5</f>
        <v>865.60292289500012</v>
      </c>
      <c r="T35" s="145">
        <f>SUM(L6:L29)</f>
        <v>114.54915435782873</v>
      </c>
      <c r="U35" s="1076">
        <f>S35+T35+V35+W35</f>
        <v>997.01272845241658</v>
      </c>
      <c r="V35" s="990">
        <f>SUM(AT6:AT13)</f>
        <v>15.746035814972457</v>
      </c>
      <c r="W35" s="990">
        <f>L37</f>
        <v>1.1146153846153846</v>
      </c>
    </row>
    <row r="36" spans="1:23" ht="14.2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ht="14.25" customHeight="1" x14ac:dyDescent="0.25">
      <c r="A37" s="1472"/>
      <c r="B37" s="772" t="s">
        <v>686</v>
      </c>
      <c r="C37" s="773" t="s">
        <v>14</v>
      </c>
      <c r="D37" s="774">
        <v>7.0000000000000007E-2</v>
      </c>
      <c r="E37" s="772">
        <f>$AD$1</f>
        <v>230</v>
      </c>
      <c r="F37" s="772">
        <f>D37*E37</f>
        <v>16.100000000000001</v>
      </c>
      <c r="G37"/>
      <c r="H37" s="772">
        <f>F37</f>
        <v>16.100000000000001</v>
      </c>
      <c r="I37" s="772">
        <f>VLOOKUP(B37,All_Ingredients!$A$1:$F$156,6,FALSE())</f>
        <v>0.65</v>
      </c>
      <c r="J37" s="772">
        <f>VLOOKUP(B37,All_Ingredients!$A$1:$J$156,10,FALSE())</f>
        <v>45</v>
      </c>
      <c r="K37" s="772">
        <f>(H37/I37)/1000</f>
        <v>2.4769230769230769E-2</v>
      </c>
      <c r="L37" s="772">
        <f t="shared" ref="L37" si="12">K37*J37</f>
        <v>1.1146153846153846</v>
      </c>
    </row>
    <row r="38" spans="1:23" ht="20.25" customHeight="1" x14ac:dyDescent="0.25">
      <c r="A38" s="1472"/>
    </row>
    <row r="39" spans="1:23" ht="20.25" customHeight="1" x14ac:dyDescent="0.25">
      <c r="A39" s="1472"/>
      <c r="B39" s="84"/>
      <c r="E39" s="84"/>
      <c r="F39" s="84"/>
    </row>
    <row r="40" spans="1:23" ht="23.25" customHeight="1" x14ac:dyDescent="0.25">
      <c r="A40" s="1472"/>
      <c r="R40" s="146" t="s">
        <v>270</v>
      </c>
      <c r="S40" s="147">
        <v>0.76923076923076905</v>
      </c>
      <c r="T40" s="146" t="s">
        <v>271</v>
      </c>
      <c r="U40" s="148">
        <v>0.230769230769231</v>
      </c>
      <c r="V40" s="149">
        <f>S40+U40</f>
        <v>1</v>
      </c>
    </row>
    <row r="41" spans="1:23" ht="14.25" customHeight="1" x14ac:dyDescent="0.25">
      <c r="A41" s="1472"/>
      <c r="U41" s="150"/>
    </row>
    <row r="42" spans="1:23"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43334</v>
      </c>
      <c r="R44" s="154">
        <f>D51</f>
        <v>10000</v>
      </c>
      <c r="S44" s="155">
        <v>1</v>
      </c>
      <c r="T44" s="155">
        <v>0</v>
      </c>
      <c r="U44" s="220">
        <f>R44*S44</f>
        <v>10000</v>
      </c>
      <c r="V44" s="157">
        <f>R44*T44</f>
        <v>0</v>
      </c>
      <c r="W44" s="237">
        <f>Q44-U44</f>
        <v>33334</v>
      </c>
    </row>
    <row r="45" spans="1:23" x14ac:dyDescent="0.25">
      <c r="A45" s="1472"/>
    </row>
    <row r="46" spans="1:23" x14ac:dyDescent="0.25">
      <c r="A46" s="1472"/>
    </row>
    <row r="47" spans="1:23" x14ac:dyDescent="0.25">
      <c r="A47" s="1472"/>
    </row>
    <row r="48" spans="1:23" ht="15.75" customHeight="1" x14ac:dyDescent="0.25">
      <c r="A48" s="1472"/>
    </row>
    <row r="49" spans="1:10" x14ac:dyDescent="0.25">
      <c r="A49" s="1472"/>
    </row>
    <row r="50" spans="1:10" x14ac:dyDescent="0.25">
      <c r="A50" s="1472"/>
      <c r="B50" s="126"/>
      <c r="C50" s="126" t="s">
        <v>233</v>
      </c>
      <c r="D50" s="126" t="s">
        <v>279</v>
      </c>
      <c r="E50" s="164"/>
      <c r="F50" s="84"/>
      <c r="G50" s="126" t="s">
        <v>280</v>
      </c>
      <c r="H50" s="126" t="s">
        <v>233</v>
      </c>
      <c r="I50" s="126" t="s">
        <v>281</v>
      </c>
      <c r="J50" s="126" t="s">
        <v>282</v>
      </c>
    </row>
    <row r="51" spans="1:10" x14ac:dyDescent="0.25">
      <c r="A51" s="1472"/>
      <c r="B51" s="161" t="s">
        <v>283</v>
      </c>
      <c r="C51" s="162">
        <f>10/$K$1</f>
        <v>10</v>
      </c>
      <c r="D51" s="163">
        <f>$C$1*10</f>
        <v>10000</v>
      </c>
      <c r="E51" s="164"/>
      <c r="F51" s="84"/>
      <c r="G51" s="161" t="s">
        <v>283</v>
      </c>
      <c r="H51" s="254">
        <v>10</v>
      </c>
      <c r="I51" s="162">
        <f>J51/$R$1</f>
        <v>56498.305084745763</v>
      </c>
      <c r="J51" s="162">
        <f>$W$44</f>
        <v>33334</v>
      </c>
    </row>
    <row r="52" spans="1:10" x14ac:dyDescent="0.25">
      <c r="A52" s="1472"/>
      <c r="B52" s="209" t="s">
        <v>262</v>
      </c>
      <c r="C52" s="210">
        <f>$I$1</f>
        <v>7.7053846153846237</v>
      </c>
      <c r="D52" s="211">
        <f>$E$1</f>
        <v>7705.3846153846234</v>
      </c>
      <c r="E52" s="84"/>
      <c r="F52" s="84"/>
      <c r="G52" s="129" t="s">
        <v>262</v>
      </c>
      <c r="H52" s="190">
        <f>I52/$D$5</f>
        <v>7.705230510774399</v>
      </c>
      <c r="I52" s="157">
        <f>J52/$R$1</f>
        <v>43533.246414602341</v>
      </c>
      <c r="J52" s="165">
        <f>$S$32</f>
        <v>25684.615384615379</v>
      </c>
    </row>
    <row r="53" spans="1:10" x14ac:dyDescent="0.25">
      <c r="A53" s="1472"/>
      <c r="B53" s="209" t="s">
        <v>284</v>
      </c>
      <c r="C53" s="212">
        <f>MIN(C52, C51)</f>
        <v>7.7053846153846237</v>
      </c>
      <c r="D53" s="211">
        <f>(C53*$K$1)*$C$1</f>
        <v>7705.3846153846234</v>
      </c>
      <c r="E53" s="84"/>
      <c r="F53" s="84"/>
      <c r="G53" s="129" t="s">
        <v>284</v>
      </c>
      <c r="H53" s="168">
        <f>MIN(H52,H51)</f>
        <v>7.705230510774399</v>
      </c>
      <c r="I53" s="157">
        <f>J53/$R$1</f>
        <v>43533.246414602341</v>
      </c>
      <c r="J53" s="157">
        <f>MIN(J52,J51)</f>
        <v>25684.615384615379</v>
      </c>
    </row>
    <row r="54" spans="1:10"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42" t="str">
        <f>"دجاج الفريدو دفعة 1 / " &amp; COUNTIF($C$53:$C$55, "&gt;0")</f>
        <v>دجاج الفريدو دفعة 1 / 1</v>
      </c>
      <c r="C62" s="1656"/>
      <c r="D62" s="1656"/>
      <c r="E62" s="1656"/>
      <c r="F62" s="1656"/>
      <c r="G62" s="1656"/>
      <c r="H62" s="1656"/>
    </row>
    <row r="63" spans="1:10" ht="18" customHeight="1" x14ac:dyDescent="0.25">
      <c r="A63" s="1473"/>
      <c r="B63" s="1636" t="str">
        <f>"Chicken Alfredo 1 / " &amp; COUNTIF(C$53:$C$55, "&gt;0")</f>
        <v>Chicken Alfredo 1 / 1</v>
      </c>
      <c r="C63" s="1637"/>
      <c r="D63" s="1637"/>
      <c r="E63" s="1637"/>
      <c r="F63" s="1637"/>
      <c r="G63" s="1637"/>
      <c r="H63" s="1637"/>
    </row>
    <row r="64" spans="1:10" ht="39" customHeight="1" x14ac:dyDescent="0.2">
      <c r="A64" s="1457"/>
      <c r="B64" s="75" t="s">
        <v>241</v>
      </c>
      <c r="C64" s="90" t="s">
        <v>242</v>
      </c>
      <c r="D64" s="75" t="s">
        <v>231</v>
      </c>
      <c r="E64" s="91" t="s">
        <v>234</v>
      </c>
      <c r="F64" s="91" t="s">
        <v>243</v>
      </c>
      <c r="G64" s="75" t="s">
        <v>244</v>
      </c>
      <c r="H64" s="92" t="s">
        <v>245</v>
      </c>
    </row>
    <row r="65" spans="1:8" ht="14.25" customHeight="1" x14ac:dyDescent="0.25">
      <c r="A65" s="1471"/>
      <c r="B65" s="105" t="str">
        <f t="shared" ref="B65:D89" si="13">B5</f>
        <v>Chicken - دجاج</v>
      </c>
      <c r="C65" s="106" t="str">
        <f t="shared" si="13"/>
        <v>gm</v>
      </c>
      <c r="D65" s="98">
        <f>D5</f>
        <v>5649.8305084745762</v>
      </c>
      <c r="E65" s="258">
        <f>H53</f>
        <v>7.705230510774399</v>
      </c>
      <c r="F65" s="109">
        <f t="shared" ref="F65:F89" si="14">F5</f>
        <v>1</v>
      </c>
      <c r="G65" s="101">
        <f t="shared" ref="G65:G89" si="15">D65*E65</f>
        <v>43533.246414602341</v>
      </c>
      <c r="H65" s="102">
        <f t="shared" ref="H65:H89" si="16">G65*F65</f>
        <v>43533.246414602341</v>
      </c>
    </row>
    <row r="66" spans="1:8" ht="14.25" customHeight="1" x14ac:dyDescent="0.25">
      <c r="A66" s="1471"/>
      <c r="B66" s="105" t="str">
        <f t="shared" si="13"/>
        <v>Butter - زبدة</v>
      </c>
      <c r="C66" s="106" t="str">
        <f t="shared" si="13"/>
        <v>gm</v>
      </c>
      <c r="D66" s="107">
        <f t="shared" si="13"/>
        <v>40</v>
      </c>
      <c r="E66" s="258">
        <f t="shared" ref="E66:E89" si="17">$C$53</f>
        <v>7.7053846153846237</v>
      </c>
      <c r="F66" s="109">
        <f t="shared" si="14"/>
        <v>1</v>
      </c>
      <c r="G66" s="101">
        <f t="shared" si="15"/>
        <v>308.21538461538495</v>
      </c>
      <c r="H66" s="102">
        <f t="shared" si="16"/>
        <v>308.21538461538495</v>
      </c>
    </row>
    <row r="67" spans="1:8" ht="14.25" customHeight="1" x14ac:dyDescent="0.25">
      <c r="A67" s="1471" t="s">
        <v>905</v>
      </c>
      <c r="B67" s="105" t="str">
        <f t="shared" si="13"/>
        <v>Onion - بصل</v>
      </c>
      <c r="C67" s="106" t="str">
        <f t="shared" si="13"/>
        <v>gm</v>
      </c>
      <c r="D67" s="107">
        <f t="shared" si="13"/>
        <v>350</v>
      </c>
      <c r="E67" s="258">
        <f t="shared" si="17"/>
        <v>7.7053846153846237</v>
      </c>
      <c r="F67" s="109">
        <f t="shared" si="14"/>
        <v>0.75</v>
      </c>
      <c r="G67" s="101">
        <f t="shared" si="15"/>
        <v>2696.8846153846184</v>
      </c>
      <c r="H67" s="102">
        <f t="shared" si="16"/>
        <v>2022.6634615384637</v>
      </c>
    </row>
    <row r="68" spans="1:8" ht="14.25" customHeight="1" x14ac:dyDescent="0.25">
      <c r="A68" s="1471"/>
      <c r="B68" s="105" t="str">
        <f t="shared" si="13"/>
        <v>Yogurt - زبادي</v>
      </c>
      <c r="C68" s="106" t="str">
        <f t="shared" si="13"/>
        <v>gm</v>
      </c>
      <c r="D68" s="107">
        <f t="shared" si="13"/>
        <v>250</v>
      </c>
      <c r="E68" s="258">
        <f t="shared" si="17"/>
        <v>7.7053846153846237</v>
      </c>
      <c r="F68" s="109">
        <f t="shared" si="14"/>
        <v>0.9</v>
      </c>
      <c r="G68" s="101">
        <f t="shared" si="15"/>
        <v>1926.3461538461559</v>
      </c>
      <c r="H68" s="102">
        <f t="shared" si="16"/>
        <v>1733.7115384615404</v>
      </c>
    </row>
    <row r="69" spans="1:8" ht="14.25" customHeight="1" x14ac:dyDescent="0.25">
      <c r="A69" s="1471" t="s">
        <v>907</v>
      </c>
      <c r="B69" s="105" t="str">
        <f t="shared" si="13"/>
        <v>Garlic - ثوم مقشر</v>
      </c>
      <c r="C69" s="106" t="str">
        <f t="shared" si="13"/>
        <v>gm</v>
      </c>
      <c r="D69" s="107">
        <f t="shared" si="13"/>
        <v>20</v>
      </c>
      <c r="E69" s="258">
        <f t="shared" si="17"/>
        <v>7.7053846153846237</v>
      </c>
      <c r="F69" s="109">
        <f t="shared" si="14"/>
        <v>1</v>
      </c>
      <c r="G69" s="101">
        <f t="shared" si="15"/>
        <v>154.10769230769247</v>
      </c>
      <c r="H69" s="102">
        <f t="shared" si="16"/>
        <v>154.10769230769247</v>
      </c>
    </row>
    <row r="70" spans="1:8" ht="14.25" customHeight="1" x14ac:dyDescent="0.25">
      <c r="A70" s="1471" t="s">
        <v>906</v>
      </c>
      <c r="B70" s="105" t="str">
        <f t="shared" si="13"/>
        <v>Ginger - زنجبيل</v>
      </c>
      <c r="C70" s="106" t="str">
        <f t="shared" si="13"/>
        <v>gm</v>
      </c>
      <c r="D70" s="107">
        <f t="shared" si="13"/>
        <v>20</v>
      </c>
      <c r="E70" s="258">
        <f t="shared" si="17"/>
        <v>7.7053846153846237</v>
      </c>
      <c r="F70" s="109">
        <f t="shared" si="14"/>
        <v>0.5</v>
      </c>
      <c r="G70" s="101">
        <f t="shared" si="15"/>
        <v>154.10769230769247</v>
      </c>
      <c r="H70" s="102">
        <f t="shared" si="16"/>
        <v>77.053846153846237</v>
      </c>
    </row>
    <row r="71" spans="1:8" ht="14.25" customHeight="1" x14ac:dyDescent="0.25">
      <c r="A71" s="1471"/>
      <c r="B71" s="105" t="str">
        <f t="shared" si="13"/>
        <v>Coriander Powder - كزبرة مطحونة</v>
      </c>
      <c r="C71" s="106" t="str">
        <f t="shared" si="13"/>
        <v>gm</v>
      </c>
      <c r="D71" s="107">
        <f t="shared" si="13"/>
        <v>10</v>
      </c>
      <c r="E71" s="258">
        <f t="shared" si="17"/>
        <v>7.7053846153846237</v>
      </c>
      <c r="F71" s="109">
        <f t="shared" si="14"/>
        <v>0.95</v>
      </c>
      <c r="G71" s="101">
        <f t="shared" si="15"/>
        <v>77.053846153846237</v>
      </c>
      <c r="H71" s="102">
        <f t="shared" si="16"/>
        <v>73.201153846153929</v>
      </c>
    </row>
    <row r="72" spans="1:8" ht="14.25" customHeight="1" x14ac:dyDescent="0.25">
      <c r="A72" s="1471"/>
      <c r="B72" s="105" t="str">
        <f t="shared" si="13"/>
        <v>Cumin Powder - كمون مطحون</v>
      </c>
      <c r="C72" s="106" t="str">
        <f t="shared" si="13"/>
        <v>gm</v>
      </c>
      <c r="D72" s="107">
        <f t="shared" si="13"/>
        <v>5</v>
      </c>
      <c r="E72" s="258">
        <f t="shared" si="17"/>
        <v>7.7053846153846237</v>
      </c>
      <c r="F72" s="109">
        <f t="shared" si="14"/>
        <v>0.95</v>
      </c>
      <c r="G72" s="101">
        <f t="shared" si="15"/>
        <v>38.526923076923119</v>
      </c>
      <c r="H72" s="102">
        <f t="shared" si="16"/>
        <v>36.600576923076964</v>
      </c>
    </row>
    <row r="73" spans="1:8" ht="14.25" customHeight="1" x14ac:dyDescent="0.25">
      <c r="A73" s="1471"/>
      <c r="B73" s="105" t="str">
        <f t="shared" si="13"/>
        <v>Red Chilli Powder - شطة حمراء مطحونة</v>
      </c>
      <c r="C73" s="106" t="str">
        <f t="shared" si="13"/>
        <v>gm</v>
      </c>
      <c r="D73" s="107">
        <f t="shared" si="13"/>
        <v>3</v>
      </c>
      <c r="E73" s="258">
        <f t="shared" si="17"/>
        <v>7.7053846153846237</v>
      </c>
      <c r="F73" s="109">
        <f t="shared" si="14"/>
        <v>0.6</v>
      </c>
      <c r="G73" s="101">
        <f t="shared" si="15"/>
        <v>23.116153846153871</v>
      </c>
      <c r="H73" s="102">
        <f t="shared" si="16"/>
        <v>13.869692307692322</v>
      </c>
    </row>
    <row r="74" spans="1:8" ht="14.25" customHeight="1" x14ac:dyDescent="0.25">
      <c r="A74" s="1471"/>
      <c r="B74" s="105" t="str">
        <f t="shared" si="13"/>
        <v>Cooking Cream - كريمة طبخ</v>
      </c>
      <c r="C74" s="106" t="str">
        <f t="shared" si="13"/>
        <v>ml</v>
      </c>
      <c r="D74" s="107">
        <f t="shared" si="13"/>
        <v>500</v>
      </c>
      <c r="E74" s="258">
        <f t="shared" si="17"/>
        <v>7.7053846153846237</v>
      </c>
      <c r="F74" s="109">
        <f t="shared" si="14"/>
        <v>1</v>
      </c>
      <c r="G74" s="101">
        <f t="shared" si="15"/>
        <v>3852.6923076923117</v>
      </c>
      <c r="H74" s="102">
        <f t="shared" si="16"/>
        <v>3852.6923076923117</v>
      </c>
    </row>
    <row r="75" spans="1:8" ht="14.25" customHeight="1" x14ac:dyDescent="0.25">
      <c r="A75" s="1471"/>
      <c r="B75" s="105" t="str">
        <f t="shared" si="13"/>
        <v>Saffron yellow color powder - لون صفار زعفران بودر</v>
      </c>
      <c r="C75" s="106" t="str">
        <f t="shared" si="13"/>
        <v>gm</v>
      </c>
      <c r="D75" s="107">
        <f t="shared" si="13"/>
        <v>3</v>
      </c>
      <c r="E75" s="258">
        <f t="shared" si="17"/>
        <v>7.7053846153846237</v>
      </c>
      <c r="F75" s="109">
        <f t="shared" si="14"/>
        <v>1</v>
      </c>
      <c r="G75" s="101">
        <f t="shared" si="15"/>
        <v>23.116153846153871</v>
      </c>
      <c r="H75" s="102">
        <f t="shared" si="16"/>
        <v>23.116153846153871</v>
      </c>
    </row>
    <row r="76" spans="1:8" ht="14.25" customHeight="1" x14ac:dyDescent="0.25">
      <c r="A76" s="1471"/>
      <c r="B76" s="105" t="str">
        <f t="shared" si="13"/>
        <v>Salt - ملح</v>
      </c>
      <c r="C76" s="106" t="str">
        <f t="shared" si="13"/>
        <v>gm</v>
      </c>
      <c r="D76" s="107">
        <f t="shared" si="13"/>
        <v>6</v>
      </c>
      <c r="E76" s="258">
        <f t="shared" si="17"/>
        <v>7.7053846153846237</v>
      </c>
      <c r="F76" s="109">
        <f t="shared" si="14"/>
        <v>0.75</v>
      </c>
      <c r="G76" s="101">
        <f t="shared" si="15"/>
        <v>46.232307692307742</v>
      </c>
      <c r="H76" s="102">
        <f t="shared" si="16"/>
        <v>34.674230769230803</v>
      </c>
    </row>
    <row r="77" spans="1:8" ht="14.25" customHeight="1" x14ac:dyDescent="0.25">
      <c r="A77" s="1471"/>
      <c r="B77" s="105" t="str">
        <f t="shared" si="13"/>
        <v>Dry Oregano - أوريجانو مجفف</v>
      </c>
      <c r="C77" s="106" t="str">
        <f t="shared" si="13"/>
        <v>gm</v>
      </c>
      <c r="D77" s="107">
        <f t="shared" si="13"/>
        <v>1</v>
      </c>
      <c r="E77" s="258">
        <f t="shared" si="17"/>
        <v>7.7053846153846237</v>
      </c>
      <c r="F77" s="109">
        <f t="shared" si="14"/>
        <v>0.75</v>
      </c>
      <c r="G77" s="101">
        <f t="shared" si="15"/>
        <v>7.7053846153846237</v>
      </c>
      <c r="H77" s="102">
        <f t="shared" si="16"/>
        <v>5.7790384615384678</v>
      </c>
    </row>
    <row r="78" spans="1:8" ht="14.25" customHeight="1" x14ac:dyDescent="0.25">
      <c r="A78" s="1471"/>
      <c r="B78" s="105" t="str">
        <f t="shared" si="13"/>
        <v>Maggi Cubes - مكعبات ماجي</v>
      </c>
      <c r="C78" s="106" t="str">
        <f t="shared" si="13"/>
        <v>gm</v>
      </c>
      <c r="D78" s="107">
        <f t="shared" si="13"/>
        <v>7</v>
      </c>
      <c r="E78" s="258">
        <f t="shared" si="17"/>
        <v>7.7053846153846237</v>
      </c>
      <c r="F78" s="109">
        <f t="shared" si="14"/>
        <v>0.75</v>
      </c>
      <c r="G78" s="101">
        <f t="shared" si="15"/>
        <v>53.937692307692366</v>
      </c>
      <c r="H78" s="102">
        <f t="shared" si="16"/>
        <v>40.453269230769273</v>
      </c>
    </row>
    <row r="79" spans="1:8" ht="14.25" customHeight="1" x14ac:dyDescent="0.25">
      <c r="A79" s="1471"/>
      <c r="B79" s="105" t="str">
        <f t="shared" si="13"/>
        <v>Fresh Coconut - جوز هند طازج</v>
      </c>
      <c r="C79" s="106" t="str">
        <f t="shared" si="13"/>
        <v>gm</v>
      </c>
      <c r="D79" s="107">
        <f t="shared" si="13"/>
        <v>50</v>
      </c>
      <c r="E79" s="258">
        <f t="shared" si="17"/>
        <v>7.7053846153846237</v>
      </c>
      <c r="F79" s="109">
        <f t="shared" si="14"/>
        <v>1</v>
      </c>
      <c r="G79" s="101">
        <f t="shared" si="15"/>
        <v>385.26923076923117</v>
      </c>
      <c r="H79" s="102">
        <f t="shared" si="16"/>
        <v>385.26923076923117</v>
      </c>
    </row>
    <row r="80" spans="1:8" ht="14.25" customHeight="1" x14ac:dyDescent="0.25">
      <c r="A80" s="1471"/>
      <c r="B80" s="105" t="str">
        <f t="shared" si="13"/>
        <v>Turmeric - كركم</v>
      </c>
      <c r="C80" s="106" t="str">
        <f t="shared" si="13"/>
        <v>gm</v>
      </c>
      <c r="D80" s="107">
        <f t="shared" si="13"/>
        <v>2</v>
      </c>
      <c r="E80" s="258">
        <f t="shared" si="17"/>
        <v>7.7053846153846237</v>
      </c>
      <c r="F80" s="109">
        <f t="shared" si="14"/>
        <v>1</v>
      </c>
      <c r="G80" s="101">
        <f t="shared" si="15"/>
        <v>15.410769230769247</v>
      </c>
      <c r="H80" s="102">
        <f t="shared" si="16"/>
        <v>15.410769230769247</v>
      </c>
    </row>
    <row r="81" spans="1:8" ht="14.25" customHeight="1" x14ac:dyDescent="0.25">
      <c r="A81" s="1471"/>
      <c r="B81" s="105" t="str">
        <f t="shared" si="13"/>
        <v>Milk - حليب</v>
      </c>
      <c r="C81" s="106" t="str">
        <f t="shared" si="13"/>
        <v>ml</v>
      </c>
      <c r="D81" s="107">
        <f t="shared" si="13"/>
        <v>100</v>
      </c>
      <c r="E81" s="258">
        <f t="shared" si="17"/>
        <v>7.7053846153846237</v>
      </c>
      <c r="F81" s="109">
        <f t="shared" si="14"/>
        <v>1</v>
      </c>
      <c r="G81" s="101">
        <f t="shared" si="15"/>
        <v>770.53846153846234</v>
      </c>
      <c r="H81" s="102">
        <f t="shared" si="16"/>
        <v>770.53846153846234</v>
      </c>
    </row>
    <row r="82" spans="1:8" ht="14.25" customHeight="1" x14ac:dyDescent="0.25">
      <c r="A82" s="1471" t="s">
        <v>923</v>
      </c>
      <c r="B82" s="105" t="str">
        <f t="shared" si="13"/>
        <v>Green Chilli Pepper - فلفل أخضر حار</v>
      </c>
      <c r="C82" s="106" t="str">
        <f t="shared" si="13"/>
        <v>gm</v>
      </c>
      <c r="D82" s="107">
        <f t="shared" si="13"/>
        <v>2</v>
      </c>
      <c r="E82" s="258">
        <f t="shared" si="17"/>
        <v>7.7053846153846237</v>
      </c>
      <c r="F82" s="109">
        <f t="shared" si="14"/>
        <v>0.75</v>
      </c>
      <c r="G82" s="101">
        <f t="shared" si="15"/>
        <v>15.410769230769247</v>
      </c>
      <c r="H82" s="102">
        <f t="shared" si="16"/>
        <v>11.558076923076936</v>
      </c>
    </row>
    <row r="83" spans="1:8" ht="14.25" customHeight="1" x14ac:dyDescent="0.25">
      <c r="A83" s="1471" t="s">
        <v>919</v>
      </c>
      <c r="B83" s="105" t="str">
        <f t="shared" si="13"/>
        <v>Green Bell Pepper - فلفل أخضر رومى</v>
      </c>
      <c r="C83" s="106" t="str">
        <f t="shared" si="13"/>
        <v>gm</v>
      </c>
      <c r="D83" s="107">
        <f t="shared" si="13"/>
        <v>50</v>
      </c>
      <c r="E83" s="258">
        <f t="shared" si="17"/>
        <v>7.7053846153846237</v>
      </c>
      <c r="F83" s="109">
        <f t="shared" si="14"/>
        <v>1.75</v>
      </c>
      <c r="G83" s="101">
        <f t="shared" si="15"/>
        <v>385.26923076923117</v>
      </c>
      <c r="H83" s="102">
        <f t="shared" si="16"/>
        <v>674.22115384615449</v>
      </c>
    </row>
    <row r="84" spans="1:8" ht="14.25" customHeight="1" x14ac:dyDescent="0.25">
      <c r="A84" s="1471" t="s">
        <v>919</v>
      </c>
      <c r="B84" s="105" t="str">
        <f t="shared" si="13"/>
        <v xml:space="preserve">Red Bell Pepper - فلفل أحمر </v>
      </c>
      <c r="C84" s="106" t="str">
        <f t="shared" si="13"/>
        <v>gm</v>
      </c>
      <c r="D84" s="107">
        <f t="shared" si="13"/>
        <v>50</v>
      </c>
      <c r="E84" s="258">
        <f t="shared" si="17"/>
        <v>7.7053846153846237</v>
      </c>
      <c r="F84" s="109">
        <f t="shared" si="14"/>
        <v>0.75</v>
      </c>
      <c r="G84" s="101">
        <f t="shared" si="15"/>
        <v>385.26923076923117</v>
      </c>
      <c r="H84" s="102">
        <f t="shared" si="16"/>
        <v>288.95192307692338</v>
      </c>
    </row>
    <row r="85" spans="1:8" ht="14.25" customHeight="1" x14ac:dyDescent="0.25">
      <c r="A85" s="1471" t="s">
        <v>919</v>
      </c>
      <c r="B85" s="105" t="str">
        <f t="shared" si="13"/>
        <v xml:space="preserve">Yellow Bell Pepper - فلفل أصفر </v>
      </c>
      <c r="C85" s="106" t="str">
        <f t="shared" si="13"/>
        <v>gm</v>
      </c>
      <c r="D85" s="107">
        <f t="shared" si="13"/>
        <v>50</v>
      </c>
      <c r="E85" s="258">
        <f t="shared" si="17"/>
        <v>7.7053846153846237</v>
      </c>
      <c r="F85" s="109">
        <f t="shared" si="14"/>
        <v>1</v>
      </c>
      <c r="G85" s="101">
        <f t="shared" si="15"/>
        <v>385.26923076923117</v>
      </c>
      <c r="H85" s="102">
        <f t="shared" si="16"/>
        <v>385.26923076923117</v>
      </c>
    </row>
    <row r="86" spans="1:8" ht="14.25" customHeight="1" x14ac:dyDescent="0.25">
      <c r="A86" s="1471"/>
      <c r="B86" s="105" t="str">
        <f t="shared" si="13"/>
        <v>Cinnamon Whole - قرفة أعواد</v>
      </c>
      <c r="C86" s="106" t="str">
        <f t="shared" si="13"/>
        <v>gm</v>
      </c>
      <c r="D86" s="107">
        <f t="shared" si="13"/>
        <v>1</v>
      </c>
      <c r="E86" s="258">
        <f t="shared" si="17"/>
        <v>7.7053846153846237</v>
      </c>
      <c r="F86" s="109">
        <f t="shared" si="14"/>
        <v>0.75</v>
      </c>
      <c r="G86" s="101">
        <f t="shared" si="15"/>
        <v>7.7053846153846237</v>
      </c>
      <c r="H86" s="102">
        <f t="shared" si="16"/>
        <v>5.7790384615384678</v>
      </c>
    </row>
    <row r="87" spans="1:8" ht="14.25" customHeight="1" x14ac:dyDescent="0.25">
      <c r="A87" s="1471"/>
      <c r="B87" s="105" t="str">
        <f t="shared" si="13"/>
        <v>Cloves Whole - قرنفل حب</v>
      </c>
      <c r="C87" s="106" t="str">
        <f t="shared" si="13"/>
        <v>gm</v>
      </c>
      <c r="D87" s="107">
        <f t="shared" si="13"/>
        <v>1</v>
      </c>
      <c r="E87" s="258">
        <f t="shared" si="17"/>
        <v>7.7053846153846237</v>
      </c>
      <c r="F87" s="109">
        <f t="shared" si="14"/>
        <v>0.75</v>
      </c>
      <c r="G87" s="101">
        <f t="shared" si="15"/>
        <v>7.7053846153846237</v>
      </c>
      <c r="H87" s="102">
        <f t="shared" si="16"/>
        <v>5.7790384615384678</v>
      </c>
    </row>
    <row r="88" spans="1:8" ht="14.25" customHeight="1" x14ac:dyDescent="0.25">
      <c r="A88" s="1471"/>
      <c r="B88" s="105" t="str">
        <f t="shared" si="13"/>
        <v>Black Pepper Whole - فلفل أسود حب</v>
      </c>
      <c r="C88" s="106" t="str">
        <f t="shared" si="13"/>
        <v>gm</v>
      </c>
      <c r="D88" s="107">
        <f t="shared" si="13"/>
        <v>1</v>
      </c>
      <c r="E88" s="258">
        <f t="shared" si="17"/>
        <v>7.7053846153846237</v>
      </c>
      <c r="F88" s="109">
        <f t="shared" si="14"/>
        <v>0.75</v>
      </c>
      <c r="G88" s="101">
        <f t="shared" si="15"/>
        <v>7.7053846153846237</v>
      </c>
      <c r="H88" s="102">
        <f t="shared" si="16"/>
        <v>5.7790384615384678</v>
      </c>
    </row>
    <row r="89" spans="1:8" ht="14.25" customHeight="1" x14ac:dyDescent="0.25">
      <c r="A89" s="1471"/>
      <c r="B89" s="105" t="str">
        <f t="shared" si="13"/>
        <v>Cardamom Whole - هيل حب</v>
      </c>
      <c r="C89" s="106" t="str">
        <f t="shared" si="13"/>
        <v>gm</v>
      </c>
      <c r="D89" s="107">
        <f t="shared" si="13"/>
        <v>1</v>
      </c>
      <c r="E89" s="258">
        <f t="shared" si="17"/>
        <v>7.7053846153846237</v>
      </c>
      <c r="F89" s="109">
        <f t="shared" si="14"/>
        <v>0.75</v>
      </c>
      <c r="G89" s="101">
        <f t="shared" si="15"/>
        <v>7.7053846153846237</v>
      </c>
      <c r="H89" s="102">
        <f t="shared" si="16"/>
        <v>5.7790384615384678</v>
      </c>
    </row>
    <row r="90" spans="1:8" ht="25.5" customHeight="1" x14ac:dyDescent="0.25">
      <c r="A90" s="1458"/>
      <c r="B90" s="178" t="s">
        <v>287</v>
      </c>
      <c r="C90" s="180" t="s">
        <v>273</v>
      </c>
      <c r="E90" s="180" t="s">
        <v>288</v>
      </c>
      <c r="G90" s="804" t="s">
        <v>264</v>
      </c>
      <c r="H90" s="804" t="s">
        <v>673</v>
      </c>
    </row>
    <row r="91" spans="1:8" ht="19.5" customHeight="1" x14ac:dyDescent="0.3">
      <c r="A91" s="1458"/>
      <c r="B91" s="179">
        <f>$J$53</f>
        <v>25684.615384615379</v>
      </c>
      <c r="C91" s="179">
        <f>E91+G91</f>
        <v>7705.3846153846234</v>
      </c>
      <c r="D91" s="839"/>
      <c r="E91" s="179">
        <f>$D$53*$S$44</f>
        <v>7705.3846153846234</v>
      </c>
      <c r="F91" s="843"/>
      <c r="G91" s="179">
        <f>$D$53*$T$44</f>
        <v>0</v>
      </c>
      <c r="H91" s="179">
        <f>B91+E91</f>
        <v>33390</v>
      </c>
    </row>
    <row r="92" spans="1:8" ht="14.25" customHeight="1" x14ac:dyDescent="0.25">
      <c r="A92" s="1472"/>
      <c r="B92" s="84"/>
      <c r="E92" s="84"/>
      <c r="F92" s="84"/>
    </row>
    <row r="93" spans="1:8" ht="14.25" customHeight="1" x14ac:dyDescent="0.25">
      <c r="A93" s="1472"/>
      <c r="B93" s="84"/>
      <c r="C93" s="84"/>
      <c r="D93" s="84"/>
      <c r="E93" s="84"/>
      <c r="F93" s="84"/>
      <c r="G93" s="84"/>
      <c r="H93" s="84"/>
    </row>
    <row r="94" spans="1:8" ht="18" customHeight="1" x14ac:dyDescent="0.25">
      <c r="A94" s="1473"/>
      <c r="B94" s="1642" t="str">
        <f>"دجاج الفريدو دفعة 2 / " &amp; COUNTIF($C$53:$C$55, "&gt;0")</f>
        <v>دجاج الفريدو دفعة 2 / 1</v>
      </c>
      <c r="C94" s="1656"/>
      <c r="D94" s="1656"/>
      <c r="E94" s="1656"/>
      <c r="F94" s="1656"/>
      <c r="G94" s="1656"/>
      <c r="H94" s="1656"/>
    </row>
    <row r="95" spans="1:8" ht="18" customHeight="1" x14ac:dyDescent="0.25">
      <c r="A95" s="1473"/>
      <c r="B95" s="1636" t="str">
        <f>"Chicken Alfredo 2 / " &amp; COUNTIF(C$53:$C$55, "&gt;0")</f>
        <v>Chicken Alfredo 2 / 1</v>
      </c>
      <c r="C95" s="1637"/>
      <c r="D95" s="1637"/>
      <c r="E95" s="1637"/>
      <c r="F95" s="1637"/>
      <c r="G95" s="1637"/>
      <c r="H95" s="1637"/>
    </row>
    <row r="96" spans="1:8" ht="45.75" customHeight="1" x14ac:dyDescent="0.2">
      <c r="A96" s="1457"/>
      <c r="B96" s="75" t="s">
        <v>241</v>
      </c>
      <c r="C96" s="90" t="s">
        <v>242</v>
      </c>
      <c r="D96" s="75" t="s">
        <v>231</v>
      </c>
      <c r="E96" s="91" t="s">
        <v>234</v>
      </c>
      <c r="F96" s="91" t="s">
        <v>243</v>
      </c>
      <c r="G96" s="75" t="s">
        <v>244</v>
      </c>
      <c r="H96" s="92" t="s">
        <v>245</v>
      </c>
    </row>
    <row r="97" spans="1:8" ht="14.25" customHeight="1" x14ac:dyDescent="0.25">
      <c r="A97" s="1471"/>
      <c r="B97" s="105" t="str">
        <f t="shared" ref="B97:D121" si="18">B5</f>
        <v>Chicken - دجاج</v>
      </c>
      <c r="C97" s="105" t="str">
        <f t="shared" si="18"/>
        <v>gm</v>
      </c>
      <c r="D97" s="240">
        <f t="shared" si="18"/>
        <v>5649.8305084745762</v>
      </c>
      <c r="E97" s="258">
        <f>H54</f>
        <v>0</v>
      </c>
      <c r="F97" s="109">
        <f t="shared" ref="F97:F121" si="19">F5</f>
        <v>1</v>
      </c>
      <c r="G97" s="103">
        <f t="shared" ref="G97:G121" si="20">D97*E97</f>
        <v>0</v>
      </c>
      <c r="H97" s="102">
        <f t="shared" ref="H97:H121" si="21">G97*F97</f>
        <v>0</v>
      </c>
    </row>
    <row r="98" spans="1:8" ht="14.25" customHeight="1" x14ac:dyDescent="0.25">
      <c r="A98" s="1471"/>
      <c r="B98" s="105" t="str">
        <f t="shared" si="18"/>
        <v>Butter - زبدة</v>
      </c>
      <c r="C98" s="105" t="str">
        <f t="shared" si="18"/>
        <v>gm</v>
      </c>
      <c r="D98" s="105">
        <f t="shared" si="18"/>
        <v>40</v>
      </c>
      <c r="E98" s="258">
        <f t="shared" ref="E98:E121" si="22">$C$54</f>
        <v>0</v>
      </c>
      <c r="F98" s="109">
        <f t="shared" si="19"/>
        <v>1</v>
      </c>
      <c r="G98" s="103">
        <f t="shared" si="20"/>
        <v>0</v>
      </c>
      <c r="H98" s="102">
        <f t="shared" si="21"/>
        <v>0</v>
      </c>
    </row>
    <row r="99" spans="1:8" ht="14.25" customHeight="1" x14ac:dyDescent="0.25">
      <c r="A99" s="1471" t="s">
        <v>905</v>
      </c>
      <c r="B99" s="105" t="str">
        <f t="shared" si="18"/>
        <v>Onion - بصل</v>
      </c>
      <c r="C99" s="105" t="str">
        <f t="shared" si="18"/>
        <v>gm</v>
      </c>
      <c r="D99" s="105">
        <f t="shared" si="18"/>
        <v>350</v>
      </c>
      <c r="E99" s="258">
        <f t="shared" si="22"/>
        <v>0</v>
      </c>
      <c r="F99" s="109">
        <f t="shared" si="19"/>
        <v>0.75</v>
      </c>
      <c r="G99" s="103">
        <f t="shared" si="20"/>
        <v>0</v>
      </c>
      <c r="H99" s="102">
        <f t="shared" si="21"/>
        <v>0</v>
      </c>
    </row>
    <row r="100" spans="1:8" ht="14.25" customHeight="1" x14ac:dyDescent="0.25">
      <c r="A100" s="1471"/>
      <c r="B100" s="105" t="str">
        <f t="shared" si="18"/>
        <v>Yogurt - زبادي</v>
      </c>
      <c r="C100" s="105" t="str">
        <f t="shared" si="18"/>
        <v>gm</v>
      </c>
      <c r="D100" s="105">
        <f t="shared" si="18"/>
        <v>250</v>
      </c>
      <c r="E100" s="258">
        <f t="shared" si="22"/>
        <v>0</v>
      </c>
      <c r="F100" s="109">
        <f t="shared" si="19"/>
        <v>0.9</v>
      </c>
      <c r="G100" s="103">
        <f t="shared" si="20"/>
        <v>0</v>
      </c>
      <c r="H100" s="102">
        <f t="shared" si="21"/>
        <v>0</v>
      </c>
    </row>
    <row r="101" spans="1:8" ht="14.25" customHeight="1" x14ac:dyDescent="0.25">
      <c r="A101" s="1471" t="s">
        <v>907</v>
      </c>
      <c r="B101" s="105" t="str">
        <f t="shared" si="18"/>
        <v>Garlic - ثوم مقشر</v>
      </c>
      <c r="C101" s="105" t="str">
        <f t="shared" si="18"/>
        <v>gm</v>
      </c>
      <c r="D101" s="105">
        <f t="shared" si="18"/>
        <v>20</v>
      </c>
      <c r="E101" s="258">
        <f t="shared" si="22"/>
        <v>0</v>
      </c>
      <c r="F101" s="109">
        <f t="shared" si="19"/>
        <v>1</v>
      </c>
      <c r="G101" s="103">
        <f t="shared" si="20"/>
        <v>0</v>
      </c>
      <c r="H101" s="102">
        <f t="shared" si="21"/>
        <v>0</v>
      </c>
    </row>
    <row r="102" spans="1:8" ht="14.25" customHeight="1" x14ac:dyDescent="0.25">
      <c r="A102" s="1471" t="s">
        <v>906</v>
      </c>
      <c r="B102" s="105" t="str">
        <f t="shared" si="18"/>
        <v>Ginger - زنجبيل</v>
      </c>
      <c r="C102" s="105" t="str">
        <f t="shared" si="18"/>
        <v>gm</v>
      </c>
      <c r="D102" s="105">
        <f t="shared" si="18"/>
        <v>20</v>
      </c>
      <c r="E102" s="258">
        <f t="shared" si="22"/>
        <v>0</v>
      </c>
      <c r="F102" s="109">
        <f t="shared" si="19"/>
        <v>0.5</v>
      </c>
      <c r="G102" s="103">
        <f t="shared" si="20"/>
        <v>0</v>
      </c>
      <c r="H102" s="102">
        <f t="shared" si="21"/>
        <v>0</v>
      </c>
    </row>
    <row r="103" spans="1:8" ht="14.25" customHeight="1" x14ac:dyDescent="0.25">
      <c r="A103" s="1471"/>
      <c r="B103" s="105" t="str">
        <f t="shared" si="18"/>
        <v>Coriander Powder - كزبرة مطحونة</v>
      </c>
      <c r="C103" s="105" t="str">
        <f t="shared" si="18"/>
        <v>gm</v>
      </c>
      <c r="D103" s="105">
        <f t="shared" si="18"/>
        <v>10</v>
      </c>
      <c r="E103" s="258">
        <f t="shared" si="22"/>
        <v>0</v>
      </c>
      <c r="F103" s="109">
        <f t="shared" si="19"/>
        <v>0.95</v>
      </c>
      <c r="G103" s="103">
        <f t="shared" si="20"/>
        <v>0</v>
      </c>
      <c r="H103" s="102">
        <f t="shared" si="21"/>
        <v>0</v>
      </c>
    </row>
    <row r="104" spans="1:8" ht="14.25" customHeight="1" x14ac:dyDescent="0.25">
      <c r="A104" s="1471"/>
      <c r="B104" s="105" t="str">
        <f t="shared" si="18"/>
        <v>Cumin Powder - كمون مطحون</v>
      </c>
      <c r="C104" s="105" t="str">
        <f t="shared" si="18"/>
        <v>gm</v>
      </c>
      <c r="D104" s="105">
        <f t="shared" si="18"/>
        <v>5</v>
      </c>
      <c r="E104" s="258">
        <f t="shared" si="22"/>
        <v>0</v>
      </c>
      <c r="F104" s="109">
        <f t="shared" si="19"/>
        <v>0.95</v>
      </c>
      <c r="G104" s="103">
        <f t="shared" si="20"/>
        <v>0</v>
      </c>
      <c r="H104" s="102">
        <f t="shared" si="21"/>
        <v>0</v>
      </c>
    </row>
    <row r="105" spans="1:8" ht="14.25" customHeight="1" x14ac:dyDescent="0.25">
      <c r="A105" s="1471"/>
      <c r="B105" s="105" t="str">
        <f t="shared" si="18"/>
        <v>Red Chilli Powder - شطة حمراء مطحونة</v>
      </c>
      <c r="C105" s="105" t="str">
        <f t="shared" si="18"/>
        <v>gm</v>
      </c>
      <c r="D105" s="105">
        <f t="shared" si="18"/>
        <v>3</v>
      </c>
      <c r="E105" s="258">
        <f t="shared" si="22"/>
        <v>0</v>
      </c>
      <c r="F105" s="109">
        <f t="shared" si="19"/>
        <v>0.6</v>
      </c>
      <c r="G105" s="103">
        <f t="shared" si="20"/>
        <v>0</v>
      </c>
      <c r="H105" s="102">
        <f t="shared" si="21"/>
        <v>0</v>
      </c>
    </row>
    <row r="106" spans="1:8" ht="14.25" customHeight="1" x14ac:dyDescent="0.25">
      <c r="A106" s="1471"/>
      <c r="B106" s="105" t="str">
        <f t="shared" si="18"/>
        <v>Cooking Cream - كريمة طبخ</v>
      </c>
      <c r="C106" s="105" t="str">
        <f t="shared" si="18"/>
        <v>ml</v>
      </c>
      <c r="D106" s="105">
        <f t="shared" si="18"/>
        <v>500</v>
      </c>
      <c r="E106" s="258">
        <f t="shared" si="22"/>
        <v>0</v>
      </c>
      <c r="F106" s="109">
        <f t="shared" si="19"/>
        <v>1</v>
      </c>
      <c r="G106" s="103">
        <f t="shared" si="20"/>
        <v>0</v>
      </c>
      <c r="H106" s="102">
        <f t="shared" si="21"/>
        <v>0</v>
      </c>
    </row>
    <row r="107" spans="1:8" ht="14.25" customHeight="1" x14ac:dyDescent="0.25">
      <c r="A107" s="1471"/>
      <c r="B107" s="105" t="str">
        <f t="shared" si="18"/>
        <v>Saffron yellow color powder - لون صفار زعفران بودر</v>
      </c>
      <c r="C107" s="105" t="str">
        <f t="shared" si="18"/>
        <v>gm</v>
      </c>
      <c r="D107" s="105">
        <f t="shared" si="18"/>
        <v>3</v>
      </c>
      <c r="E107" s="258">
        <f t="shared" si="22"/>
        <v>0</v>
      </c>
      <c r="F107" s="109">
        <f t="shared" si="19"/>
        <v>1</v>
      </c>
      <c r="G107" s="103">
        <f t="shared" si="20"/>
        <v>0</v>
      </c>
      <c r="H107" s="102">
        <f t="shared" si="21"/>
        <v>0</v>
      </c>
    </row>
    <row r="108" spans="1:8" ht="14.25" customHeight="1" x14ac:dyDescent="0.25">
      <c r="A108" s="1471"/>
      <c r="B108" s="105" t="str">
        <f t="shared" si="18"/>
        <v>Salt - ملح</v>
      </c>
      <c r="C108" s="105" t="str">
        <f t="shared" si="18"/>
        <v>gm</v>
      </c>
      <c r="D108" s="105">
        <f t="shared" si="18"/>
        <v>6</v>
      </c>
      <c r="E108" s="258">
        <f t="shared" si="22"/>
        <v>0</v>
      </c>
      <c r="F108" s="109">
        <f t="shared" si="19"/>
        <v>0.75</v>
      </c>
      <c r="G108" s="103">
        <f t="shared" si="20"/>
        <v>0</v>
      </c>
      <c r="H108" s="102">
        <f t="shared" si="21"/>
        <v>0</v>
      </c>
    </row>
    <row r="109" spans="1:8" ht="14.25" customHeight="1" x14ac:dyDescent="0.25">
      <c r="A109" s="1471"/>
      <c r="B109" s="105" t="str">
        <f t="shared" si="18"/>
        <v>Dry Oregano - أوريجانو مجفف</v>
      </c>
      <c r="C109" s="105" t="str">
        <f t="shared" si="18"/>
        <v>gm</v>
      </c>
      <c r="D109" s="105">
        <f t="shared" si="18"/>
        <v>1</v>
      </c>
      <c r="E109" s="258">
        <f t="shared" si="22"/>
        <v>0</v>
      </c>
      <c r="F109" s="109">
        <f t="shared" si="19"/>
        <v>0.75</v>
      </c>
      <c r="G109" s="103">
        <f t="shared" si="20"/>
        <v>0</v>
      </c>
      <c r="H109" s="102">
        <f t="shared" si="21"/>
        <v>0</v>
      </c>
    </row>
    <row r="110" spans="1:8" ht="14.25" customHeight="1" x14ac:dyDescent="0.25">
      <c r="A110" s="1471"/>
      <c r="B110" s="105" t="str">
        <f t="shared" si="18"/>
        <v>Maggi Cubes - مكعبات ماجي</v>
      </c>
      <c r="C110" s="105" t="str">
        <f t="shared" si="18"/>
        <v>gm</v>
      </c>
      <c r="D110" s="105">
        <f t="shared" si="18"/>
        <v>7</v>
      </c>
      <c r="E110" s="258">
        <f t="shared" si="22"/>
        <v>0</v>
      </c>
      <c r="F110" s="109">
        <f t="shared" si="19"/>
        <v>0.75</v>
      </c>
      <c r="G110" s="103">
        <f t="shared" si="20"/>
        <v>0</v>
      </c>
      <c r="H110" s="102">
        <f t="shared" si="21"/>
        <v>0</v>
      </c>
    </row>
    <row r="111" spans="1:8" ht="14.25" customHeight="1" x14ac:dyDescent="0.25">
      <c r="A111" s="1471"/>
      <c r="B111" s="105" t="str">
        <f t="shared" si="18"/>
        <v>Fresh Coconut - جوز هند طازج</v>
      </c>
      <c r="C111" s="105" t="str">
        <f t="shared" si="18"/>
        <v>gm</v>
      </c>
      <c r="D111" s="105">
        <f t="shared" si="18"/>
        <v>50</v>
      </c>
      <c r="E111" s="258">
        <f t="shared" si="22"/>
        <v>0</v>
      </c>
      <c r="F111" s="109">
        <f t="shared" si="19"/>
        <v>1</v>
      </c>
      <c r="G111" s="103">
        <f t="shared" si="20"/>
        <v>0</v>
      </c>
      <c r="H111" s="102">
        <f t="shared" si="21"/>
        <v>0</v>
      </c>
    </row>
    <row r="112" spans="1:8" ht="14.25" customHeight="1" x14ac:dyDescent="0.25">
      <c r="A112" s="1471"/>
      <c r="B112" s="105" t="str">
        <f t="shared" si="18"/>
        <v>Turmeric - كركم</v>
      </c>
      <c r="C112" s="105" t="str">
        <f t="shared" si="18"/>
        <v>gm</v>
      </c>
      <c r="D112" s="105">
        <f t="shared" si="18"/>
        <v>2</v>
      </c>
      <c r="E112" s="258">
        <f t="shared" si="22"/>
        <v>0</v>
      </c>
      <c r="F112" s="109">
        <f t="shared" si="19"/>
        <v>1</v>
      </c>
      <c r="G112" s="103">
        <f t="shared" si="20"/>
        <v>0</v>
      </c>
      <c r="H112" s="102">
        <f t="shared" si="21"/>
        <v>0</v>
      </c>
    </row>
    <row r="113" spans="1:10" ht="14.25" customHeight="1" x14ac:dyDescent="0.25">
      <c r="A113" s="1471"/>
      <c r="B113" s="105" t="str">
        <f t="shared" si="18"/>
        <v>Milk - حليب</v>
      </c>
      <c r="C113" s="105" t="str">
        <f t="shared" si="18"/>
        <v>ml</v>
      </c>
      <c r="D113" s="105">
        <f t="shared" si="18"/>
        <v>100</v>
      </c>
      <c r="E113" s="258">
        <f t="shared" si="22"/>
        <v>0</v>
      </c>
      <c r="F113" s="109">
        <f t="shared" si="19"/>
        <v>1</v>
      </c>
      <c r="G113" s="103">
        <f t="shared" si="20"/>
        <v>0</v>
      </c>
      <c r="H113" s="102">
        <f t="shared" si="21"/>
        <v>0</v>
      </c>
    </row>
    <row r="114" spans="1:10" ht="14.25" customHeight="1" x14ac:dyDescent="0.25">
      <c r="A114" s="1471" t="s">
        <v>923</v>
      </c>
      <c r="B114" s="105" t="str">
        <f t="shared" si="18"/>
        <v>Green Chilli Pepper - فلفل أخضر حار</v>
      </c>
      <c r="C114" s="105" t="str">
        <f t="shared" si="18"/>
        <v>gm</v>
      </c>
      <c r="D114" s="105">
        <f t="shared" si="18"/>
        <v>2</v>
      </c>
      <c r="E114" s="258">
        <f t="shared" si="22"/>
        <v>0</v>
      </c>
      <c r="F114" s="109">
        <f t="shared" si="19"/>
        <v>0.75</v>
      </c>
      <c r="G114" s="103">
        <f t="shared" si="20"/>
        <v>0</v>
      </c>
      <c r="H114" s="102">
        <f t="shared" si="21"/>
        <v>0</v>
      </c>
    </row>
    <row r="115" spans="1:10" ht="14.25" customHeight="1" x14ac:dyDescent="0.25">
      <c r="A115" s="1471" t="s">
        <v>919</v>
      </c>
      <c r="B115" s="105" t="str">
        <f t="shared" si="18"/>
        <v>Green Bell Pepper - فلفل أخضر رومى</v>
      </c>
      <c r="C115" s="105" t="str">
        <f t="shared" si="18"/>
        <v>gm</v>
      </c>
      <c r="D115" s="105">
        <f t="shared" si="18"/>
        <v>50</v>
      </c>
      <c r="E115" s="258">
        <f t="shared" si="22"/>
        <v>0</v>
      </c>
      <c r="F115" s="109">
        <f t="shared" si="19"/>
        <v>1.75</v>
      </c>
      <c r="G115" s="103">
        <f t="shared" si="20"/>
        <v>0</v>
      </c>
      <c r="H115" s="102">
        <f t="shared" si="21"/>
        <v>0</v>
      </c>
    </row>
    <row r="116" spans="1:10" ht="14.25" customHeight="1" x14ac:dyDescent="0.25">
      <c r="A116" s="1471" t="s">
        <v>919</v>
      </c>
      <c r="B116" s="105" t="str">
        <f t="shared" si="18"/>
        <v xml:space="preserve">Red Bell Pepper - فلفل أحمر </v>
      </c>
      <c r="C116" s="105" t="str">
        <f t="shared" si="18"/>
        <v>gm</v>
      </c>
      <c r="D116" s="105">
        <f t="shared" si="18"/>
        <v>50</v>
      </c>
      <c r="E116" s="258">
        <f t="shared" si="22"/>
        <v>0</v>
      </c>
      <c r="F116" s="109">
        <f t="shared" si="19"/>
        <v>0.75</v>
      </c>
      <c r="G116" s="103">
        <f t="shared" si="20"/>
        <v>0</v>
      </c>
      <c r="H116" s="102">
        <f t="shared" si="21"/>
        <v>0</v>
      </c>
    </row>
    <row r="117" spans="1:10" ht="14.25" customHeight="1" x14ac:dyDescent="0.25">
      <c r="A117" s="1471" t="s">
        <v>919</v>
      </c>
      <c r="B117" s="105" t="str">
        <f t="shared" si="18"/>
        <v xml:space="preserve">Yellow Bell Pepper - فلفل أصفر </v>
      </c>
      <c r="C117" s="105" t="str">
        <f t="shared" si="18"/>
        <v>gm</v>
      </c>
      <c r="D117" s="105">
        <f t="shared" si="18"/>
        <v>50</v>
      </c>
      <c r="E117" s="258">
        <f t="shared" si="22"/>
        <v>0</v>
      </c>
      <c r="F117" s="109">
        <f t="shared" si="19"/>
        <v>1</v>
      </c>
      <c r="G117" s="103">
        <f t="shared" si="20"/>
        <v>0</v>
      </c>
      <c r="H117" s="102">
        <f t="shared" si="21"/>
        <v>0</v>
      </c>
    </row>
    <row r="118" spans="1:10" ht="14.25" customHeight="1" x14ac:dyDescent="0.25">
      <c r="A118" s="1471"/>
      <c r="B118" s="105" t="str">
        <f t="shared" si="18"/>
        <v>Cinnamon Whole - قرفة أعواد</v>
      </c>
      <c r="C118" s="105" t="str">
        <f t="shared" si="18"/>
        <v>gm</v>
      </c>
      <c r="D118" s="105">
        <f t="shared" si="18"/>
        <v>1</v>
      </c>
      <c r="E118" s="258">
        <f t="shared" si="22"/>
        <v>0</v>
      </c>
      <c r="F118" s="109">
        <f t="shared" si="19"/>
        <v>0.75</v>
      </c>
      <c r="G118" s="103">
        <f t="shared" si="20"/>
        <v>0</v>
      </c>
      <c r="H118" s="102">
        <f t="shared" si="21"/>
        <v>0</v>
      </c>
    </row>
    <row r="119" spans="1:10" ht="14.25" customHeight="1" x14ac:dyDescent="0.25">
      <c r="A119" s="1471"/>
      <c r="B119" s="105" t="str">
        <f t="shared" si="18"/>
        <v>Cloves Whole - قرنفل حب</v>
      </c>
      <c r="C119" s="105" t="str">
        <f t="shared" si="18"/>
        <v>gm</v>
      </c>
      <c r="D119" s="105">
        <f t="shared" si="18"/>
        <v>1</v>
      </c>
      <c r="E119" s="258">
        <f t="shared" si="22"/>
        <v>0</v>
      </c>
      <c r="F119" s="109">
        <f t="shared" si="19"/>
        <v>0.75</v>
      </c>
      <c r="G119" s="103">
        <f t="shared" si="20"/>
        <v>0</v>
      </c>
      <c r="H119" s="102">
        <f t="shared" si="21"/>
        <v>0</v>
      </c>
    </row>
    <row r="120" spans="1:10" ht="14.25" customHeight="1" x14ac:dyDescent="0.25">
      <c r="A120" s="1471"/>
      <c r="B120" s="105" t="str">
        <f t="shared" si="18"/>
        <v>Black Pepper Whole - فلفل أسود حب</v>
      </c>
      <c r="C120" s="105" t="str">
        <f t="shared" si="18"/>
        <v>gm</v>
      </c>
      <c r="D120" s="105">
        <f t="shared" si="18"/>
        <v>1</v>
      </c>
      <c r="E120" s="258">
        <f t="shared" si="22"/>
        <v>0</v>
      </c>
      <c r="F120" s="109">
        <f t="shared" si="19"/>
        <v>0.75</v>
      </c>
      <c r="G120" s="103">
        <f t="shared" si="20"/>
        <v>0</v>
      </c>
      <c r="H120" s="102">
        <f t="shared" si="21"/>
        <v>0</v>
      </c>
    </row>
    <row r="121" spans="1:10" ht="14.25" customHeight="1" x14ac:dyDescent="0.25">
      <c r="A121" s="1471"/>
      <c r="B121" s="105" t="str">
        <f t="shared" si="18"/>
        <v>Cardamom Whole - هيل حب</v>
      </c>
      <c r="C121" s="105" t="str">
        <f t="shared" si="18"/>
        <v>gm</v>
      </c>
      <c r="D121" s="105">
        <f t="shared" si="18"/>
        <v>1</v>
      </c>
      <c r="E121" s="258">
        <f t="shared" si="22"/>
        <v>0</v>
      </c>
      <c r="F121" s="109">
        <f t="shared" si="19"/>
        <v>0.75</v>
      </c>
      <c r="G121" s="103">
        <f t="shared" si="20"/>
        <v>0</v>
      </c>
      <c r="H121" s="102">
        <f t="shared" si="21"/>
        <v>0</v>
      </c>
    </row>
    <row r="122" spans="1:10" ht="20.25" customHeight="1" x14ac:dyDescent="0.3">
      <c r="A122" s="1458"/>
      <c r="B122" s="178" t="s">
        <v>287</v>
      </c>
      <c r="C122" s="180" t="s">
        <v>273</v>
      </c>
      <c r="E122" s="180" t="s">
        <v>288</v>
      </c>
      <c r="G122" s="804" t="s">
        <v>264</v>
      </c>
      <c r="H122" s="804" t="s">
        <v>673</v>
      </c>
      <c r="I122" s="184"/>
      <c r="J122" s="183"/>
    </row>
    <row r="123" spans="1:10" ht="25.5" customHeight="1" x14ac:dyDescent="0.3">
      <c r="A123" s="1458"/>
      <c r="B123" s="179">
        <f>$J$54</f>
        <v>0</v>
      </c>
      <c r="C123" s="179">
        <f>E123+G123</f>
        <v>0</v>
      </c>
      <c r="D123" s="839"/>
      <c r="E123" s="179">
        <f>$D$54*$S$44</f>
        <v>0</v>
      </c>
      <c r="F123" s="843"/>
      <c r="G123" s="179">
        <f>$D$54*$T$44</f>
        <v>0</v>
      </c>
      <c r="H123" s="179">
        <f>B123+E123</f>
        <v>0</v>
      </c>
    </row>
    <row r="124" spans="1:10" x14ac:dyDescent="0.25">
      <c r="A124" s="1472"/>
    </row>
    <row r="125" spans="1:10" x14ac:dyDescent="0.25">
      <c r="A125" s="1472"/>
    </row>
    <row r="126" spans="1:10" x14ac:dyDescent="0.25">
      <c r="A126" s="1472"/>
    </row>
    <row r="127" spans="1:10" x14ac:dyDescent="0.25">
      <c r="A127" s="1472"/>
    </row>
    <row r="128" spans="1:10"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2">
    <mergeCell ref="B95:H95"/>
    <mergeCell ref="K2:K3"/>
    <mergeCell ref="B63:H63"/>
    <mergeCell ref="L2:L3"/>
    <mergeCell ref="B2:J3"/>
    <mergeCell ref="B35:F35"/>
    <mergeCell ref="AK2:AM2"/>
    <mergeCell ref="AE2:AG3"/>
    <mergeCell ref="B94:H94"/>
    <mergeCell ref="R26:U26"/>
    <mergeCell ref="R25:U25"/>
    <mergeCell ref="B62:H62"/>
  </mergeCells>
  <printOptions horizontalCentered="1"/>
  <pageMargins left="0.4" right="0.4" top="1" bottom="0.5" header="0.3" footer="0.511811023622047"/>
  <pageSetup paperSize="9" scale="48"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8" tint="-0.249977111117893"/>
    <pageSetUpPr fitToPage="1"/>
  </sheetPr>
  <dimension ref="A1:AE174"/>
  <sheetViews>
    <sheetView topLeftCell="K2" zoomScale="81" zoomScaleNormal="55" workbookViewId="0">
      <selection activeCell="R27" sqref="R27"/>
    </sheetView>
  </sheetViews>
  <sheetFormatPr defaultColWidth="12.5" defaultRowHeight="15" x14ac:dyDescent="0.25"/>
  <cols>
    <col min="1" max="1" width="12.5" style="63" customWidth="1"/>
    <col min="2" max="2" width="37" style="14" customWidth="1"/>
    <col min="3" max="3" width="17.25" style="14" customWidth="1"/>
    <col min="4" max="4" width="18" style="14" customWidth="1"/>
    <col min="5" max="5" width="15.125" style="274" customWidth="1"/>
    <col min="6" max="6" width="13.875" style="14" customWidth="1"/>
    <col min="7" max="7" width="16.875" style="14" customWidth="1"/>
    <col min="8" max="8" width="29.75" style="14" customWidth="1"/>
    <col min="9" max="10" width="12.375" style="14" customWidth="1"/>
    <col min="11" max="11" width="11.5" style="14" customWidth="1"/>
    <col min="12" max="12" width="8.375" style="14" customWidth="1"/>
    <col min="13" max="13" width="30.375" style="14" customWidth="1"/>
    <col min="14" max="14" width="12.5" style="14" customWidth="1"/>
    <col min="15" max="15" width="8.25" style="14" customWidth="1"/>
    <col min="16" max="16" width="7.5" style="14" customWidth="1"/>
    <col min="17" max="17" width="12.5" style="14" customWidth="1"/>
    <col min="18" max="18" width="23.5" style="14" customWidth="1"/>
    <col min="19" max="19" width="12.5" style="14" customWidth="1"/>
    <col min="20" max="26" width="12.5" style="14"/>
    <col min="27" max="27" width="29.25" style="14" bestFit="1" customWidth="1"/>
    <col min="28" max="28" width="11.375" style="14" bestFit="1" customWidth="1"/>
    <col min="29" max="30" width="12.5" style="712"/>
    <col min="31" max="16384" width="12.5" style="14"/>
  </cols>
  <sheetData>
    <row r="1" spans="1:31" s="228" customFormat="1" ht="35.25" customHeight="1" x14ac:dyDescent="0.2">
      <c r="A1" s="226"/>
      <c r="B1" s="64" t="s">
        <v>231</v>
      </c>
      <c r="C1" s="65">
        <v>1000</v>
      </c>
      <c r="D1" s="66" t="s">
        <v>232</v>
      </c>
      <c r="E1" s="67">
        <f>$T$32</f>
        <v>12416</v>
      </c>
      <c r="F1" s="360" t="s">
        <v>233</v>
      </c>
      <c r="G1" s="68">
        <f>E1/C1</f>
        <v>12.416</v>
      </c>
      <c r="H1" s="64" t="s">
        <v>234</v>
      </c>
      <c r="I1" s="69">
        <f>(G1/K1)</f>
        <v>13.069473684210527</v>
      </c>
      <c r="J1" s="70" t="s">
        <v>235</v>
      </c>
      <c r="K1" s="69">
        <v>0.95</v>
      </c>
      <c r="L1" s="361"/>
      <c r="M1" s="73"/>
      <c r="N1" s="74"/>
      <c r="O1" s="75" t="s">
        <v>236</v>
      </c>
      <c r="P1" s="76"/>
      <c r="Q1" s="77" t="s">
        <v>513</v>
      </c>
      <c r="R1" s="14">
        <v>3</v>
      </c>
      <c r="Y1" s="75" t="s">
        <v>453</v>
      </c>
      <c r="Z1" s="766">
        <v>30540</v>
      </c>
      <c r="AA1" s="75" t="s">
        <v>556</v>
      </c>
      <c r="AB1" s="766">
        <v>500</v>
      </c>
      <c r="AC1" s="75" t="s">
        <v>546</v>
      </c>
      <c r="AD1" s="766">
        <v>211</v>
      </c>
    </row>
    <row r="2" spans="1:31" ht="15.75" customHeight="1" x14ac:dyDescent="0.25">
      <c r="A2" s="81"/>
      <c r="B2" s="1645" t="s">
        <v>44</v>
      </c>
      <c r="C2" s="1655"/>
      <c r="D2" s="1655"/>
      <c r="E2" s="1682"/>
      <c r="F2" s="1655"/>
      <c r="G2" s="1655"/>
      <c r="H2" s="1655"/>
      <c r="I2" s="82"/>
      <c r="J2" s="82"/>
      <c r="K2" s="82"/>
      <c r="L2" s="82"/>
      <c r="M2" s="84"/>
      <c r="N2" s="84"/>
      <c r="O2" s="84"/>
      <c r="P2" s="84"/>
      <c r="Q2" s="84"/>
      <c r="R2" s="84"/>
      <c r="AC2" s="709"/>
      <c r="AD2" s="709"/>
      <c r="AE2" s="1652"/>
    </row>
    <row r="3" spans="1:31" ht="15.75" customHeight="1" x14ac:dyDescent="0.25">
      <c r="A3" s="81"/>
      <c r="B3" s="1633"/>
      <c r="C3" s="1633"/>
      <c r="D3" s="1633"/>
      <c r="E3" s="1633"/>
      <c r="F3" s="1633"/>
      <c r="G3" s="1633"/>
      <c r="H3" s="1633"/>
      <c r="I3" s="87"/>
      <c r="J3" s="87"/>
      <c r="K3" s="87"/>
      <c r="L3" s="87"/>
      <c r="P3" s="84"/>
      <c r="Q3" s="84"/>
      <c r="R3" s="84"/>
      <c r="AC3" s="709"/>
      <c r="AD3" s="709"/>
      <c r="AE3" s="1655"/>
    </row>
    <row r="4" spans="1:31" ht="36.75" customHeight="1" x14ac:dyDescent="0.2">
      <c r="A4" s="75" t="s">
        <v>903</v>
      </c>
      <c r="B4" s="75" t="s">
        <v>241</v>
      </c>
      <c r="C4" s="90" t="s">
        <v>242</v>
      </c>
      <c r="D4" s="75" t="s">
        <v>231</v>
      </c>
      <c r="E4" s="91" t="s">
        <v>234</v>
      </c>
      <c r="F4" s="91" t="s">
        <v>243</v>
      </c>
      <c r="G4" s="75" t="s">
        <v>244</v>
      </c>
      <c r="H4" s="92" t="s">
        <v>245</v>
      </c>
      <c r="I4" s="75" t="s">
        <v>246</v>
      </c>
      <c r="J4" s="75" t="s">
        <v>247</v>
      </c>
      <c r="K4" s="75" t="s">
        <v>248</v>
      </c>
      <c r="L4" s="75" t="s">
        <v>249</v>
      </c>
      <c r="M4" s="84"/>
      <c r="N4" s="84"/>
      <c r="O4" s="84"/>
      <c r="P4" s="14">
        <f>450*26</f>
        <v>11700</v>
      </c>
      <c r="Q4" s="14">
        <v>30600</v>
      </c>
      <c r="AA4" s="229"/>
      <c r="AB4" s="231"/>
      <c r="AC4" s="708"/>
      <c r="AD4" s="708"/>
      <c r="AE4" s="229"/>
    </row>
    <row r="5" spans="1:31" ht="14.25" customHeight="1" x14ac:dyDescent="0.2">
      <c r="A5" s="1499"/>
      <c r="B5" s="286" t="s">
        <v>509</v>
      </c>
      <c r="C5" s="97" t="s">
        <v>14</v>
      </c>
      <c r="D5" s="103">
        <f>I51/H51</f>
        <v>500</v>
      </c>
      <c r="E5" s="177">
        <f t="shared" ref="E5:E14" si="0">$I$1</f>
        <v>13.069473684210527</v>
      </c>
      <c r="F5" s="100">
        <v>1</v>
      </c>
      <c r="G5" s="101">
        <f t="shared" ref="G5:G14" si="1">D5*E5</f>
        <v>6534.7368421052633</v>
      </c>
      <c r="H5" s="102">
        <f t="shared" ref="H5:H14" si="2">G5*F5</f>
        <v>6534.7368421052633</v>
      </c>
      <c r="I5" s="65">
        <f>VLOOKUP(B5,All_Ingredients!$A$1:$F$156,6,FALSE())</f>
        <v>1</v>
      </c>
      <c r="J5" s="101">
        <f>VLOOKUP(B5,All_Ingredients!$A$1:$J$156,10,FALSE())</f>
        <v>10.208333333333334</v>
      </c>
      <c r="K5" s="104">
        <f>(H5/I5)/1000</f>
        <v>6.5347368421052634</v>
      </c>
      <c r="L5" s="104">
        <f t="shared" ref="L5:L18" si="3">K5*J5</f>
        <v>66.708771929824564</v>
      </c>
      <c r="M5" s="84"/>
      <c r="N5" s="84"/>
      <c r="O5" s="84"/>
      <c r="P5" s="14">
        <v>36900</v>
      </c>
      <c r="Q5" s="14">
        <f>30*450</f>
        <v>13500</v>
      </c>
      <c r="AA5" s="76"/>
      <c r="AB5" s="114"/>
      <c r="AC5" s="710"/>
      <c r="AD5" s="711"/>
      <c r="AE5" s="117"/>
    </row>
    <row r="6" spans="1:31" ht="14.25" customHeight="1" x14ac:dyDescent="0.25">
      <c r="A6" s="1471"/>
      <c r="B6" s="244" t="s">
        <v>166</v>
      </c>
      <c r="C6" s="106" t="s">
        <v>160</v>
      </c>
      <c r="D6" s="107">
        <v>600</v>
      </c>
      <c r="E6" s="177">
        <f t="shared" si="0"/>
        <v>13.069473684210527</v>
      </c>
      <c r="F6" s="109">
        <v>1</v>
      </c>
      <c r="G6" s="101">
        <f t="shared" si="1"/>
        <v>7841.6842105263158</v>
      </c>
      <c r="H6" s="102">
        <f t="shared" si="2"/>
        <v>7841.6842105263158</v>
      </c>
      <c r="I6" s="65">
        <f>VLOOKUP(B6,All_Ingredients!$A$1:$F$156,6,FALSE())</f>
        <v>1</v>
      </c>
      <c r="J6" s="101">
        <f>VLOOKUP(B6,All_Ingredients!$A$1:$J$156,10,FALSE())</f>
        <v>12.666666666666666</v>
      </c>
      <c r="K6" s="104">
        <f>(H6/I6)/1000</f>
        <v>7.8416842105263163</v>
      </c>
      <c r="L6" s="104">
        <f t="shared" si="3"/>
        <v>99.328000000000003</v>
      </c>
      <c r="P6" s="14">
        <f>P5/P4</f>
        <v>3.1538461538461537</v>
      </c>
      <c r="Q6" s="14">
        <f>Q4/Q5</f>
        <v>2.2666666666666666</v>
      </c>
    </row>
    <row r="7" spans="1:31" ht="14.25" customHeight="1" x14ac:dyDescent="0.25">
      <c r="A7" s="1471"/>
      <c r="B7" s="244" t="s">
        <v>159</v>
      </c>
      <c r="C7" s="106" t="s">
        <v>160</v>
      </c>
      <c r="D7" s="107">
        <v>600</v>
      </c>
      <c r="E7" s="177">
        <f t="shared" si="0"/>
        <v>13.069473684210527</v>
      </c>
      <c r="F7" s="109">
        <v>1</v>
      </c>
      <c r="G7" s="101">
        <f t="shared" si="1"/>
        <v>7841.6842105263158</v>
      </c>
      <c r="H7" s="102">
        <f t="shared" si="2"/>
        <v>7841.6842105263158</v>
      </c>
      <c r="I7" s="65">
        <f>VLOOKUP(B7,All_Ingredients!$A$1:$F$156,6,FALSE())</f>
        <v>1</v>
      </c>
      <c r="J7" s="101">
        <f>VLOOKUP(B7,All_Ingredients!$A$1:$J$156,10,FALSE())</f>
        <v>4.2033333333333331</v>
      </c>
      <c r="K7" s="104">
        <f t="shared" ref="K7:K18" si="4">(H7/I7)/1000</f>
        <v>7.8416842105263163</v>
      </c>
      <c r="L7" s="104">
        <f t="shared" si="3"/>
        <v>32.961212631578945</v>
      </c>
    </row>
    <row r="8" spans="1:31" ht="14.25" customHeight="1" x14ac:dyDescent="0.25">
      <c r="A8" s="1471" t="s">
        <v>905</v>
      </c>
      <c r="B8" s="244" t="s">
        <v>12</v>
      </c>
      <c r="C8" s="106" t="s">
        <v>14</v>
      </c>
      <c r="D8" s="107">
        <v>20</v>
      </c>
      <c r="E8" s="177">
        <f t="shared" si="0"/>
        <v>13.069473684210527</v>
      </c>
      <c r="F8" s="109">
        <v>1</v>
      </c>
      <c r="G8" s="101">
        <f t="shared" si="1"/>
        <v>261.38947368421054</v>
      </c>
      <c r="H8" s="102">
        <f t="shared" si="2"/>
        <v>261.38947368421054</v>
      </c>
      <c r="I8" s="65">
        <f>VLOOKUP(B8,All_Ingredients!$A$1:$F$156,6,FALSE())</f>
        <v>0.9</v>
      </c>
      <c r="J8" s="101">
        <f>VLOOKUP(B8,All_Ingredients!$A$1:$J$156,10,FALSE())</f>
        <v>3</v>
      </c>
      <c r="K8" s="104">
        <f t="shared" si="4"/>
        <v>0.29043274853801171</v>
      </c>
      <c r="L8" s="104">
        <f t="shared" si="3"/>
        <v>0.87129824561403513</v>
      </c>
      <c r="S8" s="14" t="s">
        <v>353</v>
      </c>
      <c r="T8" s="14" t="s">
        <v>354</v>
      </c>
    </row>
    <row r="9" spans="1:31" ht="14.25" customHeight="1" x14ac:dyDescent="0.25">
      <c r="A9" s="1471"/>
      <c r="B9" s="244" t="s">
        <v>139</v>
      </c>
      <c r="C9" s="106" t="s">
        <v>14</v>
      </c>
      <c r="D9" s="107">
        <v>10</v>
      </c>
      <c r="E9" s="177">
        <f t="shared" si="0"/>
        <v>13.069473684210527</v>
      </c>
      <c r="F9" s="109">
        <v>1</v>
      </c>
      <c r="G9" s="101">
        <f t="shared" si="1"/>
        <v>130.69473684210527</v>
      </c>
      <c r="H9" s="102">
        <f t="shared" si="2"/>
        <v>130.69473684210527</v>
      </c>
      <c r="I9" s="65">
        <f>VLOOKUP(B9,All_Ingredients!$A$1:$F$156,6,FALSE())</f>
        <v>1</v>
      </c>
      <c r="J9" s="101">
        <f>VLOOKUP(B9,All_Ingredients!$A$1:$J$156,10,FALSE())</f>
        <v>15.277777777777779</v>
      </c>
      <c r="K9" s="104">
        <f t="shared" si="4"/>
        <v>0.13069473684210528</v>
      </c>
      <c r="L9" s="104">
        <f t="shared" si="3"/>
        <v>1.9967251461988307</v>
      </c>
    </row>
    <row r="10" spans="1:31" ht="14.25" customHeight="1" x14ac:dyDescent="0.25">
      <c r="A10" s="1471"/>
      <c r="B10" s="244" t="s">
        <v>101</v>
      </c>
      <c r="C10" s="106" t="s">
        <v>14</v>
      </c>
      <c r="D10" s="107">
        <v>2</v>
      </c>
      <c r="E10" s="177">
        <f t="shared" si="0"/>
        <v>13.069473684210527</v>
      </c>
      <c r="F10" s="109">
        <v>1</v>
      </c>
      <c r="G10" s="101">
        <f t="shared" si="1"/>
        <v>26.138947368421054</v>
      </c>
      <c r="H10" s="102">
        <f t="shared" si="2"/>
        <v>26.138947368421054</v>
      </c>
      <c r="I10" s="65">
        <f>VLOOKUP(B10,All_Ingredients!$A$1:$F$156,6,FALSE())</f>
        <v>1</v>
      </c>
      <c r="J10" s="101">
        <f>VLOOKUP(B10,All_Ingredients!$A$1:$J$156,10,FALSE())</f>
        <v>47</v>
      </c>
      <c r="K10" s="104">
        <f t="shared" si="4"/>
        <v>2.6138947368421053E-2</v>
      </c>
      <c r="L10" s="104">
        <f t="shared" si="3"/>
        <v>1.2285305263157895</v>
      </c>
    </row>
    <row r="11" spans="1:31" ht="14.25" customHeight="1" x14ac:dyDescent="0.25">
      <c r="A11" s="1471"/>
      <c r="B11" s="244" t="s">
        <v>93</v>
      </c>
      <c r="C11" s="106" t="s">
        <v>160</v>
      </c>
      <c r="D11" s="107">
        <v>2</v>
      </c>
      <c r="E11" s="177">
        <f t="shared" si="0"/>
        <v>13.069473684210527</v>
      </c>
      <c r="F11" s="109">
        <v>1</v>
      </c>
      <c r="G11" s="101">
        <f t="shared" si="1"/>
        <v>26.138947368421054</v>
      </c>
      <c r="H11" s="102">
        <f t="shared" si="2"/>
        <v>26.138947368421054</v>
      </c>
      <c r="I11" s="65">
        <f>VLOOKUP(B11,All_Ingredients!$A$1:$F$156,6,FALSE())</f>
        <v>1</v>
      </c>
      <c r="J11" s="101">
        <f>VLOOKUP(B11,All_Ingredients!$A$1:$J$156,10,FALSE())</f>
        <v>0.74</v>
      </c>
      <c r="K11" s="104">
        <f t="shared" si="4"/>
        <v>2.6138947368421053E-2</v>
      </c>
      <c r="L11" s="104">
        <f t="shared" si="3"/>
        <v>1.9342821052631579E-2</v>
      </c>
    </row>
    <row r="12" spans="1:31" ht="14.25" customHeight="1" x14ac:dyDescent="0.25">
      <c r="A12" s="1471"/>
      <c r="B12" s="244" t="s">
        <v>152</v>
      </c>
      <c r="C12" s="106" t="s">
        <v>14</v>
      </c>
      <c r="D12" s="107">
        <v>20</v>
      </c>
      <c r="E12" s="177">
        <f t="shared" si="0"/>
        <v>13.069473684210527</v>
      </c>
      <c r="F12" s="109">
        <v>1</v>
      </c>
      <c r="G12" s="101">
        <f t="shared" si="1"/>
        <v>261.38947368421054</v>
      </c>
      <c r="H12" s="102">
        <f t="shared" si="2"/>
        <v>261.38947368421054</v>
      </c>
      <c r="I12" s="65">
        <f>VLOOKUP(B12,All_Ingredients!$A$1:$F$156,6,FALSE())</f>
        <v>1</v>
      </c>
      <c r="J12" s="101">
        <f>VLOOKUP(B12,All_Ingredients!$A$1:$J$156,10,FALSE())</f>
        <v>30</v>
      </c>
      <c r="K12" s="104">
        <f t="shared" si="4"/>
        <v>0.26138947368421056</v>
      </c>
      <c r="L12" s="104">
        <f t="shared" si="3"/>
        <v>7.8416842105263171</v>
      </c>
    </row>
    <row r="13" spans="1:31" ht="14.25" customHeight="1" x14ac:dyDescent="0.25">
      <c r="A13" s="1471"/>
      <c r="B13" s="244" t="s">
        <v>185</v>
      </c>
      <c r="C13" s="106" t="s">
        <v>14</v>
      </c>
      <c r="D13" s="107">
        <v>15</v>
      </c>
      <c r="E13" s="177">
        <f t="shared" si="0"/>
        <v>13.069473684210527</v>
      </c>
      <c r="F13" s="109">
        <v>1</v>
      </c>
      <c r="G13" s="101">
        <f t="shared" si="1"/>
        <v>196.04210526315791</v>
      </c>
      <c r="H13" s="102">
        <f t="shared" si="2"/>
        <v>196.04210526315791</v>
      </c>
      <c r="I13" s="65">
        <f>VLOOKUP(B13,All_Ingredients!$A$1:$F$156,6,FALSE())</f>
        <v>1</v>
      </c>
      <c r="J13" s="101">
        <f>VLOOKUP(B13,All_Ingredients!$A$1:$J$156,10,FALSE())</f>
        <v>1.7</v>
      </c>
      <c r="K13" s="104">
        <f t="shared" si="4"/>
        <v>0.19604210526315791</v>
      </c>
      <c r="L13" s="104">
        <f t="shared" si="3"/>
        <v>0.33327157894736842</v>
      </c>
      <c r="S13" s="14" t="s">
        <v>352</v>
      </c>
      <c r="T13" s="14" t="s">
        <v>256</v>
      </c>
      <c r="U13" s="14" t="s">
        <v>355</v>
      </c>
      <c r="V13" s="14" t="s">
        <v>352</v>
      </c>
    </row>
    <row r="14" spans="1:31" ht="15" customHeight="1" x14ac:dyDescent="0.25">
      <c r="A14" s="1471" t="s">
        <v>907</v>
      </c>
      <c r="B14" s="244" t="s">
        <v>727</v>
      </c>
      <c r="C14" s="106" t="s">
        <v>14</v>
      </c>
      <c r="D14" s="107">
        <v>20</v>
      </c>
      <c r="E14" s="177">
        <f t="shared" si="0"/>
        <v>13.069473684210527</v>
      </c>
      <c r="F14" s="109">
        <v>1</v>
      </c>
      <c r="G14" s="101">
        <f t="shared" si="1"/>
        <v>261.38947368421054</v>
      </c>
      <c r="H14" s="102">
        <f t="shared" si="2"/>
        <v>261.38947368421054</v>
      </c>
      <c r="I14" s="65">
        <f>VLOOKUP(B14,All_Ingredients!$A$1:$F$156,6,FALSE())</f>
        <v>1</v>
      </c>
      <c r="J14" s="101">
        <f>VLOOKUP(B14,All_Ingredients!$A$1:$J$156,10,FALSE())</f>
        <v>10.5</v>
      </c>
      <c r="K14" s="104">
        <f t="shared" si="4"/>
        <v>0.26138947368421056</v>
      </c>
      <c r="L14" s="104">
        <f t="shared" si="3"/>
        <v>2.7445894736842109</v>
      </c>
      <c r="S14" s="14">
        <v>28</v>
      </c>
      <c r="T14" s="228">
        <v>17862</v>
      </c>
      <c r="U14" s="131">
        <v>59540</v>
      </c>
      <c r="V14" s="314">
        <v>53690</v>
      </c>
    </row>
    <row r="15" spans="1:31" ht="14.25" customHeight="1" x14ac:dyDescent="0.25">
      <c r="A15" s="1472"/>
      <c r="B15" s="244" t="s">
        <v>675</v>
      </c>
      <c r="C15" s="152"/>
      <c r="D15" s="152"/>
      <c r="E15" s="322"/>
      <c r="F15" s="117"/>
      <c r="G15" s="152"/>
      <c r="I15" s="65"/>
      <c r="J15" s="101"/>
      <c r="K15" s="104"/>
      <c r="L15" s="104">
        <f t="shared" si="3"/>
        <v>0</v>
      </c>
      <c r="S15" s="14" t="s">
        <v>356</v>
      </c>
    </row>
    <row r="16" spans="1:31" ht="14.25" customHeight="1" x14ac:dyDescent="0.25">
      <c r="A16" s="1472"/>
      <c r="B16" s="780" t="s">
        <v>203</v>
      </c>
      <c r="C16" s="781" t="s">
        <v>160</v>
      </c>
      <c r="D16" s="782">
        <v>16000</v>
      </c>
      <c r="E16" s="782">
        <f>$I$1</f>
        <v>13.069473684210527</v>
      </c>
      <c r="F16" s="783">
        <v>1</v>
      </c>
      <c r="G16" s="784">
        <f>D16*E16</f>
        <v>209111.57894736843</v>
      </c>
      <c r="H16" s="785">
        <f>G16*F16</f>
        <v>209111.57894736843</v>
      </c>
      <c r="I16" s="65">
        <f>VLOOKUP(B16,All_Ingredients!$A$1:$F$156,6,FALSE())</f>
        <v>1</v>
      </c>
      <c r="J16" s="101">
        <f>VLOOKUP(B16,All_Ingredients!$A$1:$J$156,10,FALSE())</f>
        <v>0</v>
      </c>
      <c r="K16" s="104">
        <f>(H16/I16)/1000</f>
        <v>209.11157894736843</v>
      </c>
      <c r="L16" s="104">
        <f>K16*J16</f>
        <v>0</v>
      </c>
      <c r="S16" s="14">
        <f>28*450</f>
        <v>12600</v>
      </c>
    </row>
    <row r="17" spans="1:29" ht="14.25" customHeight="1" x14ac:dyDescent="0.25">
      <c r="A17" s="1472"/>
      <c r="B17" s="780" t="s">
        <v>93</v>
      </c>
      <c r="C17" s="781" t="s">
        <v>14</v>
      </c>
      <c r="D17" s="782">
        <v>19.725373134328358</v>
      </c>
      <c r="E17" s="782">
        <f>$I$1</f>
        <v>13.069473684210527</v>
      </c>
      <c r="F17" s="783">
        <v>1</v>
      </c>
      <c r="G17" s="784">
        <f>D17*E17</f>
        <v>257.8002450903378</v>
      </c>
      <c r="H17" s="785">
        <f>G17*F17</f>
        <v>257.8002450903378</v>
      </c>
      <c r="I17" s="65">
        <f>VLOOKUP(B17,All_Ingredients!$A$1:$F$156,6,FALSE())</f>
        <v>1</v>
      </c>
      <c r="J17" s="101">
        <f>VLOOKUP(B17,All_Ingredients!$A$1:$J$156,10,FALSE())</f>
        <v>0.74</v>
      </c>
      <c r="K17" s="104">
        <f t="shared" si="4"/>
        <v>0.25780024509033778</v>
      </c>
      <c r="L17" s="104">
        <f t="shared" si="3"/>
        <v>0.19077218136684995</v>
      </c>
    </row>
    <row r="18" spans="1:29" ht="14.25" customHeight="1" x14ac:dyDescent="0.25">
      <c r="A18" s="1472"/>
      <c r="B18" s="780" t="s">
        <v>211</v>
      </c>
      <c r="C18" s="781" t="s">
        <v>14</v>
      </c>
      <c r="D18" s="782">
        <v>9.8626865671641788</v>
      </c>
      <c r="E18" s="782">
        <f>$I$1</f>
        <v>13.069473684210527</v>
      </c>
      <c r="F18" s="783">
        <v>1</v>
      </c>
      <c r="G18" s="784">
        <f>D18*E18</f>
        <v>128.9001225451689</v>
      </c>
      <c r="H18" s="785">
        <f>G18*F18</f>
        <v>128.9001225451689</v>
      </c>
      <c r="I18" s="65">
        <f>VLOOKUP(B18,All_Ingredients!$A$1:$F$156,6,FALSE())</f>
        <v>1</v>
      </c>
      <c r="J18" s="101">
        <f>VLOOKUP(B18,All_Ingredients!$A$1:$J$156,10,FALSE())</f>
        <v>15.5</v>
      </c>
      <c r="K18" s="104">
        <f t="shared" si="4"/>
        <v>0.12890012254516889</v>
      </c>
      <c r="L18" s="104">
        <f t="shared" si="3"/>
        <v>1.9979518994501178</v>
      </c>
    </row>
    <row r="19" spans="1:29" ht="14.25" customHeight="1" x14ac:dyDescent="0.25">
      <c r="A19" s="1472"/>
      <c r="L19" s="274"/>
    </row>
    <row r="20" spans="1:29" ht="14.25" customHeight="1" x14ac:dyDescent="0.25">
      <c r="A20" s="1472"/>
      <c r="L20" s="274"/>
      <c r="N20" s="495" t="s">
        <v>674</v>
      </c>
    </row>
    <row r="21" spans="1:29" ht="14.25" customHeight="1" x14ac:dyDescent="0.25">
      <c r="A21" s="1472"/>
    </row>
    <row r="22" spans="1:29" ht="14.25" customHeight="1" x14ac:dyDescent="0.25">
      <c r="A22" s="1472"/>
      <c r="B22" s="84"/>
      <c r="D22" s="362"/>
      <c r="E22" s="322"/>
      <c r="F22" s="805"/>
    </row>
    <row r="23" spans="1:29" ht="14.25" customHeight="1" x14ac:dyDescent="0.25">
      <c r="A23" s="1472"/>
      <c r="B23" s="84"/>
      <c r="D23" s="362"/>
      <c r="E23" s="322"/>
      <c r="F23" s="805"/>
      <c r="R23"/>
    </row>
    <row r="24" spans="1:29" ht="14.25" customHeight="1" x14ac:dyDescent="0.25">
      <c r="A24" s="1472"/>
      <c r="B24" s="84"/>
      <c r="D24" s="362"/>
      <c r="E24" s="322"/>
      <c r="F24" s="805"/>
      <c r="Z24" s="1073"/>
    </row>
    <row r="25" spans="1:29" ht="14.25" customHeight="1" x14ac:dyDescent="0.25">
      <c r="A25" s="1472"/>
      <c r="B25" s="84"/>
      <c r="D25" s="362"/>
      <c r="E25" s="322"/>
      <c r="F25" s="84"/>
      <c r="N25" s="280"/>
      <c r="R25" s="1640" t="s">
        <v>904</v>
      </c>
      <c r="S25" s="1633"/>
      <c r="T25" s="1633"/>
      <c r="U25" s="1633"/>
      <c r="Z25" s="122" t="s">
        <v>252</v>
      </c>
      <c r="AA25" s="123">
        <v>1</v>
      </c>
      <c r="AB25" s="122" t="s">
        <v>249</v>
      </c>
      <c r="AC25" s="124">
        <f>(AA25*AC30)</f>
        <v>6.9659198016932882E-3</v>
      </c>
    </row>
    <row r="26" spans="1:29" ht="14.25" customHeight="1" x14ac:dyDescent="0.25">
      <c r="A26" s="1472"/>
      <c r="N26" s="280"/>
      <c r="R26" s="1654" t="s">
        <v>297</v>
      </c>
      <c r="S26" s="1633"/>
      <c r="T26" s="1633"/>
      <c r="U26" s="1633"/>
      <c r="AC26" s="14"/>
    </row>
    <row r="27" spans="1:29" ht="14.25" customHeight="1" thickBot="1" x14ac:dyDescent="0.3">
      <c r="A27" s="1472"/>
      <c r="N27" s="280"/>
      <c r="R27" s="126" t="s">
        <v>254</v>
      </c>
      <c r="S27" s="127" t="s">
        <v>352</v>
      </c>
      <c r="T27" s="127" t="s">
        <v>256</v>
      </c>
      <c r="U27" s="127" t="s">
        <v>262</v>
      </c>
      <c r="Z27" s="122" t="s">
        <v>258</v>
      </c>
      <c r="AA27" s="128" t="s">
        <v>352</v>
      </c>
      <c r="AB27" s="128" t="s">
        <v>260</v>
      </c>
      <c r="AC27" s="128" t="s">
        <v>262</v>
      </c>
    </row>
    <row r="28" spans="1:29" ht="14.25" customHeight="1" thickBot="1" x14ac:dyDescent="0.3">
      <c r="A28" s="1472"/>
      <c r="R28" s="129" t="s">
        <v>263</v>
      </c>
      <c r="S28" s="1215">
        <f>U28*S40</f>
        <v>18324</v>
      </c>
      <c r="T28" s="1215">
        <f>U28*U40</f>
        <v>12216</v>
      </c>
      <c r="U28" s="1186">
        <f>$Z$1</f>
        <v>30540</v>
      </c>
      <c r="Z28" s="132"/>
      <c r="AA28" s="1046">
        <f>AA25*$S$40</f>
        <v>0.6</v>
      </c>
      <c r="AB28" s="1046">
        <f>AA25*$U$40</f>
        <v>0.4</v>
      </c>
      <c r="AC28" s="135">
        <f>SUM(AA28:AB28)</f>
        <v>1</v>
      </c>
    </row>
    <row r="29" spans="1:29" ht="21" customHeight="1" thickBot="1" x14ac:dyDescent="0.3">
      <c r="A29" s="1472"/>
      <c r="R29" s="129" t="s">
        <v>264</v>
      </c>
      <c r="S29" s="1218"/>
      <c r="T29" s="130"/>
      <c r="U29" s="1215">
        <f>T29</f>
        <v>0</v>
      </c>
      <c r="Z29" s="132"/>
      <c r="AA29" s="1068">
        <f>AA28/$AC$28</f>
        <v>0.6</v>
      </c>
      <c r="AB29" s="1068">
        <f>AB28/$AC$28</f>
        <v>0.4</v>
      </c>
      <c r="AC29" s="1066">
        <f>SUM(AA29:AB29)</f>
        <v>1</v>
      </c>
    </row>
    <row r="30" spans="1:29" ht="27" customHeight="1" thickBot="1" x14ac:dyDescent="0.3">
      <c r="A30" s="1472"/>
      <c r="R30" s="129" t="s">
        <v>265</v>
      </c>
      <c r="S30" s="1215">
        <f>U30*S40</f>
        <v>300</v>
      </c>
      <c r="T30" s="1215">
        <f>U30*U40</f>
        <v>200</v>
      </c>
      <c r="U30" s="1186">
        <f>$AB$1</f>
        <v>500</v>
      </c>
      <c r="Z30" s="122" t="s">
        <v>266</v>
      </c>
      <c r="AA30" s="138">
        <f>S35/(S32)</f>
        <v>3.5818713450292399E-3</v>
      </c>
      <c r="AB30" s="139">
        <f>T35/T32</f>
        <v>1.204199248668936E-2</v>
      </c>
      <c r="AC30" s="1047">
        <f>SUMPRODUCT(AA29:AB29,AA30:AB30)</f>
        <v>6.9659198016932882E-3</v>
      </c>
    </row>
    <row r="31" spans="1:29" ht="14.25" customHeight="1" thickBot="1" x14ac:dyDescent="0.3">
      <c r="A31" s="1472"/>
      <c r="R31" s="129" t="s">
        <v>267</v>
      </c>
      <c r="S31" s="136"/>
      <c r="T31" s="130"/>
      <c r="U31" s="130"/>
      <c r="AC31" s="14"/>
    </row>
    <row r="32" spans="1:29" ht="14.25" customHeight="1" thickBot="1" x14ac:dyDescent="0.3">
      <c r="A32" s="1472"/>
      <c r="B32" s="84"/>
      <c r="E32" s="14"/>
      <c r="O32" s="280"/>
      <c r="R32" s="141" t="s">
        <v>257</v>
      </c>
      <c r="S32" s="130">
        <f>SUM(S28:S30)</f>
        <v>18624</v>
      </c>
      <c r="T32" s="130">
        <f>SUM(T28:T30)</f>
        <v>12416</v>
      </c>
      <c r="U32" s="130">
        <f>SUM(U28:U30)</f>
        <v>31040</v>
      </c>
      <c r="AC32" s="14"/>
    </row>
    <row r="33" spans="1:29" ht="14.25" customHeight="1" thickBot="1" x14ac:dyDescent="0.3">
      <c r="A33" s="1472"/>
      <c r="B33" s="84"/>
      <c r="E33" s="14"/>
      <c r="O33" s="280"/>
      <c r="R33" s="142" t="s">
        <v>268</v>
      </c>
      <c r="S33" s="136"/>
      <c r="T33" s="136"/>
      <c r="U33" s="136"/>
      <c r="AC33" s="14"/>
    </row>
    <row r="34" spans="1:29" ht="14.25" customHeight="1" thickBot="1" x14ac:dyDescent="0.3">
      <c r="A34" s="1472"/>
      <c r="E34" s="14"/>
      <c r="O34" s="280"/>
      <c r="R34" s="143" t="s">
        <v>269</v>
      </c>
      <c r="S34" s="136"/>
      <c r="T34" s="130"/>
      <c r="U34" s="136"/>
      <c r="AA34" s="1027"/>
      <c r="AB34" s="1027"/>
      <c r="AC34" s="14"/>
    </row>
    <row r="35" spans="1:29" ht="14.25" customHeight="1" thickBot="1" x14ac:dyDescent="0.3">
      <c r="A35" s="1472"/>
      <c r="E35" s="14"/>
      <c r="R35" s="144" t="s">
        <v>249</v>
      </c>
      <c r="S35" s="990">
        <f>$L$5</f>
        <v>66.708771929824564</v>
      </c>
      <c r="T35" s="990">
        <f>SUM(L6:L18)</f>
        <v>149.5133787147351</v>
      </c>
      <c r="U35" s="1078">
        <f>S35+T35</f>
        <v>216.22215064455966</v>
      </c>
    </row>
    <row r="36" spans="1:29" x14ac:dyDescent="0.25">
      <c r="A36" s="1472"/>
      <c r="E36" s="14"/>
    </row>
    <row r="37" spans="1:29" x14ac:dyDescent="0.25">
      <c r="A37" s="1472"/>
      <c r="E37" s="14"/>
    </row>
    <row r="38" spans="1:29" x14ac:dyDescent="0.25">
      <c r="A38" s="1472"/>
    </row>
    <row r="39" spans="1:29" x14ac:dyDescent="0.25">
      <c r="A39" s="1472"/>
    </row>
    <row r="40" spans="1:29" ht="21" customHeight="1" x14ac:dyDescent="0.25">
      <c r="A40" s="1472"/>
      <c r="R40" s="146" t="s">
        <v>270</v>
      </c>
      <c r="S40" s="147">
        <v>0.6</v>
      </c>
      <c r="T40" s="146" t="s">
        <v>271</v>
      </c>
      <c r="U40" s="148">
        <v>0.4</v>
      </c>
      <c r="V40" s="149">
        <f>S40+U40</f>
        <v>1</v>
      </c>
    </row>
    <row r="41" spans="1:29" ht="14.25" customHeight="1" x14ac:dyDescent="0.25">
      <c r="A41" s="1472"/>
      <c r="U41" s="150"/>
    </row>
    <row r="42" spans="1:29" x14ac:dyDescent="0.25">
      <c r="A42" s="1472"/>
    </row>
    <row r="43" spans="1:29" ht="14.25" customHeight="1" x14ac:dyDescent="0.25">
      <c r="A43" s="1472"/>
      <c r="Q43" s="151" t="s">
        <v>272</v>
      </c>
      <c r="R43" s="151" t="s">
        <v>273</v>
      </c>
      <c r="S43" s="151" t="s">
        <v>274</v>
      </c>
      <c r="T43" s="151" t="s">
        <v>275</v>
      </c>
      <c r="U43" s="151" t="s">
        <v>276</v>
      </c>
      <c r="V43" s="151" t="s">
        <v>277</v>
      </c>
      <c r="W43" s="235" t="s">
        <v>507</v>
      </c>
    </row>
    <row r="44" spans="1:29" ht="14.25" customHeight="1" x14ac:dyDescent="0.25">
      <c r="A44" s="1472"/>
      <c r="Q44" s="511">
        <v>25000</v>
      </c>
      <c r="R44" s="154">
        <f>D51</f>
        <v>10000</v>
      </c>
      <c r="S44" s="155">
        <v>1</v>
      </c>
      <c r="T44" s="155">
        <v>0</v>
      </c>
      <c r="U44" s="220">
        <f>R44*S44</f>
        <v>10000</v>
      </c>
      <c r="V44" s="157">
        <f>R44*T44</f>
        <v>0</v>
      </c>
      <c r="W44" s="996">
        <f>Q44-U44</f>
        <v>15000</v>
      </c>
    </row>
    <row r="45" spans="1:29" x14ac:dyDescent="0.25">
      <c r="A45" s="1472"/>
    </row>
    <row r="46" spans="1:29" x14ac:dyDescent="0.25">
      <c r="A46" s="1472"/>
    </row>
    <row r="47" spans="1:29" x14ac:dyDescent="0.25">
      <c r="A47" s="1472"/>
    </row>
    <row r="48" spans="1:29" x14ac:dyDescent="0.25">
      <c r="A48" s="1472"/>
    </row>
    <row r="49" spans="1:18" x14ac:dyDescent="0.25">
      <c r="A49" s="1472"/>
    </row>
    <row r="50" spans="1:18" ht="20.25" customHeight="1" x14ac:dyDescent="0.25">
      <c r="A50" s="1472"/>
      <c r="B50" s="126"/>
      <c r="C50" s="126" t="s">
        <v>233</v>
      </c>
      <c r="D50" s="126" t="s">
        <v>279</v>
      </c>
      <c r="E50" s="84"/>
      <c r="F50" s="84"/>
      <c r="G50" s="126" t="s">
        <v>280</v>
      </c>
      <c r="H50" s="126" t="s">
        <v>233</v>
      </c>
      <c r="I50" s="126" t="s">
        <v>506</v>
      </c>
      <c r="J50" s="126" t="s">
        <v>505</v>
      </c>
    </row>
    <row r="51" spans="1:18" ht="20.25" customHeight="1" x14ac:dyDescent="0.25">
      <c r="A51" s="1472"/>
      <c r="B51" s="161" t="s">
        <v>283</v>
      </c>
      <c r="C51" s="162">
        <f>10/$K$1</f>
        <v>10.526315789473685</v>
      </c>
      <c r="D51" s="163">
        <f>$C$1*10</f>
        <v>10000</v>
      </c>
      <c r="E51" s="84"/>
      <c r="F51" s="84"/>
      <c r="G51" s="161" t="s">
        <v>283</v>
      </c>
      <c r="H51" s="254">
        <v>10</v>
      </c>
      <c r="I51" s="162">
        <f>J51/$R$1</f>
        <v>5000</v>
      </c>
      <c r="J51" s="162">
        <f>$W$44</f>
        <v>15000</v>
      </c>
    </row>
    <row r="52" spans="1:18" x14ac:dyDescent="0.25">
      <c r="A52" s="1472"/>
      <c r="B52" s="126" t="s">
        <v>262</v>
      </c>
      <c r="C52" s="165">
        <f>$I$1</f>
        <v>13.069473684210527</v>
      </c>
      <c r="D52" s="166">
        <f>$E$1</f>
        <v>12416</v>
      </c>
      <c r="E52" s="84"/>
      <c r="F52" s="84"/>
      <c r="G52" s="129" t="s">
        <v>262</v>
      </c>
      <c r="H52" s="527">
        <f>I52/$D$5</f>
        <v>12.416</v>
      </c>
      <c r="I52" s="157">
        <f>J52/$R$1</f>
        <v>6208</v>
      </c>
      <c r="J52" s="165">
        <f>$S$32</f>
        <v>18624</v>
      </c>
    </row>
    <row r="53" spans="1:18" x14ac:dyDescent="0.25">
      <c r="A53" s="1472"/>
      <c r="B53" s="126" t="s">
        <v>284</v>
      </c>
      <c r="C53" s="395">
        <f>MIN($C$52, C51)</f>
        <v>10.526315789473685</v>
      </c>
      <c r="D53" s="166">
        <f>(C53*$K$1)*$C$1</f>
        <v>10000</v>
      </c>
      <c r="E53" s="84"/>
      <c r="F53" s="84"/>
      <c r="G53" s="129" t="s">
        <v>284</v>
      </c>
      <c r="H53" s="168">
        <f>MIN(H52,H51)</f>
        <v>10</v>
      </c>
      <c r="I53" s="157">
        <f>J53/$R$1</f>
        <v>5000</v>
      </c>
      <c r="J53" s="157">
        <f>MIN(J52,J51)</f>
        <v>15000</v>
      </c>
    </row>
    <row r="54" spans="1:18" x14ac:dyDescent="0.25">
      <c r="A54" s="1472"/>
      <c r="B54" s="126" t="s">
        <v>285</v>
      </c>
      <c r="C54" s="168">
        <f>MIN(MAX(C52-C53),C51)</f>
        <v>2.5431578947368418</v>
      </c>
      <c r="D54" s="166">
        <f>(C54*$K$1)*$C$1</f>
        <v>2415.9999999999995</v>
      </c>
      <c r="E54" s="84"/>
      <c r="F54" s="84"/>
      <c r="G54" s="129" t="s">
        <v>285</v>
      </c>
      <c r="H54" s="168">
        <f>MIN(MAX(H52-H53),H51)</f>
        <v>2.4160000000000004</v>
      </c>
      <c r="I54" s="157">
        <f>J54/$R$1</f>
        <v>1208</v>
      </c>
      <c r="J54" s="157">
        <f>MIN(MAX(J52-J53),J51)</f>
        <v>3624</v>
      </c>
    </row>
    <row r="55" spans="1:18" x14ac:dyDescent="0.25">
      <c r="A55" s="1472"/>
      <c r="B55" s="126"/>
      <c r="C55" s="168">
        <f>MIN(MAX(C52-C53-C54),C51)</f>
        <v>0</v>
      </c>
      <c r="D55" s="166">
        <f>(C55*$K$1)*$C$1</f>
        <v>0</v>
      </c>
      <c r="E55" s="84"/>
      <c r="F55" s="84"/>
      <c r="G55" s="126" t="s">
        <v>286</v>
      </c>
      <c r="H55" s="168">
        <f>MIN(MAX(H52-H53-H54),H51)</f>
        <v>0</v>
      </c>
      <c r="I55" s="157">
        <f>J55/$R$1</f>
        <v>0</v>
      </c>
      <c r="J55" s="157">
        <f>MIN(MAX(J52-J53-J54),J51)</f>
        <v>0</v>
      </c>
      <c r="R55" s="14" t="s">
        <v>676</v>
      </c>
    </row>
    <row r="56" spans="1:18" x14ac:dyDescent="0.25">
      <c r="A56" s="1472"/>
      <c r="R56" s="14" t="s">
        <v>677</v>
      </c>
    </row>
    <row r="57" spans="1:18" x14ac:dyDescent="0.25">
      <c r="A57" s="1472"/>
    </row>
    <row r="58" spans="1:18" x14ac:dyDescent="0.25">
      <c r="A58" s="1472"/>
      <c r="R58" s="14" t="s">
        <v>678</v>
      </c>
    </row>
    <row r="59" spans="1:18" x14ac:dyDescent="0.25">
      <c r="A59" s="1472"/>
      <c r="R59" s="14" t="s">
        <v>679</v>
      </c>
    </row>
    <row r="60" spans="1:18" x14ac:dyDescent="0.25">
      <c r="A60" s="1472"/>
    </row>
    <row r="61" spans="1:18" x14ac:dyDescent="0.25">
      <c r="A61" s="1472"/>
      <c r="R61" s="14" t="s">
        <v>680</v>
      </c>
    </row>
    <row r="62" spans="1:18" x14ac:dyDescent="0.25">
      <c r="A62" s="1472"/>
    </row>
    <row r="63" spans="1:18" ht="18" customHeight="1" x14ac:dyDescent="0.25">
      <c r="A63" s="1473"/>
      <c r="B63" s="1642" t="str">
        <f>"مكرونة فيتوتشيني 1 / " &amp; COUNTIF($C$53:$C$55, "&gt;0")</f>
        <v>مكرونة فيتوتشيني 1 / 2</v>
      </c>
      <c r="C63" s="1656"/>
      <c r="D63" s="1656"/>
      <c r="E63" s="1683"/>
      <c r="F63" s="1656"/>
      <c r="G63" s="1656"/>
      <c r="H63" s="1656"/>
      <c r="R63" s="14" t="s">
        <v>681</v>
      </c>
    </row>
    <row r="64" spans="1:18" ht="18" customHeight="1" x14ac:dyDescent="0.25">
      <c r="A64" s="1473"/>
      <c r="B64" s="1636" t="str">
        <f>"Fettuccine Pasta Sauce  1 / " &amp; COUNTIF(C$53:$C$55, "&gt;0")</f>
        <v>Fettuccine Pasta Sauce  1 / 2</v>
      </c>
      <c r="C64" s="1637"/>
      <c r="D64" s="1637"/>
      <c r="E64" s="1637"/>
      <c r="F64" s="1637"/>
      <c r="G64" s="1637"/>
      <c r="H64" s="1637"/>
    </row>
    <row r="65" spans="1:18" ht="48.75" customHeight="1" x14ac:dyDescent="0.2">
      <c r="A65" s="1457"/>
      <c r="B65" s="75" t="s">
        <v>241</v>
      </c>
      <c r="C65" s="90" t="s">
        <v>242</v>
      </c>
      <c r="D65" s="75" t="s">
        <v>231</v>
      </c>
      <c r="E65" s="91" t="s">
        <v>234</v>
      </c>
      <c r="F65" s="91" t="s">
        <v>243</v>
      </c>
      <c r="G65" s="75" t="s">
        <v>244</v>
      </c>
      <c r="H65" s="92" t="s">
        <v>245</v>
      </c>
    </row>
    <row r="66" spans="1:18" ht="14.25" customHeight="1" x14ac:dyDescent="0.25">
      <c r="A66" s="1471"/>
      <c r="B66" s="105" t="str">
        <f t="shared" ref="B66:D74" si="5">B5</f>
        <v>Fettuccine Pasta - مكرونة فيتوتشيني</v>
      </c>
      <c r="C66" s="105" t="str">
        <f t="shared" si="5"/>
        <v>gm</v>
      </c>
      <c r="D66" s="256">
        <f t="shared" si="5"/>
        <v>500</v>
      </c>
      <c r="E66" s="98">
        <f>H53</f>
        <v>10</v>
      </c>
      <c r="F66" s="109">
        <f t="shared" ref="F66:F79" si="6">F5</f>
        <v>1</v>
      </c>
      <c r="G66" s="101">
        <f t="shared" ref="G66:G74" si="7">D66*E66</f>
        <v>5000</v>
      </c>
      <c r="H66" s="102">
        <f t="shared" ref="H66:H74" si="8">G66*F66</f>
        <v>5000</v>
      </c>
    </row>
    <row r="67" spans="1:18" ht="14.25" customHeight="1" x14ac:dyDescent="0.25">
      <c r="A67" s="1471"/>
      <c r="B67" s="105" t="str">
        <f t="shared" si="5"/>
        <v>Cooking Cream - كريمة طبخ</v>
      </c>
      <c r="C67" s="105" t="str">
        <f t="shared" si="5"/>
        <v>ml</v>
      </c>
      <c r="D67" s="105">
        <f t="shared" si="5"/>
        <v>600</v>
      </c>
      <c r="E67" s="98">
        <f t="shared" ref="E67:E79" si="9">$C$53</f>
        <v>10.526315789473685</v>
      </c>
      <c r="F67" s="109">
        <f t="shared" si="6"/>
        <v>1</v>
      </c>
      <c r="G67" s="101">
        <f t="shared" si="7"/>
        <v>6315.7894736842109</v>
      </c>
      <c r="H67" s="102">
        <f t="shared" si="8"/>
        <v>6315.7894736842109</v>
      </c>
      <c r="R67" s="14" t="s">
        <v>682</v>
      </c>
    </row>
    <row r="68" spans="1:18" ht="14.25" customHeight="1" x14ac:dyDescent="0.25">
      <c r="A68" s="1471"/>
      <c r="B68" s="105" t="str">
        <f t="shared" si="5"/>
        <v>Milk - حليب</v>
      </c>
      <c r="C68" s="105" t="str">
        <f t="shared" si="5"/>
        <v>ml</v>
      </c>
      <c r="D68" s="105">
        <f t="shared" si="5"/>
        <v>600</v>
      </c>
      <c r="E68" s="98">
        <f t="shared" si="9"/>
        <v>10.526315789473685</v>
      </c>
      <c r="F68" s="109">
        <f t="shared" si="6"/>
        <v>1</v>
      </c>
      <c r="G68" s="101">
        <f t="shared" si="7"/>
        <v>6315.7894736842109</v>
      </c>
      <c r="H68" s="102">
        <f t="shared" si="8"/>
        <v>6315.7894736842109</v>
      </c>
      <c r="R68" s="14" t="s">
        <v>683</v>
      </c>
    </row>
    <row r="69" spans="1:18" ht="14.25" customHeight="1" x14ac:dyDescent="0.25">
      <c r="A69" s="1471" t="s">
        <v>905</v>
      </c>
      <c r="B69" s="105" t="str">
        <f t="shared" si="5"/>
        <v>Onion - بصل</v>
      </c>
      <c r="C69" s="105" t="str">
        <f t="shared" si="5"/>
        <v>gm</v>
      </c>
      <c r="D69" s="105">
        <f t="shared" si="5"/>
        <v>20</v>
      </c>
      <c r="E69" s="98">
        <f t="shared" si="9"/>
        <v>10.526315789473685</v>
      </c>
      <c r="F69" s="109">
        <f t="shared" si="6"/>
        <v>1</v>
      </c>
      <c r="G69" s="101">
        <f t="shared" si="7"/>
        <v>210.5263157894737</v>
      </c>
      <c r="H69" s="102">
        <f t="shared" si="8"/>
        <v>210.5263157894737</v>
      </c>
    </row>
    <row r="70" spans="1:18" ht="14.25" customHeight="1" x14ac:dyDescent="0.25">
      <c r="A70" s="1471"/>
      <c r="B70" s="105" t="str">
        <f t="shared" si="5"/>
        <v>Maggi Cubes - مكعبات ماجي</v>
      </c>
      <c r="C70" s="105" t="str">
        <f t="shared" si="5"/>
        <v>gm</v>
      </c>
      <c r="D70" s="105">
        <f t="shared" si="5"/>
        <v>10</v>
      </c>
      <c r="E70" s="98">
        <f t="shared" si="9"/>
        <v>10.526315789473685</v>
      </c>
      <c r="F70" s="109">
        <f t="shared" si="6"/>
        <v>1</v>
      </c>
      <c r="G70" s="101">
        <f t="shared" si="7"/>
        <v>105.26315789473685</v>
      </c>
      <c r="H70" s="102">
        <f t="shared" si="8"/>
        <v>105.26315789473685</v>
      </c>
    </row>
    <row r="71" spans="1:18" ht="14.25" customHeight="1" x14ac:dyDescent="0.25">
      <c r="A71" s="1471"/>
      <c r="B71" s="105" t="str">
        <f t="shared" si="5"/>
        <v>White Pepper - فلفل أبيض</v>
      </c>
      <c r="C71" s="105" t="str">
        <f t="shared" si="5"/>
        <v>gm</v>
      </c>
      <c r="D71" s="105">
        <f t="shared" si="5"/>
        <v>2</v>
      </c>
      <c r="E71" s="98">
        <f t="shared" si="9"/>
        <v>10.526315789473685</v>
      </c>
      <c r="F71" s="109">
        <f t="shared" si="6"/>
        <v>1</v>
      </c>
      <c r="G71" s="101">
        <f t="shared" si="7"/>
        <v>21.05263157894737</v>
      </c>
      <c r="H71" s="102">
        <f t="shared" si="8"/>
        <v>21.05263157894737</v>
      </c>
    </row>
    <row r="72" spans="1:18" ht="14.25" customHeight="1" x14ac:dyDescent="0.25">
      <c r="A72" s="1471"/>
      <c r="B72" s="105" t="str">
        <f t="shared" si="5"/>
        <v>Salt - ملح</v>
      </c>
      <c r="C72" s="105" t="str">
        <f t="shared" si="5"/>
        <v>ml</v>
      </c>
      <c r="D72" s="105">
        <f t="shared" si="5"/>
        <v>2</v>
      </c>
      <c r="E72" s="98">
        <f t="shared" si="9"/>
        <v>10.526315789473685</v>
      </c>
      <c r="F72" s="109">
        <f t="shared" si="6"/>
        <v>1</v>
      </c>
      <c r="G72" s="101">
        <f t="shared" si="7"/>
        <v>21.05263157894737</v>
      </c>
      <c r="H72" s="102">
        <f t="shared" si="8"/>
        <v>21.05263157894737</v>
      </c>
    </row>
    <row r="73" spans="1:18" ht="14.25" customHeight="1" x14ac:dyDescent="0.25">
      <c r="A73" s="1471"/>
      <c r="B73" s="105" t="str">
        <f t="shared" si="5"/>
        <v>Butter - زبدة</v>
      </c>
      <c r="C73" s="105" t="str">
        <f t="shared" si="5"/>
        <v>gm</v>
      </c>
      <c r="D73" s="105">
        <f t="shared" si="5"/>
        <v>20</v>
      </c>
      <c r="E73" s="98">
        <f t="shared" si="9"/>
        <v>10.526315789473685</v>
      </c>
      <c r="F73" s="109">
        <f t="shared" si="6"/>
        <v>1</v>
      </c>
      <c r="G73" s="101">
        <f t="shared" si="7"/>
        <v>210.5263157894737</v>
      </c>
      <c r="H73" s="102">
        <f t="shared" si="8"/>
        <v>210.5263157894737</v>
      </c>
    </row>
    <row r="74" spans="1:18" ht="14.25" customHeight="1" x14ac:dyDescent="0.25">
      <c r="A74" s="1471"/>
      <c r="B74" s="105" t="str">
        <f t="shared" si="5"/>
        <v>Flour - دقيق</v>
      </c>
      <c r="C74" s="105" t="str">
        <f t="shared" si="5"/>
        <v>gm</v>
      </c>
      <c r="D74" s="105">
        <f t="shared" si="5"/>
        <v>15</v>
      </c>
      <c r="E74" s="98">
        <f t="shared" si="9"/>
        <v>10.526315789473685</v>
      </c>
      <c r="F74" s="109">
        <f t="shared" si="6"/>
        <v>1</v>
      </c>
      <c r="G74" s="101">
        <f t="shared" si="7"/>
        <v>157.89473684210526</v>
      </c>
      <c r="H74" s="102">
        <f t="shared" si="8"/>
        <v>157.89473684210526</v>
      </c>
    </row>
    <row r="75" spans="1:18" ht="20.25" customHeight="1" x14ac:dyDescent="0.25">
      <c r="A75" s="1472" t="s">
        <v>907</v>
      </c>
      <c r="B75" s="105" t="str">
        <f t="shared" ref="B75:D79" si="10">B14</f>
        <v>Garlic - ثوم مقشر</v>
      </c>
      <c r="C75" s="105" t="str">
        <f t="shared" si="10"/>
        <v>gm</v>
      </c>
      <c r="D75" s="105">
        <f t="shared" si="10"/>
        <v>20</v>
      </c>
      <c r="E75" s="98">
        <f t="shared" si="9"/>
        <v>10.526315789473685</v>
      </c>
      <c r="F75" s="109">
        <f t="shared" si="6"/>
        <v>1</v>
      </c>
      <c r="G75" s="101">
        <f>D75*E75</f>
        <v>210.5263157894737</v>
      </c>
      <c r="H75" s="102">
        <f>G75*F75</f>
        <v>210.5263157894737</v>
      </c>
    </row>
    <row r="76" spans="1:18" ht="14.25" customHeight="1" x14ac:dyDescent="0.25">
      <c r="A76" s="1472"/>
      <c r="B76" s="105" t="str">
        <f t="shared" si="10"/>
        <v>Boiling</v>
      </c>
      <c r="C76" s="105">
        <f t="shared" si="10"/>
        <v>0</v>
      </c>
      <c r="D76" s="105">
        <f t="shared" si="10"/>
        <v>0</v>
      </c>
      <c r="E76" s="98">
        <f t="shared" si="9"/>
        <v>10.526315789473685</v>
      </c>
      <c r="F76" s="109">
        <f t="shared" si="6"/>
        <v>0</v>
      </c>
      <c r="G76" s="101">
        <f>D76*E76</f>
        <v>0</v>
      </c>
      <c r="H76" s="102">
        <f>G76*F76</f>
        <v>0</v>
      </c>
    </row>
    <row r="77" spans="1:18" ht="14.25" customHeight="1" x14ac:dyDescent="0.25">
      <c r="A77" s="1472"/>
      <c r="B77" s="105" t="str">
        <f t="shared" si="10"/>
        <v>Water - ماء</v>
      </c>
      <c r="C77" s="105" t="str">
        <f t="shared" si="10"/>
        <v>ml</v>
      </c>
      <c r="D77" s="256">
        <f t="shared" si="10"/>
        <v>16000</v>
      </c>
      <c r="E77" s="98">
        <f t="shared" si="9"/>
        <v>10.526315789473685</v>
      </c>
      <c r="F77" s="109">
        <f t="shared" si="6"/>
        <v>1</v>
      </c>
      <c r="G77" s="101">
        <f>D77*E77</f>
        <v>168421.05263157896</v>
      </c>
      <c r="H77" s="102">
        <f>G77*F77</f>
        <v>168421.05263157896</v>
      </c>
    </row>
    <row r="78" spans="1:18" ht="18" customHeight="1" x14ac:dyDescent="0.25">
      <c r="A78" s="1472"/>
      <c r="B78" s="105" t="str">
        <f t="shared" si="10"/>
        <v>Salt - ملح</v>
      </c>
      <c r="C78" s="105" t="str">
        <f t="shared" si="10"/>
        <v>gm</v>
      </c>
      <c r="D78" s="256">
        <f t="shared" si="10"/>
        <v>19.725373134328358</v>
      </c>
      <c r="E78" s="98">
        <f t="shared" si="9"/>
        <v>10.526315789473685</v>
      </c>
      <c r="F78" s="109">
        <f t="shared" si="6"/>
        <v>1</v>
      </c>
      <c r="G78" s="101">
        <f>D78*E78</f>
        <v>207.63550667714063</v>
      </c>
      <c r="H78" s="102">
        <f>G78*F78</f>
        <v>207.63550667714063</v>
      </c>
    </row>
    <row r="79" spans="1:18" ht="18" customHeight="1" x14ac:dyDescent="0.25">
      <c r="A79" s="1472"/>
      <c r="B79" s="105" t="str">
        <f t="shared" si="10"/>
        <v>Olive Oil - زيت زيتون</v>
      </c>
      <c r="C79" s="105" t="str">
        <f t="shared" si="10"/>
        <v>gm</v>
      </c>
      <c r="D79" s="256">
        <f t="shared" si="10"/>
        <v>9.8626865671641788</v>
      </c>
      <c r="E79" s="98">
        <f t="shared" si="9"/>
        <v>10.526315789473685</v>
      </c>
      <c r="F79" s="109">
        <f t="shared" si="6"/>
        <v>1</v>
      </c>
      <c r="G79" s="101">
        <f>D79*E79</f>
        <v>103.81775333857031</v>
      </c>
      <c r="H79" s="102">
        <f>G79*F79</f>
        <v>103.81775333857031</v>
      </c>
    </row>
    <row r="80" spans="1:18" ht="24" customHeight="1" x14ac:dyDescent="0.25">
      <c r="A80" s="1458"/>
      <c r="B80" s="178" t="s">
        <v>702</v>
      </c>
      <c r="C80" s="180" t="s">
        <v>273</v>
      </c>
      <c r="E80" s="180" t="s">
        <v>288</v>
      </c>
      <c r="G80" s="804" t="s">
        <v>264</v>
      </c>
      <c r="H80" s="804" t="s">
        <v>684</v>
      </c>
    </row>
    <row r="81" spans="1:8" ht="21" customHeight="1" x14ac:dyDescent="0.3">
      <c r="A81" s="1458"/>
      <c r="B81" s="179">
        <f>$J$53</f>
        <v>15000</v>
      </c>
      <c r="C81" s="179">
        <f>E81+G81</f>
        <v>10000</v>
      </c>
      <c r="D81" s="839"/>
      <c r="E81" s="179">
        <f>$D$53*$S$44</f>
        <v>10000</v>
      </c>
      <c r="F81" s="843"/>
      <c r="G81" s="179">
        <f>$D$53*$T$44</f>
        <v>0</v>
      </c>
      <c r="H81" s="179">
        <f>B81+E81</f>
        <v>25000</v>
      </c>
    </row>
    <row r="82" spans="1:8" ht="14.25" customHeight="1" x14ac:dyDescent="0.25">
      <c r="A82" s="1472"/>
      <c r="B82" s="84"/>
      <c r="E82" s="322"/>
      <c r="F82" s="84"/>
    </row>
    <row r="83" spans="1:8" ht="14.25" customHeight="1" x14ac:dyDescent="0.25">
      <c r="A83" s="1473"/>
      <c r="B83" s="1642" t="str">
        <f>"مكرونة فيتوتشيني  2 / " &amp; COUNTIF($C$53:$C$55, "&gt;0")</f>
        <v>مكرونة فيتوتشيني  2 / 2</v>
      </c>
      <c r="C83" s="1656"/>
      <c r="D83" s="1656"/>
      <c r="E83" s="1683"/>
      <c r="F83" s="1656"/>
      <c r="G83" s="1656"/>
      <c r="H83" s="1656"/>
    </row>
    <row r="84" spans="1:8" ht="14.25" customHeight="1" x14ac:dyDescent="0.25">
      <c r="A84" s="1473"/>
      <c r="B84" s="1636" t="str">
        <f>"Fettuccine Pasta Sauce  2 / " &amp; COUNTIF(C$53:$C$55, "&gt;0")</f>
        <v>Fettuccine Pasta Sauce  2 / 2</v>
      </c>
      <c r="C84" s="1637"/>
      <c r="D84" s="1637"/>
      <c r="E84" s="1637"/>
      <c r="F84" s="1637"/>
      <c r="G84" s="1637"/>
      <c r="H84" s="1637"/>
    </row>
    <row r="85" spans="1:8" ht="39" customHeight="1" x14ac:dyDescent="0.2">
      <c r="A85" s="1457"/>
      <c r="B85" s="75" t="s">
        <v>241</v>
      </c>
      <c r="C85" s="90" t="s">
        <v>242</v>
      </c>
      <c r="D85" s="75" t="s">
        <v>231</v>
      </c>
      <c r="E85" s="91" t="s">
        <v>234</v>
      </c>
      <c r="F85" s="91" t="s">
        <v>243</v>
      </c>
      <c r="G85" s="75" t="s">
        <v>244</v>
      </c>
      <c r="H85" s="92" t="s">
        <v>245</v>
      </c>
    </row>
    <row r="86" spans="1:8" ht="14.25" customHeight="1" x14ac:dyDescent="0.25">
      <c r="A86" s="1471"/>
      <c r="B86" s="105" t="str">
        <f t="shared" ref="B86:D96" si="11">B5</f>
        <v>Fettuccine Pasta - مكرونة فيتوتشيني</v>
      </c>
      <c r="C86" s="105" t="str">
        <f t="shared" si="11"/>
        <v>gm</v>
      </c>
      <c r="D86" s="256">
        <f t="shared" si="11"/>
        <v>500</v>
      </c>
      <c r="E86" s="177">
        <f>H54</f>
        <v>2.4160000000000004</v>
      </c>
      <c r="F86" s="109">
        <f t="shared" ref="F86:F99" si="12">F5</f>
        <v>1</v>
      </c>
      <c r="G86" s="103">
        <f>D86*E86</f>
        <v>1208.0000000000002</v>
      </c>
      <c r="H86" s="102">
        <f t="shared" ref="H86:H94" si="13">G86*F86</f>
        <v>1208.0000000000002</v>
      </c>
    </row>
    <row r="87" spans="1:8" ht="14.25" customHeight="1" x14ac:dyDescent="0.25">
      <c r="A87" s="1471"/>
      <c r="B87" s="105" t="str">
        <f t="shared" si="11"/>
        <v>Cooking Cream - كريمة طبخ</v>
      </c>
      <c r="C87" s="105" t="str">
        <f t="shared" si="11"/>
        <v>ml</v>
      </c>
      <c r="D87" s="105">
        <f t="shared" si="11"/>
        <v>600</v>
      </c>
      <c r="E87" s="177">
        <f t="shared" ref="E87:E99" si="14">$C$54</f>
        <v>2.5431578947368418</v>
      </c>
      <c r="F87" s="109">
        <f t="shared" si="12"/>
        <v>1</v>
      </c>
      <c r="G87" s="103">
        <f t="shared" ref="G87:G94" si="15">D87*E87</f>
        <v>1525.8947368421052</v>
      </c>
      <c r="H87" s="102">
        <f t="shared" si="13"/>
        <v>1525.8947368421052</v>
      </c>
    </row>
    <row r="88" spans="1:8" ht="14.25" customHeight="1" x14ac:dyDescent="0.25">
      <c r="A88" s="1471"/>
      <c r="B88" s="105" t="str">
        <f t="shared" si="11"/>
        <v>Milk - حليب</v>
      </c>
      <c r="C88" s="105" t="str">
        <f t="shared" si="11"/>
        <v>ml</v>
      </c>
      <c r="D88" s="105">
        <f t="shared" si="11"/>
        <v>600</v>
      </c>
      <c r="E88" s="177">
        <f t="shared" si="14"/>
        <v>2.5431578947368418</v>
      </c>
      <c r="F88" s="109">
        <f t="shared" si="12"/>
        <v>1</v>
      </c>
      <c r="G88" s="103">
        <f t="shared" si="15"/>
        <v>1525.8947368421052</v>
      </c>
      <c r="H88" s="102">
        <f t="shared" si="13"/>
        <v>1525.8947368421052</v>
      </c>
    </row>
    <row r="89" spans="1:8" ht="14.25" customHeight="1" x14ac:dyDescent="0.25">
      <c r="A89" s="1471" t="s">
        <v>905</v>
      </c>
      <c r="B89" s="105" t="str">
        <f t="shared" si="11"/>
        <v>Onion - بصل</v>
      </c>
      <c r="C89" s="105" t="str">
        <f t="shared" si="11"/>
        <v>gm</v>
      </c>
      <c r="D89" s="105">
        <f t="shared" si="11"/>
        <v>20</v>
      </c>
      <c r="E89" s="177">
        <f t="shared" si="14"/>
        <v>2.5431578947368418</v>
      </c>
      <c r="F89" s="109">
        <f t="shared" si="12"/>
        <v>1</v>
      </c>
      <c r="G89" s="103">
        <f t="shared" si="15"/>
        <v>50.863157894736837</v>
      </c>
      <c r="H89" s="102">
        <f t="shared" si="13"/>
        <v>50.863157894736837</v>
      </c>
    </row>
    <row r="90" spans="1:8" ht="20.25" customHeight="1" x14ac:dyDescent="0.25">
      <c r="A90" s="1471"/>
      <c r="B90" s="105" t="str">
        <f t="shared" si="11"/>
        <v>Maggi Cubes - مكعبات ماجي</v>
      </c>
      <c r="C90" s="105" t="str">
        <f t="shared" si="11"/>
        <v>gm</v>
      </c>
      <c r="D90" s="105">
        <f t="shared" si="11"/>
        <v>10</v>
      </c>
      <c r="E90" s="177">
        <f t="shared" si="14"/>
        <v>2.5431578947368418</v>
      </c>
      <c r="F90" s="109">
        <f t="shared" si="12"/>
        <v>1</v>
      </c>
      <c r="G90" s="103">
        <f t="shared" si="15"/>
        <v>25.431578947368418</v>
      </c>
      <c r="H90" s="102">
        <f t="shared" si="13"/>
        <v>25.431578947368418</v>
      </c>
    </row>
    <row r="91" spans="1:8" ht="14.25" customHeight="1" x14ac:dyDescent="0.25">
      <c r="A91" s="1471"/>
      <c r="B91" s="105" t="str">
        <f t="shared" si="11"/>
        <v>White Pepper - فلفل أبيض</v>
      </c>
      <c r="C91" s="105" t="str">
        <f t="shared" si="11"/>
        <v>gm</v>
      </c>
      <c r="D91" s="105">
        <f t="shared" si="11"/>
        <v>2</v>
      </c>
      <c r="E91" s="177">
        <f t="shared" si="14"/>
        <v>2.5431578947368418</v>
      </c>
      <c r="F91" s="109">
        <f t="shared" si="12"/>
        <v>1</v>
      </c>
      <c r="G91" s="103">
        <f t="shared" si="15"/>
        <v>5.0863157894736837</v>
      </c>
      <c r="H91" s="102">
        <f t="shared" si="13"/>
        <v>5.0863157894736837</v>
      </c>
    </row>
    <row r="92" spans="1:8" x14ac:dyDescent="0.25">
      <c r="A92" s="1471"/>
      <c r="B92" s="105" t="str">
        <f t="shared" si="11"/>
        <v>Salt - ملح</v>
      </c>
      <c r="C92" s="105" t="str">
        <f t="shared" si="11"/>
        <v>ml</v>
      </c>
      <c r="D92" s="105">
        <f t="shared" si="11"/>
        <v>2</v>
      </c>
      <c r="E92" s="177">
        <f t="shared" si="14"/>
        <v>2.5431578947368418</v>
      </c>
      <c r="F92" s="109">
        <f t="shared" si="12"/>
        <v>1</v>
      </c>
      <c r="G92" s="103">
        <f t="shared" si="15"/>
        <v>5.0863157894736837</v>
      </c>
      <c r="H92" s="102">
        <f t="shared" si="13"/>
        <v>5.0863157894736837</v>
      </c>
    </row>
    <row r="93" spans="1:8" x14ac:dyDescent="0.25">
      <c r="A93" s="1471"/>
      <c r="B93" s="105" t="str">
        <f t="shared" si="11"/>
        <v>Butter - زبدة</v>
      </c>
      <c r="C93" s="105" t="str">
        <f t="shared" si="11"/>
        <v>gm</v>
      </c>
      <c r="D93" s="105">
        <f t="shared" si="11"/>
        <v>20</v>
      </c>
      <c r="E93" s="177">
        <f t="shared" si="14"/>
        <v>2.5431578947368418</v>
      </c>
      <c r="F93" s="109">
        <f t="shared" si="12"/>
        <v>1</v>
      </c>
      <c r="G93" s="103">
        <f t="shared" si="15"/>
        <v>50.863157894736837</v>
      </c>
      <c r="H93" s="102">
        <f t="shared" si="13"/>
        <v>50.863157894736837</v>
      </c>
    </row>
    <row r="94" spans="1:8" x14ac:dyDescent="0.25">
      <c r="A94" s="1471"/>
      <c r="B94" s="105" t="str">
        <f t="shared" si="11"/>
        <v>Flour - دقيق</v>
      </c>
      <c r="C94" s="105" t="str">
        <f t="shared" si="11"/>
        <v>gm</v>
      </c>
      <c r="D94" s="105">
        <f t="shared" si="11"/>
        <v>15</v>
      </c>
      <c r="E94" s="177">
        <f t="shared" si="14"/>
        <v>2.5431578947368418</v>
      </c>
      <c r="F94" s="109">
        <f t="shared" si="12"/>
        <v>1</v>
      </c>
      <c r="G94" s="103">
        <f t="shared" si="15"/>
        <v>38.147368421052626</v>
      </c>
      <c r="H94" s="102">
        <f t="shared" si="13"/>
        <v>38.147368421052626</v>
      </c>
    </row>
    <row r="95" spans="1:8" ht="18" customHeight="1" x14ac:dyDescent="0.25">
      <c r="A95" s="1472" t="s">
        <v>907</v>
      </c>
      <c r="B95" s="105" t="str">
        <f t="shared" si="11"/>
        <v>Garlic - ثوم مقشر</v>
      </c>
      <c r="C95" s="105" t="str">
        <f t="shared" si="11"/>
        <v>gm</v>
      </c>
      <c r="D95" s="105">
        <f t="shared" si="11"/>
        <v>20</v>
      </c>
      <c r="E95" s="177">
        <f t="shared" si="14"/>
        <v>2.5431578947368418</v>
      </c>
      <c r="F95" s="109">
        <f t="shared" si="12"/>
        <v>1</v>
      </c>
      <c r="G95" s="103">
        <f>D95*E95</f>
        <v>50.863157894736837</v>
      </c>
      <c r="H95" s="102">
        <f>G95*F95</f>
        <v>50.863157894736837</v>
      </c>
    </row>
    <row r="96" spans="1:8" ht="18" customHeight="1" x14ac:dyDescent="0.25">
      <c r="A96" s="1472"/>
      <c r="B96" s="105" t="str">
        <f t="shared" si="11"/>
        <v>Boiling</v>
      </c>
      <c r="C96" s="105">
        <f t="shared" si="11"/>
        <v>0</v>
      </c>
      <c r="D96" s="105">
        <f t="shared" si="11"/>
        <v>0</v>
      </c>
      <c r="E96" s="177">
        <f t="shared" si="14"/>
        <v>2.5431578947368418</v>
      </c>
      <c r="F96" s="109">
        <f t="shared" si="12"/>
        <v>0</v>
      </c>
      <c r="G96" s="103">
        <f>D96*E96</f>
        <v>0</v>
      </c>
      <c r="H96" s="102">
        <f>G96*F96</f>
        <v>0</v>
      </c>
    </row>
    <row r="97" spans="1:8" x14ac:dyDescent="0.25">
      <c r="A97" s="1472"/>
      <c r="B97" s="105" t="str">
        <f t="shared" ref="B97:D99" si="16">B16</f>
        <v>Water - ماء</v>
      </c>
      <c r="C97" s="105" t="str">
        <f t="shared" si="16"/>
        <v>ml</v>
      </c>
      <c r="D97" s="240">
        <f t="shared" si="16"/>
        <v>16000</v>
      </c>
      <c r="E97" s="177">
        <f t="shared" si="14"/>
        <v>2.5431578947368418</v>
      </c>
      <c r="F97" s="109">
        <f t="shared" si="12"/>
        <v>1</v>
      </c>
      <c r="G97" s="103">
        <f>D97*E97</f>
        <v>40690.526315789466</v>
      </c>
      <c r="H97" s="102">
        <f>G97*F97</f>
        <v>40690.526315789466</v>
      </c>
    </row>
    <row r="98" spans="1:8" ht="14.25" customHeight="1" x14ac:dyDescent="0.25">
      <c r="A98" s="1472"/>
      <c r="B98" s="105" t="str">
        <f>B17</f>
        <v>Salt - ملح</v>
      </c>
      <c r="C98" s="105" t="str">
        <f>C17</f>
        <v>gm</v>
      </c>
      <c r="D98" s="240">
        <f>D17</f>
        <v>19.725373134328358</v>
      </c>
      <c r="E98" s="177">
        <f t="shared" si="14"/>
        <v>2.5431578947368418</v>
      </c>
      <c r="F98" s="109">
        <f t="shared" si="12"/>
        <v>1</v>
      </c>
      <c r="G98" s="103">
        <f>D98*E98</f>
        <v>50.164738413197163</v>
      </c>
      <c r="H98" s="102">
        <f>G98*F98</f>
        <v>50.164738413197163</v>
      </c>
    </row>
    <row r="99" spans="1:8" ht="14.25" customHeight="1" x14ac:dyDescent="0.25">
      <c r="A99" s="1472"/>
      <c r="B99" s="105" t="str">
        <f t="shared" si="16"/>
        <v>Olive Oil - زيت زيتون</v>
      </c>
      <c r="C99" s="105" t="str">
        <f t="shared" si="16"/>
        <v>gm</v>
      </c>
      <c r="D99" s="240">
        <f t="shared" si="16"/>
        <v>9.8626865671641788</v>
      </c>
      <c r="E99" s="177">
        <f t="shared" si="14"/>
        <v>2.5431578947368418</v>
      </c>
      <c r="F99" s="109">
        <f t="shared" si="12"/>
        <v>1</v>
      </c>
      <c r="G99" s="103">
        <f>D99*E99</f>
        <v>25.082369206598582</v>
      </c>
      <c r="H99" s="102">
        <f>G99*F99</f>
        <v>25.082369206598582</v>
      </c>
    </row>
    <row r="100" spans="1:8" ht="30" customHeight="1" x14ac:dyDescent="0.25">
      <c r="A100" s="1458"/>
      <c r="B100" s="178" t="s">
        <v>702</v>
      </c>
      <c r="C100" s="180" t="s">
        <v>273</v>
      </c>
      <c r="E100" s="180" t="s">
        <v>288</v>
      </c>
      <c r="G100" s="804" t="s">
        <v>264</v>
      </c>
      <c r="H100" s="804" t="s">
        <v>684</v>
      </c>
    </row>
    <row r="101" spans="1:8" ht="19.5" customHeight="1" x14ac:dyDescent="0.3">
      <c r="A101" s="1458"/>
      <c r="B101" s="179">
        <f>$J$54</f>
        <v>3624</v>
      </c>
      <c r="C101" s="179">
        <f>E101+G101</f>
        <v>2415.9999999999995</v>
      </c>
      <c r="D101" s="839"/>
      <c r="E101" s="179">
        <f>$D$54*$S$44</f>
        <v>2415.9999999999995</v>
      </c>
      <c r="F101" s="843"/>
      <c r="G101" s="179">
        <f>$D$54*$T$44</f>
        <v>0</v>
      </c>
      <c r="H101" s="179">
        <f>B101+E101</f>
        <v>6040</v>
      </c>
    </row>
    <row r="102" spans="1:8" ht="14.25" customHeight="1" x14ac:dyDescent="0.25">
      <c r="A102" s="1472"/>
    </row>
    <row r="103" spans="1:8" ht="14.25" customHeight="1" x14ac:dyDescent="0.25">
      <c r="A103" s="1472"/>
    </row>
    <row r="104" spans="1:8" ht="14.25" customHeight="1" x14ac:dyDescent="0.25">
      <c r="A104" s="1472"/>
    </row>
    <row r="105" spans="1:8" ht="14.25" customHeight="1" x14ac:dyDescent="0.25">
      <c r="A105" s="1486"/>
      <c r="B105" s="1642" t="str">
        <f>"مكرونة فيتوتشيني  3 / " &amp; COUNTIF($C$53:$C$55, "&gt;0")</f>
        <v>مكرونة فيتوتشيني  3 / 2</v>
      </c>
      <c r="C105" s="1655"/>
      <c r="D105" s="1655"/>
      <c r="E105" s="1682"/>
      <c r="F105" s="1655"/>
      <c r="G105" s="1655"/>
      <c r="H105" s="1655"/>
    </row>
    <row r="106" spans="1:8" ht="14.25" customHeight="1" x14ac:dyDescent="0.25">
      <c r="A106" s="1486"/>
      <c r="B106" s="1636" t="str">
        <f>"Fettuccine Pasta Sauce  3 / " &amp; COUNTIF(C$53:$C$55, "&gt;0")</f>
        <v>Fettuccine Pasta Sauce  3 / 2</v>
      </c>
      <c r="C106" s="1633"/>
      <c r="D106" s="1633"/>
      <c r="E106" s="1633"/>
      <c r="F106" s="1633"/>
      <c r="G106" s="1633"/>
      <c r="H106" s="1633"/>
    </row>
    <row r="107" spans="1:8" ht="43.5" customHeight="1" x14ac:dyDescent="0.2">
      <c r="A107" s="1457"/>
      <c r="B107" s="75" t="s">
        <v>241</v>
      </c>
      <c r="C107" s="90" t="s">
        <v>242</v>
      </c>
      <c r="D107" s="75" t="s">
        <v>231</v>
      </c>
      <c r="E107" s="91" t="s">
        <v>234</v>
      </c>
      <c r="F107" s="91" t="s">
        <v>243</v>
      </c>
      <c r="G107" s="75" t="s">
        <v>244</v>
      </c>
      <c r="H107" s="92" t="s">
        <v>245</v>
      </c>
    </row>
    <row r="108" spans="1:8" ht="14.25" customHeight="1" x14ac:dyDescent="0.25">
      <c r="A108" s="1471"/>
      <c r="B108" s="105" t="str">
        <f t="shared" ref="B108:D121" si="17">B5</f>
        <v>Fettuccine Pasta - مكرونة فيتوتشيني</v>
      </c>
      <c r="C108" s="105" t="str">
        <f t="shared" si="17"/>
        <v>gm</v>
      </c>
      <c r="D108" s="240">
        <f t="shared" si="17"/>
        <v>500</v>
      </c>
      <c r="E108" s="177">
        <f>H55</f>
        <v>0</v>
      </c>
      <c r="F108" s="109">
        <f t="shared" ref="F108:F121" si="18">F5</f>
        <v>1</v>
      </c>
      <c r="G108" s="103">
        <f t="shared" ref="G108:G113" si="19">D108*E108</f>
        <v>0</v>
      </c>
      <c r="H108" s="102">
        <f t="shared" ref="H108:H113" si="20">G108*F108</f>
        <v>0</v>
      </c>
    </row>
    <row r="109" spans="1:8" x14ac:dyDescent="0.25">
      <c r="A109" s="1471"/>
      <c r="B109" s="105" t="str">
        <f t="shared" si="17"/>
        <v>Cooking Cream - كريمة طبخ</v>
      </c>
      <c r="C109" s="105" t="str">
        <f t="shared" si="17"/>
        <v>ml</v>
      </c>
      <c r="D109" s="240">
        <f t="shared" si="17"/>
        <v>600</v>
      </c>
      <c r="E109" s="177">
        <f t="shared" ref="E109:E121" si="21">$C$55</f>
        <v>0</v>
      </c>
      <c r="F109" s="109">
        <f t="shared" si="18"/>
        <v>1</v>
      </c>
      <c r="G109" s="103">
        <f t="shared" si="19"/>
        <v>0</v>
      </c>
      <c r="H109" s="102">
        <f t="shared" si="20"/>
        <v>0</v>
      </c>
    </row>
    <row r="110" spans="1:8" x14ac:dyDescent="0.25">
      <c r="A110" s="1471"/>
      <c r="B110" s="105" t="str">
        <f t="shared" si="17"/>
        <v>Milk - حليب</v>
      </c>
      <c r="C110" s="105" t="str">
        <f t="shared" si="17"/>
        <v>ml</v>
      </c>
      <c r="D110" s="240">
        <f t="shared" si="17"/>
        <v>600</v>
      </c>
      <c r="E110" s="177">
        <f t="shared" si="21"/>
        <v>0</v>
      </c>
      <c r="F110" s="109">
        <f t="shared" si="18"/>
        <v>1</v>
      </c>
      <c r="G110" s="103">
        <f t="shared" si="19"/>
        <v>0</v>
      </c>
      <c r="H110" s="102">
        <f t="shared" si="20"/>
        <v>0</v>
      </c>
    </row>
    <row r="111" spans="1:8" ht="18" customHeight="1" x14ac:dyDescent="0.25">
      <c r="A111" s="1471" t="s">
        <v>905</v>
      </c>
      <c r="B111" s="105" t="str">
        <f t="shared" si="17"/>
        <v>Onion - بصل</v>
      </c>
      <c r="C111" s="105" t="str">
        <f t="shared" si="17"/>
        <v>gm</v>
      </c>
      <c r="D111" s="240">
        <f t="shared" si="17"/>
        <v>20</v>
      </c>
      <c r="E111" s="177">
        <f t="shared" si="21"/>
        <v>0</v>
      </c>
      <c r="F111" s="109">
        <f t="shared" si="18"/>
        <v>1</v>
      </c>
      <c r="G111" s="103">
        <f t="shared" si="19"/>
        <v>0</v>
      </c>
      <c r="H111" s="102">
        <f t="shared" si="20"/>
        <v>0</v>
      </c>
    </row>
    <row r="112" spans="1:8" ht="18" customHeight="1" x14ac:dyDescent="0.25">
      <c r="A112" s="1471"/>
      <c r="B112" s="105" t="str">
        <f t="shared" si="17"/>
        <v>Maggi Cubes - مكعبات ماجي</v>
      </c>
      <c r="C112" s="105" t="str">
        <f t="shared" si="17"/>
        <v>gm</v>
      </c>
      <c r="D112" s="240">
        <f t="shared" si="17"/>
        <v>10</v>
      </c>
      <c r="E112" s="177">
        <f t="shared" si="21"/>
        <v>0</v>
      </c>
      <c r="F112" s="109">
        <f t="shared" si="18"/>
        <v>1</v>
      </c>
      <c r="G112" s="103">
        <f t="shared" si="19"/>
        <v>0</v>
      </c>
      <c r="H112" s="102">
        <f t="shared" si="20"/>
        <v>0</v>
      </c>
    </row>
    <row r="113" spans="1:8" x14ac:dyDescent="0.25">
      <c r="A113" s="1471"/>
      <c r="B113" s="105" t="str">
        <f t="shared" si="17"/>
        <v>White Pepper - فلفل أبيض</v>
      </c>
      <c r="C113" s="105" t="str">
        <f t="shared" si="17"/>
        <v>gm</v>
      </c>
      <c r="D113" s="240">
        <f t="shared" si="17"/>
        <v>2</v>
      </c>
      <c r="E113" s="177">
        <f t="shared" si="21"/>
        <v>0</v>
      </c>
      <c r="F113" s="109">
        <f t="shared" si="18"/>
        <v>1</v>
      </c>
      <c r="G113" s="103">
        <f t="shared" si="19"/>
        <v>0</v>
      </c>
      <c r="H113" s="102">
        <f t="shared" si="20"/>
        <v>0</v>
      </c>
    </row>
    <row r="114" spans="1:8" ht="14.25" customHeight="1" x14ac:dyDescent="0.25">
      <c r="A114" s="1471"/>
      <c r="B114" s="105" t="str">
        <f t="shared" si="17"/>
        <v>Salt - ملح</v>
      </c>
      <c r="C114" s="105" t="str">
        <f t="shared" si="17"/>
        <v>ml</v>
      </c>
      <c r="D114" s="240">
        <f t="shared" si="17"/>
        <v>2</v>
      </c>
      <c r="E114" s="177">
        <f t="shared" si="21"/>
        <v>0</v>
      </c>
      <c r="F114" s="109">
        <f t="shared" si="18"/>
        <v>1</v>
      </c>
      <c r="G114" s="103">
        <f t="shared" ref="G114:G121" si="22">D114*E114</f>
        <v>0</v>
      </c>
      <c r="H114" s="102">
        <f t="shared" ref="H114:H121" si="23">G114*F114</f>
        <v>0</v>
      </c>
    </row>
    <row r="115" spans="1:8" ht="14.25" customHeight="1" x14ac:dyDescent="0.25">
      <c r="A115" s="1471"/>
      <c r="B115" s="105" t="str">
        <f t="shared" si="17"/>
        <v>Butter - زبدة</v>
      </c>
      <c r="C115" s="105" t="str">
        <f t="shared" si="17"/>
        <v>gm</v>
      </c>
      <c r="D115" s="240">
        <f t="shared" si="17"/>
        <v>20</v>
      </c>
      <c r="E115" s="177">
        <f t="shared" si="21"/>
        <v>0</v>
      </c>
      <c r="F115" s="109">
        <f t="shared" si="18"/>
        <v>1</v>
      </c>
      <c r="G115" s="103">
        <f t="shared" si="22"/>
        <v>0</v>
      </c>
      <c r="H115" s="102">
        <f t="shared" si="23"/>
        <v>0</v>
      </c>
    </row>
    <row r="116" spans="1:8" ht="14.25" customHeight="1" x14ac:dyDescent="0.25">
      <c r="A116" s="1471"/>
      <c r="B116" s="105" t="str">
        <f t="shared" si="17"/>
        <v>Flour - دقيق</v>
      </c>
      <c r="C116" s="105" t="str">
        <f t="shared" si="17"/>
        <v>gm</v>
      </c>
      <c r="D116" s="240">
        <f t="shared" si="17"/>
        <v>15</v>
      </c>
      <c r="E116" s="177">
        <f t="shared" si="21"/>
        <v>0</v>
      </c>
      <c r="F116" s="109">
        <f t="shared" si="18"/>
        <v>1</v>
      </c>
      <c r="G116" s="103">
        <f t="shared" si="22"/>
        <v>0</v>
      </c>
      <c r="H116" s="102">
        <f t="shared" si="23"/>
        <v>0</v>
      </c>
    </row>
    <row r="117" spans="1:8" ht="14.25" customHeight="1" x14ac:dyDescent="0.25">
      <c r="A117" s="1471" t="s">
        <v>907</v>
      </c>
      <c r="B117" s="105" t="str">
        <f t="shared" si="17"/>
        <v>Garlic - ثوم مقشر</v>
      </c>
      <c r="C117" s="105" t="str">
        <f t="shared" si="17"/>
        <v>gm</v>
      </c>
      <c r="D117" s="240">
        <f t="shared" si="17"/>
        <v>20</v>
      </c>
      <c r="E117" s="177">
        <f t="shared" si="21"/>
        <v>0</v>
      </c>
      <c r="F117" s="109">
        <f t="shared" si="18"/>
        <v>1</v>
      </c>
      <c r="G117" s="103">
        <f t="shared" si="22"/>
        <v>0</v>
      </c>
      <c r="H117" s="102">
        <f t="shared" si="23"/>
        <v>0</v>
      </c>
    </row>
    <row r="118" spans="1:8" ht="14.25" customHeight="1" x14ac:dyDescent="0.25">
      <c r="A118" s="1471"/>
      <c r="B118" s="105" t="str">
        <f t="shared" si="17"/>
        <v>Boiling</v>
      </c>
      <c r="C118" s="105">
        <f t="shared" si="17"/>
        <v>0</v>
      </c>
      <c r="D118" s="240">
        <f t="shared" si="17"/>
        <v>0</v>
      </c>
      <c r="E118" s="177">
        <f t="shared" si="21"/>
        <v>0</v>
      </c>
      <c r="F118" s="109">
        <f t="shared" si="18"/>
        <v>0</v>
      </c>
      <c r="G118" s="103">
        <f t="shared" si="22"/>
        <v>0</v>
      </c>
      <c r="H118" s="102">
        <f t="shared" si="23"/>
        <v>0</v>
      </c>
    </row>
    <row r="119" spans="1:8" ht="14.25" customHeight="1" x14ac:dyDescent="0.25">
      <c r="A119" s="1471"/>
      <c r="B119" s="105" t="str">
        <f t="shared" si="17"/>
        <v>Water - ماء</v>
      </c>
      <c r="C119" s="105" t="str">
        <f t="shared" si="17"/>
        <v>ml</v>
      </c>
      <c r="D119" s="240">
        <f t="shared" si="17"/>
        <v>16000</v>
      </c>
      <c r="E119" s="177">
        <f t="shared" si="21"/>
        <v>0</v>
      </c>
      <c r="F119" s="109">
        <f t="shared" si="18"/>
        <v>1</v>
      </c>
      <c r="G119" s="103">
        <f t="shared" si="22"/>
        <v>0</v>
      </c>
      <c r="H119" s="102">
        <f t="shared" si="23"/>
        <v>0</v>
      </c>
    </row>
    <row r="120" spans="1:8" ht="14.25" customHeight="1" x14ac:dyDescent="0.25">
      <c r="A120" s="1471"/>
      <c r="B120" s="105" t="str">
        <f t="shared" si="17"/>
        <v>Salt - ملح</v>
      </c>
      <c r="C120" s="105" t="str">
        <f t="shared" si="17"/>
        <v>gm</v>
      </c>
      <c r="D120" s="240">
        <f t="shared" si="17"/>
        <v>19.725373134328358</v>
      </c>
      <c r="E120" s="177">
        <f t="shared" si="21"/>
        <v>0</v>
      </c>
      <c r="F120" s="109">
        <f t="shared" si="18"/>
        <v>1</v>
      </c>
      <c r="G120" s="103">
        <f t="shared" si="22"/>
        <v>0</v>
      </c>
      <c r="H120" s="102">
        <f t="shared" si="23"/>
        <v>0</v>
      </c>
    </row>
    <row r="121" spans="1:8" ht="14.25" customHeight="1" x14ac:dyDescent="0.25">
      <c r="A121" s="1471"/>
      <c r="B121" s="105" t="str">
        <f t="shared" si="17"/>
        <v>Olive Oil - زيت زيتون</v>
      </c>
      <c r="C121" s="105" t="str">
        <f t="shared" si="17"/>
        <v>gm</v>
      </c>
      <c r="D121" s="240">
        <f t="shared" si="17"/>
        <v>9.8626865671641788</v>
      </c>
      <c r="E121" s="177">
        <f t="shared" si="21"/>
        <v>0</v>
      </c>
      <c r="F121" s="109">
        <f t="shared" si="18"/>
        <v>1</v>
      </c>
      <c r="G121" s="103">
        <f t="shared" si="22"/>
        <v>0</v>
      </c>
      <c r="H121" s="102">
        <f t="shared" si="23"/>
        <v>0</v>
      </c>
    </row>
    <row r="122" spans="1:8" ht="14.25" customHeight="1" x14ac:dyDescent="0.25">
      <c r="A122" s="1472"/>
      <c r="B122" s="178" t="s">
        <v>702</v>
      </c>
      <c r="C122" s="180" t="s">
        <v>273</v>
      </c>
      <c r="E122" s="180" t="s">
        <v>288</v>
      </c>
      <c r="G122" s="804" t="s">
        <v>264</v>
      </c>
      <c r="H122" s="804" t="s">
        <v>673</v>
      </c>
    </row>
    <row r="123" spans="1:8" ht="20.25" customHeight="1" x14ac:dyDescent="0.3">
      <c r="A123" s="1472"/>
      <c r="B123" s="179">
        <f>$J$55</f>
        <v>0</v>
      </c>
      <c r="C123" s="181">
        <f>E123+G123</f>
        <v>0</v>
      </c>
      <c r="E123" s="181">
        <f>$D$55*$S$44</f>
        <v>0</v>
      </c>
      <c r="G123" s="182">
        <f>$D$55*$T$44</f>
        <v>0</v>
      </c>
      <c r="H123" s="182">
        <f>B123+E123</f>
        <v>0</v>
      </c>
    </row>
    <row r="124" spans="1:8" x14ac:dyDescent="0.25">
      <c r="A124" s="1472"/>
    </row>
    <row r="125" spans="1:8" x14ac:dyDescent="0.25">
      <c r="A125" s="1472"/>
    </row>
    <row r="126" spans="1:8" x14ac:dyDescent="0.25">
      <c r="A126" s="1486"/>
      <c r="B126" s="1642" t="str">
        <f>"مكرونة فيتوتشيني  4 / " &amp; COUNTIF($C$19:$C$22, "&gt;0")</f>
        <v>مكرونة فيتوتشيني  4 / 0</v>
      </c>
      <c r="C126" s="1655"/>
      <c r="D126" s="1655"/>
      <c r="E126" s="1682"/>
      <c r="F126" s="1655"/>
      <c r="G126" s="1655"/>
      <c r="H126" s="1655"/>
    </row>
    <row r="127" spans="1:8" x14ac:dyDescent="0.25">
      <c r="A127" s="1486"/>
      <c r="B127" s="1636" t="str">
        <f>"Fettuccine Pasta Sauce  4 / " &amp; COUNTIF(C$19:$C$22, "&gt;0")</f>
        <v>Fettuccine Pasta Sauce  4 / 0</v>
      </c>
      <c r="C127" s="1633"/>
      <c r="D127" s="1633"/>
      <c r="E127" s="1633"/>
      <c r="F127" s="1633"/>
      <c r="G127" s="1633"/>
      <c r="H127" s="1633"/>
    </row>
    <row r="128" spans="1:8" ht="38.25" x14ac:dyDescent="0.2">
      <c r="A128" s="1457"/>
      <c r="B128" s="75" t="s">
        <v>241</v>
      </c>
      <c r="C128" s="90" t="s">
        <v>242</v>
      </c>
      <c r="D128" s="75" t="s">
        <v>231</v>
      </c>
      <c r="E128" s="91" t="s">
        <v>234</v>
      </c>
      <c r="F128" s="91" t="s">
        <v>243</v>
      </c>
      <c r="G128" s="75" t="s">
        <v>244</v>
      </c>
      <c r="H128" s="92" t="s">
        <v>245</v>
      </c>
    </row>
    <row r="129" spans="1:8" x14ac:dyDescent="0.25">
      <c r="A129" s="1471"/>
      <c r="B129" s="105" t="str">
        <f t="shared" ref="B129:D142" si="24">B5</f>
        <v>Fettuccine Pasta - مكرونة فيتوتشيني</v>
      </c>
      <c r="C129" s="105" t="str">
        <f t="shared" si="24"/>
        <v>gm</v>
      </c>
      <c r="D129" s="240">
        <f t="shared" si="24"/>
        <v>500</v>
      </c>
      <c r="E129" s="177">
        <f>H56</f>
        <v>0</v>
      </c>
      <c r="F129" s="109">
        <f t="shared" ref="F129:F142" si="25">F5</f>
        <v>1</v>
      </c>
      <c r="G129" s="103">
        <f>D129*E129</f>
        <v>0</v>
      </c>
      <c r="H129" s="102">
        <f>G129*F129</f>
        <v>0</v>
      </c>
    </row>
    <row r="130" spans="1:8" x14ac:dyDescent="0.25">
      <c r="A130" s="1471"/>
      <c r="B130" s="105" t="str">
        <f t="shared" si="24"/>
        <v>Cooking Cream - كريمة طبخ</v>
      </c>
      <c r="C130" s="105" t="str">
        <f t="shared" si="24"/>
        <v>ml</v>
      </c>
      <c r="D130" s="240">
        <f t="shared" si="24"/>
        <v>600</v>
      </c>
      <c r="E130" s="177">
        <f>$C$56</f>
        <v>0</v>
      </c>
      <c r="F130" s="109">
        <f t="shared" si="25"/>
        <v>1</v>
      </c>
      <c r="G130" s="103">
        <f>D130*E130</f>
        <v>0</v>
      </c>
      <c r="H130" s="102">
        <f>G130*F130</f>
        <v>0</v>
      </c>
    </row>
    <row r="131" spans="1:8" x14ac:dyDescent="0.25">
      <c r="A131" s="1471"/>
      <c r="B131" s="105" t="str">
        <f t="shared" si="24"/>
        <v>Milk - حليب</v>
      </c>
      <c r="C131" s="105" t="str">
        <f t="shared" si="24"/>
        <v>ml</v>
      </c>
      <c r="D131" s="240">
        <f t="shared" si="24"/>
        <v>600</v>
      </c>
      <c r="E131" s="177">
        <f t="shared" ref="E131:E142" si="26">$C$56</f>
        <v>0</v>
      </c>
      <c r="F131" s="109">
        <f t="shared" si="25"/>
        <v>1</v>
      </c>
      <c r="G131" s="103">
        <f>D131*E131</f>
        <v>0</v>
      </c>
      <c r="H131" s="102">
        <f>G131*F131</f>
        <v>0</v>
      </c>
    </row>
    <row r="132" spans="1:8" x14ac:dyDescent="0.25">
      <c r="A132" s="1471" t="s">
        <v>905</v>
      </c>
      <c r="B132" s="105" t="str">
        <f t="shared" si="24"/>
        <v>Onion - بصل</v>
      </c>
      <c r="C132" s="105" t="str">
        <f t="shared" si="24"/>
        <v>gm</v>
      </c>
      <c r="D132" s="240">
        <f t="shared" si="24"/>
        <v>20</v>
      </c>
      <c r="E132" s="177">
        <f t="shared" si="26"/>
        <v>0</v>
      </c>
      <c r="F132" s="109">
        <f t="shared" si="25"/>
        <v>1</v>
      </c>
      <c r="G132" s="103">
        <f>F25</f>
        <v>0</v>
      </c>
      <c r="H132" s="102">
        <f t="shared" ref="H132:H142" si="27">G132*F132</f>
        <v>0</v>
      </c>
    </row>
    <row r="133" spans="1:8" x14ac:dyDescent="0.25">
      <c r="A133" s="1471"/>
      <c r="B133" s="105" t="str">
        <f t="shared" si="24"/>
        <v>Maggi Cubes - مكعبات ماجي</v>
      </c>
      <c r="C133" s="105" t="str">
        <f t="shared" si="24"/>
        <v>gm</v>
      </c>
      <c r="D133" s="240">
        <f t="shared" si="24"/>
        <v>10</v>
      </c>
      <c r="E133" s="177">
        <f t="shared" si="26"/>
        <v>0</v>
      </c>
      <c r="F133" s="109">
        <f t="shared" si="25"/>
        <v>1</v>
      </c>
      <c r="G133" s="103">
        <f>D133*E133</f>
        <v>0</v>
      </c>
      <c r="H133" s="102">
        <f t="shared" si="27"/>
        <v>0</v>
      </c>
    </row>
    <row r="134" spans="1:8" x14ac:dyDescent="0.25">
      <c r="A134" s="1471"/>
      <c r="B134" s="105" t="str">
        <f t="shared" si="24"/>
        <v>White Pepper - فلفل أبيض</v>
      </c>
      <c r="C134" s="105" t="str">
        <f t="shared" si="24"/>
        <v>gm</v>
      </c>
      <c r="D134" s="240">
        <f t="shared" si="24"/>
        <v>2</v>
      </c>
      <c r="E134" s="177">
        <f t="shared" si="26"/>
        <v>0</v>
      </c>
      <c r="F134" s="109">
        <f t="shared" si="25"/>
        <v>1</v>
      </c>
      <c r="G134" s="103">
        <f>D134*E134</f>
        <v>0</v>
      </c>
      <c r="H134" s="102">
        <f t="shared" si="27"/>
        <v>0</v>
      </c>
    </row>
    <row r="135" spans="1:8" x14ac:dyDescent="0.25">
      <c r="A135" s="1471"/>
      <c r="B135" s="105" t="str">
        <f t="shared" si="24"/>
        <v>Salt - ملح</v>
      </c>
      <c r="C135" s="105" t="str">
        <f t="shared" si="24"/>
        <v>ml</v>
      </c>
      <c r="D135" s="240">
        <f t="shared" si="24"/>
        <v>2</v>
      </c>
      <c r="E135" s="177">
        <f t="shared" si="26"/>
        <v>0</v>
      </c>
      <c r="F135" s="109">
        <f t="shared" si="25"/>
        <v>1</v>
      </c>
      <c r="G135" s="103">
        <f>F52</f>
        <v>0</v>
      </c>
      <c r="H135" s="102">
        <f t="shared" si="27"/>
        <v>0</v>
      </c>
    </row>
    <row r="136" spans="1:8" x14ac:dyDescent="0.25">
      <c r="A136" s="1471"/>
      <c r="B136" s="105" t="str">
        <f t="shared" si="24"/>
        <v>Butter - زبدة</v>
      </c>
      <c r="C136" s="105" t="str">
        <f t="shared" si="24"/>
        <v>gm</v>
      </c>
      <c r="D136" s="240">
        <f t="shared" si="24"/>
        <v>20</v>
      </c>
      <c r="E136" s="177">
        <f t="shared" si="26"/>
        <v>0</v>
      </c>
      <c r="F136" s="109">
        <f t="shared" si="25"/>
        <v>1</v>
      </c>
      <c r="G136" s="103">
        <f>D136*E136</f>
        <v>0</v>
      </c>
      <c r="H136" s="102">
        <f t="shared" si="27"/>
        <v>0</v>
      </c>
    </row>
    <row r="137" spans="1:8" x14ac:dyDescent="0.25">
      <c r="A137" s="1471"/>
      <c r="B137" s="105" t="str">
        <f t="shared" si="24"/>
        <v>Flour - دقيق</v>
      </c>
      <c r="C137" s="105" t="str">
        <f t="shared" si="24"/>
        <v>gm</v>
      </c>
      <c r="D137" s="240">
        <f t="shared" si="24"/>
        <v>15</v>
      </c>
      <c r="E137" s="177">
        <f t="shared" si="26"/>
        <v>0</v>
      </c>
      <c r="F137" s="109">
        <f t="shared" si="25"/>
        <v>1</v>
      </c>
      <c r="G137" s="103">
        <f>D137*E137</f>
        <v>0</v>
      </c>
      <c r="H137" s="102">
        <f t="shared" si="27"/>
        <v>0</v>
      </c>
    </row>
    <row r="138" spans="1:8" x14ac:dyDescent="0.25">
      <c r="A138" s="1471" t="s">
        <v>907</v>
      </c>
      <c r="B138" s="105" t="str">
        <f t="shared" si="24"/>
        <v>Garlic - ثوم مقشر</v>
      </c>
      <c r="C138" s="105" t="str">
        <f t="shared" si="24"/>
        <v>gm</v>
      </c>
      <c r="D138" s="240">
        <f t="shared" si="24"/>
        <v>20</v>
      </c>
      <c r="E138" s="177">
        <f t="shared" si="26"/>
        <v>0</v>
      </c>
      <c r="F138" s="109">
        <f t="shared" si="25"/>
        <v>1</v>
      </c>
      <c r="G138" s="103">
        <f>F55</f>
        <v>0</v>
      </c>
      <c r="H138" s="102">
        <f t="shared" si="27"/>
        <v>0</v>
      </c>
    </row>
    <row r="139" spans="1:8" x14ac:dyDescent="0.25">
      <c r="A139" s="1471"/>
      <c r="B139" s="105" t="str">
        <f t="shared" si="24"/>
        <v>Boiling</v>
      </c>
      <c r="C139" s="105">
        <f t="shared" si="24"/>
        <v>0</v>
      </c>
      <c r="D139" s="240">
        <f t="shared" si="24"/>
        <v>0</v>
      </c>
      <c r="E139" s="177">
        <f t="shared" si="26"/>
        <v>0</v>
      </c>
      <c r="F139" s="109">
        <f t="shared" si="25"/>
        <v>0</v>
      </c>
      <c r="G139" s="103">
        <f>D139*E139</f>
        <v>0</v>
      </c>
      <c r="H139" s="102">
        <f t="shared" si="27"/>
        <v>0</v>
      </c>
    </row>
    <row r="140" spans="1:8" x14ac:dyDescent="0.25">
      <c r="A140" s="1471"/>
      <c r="B140" s="105" t="str">
        <f t="shared" si="24"/>
        <v>Water - ماء</v>
      </c>
      <c r="C140" s="105" t="str">
        <f t="shared" si="24"/>
        <v>ml</v>
      </c>
      <c r="D140" s="240">
        <f t="shared" si="24"/>
        <v>16000</v>
      </c>
      <c r="E140" s="177">
        <f t="shared" si="26"/>
        <v>0</v>
      </c>
      <c r="F140" s="109">
        <f t="shared" si="25"/>
        <v>1</v>
      </c>
      <c r="G140" s="103">
        <f>D140*E140</f>
        <v>0</v>
      </c>
      <c r="H140" s="102">
        <f t="shared" si="27"/>
        <v>0</v>
      </c>
    </row>
    <row r="141" spans="1:8" x14ac:dyDescent="0.25">
      <c r="A141" s="1471"/>
      <c r="B141" s="105" t="str">
        <f t="shared" si="24"/>
        <v>Salt - ملح</v>
      </c>
      <c r="C141" s="105" t="str">
        <f t="shared" si="24"/>
        <v>gm</v>
      </c>
      <c r="D141" s="240">
        <f t="shared" si="24"/>
        <v>19.725373134328358</v>
      </c>
      <c r="E141" s="177">
        <f t="shared" si="26"/>
        <v>0</v>
      </c>
      <c r="F141" s="109">
        <f t="shared" si="25"/>
        <v>1</v>
      </c>
      <c r="G141" s="103">
        <f>F34</f>
        <v>0</v>
      </c>
      <c r="H141" s="102">
        <f t="shared" si="27"/>
        <v>0</v>
      </c>
    </row>
    <row r="142" spans="1:8" x14ac:dyDescent="0.25">
      <c r="A142" s="1471"/>
      <c r="B142" s="105" t="str">
        <f t="shared" si="24"/>
        <v>Olive Oil - زيت زيتون</v>
      </c>
      <c r="C142" s="105" t="str">
        <f t="shared" si="24"/>
        <v>gm</v>
      </c>
      <c r="D142" s="240">
        <f t="shared" si="24"/>
        <v>9.8626865671641788</v>
      </c>
      <c r="E142" s="177">
        <f t="shared" si="26"/>
        <v>0</v>
      </c>
      <c r="F142" s="109">
        <f t="shared" si="25"/>
        <v>1</v>
      </c>
      <c r="G142" s="103">
        <f>D142*E142</f>
        <v>0</v>
      </c>
      <c r="H142" s="102">
        <f t="shared" si="27"/>
        <v>0</v>
      </c>
    </row>
    <row r="143" spans="1:8" ht="18" x14ac:dyDescent="0.25">
      <c r="A143" s="1472"/>
      <c r="B143" s="178" t="s">
        <v>702</v>
      </c>
      <c r="C143" s="180" t="s">
        <v>273</v>
      </c>
      <c r="E143" s="180" t="s">
        <v>288</v>
      </c>
      <c r="G143" s="804" t="s">
        <v>264</v>
      </c>
      <c r="H143" s="804" t="s">
        <v>673</v>
      </c>
    </row>
    <row r="144" spans="1:8" ht="20.25" x14ac:dyDescent="0.3">
      <c r="A144" s="1472"/>
      <c r="B144" s="179">
        <f>$J$56</f>
        <v>0</v>
      </c>
      <c r="C144" s="179">
        <f>E144+G144</f>
        <v>0</v>
      </c>
      <c r="D144" s="850"/>
      <c r="E144" s="179">
        <f>$D$56*$S$44</f>
        <v>0</v>
      </c>
      <c r="F144" s="850"/>
      <c r="G144" s="179">
        <f>$D$56*$T$44</f>
        <v>0</v>
      </c>
      <c r="H144" s="179">
        <f>B144+E144</f>
        <v>0</v>
      </c>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2">
    <mergeCell ref="B126:H126"/>
    <mergeCell ref="B127:H127"/>
    <mergeCell ref="B63:H63"/>
    <mergeCell ref="AE2:AE3"/>
    <mergeCell ref="B106:H106"/>
    <mergeCell ref="B84:H84"/>
    <mergeCell ref="R26:U26"/>
    <mergeCell ref="R25:U25"/>
    <mergeCell ref="B64:H64"/>
    <mergeCell ref="B83:H83"/>
    <mergeCell ref="B2:H3"/>
    <mergeCell ref="B105:H105"/>
  </mergeCells>
  <phoneticPr fontId="67" type="noConversion"/>
  <printOptions horizontalCentered="1"/>
  <pageMargins left="0.5" right="0.5" top="1" bottom="0.5" header="0.3" footer="0.511811023622047"/>
  <pageSetup paperSize="9" scale="32"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8" tint="-0.249977111117893"/>
    <pageSetUpPr fitToPage="1"/>
  </sheetPr>
  <dimension ref="A1:AT174"/>
  <sheetViews>
    <sheetView topLeftCell="C1" zoomScale="55" zoomScaleNormal="55" workbookViewId="0">
      <selection activeCell="D5" sqref="D5"/>
    </sheetView>
  </sheetViews>
  <sheetFormatPr defaultColWidth="12.5" defaultRowHeight="15" x14ac:dyDescent="0.25"/>
  <cols>
    <col min="1" max="1" width="12.5" style="63" customWidth="1"/>
    <col min="2" max="2" width="32.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5.625" style="14" customWidth="1"/>
    <col min="15" max="15" width="14.5" style="14" customWidth="1"/>
    <col min="16" max="17" width="12.5" style="14" customWidth="1"/>
    <col min="18" max="18" width="32.625" style="14" bestFit="1" customWidth="1"/>
    <col min="19" max="19" width="12.5" style="14" customWidth="1"/>
    <col min="20" max="27" width="12.5" style="14"/>
    <col min="28" max="28" width="13.375" style="14" bestFit="1" customWidth="1"/>
    <col min="29" max="30" width="12.5" style="712"/>
    <col min="31" max="35" width="3.375" style="14" customWidth="1"/>
    <col min="36" max="36" width="29.625" style="14" customWidth="1"/>
    <col min="37" max="16384" width="12.5" style="14"/>
  </cols>
  <sheetData>
    <row r="1" spans="1:46" ht="33" customHeight="1" x14ac:dyDescent="0.25">
      <c r="B1" s="64" t="s">
        <v>231</v>
      </c>
      <c r="C1" s="65">
        <v>1000</v>
      </c>
      <c r="D1" s="66" t="s">
        <v>232</v>
      </c>
      <c r="E1" s="99">
        <f>T32</f>
        <v>11172</v>
      </c>
      <c r="F1" s="64" t="s">
        <v>233</v>
      </c>
      <c r="G1" s="65">
        <f>E1/C1</f>
        <v>11.172000000000001</v>
      </c>
      <c r="H1" s="64" t="s">
        <v>234</v>
      </c>
      <c r="I1" s="260">
        <f>(G1/K1)</f>
        <v>11.172000000000001</v>
      </c>
      <c r="J1" s="70" t="s">
        <v>235</v>
      </c>
      <c r="K1" s="369">
        <v>1</v>
      </c>
      <c r="L1" s="84"/>
      <c r="M1" s="73"/>
      <c r="N1" s="74"/>
      <c r="O1" s="75" t="s">
        <v>236</v>
      </c>
      <c r="P1" s="76" t="s">
        <v>299</v>
      </c>
      <c r="Q1" s="77" t="s">
        <v>238</v>
      </c>
      <c r="R1" s="76">
        <v>0.54</v>
      </c>
      <c r="Y1" s="75" t="s">
        <v>453</v>
      </c>
      <c r="Z1" s="766">
        <v>27430</v>
      </c>
      <c r="AA1" s="75" t="s">
        <v>556</v>
      </c>
      <c r="AB1" s="766">
        <v>500</v>
      </c>
      <c r="AC1" s="75" t="s">
        <v>546</v>
      </c>
      <c r="AD1" s="766">
        <v>181</v>
      </c>
      <c r="AI1" s="1"/>
      <c r="AJ1" s="78" t="s">
        <v>250</v>
      </c>
      <c r="AK1" s="78">
        <v>10000</v>
      </c>
      <c r="AL1" s="561" t="s">
        <v>503</v>
      </c>
      <c r="AM1" s="562">
        <f>$S$32</f>
        <v>27930</v>
      </c>
      <c r="AN1" s="78" t="s">
        <v>239</v>
      </c>
      <c r="AO1" s="305">
        <f>(($S$32)/$R$1)/$AK$1</f>
        <v>5.1722222222222216</v>
      </c>
      <c r="AP1" s="79"/>
      <c r="AQ1" s="114"/>
      <c r="AR1" s="114"/>
      <c r="AS1" s="114"/>
      <c r="AT1" s="114"/>
    </row>
    <row r="2" spans="1:46" ht="12.75" customHeight="1" x14ac:dyDescent="0.25">
      <c r="A2" s="81"/>
      <c r="B2" s="1645" t="s">
        <v>820</v>
      </c>
      <c r="C2" s="1655"/>
      <c r="D2" s="1655"/>
      <c r="E2" s="1655"/>
      <c r="F2" s="1655"/>
      <c r="G2" s="1655"/>
      <c r="H2" s="1655"/>
      <c r="I2" s="1655"/>
      <c r="J2" s="1655"/>
      <c r="K2" s="370"/>
      <c r="L2" s="370"/>
      <c r="M2" s="84"/>
      <c r="N2" s="84"/>
      <c r="O2" s="84"/>
      <c r="P2" s="84"/>
      <c r="Q2" s="84"/>
      <c r="R2" s="84"/>
      <c r="AC2" s="14"/>
      <c r="AD2" s="14"/>
      <c r="AI2" s="1"/>
      <c r="AJ2" s="85"/>
      <c r="AK2" s="1631" t="s">
        <v>821</v>
      </c>
      <c r="AL2" s="1631"/>
      <c r="AM2" s="1631"/>
      <c r="AN2" s="86"/>
      <c r="AO2" s="85"/>
      <c r="AP2" s="85"/>
      <c r="AQ2"/>
      <c r="AR2"/>
      <c r="AS2"/>
      <c r="AT2"/>
    </row>
    <row r="3" spans="1:46" ht="12.75" customHeight="1" x14ac:dyDescent="0.25">
      <c r="A3" s="81"/>
      <c r="B3" s="1633"/>
      <c r="C3" s="1633"/>
      <c r="D3" s="1633"/>
      <c r="E3" s="1633"/>
      <c r="F3" s="1633"/>
      <c r="G3" s="1633"/>
      <c r="H3" s="1633"/>
      <c r="I3" s="1633"/>
      <c r="J3" s="1633"/>
      <c r="K3" s="370"/>
      <c r="L3" s="370"/>
      <c r="M3" s="84"/>
      <c r="N3" s="84"/>
      <c r="O3" s="84"/>
      <c r="P3" s="84"/>
      <c r="Q3" s="84"/>
      <c r="R3" s="84"/>
      <c r="AC3" s="14"/>
      <c r="AD3" s="14"/>
      <c r="AI3" s="1"/>
      <c r="AJ3" s="88"/>
      <c r="AK3" s="88"/>
      <c r="AL3" s="89"/>
      <c r="AM3" s="89"/>
      <c r="AN3" s="89"/>
      <c r="AO3" s="88"/>
      <c r="AP3" s="88"/>
      <c r="AQ3"/>
      <c r="AR3"/>
      <c r="AS3"/>
      <c r="AT3"/>
    </row>
    <row r="4" spans="1:46" ht="35.25" customHeight="1" x14ac:dyDescent="0.25">
      <c r="A4" s="75" t="s">
        <v>903</v>
      </c>
      <c r="B4" s="75" t="s">
        <v>241</v>
      </c>
      <c r="C4" s="90" t="s">
        <v>242</v>
      </c>
      <c r="D4" s="75" t="s">
        <v>231</v>
      </c>
      <c r="E4" s="91" t="s">
        <v>234</v>
      </c>
      <c r="F4" s="91" t="s">
        <v>243</v>
      </c>
      <c r="G4" s="75" t="s">
        <v>244</v>
      </c>
      <c r="H4" s="92" t="s">
        <v>245</v>
      </c>
      <c r="I4" s="75" t="s">
        <v>246</v>
      </c>
      <c r="J4" s="75" t="s">
        <v>247</v>
      </c>
      <c r="K4" s="75" t="s">
        <v>248</v>
      </c>
      <c r="L4" s="75" t="s">
        <v>249</v>
      </c>
      <c r="O4" s="84"/>
      <c r="P4" s="84"/>
      <c r="AA4" s="229"/>
      <c r="AC4" s="229"/>
      <c r="AD4" s="231"/>
      <c r="AE4" s="229"/>
      <c r="AF4" s="231"/>
      <c r="AI4" s="1"/>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200" t="s">
        <v>225</v>
      </c>
      <c r="C5" s="97" t="s">
        <v>14</v>
      </c>
      <c r="D5" s="103">
        <f>I51/10</f>
        <v>4629.6296296296296</v>
      </c>
      <c r="E5" s="342">
        <f>H52</f>
        <v>11.171999999999999</v>
      </c>
      <c r="F5" s="109">
        <v>1</v>
      </c>
      <c r="G5" s="101">
        <f t="shared" ref="G5:G17" si="0">D5*E5</f>
        <v>51722.222222222219</v>
      </c>
      <c r="H5" s="102">
        <f>G5*F5</f>
        <v>51722.222222222219</v>
      </c>
      <c r="I5" s="65">
        <f>VLOOKUP(B5,All_Ingredients!$A$1:$F$156,6,FALSE())</f>
        <v>0.47</v>
      </c>
      <c r="J5" s="101">
        <f>VLOOKUP(B5,All_Ingredients!$A$1:$J$156,10,FALSE())</f>
        <v>12</v>
      </c>
      <c r="K5" s="104">
        <f>(H5/I5)/1000</f>
        <v>110.04728132387706</v>
      </c>
      <c r="L5" s="104">
        <f>K5*J5</f>
        <v>1320.5673758865246</v>
      </c>
      <c r="O5" s="84"/>
      <c r="P5" s="84"/>
      <c r="AA5" s="76"/>
      <c r="AC5" s="76"/>
      <c r="AD5" s="114"/>
      <c r="AE5" s="76"/>
      <c r="AF5" s="114"/>
      <c r="AI5" s="1"/>
      <c r="AJ5" s="246" t="s">
        <v>225</v>
      </c>
      <c r="AK5" s="106" t="s">
        <v>227</v>
      </c>
      <c r="AL5" s="106">
        <v>10</v>
      </c>
      <c r="AM5" s="69">
        <f>$AO$1</f>
        <v>5.1722222222222216</v>
      </c>
      <c r="AN5" s="109">
        <v>1</v>
      </c>
      <c r="AO5" s="101">
        <f>AL5*AM5</f>
        <v>51.722222222222214</v>
      </c>
      <c r="AP5" s="102">
        <f>AN5*AO5</f>
        <v>51.722222222222214</v>
      </c>
      <c r="AQ5" s="272"/>
      <c r="AR5" s="1017"/>
      <c r="AS5" s="156"/>
      <c r="AT5" s="1018"/>
    </row>
    <row r="6" spans="1:46" ht="14.25" customHeight="1" x14ac:dyDescent="0.25">
      <c r="A6" s="1471" t="s">
        <v>905</v>
      </c>
      <c r="B6" s="200" t="s">
        <v>12</v>
      </c>
      <c r="C6" s="106" t="s">
        <v>14</v>
      </c>
      <c r="D6" s="107">
        <v>500</v>
      </c>
      <c r="E6" s="177">
        <f t="shared" ref="E6:E17" si="1">$I$1</f>
        <v>11.172000000000001</v>
      </c>
      <c r="F6" s="109">
        <v>0.95</v>
      </c>
      <c r="G6" s="101">
        <f t="shared" si="0"/>
        <v>5586</v>
      </c>
      <c r="H6" s="102">
        <f t="shared" ref="H6:H17" si="2">G6*F6</f>
        <v>5306.7</v>
      </c>
      <c r="I6" s="65">
        <f>VLOOKUP(B6,All_Ingredients!$A$1:$F$156,6,FALSE())</f>
        <v>0.9</v>
      </c>
      <c r="J6" s="101">
        <f>VLOOKUP(B6,All_Ingredients!$A$1:$J$156,10,FALSE())</f>
        <v>3</v>
      </c>
      <c r="K6" s="104">
        <f t="shared" ref="K6:K17" si="3">(H6/I6)/1000</f>
        <v>5.8963333333333328</v>
      </c>
      <c r="L6" s="104">
        <f t="shared" ref="L6:L17" si="4">K6*J6</f>
        <v>17.689</v>
      </c>
      <c r="AC6" s="14"/>
      <c r="AD6" s="14"/>
      <c r="AI6" s="1" t="s">
        <v>55</v>
      </c>
      <c r="AJ6" s="246" t="s">
        <v>54</v>
      </c>
      <c r="AK6" s="106" t="s">
        <v>14</v>
      </c>
      <c r="AL6" s="106">
        <v>200</v>
      </c>
      <c r="AM6" s="69">
        <f t="shared" ref="AM6:AM13" si="5">$AO$1</f>
        <v>5.1722222222222216</v>
      </c>
      <c r="AN6" s="109">
        <v>1</v>
      </c>
      <c r="AO6" s="101">
        <f t="shared" ref="AO6:AO13" si="6">AL6*AM6</f>
        <v>1034.4444444444443</v>
      </c>
      <c r="AP6" s="102">
        <f t="shared" ref="AP6:AP13" si="7">AN6*AO6</f>
        <v>1034.4444444444443</v>
      </c>
      <c r="AQ6" s="1018">
        <f>VLOOKUP(AJ6,Marination_Ordering!$A:$J,6,FALSE)</f>
        <v>0.87</v>
      </c>
      <c r="AR6" s="1018">
        <f>VLOOKUP(AJ6,Marination_Ordering!$A:$J,10,FALSE)</f>
        <v>7</v>
      </c>
      <c r="AS6" s="156">
        <f>AP6/AQ6</f>
        <v>1189.0166028097062</v>
      </c>
      <c r="AT6" s="1018">
        <f>AR6*(AS6/1000)</f>
        <v>8.3231162196679431</v>
      </c>
    </row>
    <row r="7" spans="1:46" ht="14.25" customHeight="1" x14ac:dyDescent="0.25">
      <c r="A7" s="1471" t="s">
        <v>907</v>
      </c>
      <c r="B7" s="200" t="s">
        <v>727</v>
      </c>
      <c r="C7" s="106" t="s">
        <v>14</v>
      </c>
      <c r="D7" s="107">
        <v>40</v>
      </c>
      <c r="E7" s="177">
        <f t="shared" si="1"/>
        <v>11.172000000000001</v>
      </c>
      <c r="F7" s="109">
        <v>1</v>
      </c>
      <c r="G7" s="101">
        <f t="shared" si="0"/>
        <v>446.88</v>
      </c>
      <c r="H7" s="102">
        <f t="shared" si="2"/>
        <v>446.88</v>
      </c>
      <c r="I7" s="65">
        <f>VLOOKUP(B7,All_Ingredients!$A$1:$F$156,6,FALSE())</f>
        <v>1</v>
      </c>
      <c r="J7" s="101">
        <f>VLOOKUP(B7,All_Ingredients!$A$1:$J$156,10,FALSE())</f>
        <v>10.5</v>
      </c>
      <c r="K7" s="104">
        <f t="shared" si="3"/>
        <v>0.44688</v>
      </c>
      <c r="L7" s="104">
        <f t="shared" si="4"/>
        <v>4.69224</v>
      </c>
      <c r="AC7" s="14"/>
      <c r="AD7" s="14"/>
      <c r="AI7" s="1" t="s">
        <v>13</v>
      </c>
      <c r="AJ7" s="249" t="s">
        <v>727</v>
      </c>
      <c r="AK7" s="106" t="s">
        <v>14</v>
      </c>
      <c r="AL7" s="106">
        <v>150</v>
      </c>
      <c r="AM7" s="69">
        <f t="shared" si="5"/>
        <v>5.1722222222222216</v>
      </c>
      <c r="AN7" s="109">
        <v>1</v>
      </c>
      <c r="AO7" s="101">
        <f t="shared" si="6"/>
        <v>775.83333333333326</v>
      </c>
      <c r="AP7" s="102">
        <f t="shared" si="7"/>
        <v>775.83333333333326</v>
      </c>
      <c r="AQ7" s="1018">
        <f>VLOOKUP(AJ7,Marination_Ordering!$A:$J,6,FALSE)</f>
        <v>1</v>
      </c>
      <c r="AR7" s="1018">
        <f>VLOOKUP(AJ7,Marination_Ordering!$A:$J,10,FALSE)</f>
        <v>10.5</v>
      </c>
      <c r="AS7" s="156">
        <f t="shared" ref="AS7:AS13" si="8">AP7/AQ7</f>
        <v>775.83333333333326</v>
      </c>
      <c r="AT7" s="1018">
        <f t="shared" ref="AT7:AT13" si="9">AR7*(AS7/1000)</f>
        <v>8.1462499999999984</v>
      </c>
    </row>
    <row r="8" spans="1:46" ht="14.25" customHeight="1" x14ac:dyDescent="0.25">
      <c r="A8" s="1471"/>
      <c r="B8" s="200" t="s">
        <v>110</v>
      </c>
      <c r="C8" s="106" t="s">
        <v>14</v>
      </c>
      <c r="D8" s="107">
        <v>11</v>
      </c>
      <c r="E8" s="177">
        <f t="shared" si="1"/>
        <v>11.172000000000001</v>
      </c>
      <c r="F8" s="109">
        <v>0.75</v>
      </c>
      <c r="G8" s="101">
        <f t="shared" si="0"/>
        <v>122.89200000000001</v>
      </c>
      <c r="H8" s="102">
        <f t="shared" si="2"/>
        <v>92.169000000000011</v>
      </c>
      <c r="I8" s="65">
        <f>VLOOKUP(B8,All_Ingredients!$A$1:$F$156,6,FALSE())</f>
        <v>1</v>
      </c>
      <c r="J8" s="101">
        <f>VLOOKUP(B8,All_Ingredients!$A$1:$J$156,10,FALSE())</f>
        <v>64.243759177679877</v>
      </c>
      <c r="K8" s="104">
        <f t="shared" si="3"/>
        <v>9.2169000000000015E-2</v>
      </c>
      <c r="L8" s="104">
        <f t="shared" si="4"/>
        <v>5.9212830396475775</v>
      </c>
      <c r="AC8" s="14"/>
      <c r="AD8" s="14"/>
      <c r="AI8" s="1" t="s">
        <v>204</v>
      </c>
      <c r="AJ8" s="246" t="s">
        <v>212</v>
      </c>
      <c r="AK8" s="106" t="s">
        <v>160</v>
      </c>
      <c r="AL8" s="106">
        <v>450</v>
      </c>
      <c r="AM8" s="69">
        <f t="shared" si="5"/>
        <v>5.1722222222222216</v>
      </c>
      <c r="AN8" s="109">
        <v>1</v>
      </c>
      <c r="AO8" s="101">
        <f t="shared" si="6"/>
        <v>2327.4999999999995</v>
      </c>
      <c r="AP8" s="102">
        <f t="shared" si="7"/>
        <v>2327.4999999999995</v>
      </c>
      <c r="AQ8" s="1018">
        <f>VLOOKUP(AJ8,Marination_Ordering!$A:$J,6,FALSE)</f>
        <v>1</v>
      </c>
      <c r="AR8" s="1018">
        <f>VLOOKUP(AJ8,Marination_Ordering!$A:$J,10,FALSE)</f>
        <v>5</v>
      </c>
      <c r="AS8" s="156">
        <f t="shared" si="8"/>
        <v>2327.4999999999995</v>
      </c>
      <c r="AT8" s="1018">
        <f t="shared" si="9"/>
        <v>11.637499999999999</v>
      </c>
    </row>
    <row r="9" spans="1:46" ht="14.25" customHeight="1" x14ac:dyDescent="0.25">
      <c r="A9" s="1471"/>
      <c r="B9" s="200" t="s">
        <v>698</v>
      </c>
      <c r="C9" s="106" t="s">
        <v>14</v>
      </c>
      <c r="D9" s="107">
        <v>100</v>
      </c>
      <c r="E9" s="177">
        <f t="shared" si="1"/>
        <v>11.172000000000001</v>
      </c>
      <c r="F9" s="109">
        <v>1</v>
      </c>
      <c r="G9" s="101">
        <f t="shared" si="0"/>
        <v>1117.2</v>
      </c>
      <c r="H9" s="102">
        <f t="shared" si="2"/>
        <v>1117.2</v>
      </c>
      <c r="I9" s="65">
        <f>VLOOKUP(B9,All_Ingredients!$A$1:$F$156,6,FALSE())</f>
        <v>1</v>
      </c>
      <c r="J9" s="101">
        <f>VLOOKUP(B9,All_Ingredients!$A$1:$J$156,10,FALSE())</f>
        <v>8.1520833333333336</v>
      </c>
      <c r="K9" s="104">
        <f t="shared" si="3"/>
        <v>1.1172</v>
      </c>
      <c r="L9" s="104">
        <f t="shared" si="4"/>
        <v>9.1075075000000005</v>
      </c>
      <c r="AC9" s="14"/>
      <c r="AD9" s="14"/>
      <c r="AI9" s="1" t="s">
        <v>204</v>
      </c>
      <c r="AJ9" s="246" t="s">
        <v>208</v>
      </c>
      <c r="AK9" s="106" t="s">
        <v>160</v>
      </c>
      <c r="AL9" s="106">
        <v>100</v>
      </c>
      <c r="AM9" s="69">
        <f t="shared" si="5"/>
        <v>5.1722222222222216</v>
      </c>
      <c r="AN9" s="109">
        <v>1</v>
      </c>
      <c r="AO9" s="101">
        <f t="shared" si="6"/>
        <v>517.22222222222217</v>
      </c>
      <c r="AP9" s="102">
        <f t="shared" si="7"/>
        <v>517.22222222222217</v>
      </c>
      <c r="AQ9" s="1018">
        <f>VLOOKUP(AJ9,Marination_Ordering!$A:$J,6,FALSE)</f>
        <v>1</v>
      </c>
      <c r="AR9" s="1018">
        <f>VLOOKUP(AJ9,Marination_Ordering!$A:$J,10,FALSE)</f>
        <v>2.1621621621621623</v>
      </c>
      <c r="AS9" s="156">
        <f t="shared" si="8"/>
        <v>517.22222222222217</v>
      </c>
      <c r="AT9" s="1018">
        <f t="shared" si="9"/>
        <v>1.1183183183183183</v>
      </c>
    </row>
    <row r="10" spans="1:46" ht="14.25" customHeight="1" x14ac:dyDescent="0.25">
      <c r="A10" s="1471"/>
      <c r="B10" s="200" t="s">
        <v>139</v>
      </c>
      <c r="C10" s="106" t="s">
        <v>14</v>
      </c>
      <c r="D10" s="107">
        <v>15</v>
      </c>
      <c r="E10" s="177">
        <f t="shared" si="1"/>
        <v>11.172000000000001</v>
      </c>
      <c r="F10" s="109">
        <v>1</v>
      </c>
      <c r="G10" s="101">
        <f t="shared" si="0"/>
        <v>167.58</v>
      </c>
      <c r="H10" s="102">
        <f t="shared" si="2"/>
        <v>167.58</v>
      </c>
      <c r="I10" s="65">
        <f>VLOOKUP(B10,All_Ingredients!$A$1:$F$156,6,FALSE())</f>
        <v>1</v>
      </c>
      <c r="J10" s="101">
        <f>VLOOKUP(B10,All_Ingredients!$A$1:$J$156,10,FALSE())</f>
        <v>15.277777777777779</v>
      </c>
      <c r="K10" s="104">
        <f t="shared" si="3"/>
        <v>0.16758000000000001</v>
      </c>
      <c r="L10" s="104">
        <f t="shared" si="4"/>
        <v>2.5602500000000004</v>
      </c>
      <c r="AC10" s="14"/>
      <c r="AD10" s="14"/>
      <c r="AI10" s="1" t="s">
        <v>94</v>
      </c>
      <c r="AJ10" s="246" t="s">
        <v>93</v>
      </c>
      <c r="AK10" s="106" t="s">
        <v>14</v>
      </c>
      <c r="AL10" s="106">
        <v>2</v>
      </c>
      <c r="AM10" s="69">
        <f t="shared" si="5"/>
        <v>5.1722222222222216</v>
      </c>
      <c r="AN10" s="109">
        <v>1</v>
      </c>
      <c r="AO10" s="101">
        <f t="shared" si="6"/>
        <v>10.344444444444443</v>
      </c>
      <c r="AP10" s="102">
        <f t="shared" si="7"/>
        <v>10.344444444444443</v>
      </c>
      <c r="AQ10" s="1018">
        <f>VLOOKUP(AJ10,Marination_Ordering!$A:$J,6,FALSE)</f>
        <v>1</v>
      </c>
      <c r="AR10" s="1018">
        <f>VLOOKUP(AJ10,Marination_Ordering!$A:$J,10,FALSE)</f>
        <v>0.74</v>
      </c>
      <c r="AS10" s="156">
        <f t="shared" si="8"/>
        <v>10.344444444444443</v>
      </c>
      <c r="AT10" s="1018">
        <f t="shared" si="9"/>
        <v>7.6548888888888873E-3</v>
      </c>
    </row>
    <row r="11" spans="1:46" ht="14.25" customHeight="1" x14ac:dyDescent="0.25">
      <c r="A11" s="1471"/>
      <c r="B11" s="200" t="s">
        <v>183</v>
      </c>
      <c r="C11" s="106" t="s">
        <v>14</v>
      </c>
      <c r="D11" s="107">
        <v>50</v>
      </c>
      <c r="E11" s="177">
        <f t="shared" si="1"/>
        <v>11.172000000000001</v>
      </c>
      <c r="F11" s="109">
        <v>1</v>
      </c>
      <c r="G11" s="101">
        <f t="shared" si="0"/>
        <v>558.6</v>
      </c>
      <c r="H11" s="102">
        <f t="shared" si="2"/>
        <v>558.6</v>
      </c>
      <c r="I11" s="65">
        <f>VLOOKUP(B11,All_Ingredients!$A$1:$F$156,6,FALSE())</f>
        <v>1</v>
      </c>
      <c r="J11" s="101">
        <f>VLOOKUP(B11,All_Ingredients!$A$1:$J$156,10,FALSE())</f>
        <v>17</v>
      </c>
      <c r="K11" s="104">
        <f t="shared" si="3"/>
        <v>0.55859999999999999</v>
      </c>
      <c r="L11" s="104">
        <f t="shared" si="4"/>
        <v>9.4962</v>
      </c>
      <c r="AC11" s="14"/>
      <c r="AD11" s="14"/>
      <c r="AI11" s="1" t="s">
        <v>94</v>
      </c>
      <c r="AJ11" s="246" t="s">
        <v>99</v>
      </c>
      <c r="AK11" s="106" t="s">
        <v>14</v>
      </c>
      <c r="AL11" s="106">
        <v>4</v>
      </c>
      <c r="AM11" s="69">
        <f t="shared" si="5"/>
        <v>5.1722222222222216</v>
      </c>
      <c r="AN11" s="109">
        <v>1</v>
      </c>
      <c r="AO11" s="101">
        <f t="shared" si="6"/>
        <v>20.688888888888886</v>
      </c>
      <c r="AP11" s="102">
        <f t="shared" si="7"/>
        <v>20.688888888888886</v>
      </c>
      <c r="AQ11" s="1018">
        <f>VLOOKUP(AJ11,Marination_Ordering!$A:$J,6,FALSE)</f>
        <v>1</v>
      </c>
      <c r="AR11" s="1018">
        <f>VLOOKUP(AJ11,Marination_Ordering!$A:$J,10,FALSE)</f>
        <v>31</v>
      </c>
      <c r="AS11" s="156">
        <f t="shared" si="8"/>
        <v>20.688888888888886</v>
      </c>
      <c r="AT11" s="1018">
        <f t="shared" si="9"/>
        <v>0.64135555555555546</v>
      </c>
    </row>
    <row r="12" spans="1:46" ht="14.25" customHeight="1" x14ac:dyDescent="0.25">
      <c r="A12" s="1471"/>
      <c r="B12" s="200" t="s">
        <v>166</v>
      </c>
      <c r="C12" s="106" t="s">
        <v>160</v>
      </c>
      <c r="D12" s="107">
        <v>600</v>
      </c>
      <c r="E12" s="177">
        <f t="shared" si="1"/>
        <v>11.172000000000001</v>
      </c>
      <c r="F12" s="109">
        <v>1</v>
      </c>
      <c r="G12" s="101">
        <f t="shared" si="0"/>
        <v>6703.2000000000007</v>
      </c>
      <c r="H12" s="102">
        <f t="shared" si="2"/>
        <v>6703.2000000000007</v>
      </c>
      <c r="I12" s="65">
        <f>VLOOKUP(B12,All_Ingredients!$A$1:$F$156,6,FALSE())</f>
        <v>1</v>
      </c>
      <c r="J12" s="101">
        <f>VLOOKUP(B12,All_Ingredients!$A$1:$J$156,10,FALSE())</f>
        <v>12.666666666666666</v>
      </c>
      <c r="K12" s="104">
        <f t="shared" si="3"/>
        <v>6.7032000000000007</v>
      </c>
      <c r="L12" s="104">
        <f t="shared" si="4"/>
        <v>84.907200000000003</v>
      </c>
      <c r="AC12" s="14"/>
      <c r="AD12" s="14"/>
      <c r="AI12" s="1" t="s">
        <v>94</v>
      </c>
      <c r="AJ12" s="246" t="s">
        <v>105</v>
      </c>
      <c r="AK12" s="106" t="s">
        <v>14</v>
      </c>
      <c r="AL12" s="106">
        <v>35</v>
      </c>
      <c r="AM12" s="69">
        <f t="shared" si="5"/>
        <v>5.1722222222222216</v>
      </c>
      <c r="AN12" s="109">
        <v>1</v>
      </c>
      <c r="AO12" s="101">
        <f t="shared" si="6"/>
        <v>181.02777777777774</v>
      </c>
      <c r="AP12" s="102">
        <f t="shared" si="7"/>
        <v>181.02777777777774</v>
      </c>
      <c r="AQ12" s="1018">
        <f>VLOOKUP(AJ12,Marination_Ordering!$A:$J,6,FALSE)</f>
        <v>1</v>
      </c>
      <c r="AR12" s="1018">
        <f>VLOOKUP(AJ12,Marination_Ordering!$A:$J,10,FALSE)</f>
        <v>15</v>
      </c>
      <c r="AS12" s="156">
        <f t="shared" si="8"/>
        <v>181.02777777777774</v>
      </c>
      <c r="AT12" s="1018">
        <f t="shared" si="9"/>
        <v>2.7154166666666661</v>
      </c>
    </row>
    <row r="13" spans="1:46" ht="14.25" customHeight="1" x14ac:dyDescent="0.25">
      <c r="A13" s="1471"/>
      <c r="B13" s="200" t="s">
        <v>93</v>
      </c>
      <c r="C13" s="106" t="s">
        <v>14</v>
      </c>
      <c r="D13" s="107">
        <v>6</v>
      </c>
      <c r="E13" s="177">
        <f t="shared" si="1"/>
        <v>11.172000000000001</v>
      </c>
      <c r="F13" s="109">
        <v>0.75</v>
      </c>
      <c r="G13" s="101">
        <f t="shared" si="0"/>
        <v>67.032000000000011</v>
      </c>
      <c r="H13" s="102">
        <f t="shared" si="2"/>
        <v>50.274000000000008</v>
      </c>
      <c r="I13" s="65">
        <f>VLOOKUP(B13,All_Ingredients!$A$1:$F$156,6,FALSE())</f>
        <v>1</v>
      </c>
      <c r="J13" s="101">
        <f>VLOOKUP(B13,All_Ingredients!$A$1:$J$156,10,FALSE())</f>
        <v>0.74</v>
      </c>
      <c r="K13" s="104">
        <f t="shared" si="3"/>
        <v>5.0274000000000006E-2</v>
      </c>
      <c r="L13" s="104">
        <f t="shared" si="4"/>
        <v>3.7202760000000001E-2</v>
      </c>
      <c r="AC13" s="14"/>
      <c r="AD13" s="14"/>
      <c r="AI13" s="1" t="s">
        <v>190</v>
      </c>
      <c r="AJ13" s="246" t="s">
        <v>202</v>
      </c>
      <c r="AK13" s="106" t="s">
        <v>14</v>
      </c>
      <c r="AL13" s="106">
        <v>250</v>
      </c>
      <c r="AM13" s="69">
        <f t="shared" si="5"/>
        <v>5.1722222222222216</v>
      </c>
      <c r="AN13" s="109">
        <v>1</v>
      </c>
      <c r="AO13" s="101">
        <f t="shared" si="6"/>
        <v>1293.0555555555554</v>
      </c>
      <c r="AP13" s="102">
        <f t="shared" si="7"/>
        <v>1293.0555555555554</v>
      </c>
      <c r="AQ13" s="1018">
        <f>VLOOKUP(AJ13,Marination_Ordering!$A:$J,6,FALSE)</f>
        <v>1</v>
      </c>
      <c r="AR13" s="1018">
        <f>VLOOKUP(AJ13,Marination_Ordering!$A:$J,10,FALSE)</f>
        <v>11.243386243386244</v>
      </c>
      <c r="AS13" s="156">
        <f t="shared" si="8"/>
        <v>1293.0555555555554</v>
      </c>
      <c r="AT13" s="1018">
        <f t="shared" si="9"/>
        <v>14.538323045267488</v>
      </c>
    </row>
    <row r="14" spans="1:46" ht="14.25" customHeight="1" x14ac:dyDescent="0.25">
      <c r="A14" s="1471"/>
      <c r="B14" s="200" t="s">
        <v>99</v>
      </c>
      <c r="C14" s="106" t="s">
        <v>14</v>
      </c>
      <c r="D14" s="107">
        <v>8</v>
      </c>
      <c r="E14" s="177">
        <f t="shared" si="1"/>
        <v>11.172000000000001</v>
      </c>
      <c r="F14" s="109">
        <v>0.75</v>
      </c>
      <c r="G14" s="101">
        <f t="shared" si="0"/>
        <v>89.376000000000005</v>
      </c>
      <c r="H14" s="102">
        <f t="shared" si="2"/>
        <v>67.032000000000011</v>
      </c>
      <c r="I14" s="65">
        <f>VLOOKUP(B14,All_Ingredients!$A$1:$F$156,6,FALSE())</f>
        <v>1</v>
      </c>
      <c r="J14" s="101">
        <f>VLOOKUP(B14,All_Ingredients!$A$1:$J$156,10,FALSE())</f>
        <v>31</v>
      </c>
      <c r="K14" s="104">
        <f t="shared" si="3"/>
        <v>6.7032000000000008E-2</v>
      </c>
      <c r="L14" s="104">
        <f t="shared" si="4"/>
        <v>2.0779920000000001</v>
      </c>
      <c r="AC14" s="14"/>
      <c r="AD14" s="14"/>
    </row>
    <row r="15" spans="1:46" ht="14.25" customHeight="1" x14ac:dyDescent="0.25">
      <c r="A15" s="1471"/>
      <c r="B15" s="200" t="s">
        <v>187</v>
      </c>
      <c r="C15" s="106" t="s">
        <v>14</v>
      </c>
      <c r="D15" s="107">
        <v>90</v>
      </c>
      <c r="E15" s="177">
        <f t="shared" si="1"/>
        <v>11.172000000000001</v>
      </c>
      <c r="F15" s="109">
        <v>1</v>
      </c>
      <c r="G15" s="101">
        <f t="shared" si="0"/>
        <v>1005.48</v>
      </c>
      <c r="H15" s="102">
        <f t="shared" si="2"/>
        <v>1005.48</v>
      </c>
      <c r="I15" s="65">
        <f>VLOOKUP(B15,All_Ingredients!$A$1:$F$156,6,FALSE())</f>
        <v>0.9</v>
      </c>
      <c r="J15" s="101">
        <f>VLOOKUP(B15,All_Ingredients!$A$1:$J$156,10,FALSE())</f>
        <v>2.3199999999999998</v>
      </c>
      <c r="K15" s="104">
        <f t="shared" si="3"/>
        <v>1.1172</v>
      </c>
      <c r="L15" s="104">
        <f t="shared" si="4"/>
        <v>2.5919039999999995</v>
      </c>
      <c r="AC15" s="14"/>
      <c r="AD15" s="14"/>
    </row>
    <row r="16" spans="1:46" ht="14.25" customHeight="1" x14ac:dyDescent="0.25">
      <c r="A16" s="1471"/>
      <c r="B16" s="200" t="s">
        <v>152</v>
      </c>
      <c r="C16" s="106" t="s">
        <v>14</v>
      </c>
      <c r="D16" s="107">
        <v>30</v>
      </c>
      <c r="E16" s="177">
        <f t="shared" si="1"/>
        <v>11.172000000000001</v>
      </c>
      <c r="F16" s="109">
        <v>1</v>
      </c>
      <c r="G16" s="101">
        <f t="shared" si="0"/>
        <v>335.16</v>
      </c>
      <c r="H16" s="102">
        <f t="shared" si="2"/>
        <v>335.16</v>
      </c>
      <c r="I16" s="65">
        <f>VLOOKUP(B16,All_Ingredients!$A$1:$F$156,6,FALSE())</f>
        <v>1</v>
      </c>
      <c r="J16" s="101">
        <f>VLOOKUP(B16,All_Ingredients!$A$1:$J$156,10,FALSE())</f>
        <v>30</v>
      </c>
      <c r="K16" s="104">
        <f t="shared" si="3"/>
        <v>0.33516000000000001</v>
      </c>
      <c r="L16" s="104">
        <f t="shared" si="4"/>
        <v>10.0548</v>
      </c>
      <c r="AC16" s="14"/>
      <c r="AD16" s="14"/>
    </row>
    <row r="17" spans="1:30" ht="14.25" customHeight="1" x14ac:dyDescent="0.25">
      <c r="A17" s="1471"/>
      <c r="B17" s="200" t="s">
        <v>203</v>
      </c>
      <c r="C17" s="106" t="s">
        <v>160</v>
      </c>
      <c r="D17" s="107">
        <v>500</v>
      </c>
      <c r="E17" s="177">
        <f t="shared" si="1"/>
        <v>11.172000000000001</v>
      </c>
      <c r="F17" s="109">
        <v>0.75</v>
      </c>
      <c r="G17" s="101">
        <f t="shared" si="0"/>
        <v>5586</v>
      </c>
      <c r="H17" s="102">
        <f t="shared" si="2"/>
        <v>4189.5</v>
      </c>
      <c r="I17" s="65">
        <f>VLOOKUP(B17,All_Ingredients!$A$1:$F$156,6,FALSE())</f>
        <v>1</v>
      </c>
      <c r="J17" s="101">
        <f>VLOOKUP(B17,All_Ingredients!$A$1:$J$156,10,FALSE())</f>
        <v>0</v>
      </c>
      <c r="K17" s="104">
        <f t="shared" si="3"/>
        <v>4.1894999999999998</v>
      </c>
      <c r="L17" s="104">
        <f t="shared" si="4"/>
        <v>0</v>
      </c>
      <c r="AC17" s="14"/>
      <c r="AD17" s="14"/>
    </row>
    <row r="18" spans="1:30" ht="14.25" customHeight="1" x14ac:dyDescent="0.25">
      <c r="A18" s="1472"/>
      <c r="B18" s="84"/>
      <c r="C18" s="152"/>
      <c r="D18" s="152"/>
      <c r="E18" s="84"/>
      <c r="F18" s="84"/>
      <c r="G18" s="152"/>
      <c r="L18" s="274"/>
      <c r="AC18" s="14"/>
      <c r="AD18" s="14"/>
    </row>
    <row r="19" spans="1:30" ht="14.25" customHeight="1" x14ac:dyDescent="0.25">
      <c r="A19" s="1472"/>
      <c r="L19" s="274"/>
      <c r="AC19" s="14"/>
      <c r="AD19" s="14"/>
    </row>
    <row r="20" spans="1:30" ht="14.25" customHeight="1" x14ac:dyDescent="0.25">
      <c r="A20" s="1472"/>
      <c r="L20" s="274"/>
      <c r="AC20" s="14"/>
      <c r="AD20" s="14"/>
    </row>
    <row r="21" spans="1:30" ht="14.25" customHeight="1" x14ac:dyDescent="0.25">
      <c r="A21" s="1472"/>
      <c r="L21" s="274"/>
      <c r="AC21" s="14"/>
      <c r="AD21" s="14"/>
    </row>
    <row r="22" spans="1:30" ht="14.25" customHeight="1" x14ac:dyDescent="0.25">
      <c r="A22" s="1472"/>
      <c r="L22" s="274"/>
      <c r="T22" s="384"/>
      <c r="AC22" s="14"/>
      <c r="AD22" s="14"/>
    </row>
    <row r="23" spans="1:30" ht="14.25" customHeight="1" x14ac:dyDescent="0.25">
      <c r="A23" s="1472"/>
      <c r="L23" s="274"/>
      <c r="AC23" s="14"/>
      <c r="AD23" s="14"/>
    </row>
    <row r="24" spans="1:30" ht="14.25" customHeight="1" x14ac:dyDescent="0.25">
      <c r="A24" s="1472"/>
      <c r="L24" s="274"/>
      <c r="Z24" s="1073"/>
      <c r="AC24" s="14"/>
      <c r="AD24" s="14"/>
    </row>
    <row r="25" spans="1:30" ht="14.25" customHeight="1" x14ac:dyDescent="0.25">
      <c r="A25" s="1472"/>
      <c r="B25" s="84"/>
      <c r="E25" s="84"/>
      <c r="F25" s="84"/>
      <c r="K25" s="84"/>
      <c r="L25" s="274"/>
      <c r="R25" s="1640" t="s">
        <v>821</v>
      </c>
      <c r="S25" s="1633"/>
      <c r="T25" s="1633"/>
      <c r="U25" s="1633"/>
      <c r="Z25" s="122" t="s">
        <v>252</v>
      </c>
      <c r="AA25" s="123">
        <v>1</v>
      </c>
      <c r="AB25" s="122" t="s">
        <v>249</v>
      </c>
      <c r="AC25" s="124">
        <f>AD30*AA25</f>
        <v>4.7303756331831828E-2</v>
      </c>
      <c r="AD25" s="14"/>
    </row>
    <row r="26" spans="1:30" ht="14.25" customHeight="1" x14ac:dyDescent="0.25">
      <c r="A26" s="1472"/>
      <c r="B26" s="84"/>
      <c r="E26" s="84"/>
      <c r="F26" s="84"/>
      <c r="L26" s="274"/>
      <c r="Q26"/>
      <c r="R26" s="1654" t="s">
        <v>297</v>
      </c>
      <c r="S26" s="1633"/>
      <c r="T26" s="1633"/>
      <c r="U26" s="1633"/>
      <c r="AC26" s="14"/>
      <c r="AD26" s="14"/>
    </row>
    <row r="27" spans="1:30" ht="14.25" customHeight="1" thickBot="1" x14ac:dyDescent="0.3">
      <c r="A27" s="1472"/>
      <c r="Q27"/>
      <c r="R27" s="126" t="s">
        <v>254</v>
      </c>
      <c r="S27" s="127" t="s">
        <v>469</v>
      </c>
      <c r="T27" s="127" t="s">
        <v>256</v>
      </c>
      <c r="U27" s="127" t="s">
        <v>257</v>
      </c>
      <c r="V27" s="127" t="s">
        <v>779</v>
      </c>
      <c r="Z27" s="122" t="s">
        <v>258</v>
      </c>
      <c r="AA27" s="128" t="s">
        <v>259</v>
      </c>
      <c r="AB27" s="128" t="s">
        <v>260</v>
      </c>
      <c r="AC27" s="1032" t="s">
        <v>779</v>
      </c>
      <c r="AD27" s="128" t="s">
        <v>262</v>
      </c>
    </row>
    <row r="28" spans="1:30" ht="32.25" customHeight="1" thickBot="1" x14ac:dyDescent="0.3">
      <c r="A28" s="1472"/>
      <c r="Q28"/>
      <c r="R28" s="129" t="s">
        <v>263</v>
      </c>
      <c r="S28" s="696">
        <f>$Z$1</f>
        <v>27430</v>
      </c>
      <c r="T28" s="281"/>
      <c r="U28" s="690">
        <f>S28/S40</f>
        <v>27430</v>
      </c>
      <c r="V28" s="130">
        <f>H37</f>
        <v>12.670000000000002</v>
      </c>
      <c r="Z28" s="132"/>
      <c r="AA28" s="133">
        <f>AA25*$S$40</f>
        <v>1</v>
      </c>
      <c r="AB28" s="133">
        <f>AA25-AA28</f>
        <v>0</v>
      </c>
      <c r="AC28" s="1034"/>
      <c r="AD28" s="135">
        <f>SUM(AA28:AC28)</f>
        <v>1</v>
      </c>
    </row>
    <row r="29" spans="1:30" ht="14.25" customHeight="1" thickBot="1" x14ac:dyDescent="0.3">
      <c r="A29" s="1472"/>
      <c r="Q29"/>
      <c r="R29" s="129" t="s">
        <v>264</v>
      </c>
      <c r="S29" s="136"/>
      <c r="T29" s="130">
        <f>S28*0.4</f>
        <v>10972</v>
      </c>
      <c r="U29" s="690">
        <f>T29</f>
        <v>10972</v>
      </c>
      <c r="V29" s="130"/>
      <c r="Z29" s="132"/>
      <c r="AA29" s="1067">
        <f>AA28/$AD$28</f>
        <v>1</v>
      </c>
      <c r="AB29" s="137">
        <f>AB28/$AD$28</f>
        <v>0</v>
      </c>
      <c r="AC29" s="1038"/>
      <c r="AD29" s="137">
        <f>AD28/$AD$28</f>
        <v>1</v>
      </c>
    </row>
    <row r="30" spans="1:30" ht="14.25" customHeight="1" thickBot="1" x14ac:dyDescent="0.3">
      <c r="A30" s="1472"/>
      <c r="B30" s="84"/>
      <c r="E30" s="84"/>
      <c r="Q30"/>
      <c r="R30" s="129" t="s">
        <v>265</v>
      </c>
      <c r="S30" s="1173">
        <f>$AB$1</f>
        <v>500</v>
      </c>
      <c r="T30" s="690">
        <f>(S30*0.4)</f>
        <v>200</v>
      </c>
      <c r="U30" s="692">
        <f>S30/S40</f>
        <v>500</v>
      </c>
      <c r="V30" s="989"/>
      <c r="Z30" s="122" t="s">
        <v>266</v>
      </c>
      <c r="AA30" s="138">
        <f>S35/(S32)</f>
        <v>4.728132387706855E-2</v>
      </c>
      <c r="AB30" s="139">
        <f>T35/T32</f>
        <v>3.577719346549193E-3</v>
      </c>
      <c r="AC30" s="1045">
        <f>V35/U32</f>
        <v>2.2432454763281833E-5</v>
      </c>
      <c r="AD30" s="1047">
        <f>SUMPRODUCT(AA30:AB30,AA29:AB29)+AC30</f>
        <v>4.7303756331831828E-2</v>
      </c>
    </row>
    <row r="31" spans="1:30" ht="14.25" customHeight="1" thickBot="1" x14ac:dyDescent="0.3">
      <c r="A31" s="1472"/>
      <c r="B31" s="84"/>
      <c r="E31" s="84"/>
      <c r="Q31"/>
      <c r="R31" s="129" t="s">
        <v>267</v>
      </c>
      <c r="S31" s="136"/>
      <c r="T31" s="130"/>
      <c r="U31" s="130"/>
      <c r="V31" s="130"/>
    </row>
    <row r="32" spans="1:30" ht="14.25" customHeight="1" thickBot="1" x14ac:dyDescent="0.3">
      <c r="A32" s="1472"/>
      <c r="B32" s="84"/>
      <c r="E32" s="84"/>
      <c r="Q32"/>
      <c r="R32" s="141" t="s">
        <v>257</v>
      </c>
      <c r="S32" s="130">
        <f>SUM(S28:S30)</f>
        <v>27930</v>
      </c>
      <c r="T32" s="130">
        <f>SUM(T28:T30)</f>
        <v>11172</v>
      </c>
      <c r="U32" s="130">
        <f>SUM(S32:T32)</f>
        <v>39102</v>
      </c>
      <c r="V32" s="130">
        <f>SUM(V28:V30)</f>
        <v>12.670000000000002</v>
      </c>
    </row>
    <row r="33" spans="1:23" ht="14.25" customHeight="1" thickBot="1" x14ac:dyDescent="0.3">
      <c r="A33" s="1472"/>
      <c r="B33" s="84"/>
      <c r="E33" s="84"/>
      <c r="Q33"/>
      <c r="R33" s="142" t="s">
        <v>268</v>
      </c>
      <c r="S33" s="136"/>
      <c r="T33" s="136">
        <f>F45</f>
        <v>0</v>
      </c>
      <c r="U33" s="136"/>
      <c r="V33" s="136"/>
    </row>
    <row r="34" spans="1:23" ht="14.25" customHeight="1" thickBot="1" x14ac:dyDescent="0.3">
      <c r="A34" s="1472"/>
      <c r="B34" s="84"/>
      <c r="E34" s="84"/>
      <c r="Q34"/>
      <c r="R34" s="143" t="s">
        <v>269</v>
      </c>
      <c r="S34" s="136"/>
      <c r="T34" s="130">
        <f>T33-(T28+T29)</f>
        <v>-10972</v>
      </c>
      <c r="U34" s="136"/>
      <c r="V34" s="136"/>
    </row>
    <row r="35" spans="1:23" ht="14.25" customHeight="1" thickBot="1" x14ac:dyDescent="0.3">
      <c r="A35" s="1472"/>
      <c r="B35" s="1681" t="s">
        <v>827</v>
      </c>
      <c r="C35" s="1681"/>
      <c r="D35" s="1681"/>
      <c r="E35" s="1681"/>
      <c r="F35" s="1681"/>
      <c r="G35" s="803"/>
      <c r="H35" s="803"/>
      <c r="I35" s="803"/>
      <c r="J35" s="803"/>
      <c r="K35" s="803"/>
      <c r="L35" s="803"/>
      <c r="Q35"/>
      <c r="R35" s="144" t="s">
        <v>249</v>
      </c>
      <c r="S35" s="990">
        <f>$L$5</f>
        <v>1320.5673758865246</v>
      </c>
      <c r="T35" s="990">
        <f>SUM(L6:L10)</f>
        <v>39.970280539647582</v>
      </c>
      <c r="U35" s="990">
        <f>S35+T35+V35+W35</f>
        <v>1361.4148102723259</v>
      </c>
      <c r="V35" s="1049">
        <f>L37</f>
        <v>0.87715384615384628</v>
      </c>
    </row>
    <row r="36" spans="1:23" ht="14.2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c r="Q36"/>
      <c r="R36"/>
      <c r="S36"/>
      <c r="T36"/>
      <c r="U36"/>
    </row>
    <row r="37" spans="1:23" ht="14.25" customHeight="1" x14ac:dyDescent="0.25">
      <c r="A37" s="1472"/>
      <c r="B37" s="772" t="s">
        <v>686</v>
      </c>
      <c r="C37" s="773" t="s">
        <v>14</v>
      </c>
      <c r="D37" s="774">
        <v>7.0000000000000007E-2</v>
      </c>
      <c r="E37" s="772">
        <f>$AD$1</f>
        <v>181</v>
      </c>
      <c r="F37" s="772">
        <f>D37*E37</f>
        <v>12.670000000000002</v>
      </c>
      <c r="G37"/>
      <c r="H37" s="772">
        <f>F37</f>
        <v>12.670000000000002</v>
      </c>
      <c r="I37" s="772">
        <f>VLOOKUP(B37,All_Ingredients!$A$1:$F$156,6,FALSE())</f>
        <v>0.65</v>
      </c>
      <c r="J37" s="772">
        <f>VLOOKUP(B37,All_Ingredients!$A$1:$J$156,10,FALSE())</f>
        <v>45</v>
      </c>
      <c r="K37" s="772">
        <f>(H37/I37)/1000</f>
        <v>1.9492307692307694E-2</v>
      </c>
      <c r="L37" s="772">
        <f t="shared" ref="L37" si="10">K37*J37</f>
        <v>0.87715384615384628</v>
      </c>
      <c r="Q37"/>
      <c r="R37"/>
      <c r="S37"/>
      <c r="T37"/>
      <c r="U37"/>
    </row>
    <row r="38" spans="1:23" ht="14.25" customHeight="1" x14ac:dyDescent="0.25">
      <c r="A38" s="1472"/>
      <c r="B38" s="84"/>
      <c r="E38" s="84"/>
      <c r="F38" s="84"/>
      <c r="Q38"/>
      <c r="R38"/>
      <c r="S38"/>
      <c r="T38"/>
      <c r="U38"/>
    </row>
    <row r="39" spans="1:23" ht="14.25" customHeight="1" x14ac:dyDescent="0.25">
      <c r="A39" s="1472"/>
      <c r="B39" s="84"/>
      <c r="E39" s="84"/>
      <c r="F39" s="84"/>
      <c r="Q39"/>
      <c r="R39"/>
      <c r="S39"/>
      <c r="T39"/>
      <c r="U39"/>
    </row>
    <row r="40" spans="1:23" ht="12" customHeight="1" x14ac:dyDescent="0.25">
      <c r="A40" s="1472"/>
      <c r="B40" s="84"/>
      <c r="E40" s="84"/>
      <c r="F40" s="84"/>
      <c r="R40" s="411" t="s">
        <v>270</v>
      </c>
      <c r="S40" s="217">
        <v>1</v>
      </c>
      <c r="T40" s="412" t="s">
        <v>271</v>
      </c>
      <c r="U40" s="217">
        <v>0</v>
      </c>
      <c r="V40" s="149">
        <f>S40+U40</f>
        <v>1</v>
      </c>
    </row>
    <row r="41" spans="1:23" ht="14.25" customHeight="1" x14ac:dyDescent="0.25">
      <c r="A41" s="1472"/>
      <c r="B41" s="84"/>
      <c r="E41" s="84"/>
      <c r="F41" s="84"/>
      <c r="U41" s="150"/>
    </row>
    <row r="42" spans="1:23" ht="14.25" customHeight="1" x14ac:dyDescent="0.25">
      <c r="A42" s="1472"/>
      <c r="B42" s="84"/>
      <c r="E42" s="84"/>
      <c r="F42" s="84"/>
    </row>
    <row r="43" spans="1:23" ht="14.25" customHeight="1" x14ac:dyDescent="0.25">
      <c r="A43" s="1472"/>
      <c r="B43" s="84"/>
      <c r="E43" s="84"/>
      <c r="F43" s="84"/>
      <c r="Q43" s="151" t="s">
        <v>272</v>
      </c>
      <c r="R43" s="151" t="s">
        <v>273</v>
      </c>
      <c r="S43" s="151" t="s">
        <v>274</v>
      </c>
      <c r="T43" s="151" t="s">
        <v>275</v>
      </c>
      <c r="U43" s="151" t="s">
        <v>276</v>
      </c>
      <c r="V43" s="151" t="s">
        <v>277</v>
      </c>
      <c r="W43" s="235" t="s">
        <v>278</v>
      </c>
    </row>
    <row r="44" spans="1:23" ht="14.25" customHeight="1" x14ac:dyDescent="0.25">
      <c r="A44" s="1472"/>
      <c r="B44" s="84"/>
      <c r="E44" s="84"/>
      <c r="F44" s="84"/>
      <c r="Q44" s="153">
        <v>25000</v>
      </c>
      <c r="R44" s="154">
        <f>D51</f>
        <v>10000</v>
      </c>
      <c r="S44" s="155">
        <v>0</v>
      </c>
      <c r="T44" s="155">
        <v>1</v>
      </c>
      <c r="U44" s="220">
        <f>R44*S44</f>
        <v>0</v>
      </c>
      <c r="V44" s="157">
        <f>R44*T44</f>
        <v>10000</v>
      </c>
      <c r="W44" s="237">
        <f>Q44-U44</f>
        <v>25000</v>
      </c>
    </row>
    <row r="45" spans="1:23" ht="14.25" customHeight="1" x14ac:dyDescent="0.25">
      <c r="A45" s="1472"/>
      <c r="B45" s="84"/>
      <c r="E45" s="84"/>
      <c r="F45" s="84"/>
    </row>
    <row r="46" spans="1:23" ht="14.25" customHeight="1" x14ac:dyDescent="0.25">
      <c r="A46" s="1472"/>
      <c r="B46" s="84"/>
      <c r="E46" s="84"/>
      <c r="F46" s="84"/>
    </row>
    <row r="47" spans="1:23" ht="14.25" customHeight="1" x14ac:dyDescent="0.25">
      <c r="A47" s="1472"/>
      <c r="B47" s="84"/>
      <c r="E47" s="84"/>
      <c r="F47" s="84"/>
    </row>
    <row r="48" spans="1:23" ht="14.25" customHeight="1" x14ac:dyDescent="0.25">
      <c r="A48" s="1472"/>
      <c r="B48" s="84"/>
      <c r="E48" s="84"/>
      <c r="F48" s="84"/>
    </row>
    <row r="49" spans="1:10" ht="14.25" customHeight="1" x14ac:dyDescent="0.25">
      <c r="A49" s="1472"/>
      <c r="B49" s="84"/>
      <c r="E49" s="84"/>
      <c r="F49" s="84"/>
    </row>
    <row r="50" spans="1:10" ht="14.25" customHeight="1" x14ac:dyDescent="0.25">
      <c r="A50" s="1472"/>
      <c r="B50" s="253"/>
      <c r="C50" s="126" t="s">
        <v>233</v>
      </c>
      <c r="D50" s="126" t="s">
        <v>279</v>
      </c>
      <c r="E50" s="164"/>
      <c r="F50" s="84"/>
      <c r="G50" s="126" t="s">
        <v>280</v>
      </c>
      <c r="H50" s="126" t="s">
        <v>233</v>
      </c>
      <c r="I50" s="126" t="s">
        <v>281</v>
      </c>
      <c r="J50" s="126" t="s">
        <v>282</v>
      </c>
    </row>
    <row r="51" spans="1:10" ht="14.25" customHeight="1" x14ac:dyDescent="0.25">
      <c r="A51" s="1472"/>
      <c r="B51" s="161" t="s">
        <v>283</v>
      </c>
      <c r="C51" s="162">
        <f>10/$K$1</f>
        <v>10</v>
      </c>
      <c r="D51" s="163">
        <f>$C$1*10</f>
        <v>10000</v>
      </c>
      <c r="E51" s="164"/>
      <c r="F51" s="84"/>
      <c r="G51" s="161" t="s">
        <v>283</v>
      </c>
      <c r="H51" s="254">
        <f>I51/$D$5</f>
        <v>10</v>
      </c>
      <c r="I51" s="162">
        <f>J51/$R$1</f>
        <v>46296.296296296292</v>
      </c>
      <c r="J51" s="162">
        <f>$W$44</f>
        <v>25000</v>
      </c>
    </row>
    <row r="52" spans="1:10" ht="14.25" customHeight="1" x14ac:dyDescent="0.25">
      <c r="A52" s="1472"/>
      <c r="B52" s="209" t="s">
        <v>262</v>
      </c>
      <c r="C52" s="210">
        <f>$I$1</f>
        <v>11.172000000000001</v>
      </c>
      <c r="D52" s="211">
        <f>$E$1</f>
        <v>11172</v>
      </c>
      <c r="E52" s="84"/>
      <c r="F52" s="84"/>
      <c r="G52" s="129" t="s">
        <v>262</v>
      </c>
      <c r="H52" s="190">
        <f>I52/$D$5</f>
        <v>11.171999999999999</v>
      </c>
      <c r="I52" s="157">
        <f>J52/$R$1</f>
        <v>51722.222222222219</v>
      </c>
      <c r="J52" s="165">
        <f>$S$32</f>
        <v>27930</v>
      </c>
    </row>
    <row r="53" spans="1:10" ht="14.25" customHeight="1" x14ac:dyDescent="0.25">
      <c r="A53" s="1472"/>
      <c r="B53" s="209" t="s">
        <v>284</v>
      </c>
      <c r="C53" s="212">
        <f>MIN(C52, C51)</f>
        <v>10</v>
      </c>
      <c r="D53" s="211">
        <f>(C53*$K$1)*$C$1</f>
        <v>10000</v>
      </c>
      <c r="E53" s="84"/>
      <c r="F53" s="84"/>
      <c r="G53" s="129" t="s">
        <v>284</v>
      </c>
      <c r="H53" s="168">
        <f>MIN(H52,H51)</f>
        <v>10</v>
      </c>
      <c r="I53" s="157">
        <f>J53/$R$1</f>
        <v>46296.296296296292</v>
      </c>
      <c r="J53" s="157">
        <f>MIN(J52,J51)</f>
        <v>25000</v>
      </c>
    </row>
    <row r="54" spans="1:10" ht="14.25" customHeight="1" x14ac:dyDescent="0.25">
      <c r="A54" s="1472"/>
      <c r="B54" s="209" t="s">
        <v>285</v>
      </c>
      <c r="C54" s="212">
        <f>MIN(MAX(C52-C53,0),C51)</f>
        <v>1.1720000000000006</v>
      </c>
      <c r="D54" s="211">
        <f>(C54*$K$1)*$C$1</f>
        <v>1172.0000000000007</v>
      </c>
      <c r="E54" s="84"/>
      <c r="F54" s="84"/>
      <c r="G54" s="129" t="s">
        <v>285</v>
      </c>
      <c r="H54" s="168">
        <f>MIN(MAX(H52-H53),H51)</f>
        <v>1.1719999999999988</v>
      </c>
      <c r="I54" s="157">
        <f>J54/$R$1</f>
        <v>5425.9259259259252</v>
      </c>
      <c r="J54" s="157">
        <f>MIN(MAX(J52-J53),J51)</f>
        <v>2930</v>
      </c>
    </row>
    <row r="55" spans="1:10" ht="14.25" customHeight="1"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ht="14.25" customHeight="1" x14ac:dyDescent="0.25">
      <c r="A56" s="1472"/>
      <c r="B56" s="84"/>
      <c r="E56" s="84"/>
      <c r="F56" s="84"/>
    </row>
    <row r="57" spans="1:10" ht="14.25" customHeight="1" x14ac:dyDescent="0.25">
      <c r="A57" s="1472"/>
      <c r="B57" s="84"/>
      <c r="E57" s="84"/>
      <c r="F57" s="84"/>
    </row>
    <row r="58" spans="1:10" ht="14.25" customHeight="1" x14ac:dyDescent="0.25">
      <c r="A58" s="1472"/>
      <c r="B58" s="84"/>
      <c r="E58" s="84"/>
      <c r="F58" s="84"/>
    </row>
    <row r="59" spans="1:10" ht="14.25" customHeight="1" x14ac:dyDescent="0.25">
      <c r="A59" s="1472"/>
      <c r="B59" s="84"/>
      <c r="E59" s="84"/>
      <c r="F59" s="84"/>
    </row>
    <row r="60" spans="1:10" ht="14.25" customHeight="1" x14ac:dyDescent="0.25">
      <c r="A60" s="1472"/>
      <c r="B60" s="84"/>
      <c r="E60" s="84"/>
      <c r="F60" s="84"/>
    </row>
    <row r="61" spans="1:10" ht="14.25" customHeight="1" x14ac:dyDescent="0.25">
      <c r="A61" s="1472"/>
      <c r="B61" s="84"/>
      <c r="E61" s="84"/>
      <c r="F61" s="84"/>
    </row>
    <row r="62" spans="1:10" ht="18" customHeight="1" x14ac:dyDescent="0.25">
      <c r="A62" s="1473"/>
      <c r="B62" s="1642" t="str">
        <f>" سمك بلانكويت 1 / " &amp; COUNTIF($C$53:$C$55, "&gt;0")</f>
        <v xml:space="preserve"> سمك بلانكويت 1 / 2</v>
      </c>
      <c r="C62" s="1656"/>
      <c r="D62" s="1656"/>
      <c r="E62" s="1656"/>
      <c r="F62" s="1656"/>
      <c r="G62" s="1656"/>
      <c r="H62" s="1656"/>
    </row>
    <row r="63" spans="1:10" ht="18" customHeight="1" x14ac:dyDescent="0.25">
      <c r="A63" s="1473"/>
      <c r="B63" s="1636" t="str">
        <f>"  Blankwet Fish  1 / " &amp; COUNTIF($C$53:$C$55, "&gt;0")</f>
        <v xml:space="preserve">  Blankwet Fish  1 / 2</v>
      </c>
      <c r="C63" s="1637"/>
      <c r="D63" s="1637"/>
      <c r="E63" s="1637"/>
      <c r="F63" s="1637"/>
      <c r="G63" s="1637"/>
      <c r="H63" s="1637"/>
    </row>
    <row r="64" spans="1:10" ht="51" customHeight="1" x14ac:dyDescent="0.2">
      <c r="A64" s="1457"/>
      <c r="B64" s="75" t="s">
        <v>241</v>
      </c>
      <c r="C64" s="90" t="s">
        <v>242</v>
      </c>
      <c r="D64" s="75" t="s">
        <v>231</v>
      </c>
      <c r="E64" s="91" t="s">
        <v>234</v>
      </c>
      <c r="F64" s="91" t="s">
        <v>243</v>
      </c>
      <c r="G64" s="75" t="s">
        <v>244</v>
      </c>
      <c r="H64" s="92" t="s">
        <v>245</v>
      </c>
    </row>
    <row r="65" spans="1:8" ht="14.25" customHeight="1" x14ac:dyDescent="0.25">
      <c r="A65" s="1471"/>
      <c r="B65" s="106" t="str">
        <f t="shared" ref="B65:D77" si="11">B5</f>
        <v>Fillet Fish - سمك فيليه</v>
      </c>
      <c r="C65" s="106" t="str">
        <f t="shared" si="11"/>
        <v>gm</v>
      </c>
      <c r="D65" s="102">
        <f t="shared" si="11"/>
        <v>4629.6296296296296</v>
      </c>
      <c r="E65" s="108">
        <f>H53</f>
        <v>10</v>
      </c>
      <c r="F65" s="109">
        <f t="shared" ref="F65:F77" si="12">F5</f>
        <v>1</v>
      </c>
      <c r="G65" s="101">
        <f t="shared" ref="G65:G77" si="13">D65*E65</f>
        <v>46296.296296296292</v>
      </c>
      <c r="H65" s="102">
        <f t="shared" ref="H65:H77" si="14">G65*F65</f>
        <v>46296.296296296292</v>
      </c>
    </row>
    <row r="66" spans="1:8" ht="14.25" customHeight="1" x14ac:dyDescent="0.25">
      <c r="A66" s="1471" t="s">
        <v>905</v>
      </c>
      <c r="B66" s="106" t="str">
        <f t="shared" si="11"/>
        <v>Onion - بصل</v>
      </c>
      <c r="C66" s="106" t="str">
        <f t="shared" si="11"/>
        <v>gm</v>
      </c>
      <c r="D66" s="106">
        <f t="shared" si="11"/>
        <v>500</v>
      </c>
      <c r="E66" s="108">
        <f t="shared" ref="E66:E77" si="15">$C$53</f>
        <v>10</v>
      </c>
      <c r="F66" s="109">
        <f t="shared" si="12"/>
        <v>0.95</v>
      </c>
      <c r="G66" s="101">
        <f t="shared" si="13"/>
        <v>5000</v>
      </c>
      <c r="H66" s="102">
        <f t="shared" si="14"/>
        <v>4750</v>
      </c>
    </row>
    <row r="67" spans="1:8" ht="14.25" customHeight="1" x14ac:dyDescent="0.25">
      <c r="A67" s="1471" t="s">
        <v>907</v>
      </c>
      <c r="B67" s="106" t="str">
        <f t="shared" si="11"/>
        <v>Garlic - ثوم مقشر</v>
      </c>
      <c r="C67" s="106" t="str">
        <f t="shared" si="11"/>
        <v>gm</v>
      </c>
      <c r="D67" s="106">
        <f t="shared" si="11"/>
        <v>40</v>
      </c>
      <c r="E67" s="108">
        <f t="shared" si="15"/>
        <v>10</v>
      </c>
      <c r="F67" s="109">
        <f t="shared" si="12"/>
        <v>1</v>
      </c>
      <c r="G67" s="101">
        <f t="shared" si="13"/>
        <v>400</v>
      </c>
      <c r="H67" s="102">
        <f t="shared" si="14"/>
        <v>400</v>
      </c>
    </row>
    <row r="68" spans="1:8" ht="14.25" customHeight="1" x14ac:dyDescent="0.25">
      <c r="A68" s="1471"/>
      <c r="B68" s="106" t="str">
        <f t="shared" si="11"/>
        <v>Paprika Powder - بابريكا مطحون</v>
      </c>
      <c r="C68" s="106" t="str">
        <f t="shared" si="11"/>
        <v>gm</v>
      </c>
      <c r="D68" s="106">
        <f t="shared" si="11"/>
        <v>11</v>
      </c>
      <c r="E68" s="108">
        <f t="shared" si="15"/>
        <v>10</v>
      </c>
      <c r="F68" s="109">
        <f t="shared" si="12"/>
        <v>0.75</v>
      </c>
      <c r="G68" s="101">
        <f t="shared" si="13"/>
        <v>110</v>
      </c>
      <c r="H68" s="102">
        <f t="shared" si="14"/>
        <v>82.5</v>
      </c>
    </row>
    <row r="69" spans="1:8" ht="14.25" customHeight="1" x14ac:dyDescent="0.25">
      <c r="A69" s="1471"/>
      <c r="B69" s="106" t="str">
        <f t="shared" si="11"/>
        <v>Tomato Paste - صلصة طماطم</v>
      </c>
      <c r="C69" s="106" t="str">
        <f t="shared" si="11"/>
        <v>gm</v>
      </c>
      <c r="D69" s="106">
        <f t="shared" si="11"/>
        <v>100</v>
      </c>
      <c r="E69" s="108">
        <f t="shared" si="15"/>
        <v>10</v>
      </c>
      <c r="F69" s="109">
        <f t="shared" si="12"/>
        <v>1</v>
      </c>
      <c r="G69" s="101">
        <f t="shared" si="13"/>
        <v>1000</v>
      </c>
      <c r="H69" s="102">
        <f t="shared" si="14"/>
        <v>1000</v>
      </c>
    </row>
    <row r="70" spans="1:8" ht="14.25" customHeight="1" x14ac:dyDescent="0.25">
      <c r="A70" s="1471"/>
      <c r="B70" s="106" t="str">
        <f t="shared" si="11"/>
        <v>Maggi Cubes - مكعبات ماجي</v>
      </c>
      <c r="C70" s="106" t="str">
        <f t="shared" si="11"/>
        <v>gm</v>
      </c>
      <c r="D70" s="106">
        <f t="shared" si="11"/>
        <v>15</v>
      </c>
      <c r="E70" s="108">
        <f t="shared" si="15"/>
        <v>10</v>
      </c>
      <c r="F70" s="109">
        <f t="shared" si="12"/>
        <v>1</v>
      </c>
      <c r="G70" s="101">
        <f t="shared" si="13"/>
        <v>150</v>
      </c>
      <c r="H70" s="102">
        <f t="shared" si="14"/>
        <v>150</v>
      </c>
    </row>
    <row r="71" spans="1:8" ht="14.25" customHeight="1" x14ac:dyDescent="0.25">
      <c r="A71" s="1471"/>
      <c r="B71" s="106" t="str">
        <f t="shared" si="11"/>
        <v>Honey - عسل</v>
      </c>
      <c r="C71" s="106" t="str">
        <f t="shared" si="11"/>
        <v>gm</v>
      </c>
      <c r="D71" s="106">
        <f t="shared" si="11"/>
        <v>50</v>
      </c>
      <c r="E71" s="108">
        <f t="shared" si="15"/>
        <v>10</v>
      </c>
      <c r="F71" s="109">
        <f t="shared" si="12"/>
        <v>1</v>
      </c>
      <c r="G71" s="101">
        <f t="shared" si="13"/>
        <v>500</v>
      </c>
      <c r="H71" s="102">
        <f t="shared" si="14"/>
        <v>500</v>
      </c>
    </row>
    <row r="72" spans="1:8" ht="14.25" customHeight="1" x14ac:dyDescent="0.25">
      <c r="A72" s="1471"/>
      <c r="B72" s="106" t="str">
        <f t="shared" si="11"/>
        <v>Cooking Cream - كريمة طبخ</v>
      </c>
      <c r="C72" s="106" t="str">
        <f t="shared" si="11"/>
        <v>ml</v>
      </c>
      <c r="D72" s="106">
        <f t="shared" si="11"/>
        <v>600</v>
      </c>
      <c r="E72" s="108">
        <f t="shared" si="15"/>
        <v>10</v>
      </c>
      <c r="F72" s="109">
        <f t="shared" si="12"/>
        <v>1</v>
      </c>
      <c r="G72" s="101">
        <f t="shared" si="13"/>
        <v>6000</v>
      </c>
      <c r="H72" s="102">
        <f t="shared" si="14"/>
        <v>6000</v>
      </c>
    </row>
    <row r="73" spans="1:8" ht="14.25" customHeight="1" x14ac:dyDescent="0.25">
      <c r="A73" s="1471"/>
      <c r="B73" s="106" t="str">
        <f t="shared" si="11"/>
        <v>Salt - ملح</v>
      </c>
      <c r="C73" s="106" t="str">
        <f t="shared" si="11"/>
        <v>gm</v>
      </c>
      <c r="D73" s="106">
        <f t="shared" si="11"/>
        <v>6</v>
      </c>
      <c r="E73" s="108">
        <f t="shared" si="15"/>
        <v>10</v>
      </c>
      <c r="F73" s="109">
        <f t="shared" si="12"/>
        <v>0.75</v>
      </c>
      <c r="G73" s="101">
        <f t="shared" si="13"/>
        <v>60</v>
      </c>
      <c r="H73" s="102">
        <f t="shared" si="14"/>
        <v>45</v>
      </c>
    </row>
    <row r="74" spans="1:8" ht="14.25" customHeight="1" x14ac:dyDescent="0.25">
      <c r="A74" s="1471"/>
      <c r="B74" s="106" t="str">
        <f t="shared" si="11"/>
        <v>Black Pepper Powder - فلفل أسود مطحون</v>
      </c>
      <c r="C74" s="106" t="str">
        <f t="shared" si="11"/>
        <v>gm</v>
      </c>
      <c r="D74" s="106">
        <f t="shared" si="11"/>
        <v>8</v>
      </c>
      <c r="E74" s="108">
        <f t="shared" si="15"/>
        <v>10</v>
      </c>
      <c r="F74" s="109">
        <f t="shared" si="12"/>
        <v>0.75</v>
      </c>
      <c r="G74" s="101">
        <f t="shared" si="13"/>
        <v>80</v>
      </c>
      <c r="H74" s="102">
        <f t="shared" si="14"/>
        <v>60</v>
      </c>
    </row>
    <row r="75" spans="1:8" ht="14.25" customHeight="1" x14ac:dyDescent="0.25">
      <c r="A75" s="1471"/>
      <c r="B75" s="106" t="str">
        <f t="shared" si="11"/>
        <v>Corn Starch - نشا ذرة</v>
      </c>
      <c r="C75" s="106" t="str">
        <f t="shared" si="11"/>
        <v>gm</v>
      </c>
      <c r="D75" s="106">
        <f t="shared" si="11"/>
        <v>90</v>
      </c>
      <c r="E75" s="108">
        <f t="shared" si="15"/>
        <v>10</v>
      </c>
      <c r="F75" s="109">
        <f t="shared" si="12"/>
        <v>1</v>
      </c>
      <c r="G75" s="101">
        <f t="shared" si="13"/>
        <v>900</v>
      </c>
      <c r="H75" s="102">
        <f t="shared" si="14"/>
        <v>900</v>
      </c>
    </row>
    <row r="76" spans="1:8" ht="14.25" customHeight="1" x14ac:dyDescent="0.25">
      <c r="A76" s="1471"/>
      <c r="B76" s="106" t="str">
        <f t="shared" si="11"/>
        <v>Butter - زبدة</v>
      </c>
      <c r="C76" s="106" t="str">
        <f t="shared" si="11"/>
        <v>gm</v>
      </c>
      <c r="D76" s="106">
        <f t="shared" si="11"/>
        <v>30</v>
      </c>
      <c r="E76" s="108">
        <f t="shared" si="15"/>
        <v>10</v>
      </c>
      <c r="F76" s="109">
        <f t="shared" si="12"/>
        <v>1</v>
      </c>
      <c r="G76" s="101">
        <f t="shared" si="13"/>
        <v>300</v>
      </c>
      <c r="H76" s="102">
        <f t="shared" si="14"/>
        <v>300</v>
      </c>
    </row>
    <row r="77" spans="1:8" ht="14.25" customHeight="1" x14ac:dyDescent="0.25">
      <c r="A77" s="1471"/>
      <c r="B77" s="106" t="str">
        <f t="shared" si="11"/>
        <v>Water - ماء</v>
      </c>
      <c r="C77" s="106" t="str">
        <f t="shared" si="11"/>
        <v>ml</v>
      </c>
      <c r="D77" s="106">
        <f t="shared" si="11"/>
        <v>500</v>
      </c>
      <c r="E77" s="108">
        <f t="shared" si="15"/>
        <v>10</v>
      </c>
      <c r="F77" s="109">
        <f t="shared" si="12"/>
        <v>0.75</v>
      </c>
      <c r="G77" s="101">
        <f t="shared" si="13"/>
        <v>5000</v>
      </c>
      <c r="H77" s="102">
        <f t="shared" si="14"/>
        <v>3750</v>
      </c>
    </row>
    <row r="78" spans="1:8" ht="20.25" customHeight="1" x14ac:dyDescent="0.25">
      <c r="A78" s="1458"/>
      <c r="B78" s="178" t="s">
        <v>287</v>
      </c>
      <c r="C78" s="180" t="s">
        <v>273</v>
      </c>
      <c r="E78" s="180" t="s">
        <v>288</v>
      </c>
      <c r="G78" s="804" t="s">
        <v>264</v>
      </c>
      <c r="H78" s="804" t="s">
        <v>673</v>
      </c>
    </row>
    <row r="79" spans="1:8" ht="25.5" customHeight="1" x14ac:dyDescent="0.3">
      <c r="A79" s="1458"/>
      <c r="B79" s="179">
        <f>$J$53</f>
        <v>25000</v>
      </c>
      <c r="C79" s="179">
        <f>E79+G79</f>
        <v>10000</v>
      </c>
      <c r="D79" s="839"/>
      <c r="E79" s="179">
        <f>$D$53*$S$44</f>
        <v>0</v>
      </c>
      <c r="F79" s="843"/>
      <c r="G79" s="179">
        <f>$D$53*$T$44</f>
        <v>10000</v>
      </c>
      <c r="H79" s="179">
        <f>B79+E79</f>
        <v>25000</v>
      </c>
    </row>
    <row r="80" spans="1:8" ht="14.25" customHeight="1" x14ac:dyDescent="0.25">
      <c r="A80" s="1472"/>
      <c r="B80" s="84"/>
      <c r="E80" s="84"/>
      <c r="F80" s="84"/>
    </row>
    <row r="81" spans="1:8" ht="14.25" customHeight="1" x14ac:dyDescent="0.25">
      <c r="A81" s="1472"/>
      <c r="B81" s="84"/>
      <c r="C81" s="84"/>
      <c r="D81" s="84"/>
      <c r="E81" s="84"/>
      <c r="F81" s="84"/>
      <c r="G81" s="84"/>
      <c r="H81" s="84"/>
    </row>
    <row r="82" spans="1:8" ht="14.25" customHeight="1" x14ac:dyDescent="0.25">
      <c r="A82" s="1472"/>
      <c r="B82" s="84"/>
      <c r="C82" s="84"/>
      <c r="D82" s="84"/>
      <c r="E82" s="84"/>
      <c r="F82" s="84"/>
      <c r="G82" s="84"/>
      <c r="H82" s="84"/>
    </row>
    <row r="83" spans="1:8" ht="14.25" customHeight="1" x14ac:dyDescent="0.25">
      <c r="A83" s="1472"/>
      <c r="B83" s="84"/>
      <c r="C83" s="84"/>
      <c r="D83" s="84"/>
      <c r="E83" s="84"/>
      <c r="F83" s="84"/>
      <c r="G83" s="84"/>
      <c r="H83" s="84"/>
    </row>
    <row r="84" spans="1:8" ht="18" customHeight="1" x14ac:dyDescent="0.25">
      <c r="A84" s="1473"/>
      <c r="B84" s="1642" t="str">
        <f>" سمك بلانكويت 2 / " &amp; COUNTIF($C$53:$C$55, "&gt;0")</f>
        <v xml:space="preserve"> سمك بلانكويت 2 / 2</v>
      </c>
      <c r="C84" s="1656"/>
      <c r="D84" s="1656"/>
      <c r="E84" s="1656"/>
      <c r="F84" s="1656"/>
      <c r="G84" s="1656"/>
      <c r="H84" s="1656"/>
    </row>
    <row r="85" spans="1:8" ht="18" customHeight="1" x14ac:dyDescent="0.25">
      <c r="A85" s="1473"/>
      <c r="B85" s="1636" t="str">
        <f>"  Blankwet Fish  2 / " &amp; COUNTIF($C$53:$C$55, "&gt;0")</f>
        <v xml:space="preserve">  Blankwet Fish  2 / 2</v>
      </c>
      <c r="C85" s="1637"/>
      <c r="D85" s="1637"/>
      <c r="E85" s="1637"/>
      <c r="F85" s="1637"/>
      <c r="G85" s="1637"/>
      <c r="H85" s="1637"/>
    </row>
    <row r="86" spans="1:8" ht="25.5" customHeight="1" x14ac:dyDescent="0.2">
      <c r="A86" s="1457"/>
      <c r="B86" s="75" t="s">
        <v>241</v>
      </c>
      <c r="C86" s="90" t="s">
        <v>242</v>
      </c>
      <c r="D86" s="75" t="s">
        <v>231</v>
      </c>
      <c r="E86" s="91" t="s">
        <v>234</v>
      </c>
      <c r="F86" s="91" t="s">
        <v>243</v>
      </c>
      <c r="G86" s="75" t="s">
        <v>244</v>
      </c>
      <c r="H86" s="92" t="s">
        <v>245</v>
      </c>
    </row>
    <row r="87" spans="1:8" ht="14.25" customHeight="1" x14ac:dyDescent="0.25">
      <c r="A87" s="1471"/>
      <c r="B87" s="106" t="str">
        <f t="shared" ref="B87:D99" si="16">B5</f>
        <v>Fillet Fish - سمك فيليه</v>
      </c>
      <c r="C87" s="106" t="str">
        <f t="shared" si="16"/>
        <v>gm</v>
      </c>
      <c r="D87" s="102">
        <f t="shared" si="16"/>
        <v>4629.6296296296296</v>
      </c>
      <c r="E87" s="108">
        <f>H54</f>
        <v>1.1719999999999988</v>
      </c>
      <c r="F87" s="109">
        <f t="shared" ref="F87:F99" si="17">F5</f>
        <v>1</v>
      </c>
      <c r="G87" s="101">
        <f t="shared" ref="G87:G99" si="18">D87*E87</f>
        <v>5425.9259259259206</v>
      </c>
      <c r="H87" s="102">
        <f t="shared" ref="H87:H99" si="19">G87*F87</f>
        <v>5425.9259259259206</v>
      </c>
    </row>
    <row r="88" spans="1:8" ht="14.25" customHeight="1" x14ac:dyDescent="0.25">
      <c r="A88" s="1471" t="s">
        <v>905</v>
      </c>
      <c r="B88" s="106" t="str">
        <f t="shared" si="16"/>
        <v>Onion - بصل</v>
      </c>
      <c r="C88" s="106" t="str">
        <f t="shared" si="16"/>
        <v>gm</v>
      </c>
      <c r="D88" s="106">
        <f t="shared" si="16"/>
        <v>500</v>
      </c>
      <c r="E88" s="108">
        <f t="shared" ref="E88:E99" si="20">$C$54</f>
        <v>1.1720000000000006</v>
      </c>
      <c r="F88" s="109">
        <f t="shared" si="17"/>
        <v>0.95</v>
      </c>
      <c r="G88" s="101">
        <f t="shared" si="18"/>
        <v>586.00000000000034</v>
      </c>
      <c r="H88" s="102">
        <f t="shared" si="19"/>
        <v>556.70000000000027</v>
      </c>
    </row>
    <row r="89" spans="1:8" ht="14.25" customHeight="1" x14ac:dyDescent="0.25">
      <c r="A89" s="1471" t="s">
        <v>907</v>
      </c>
      <c r="B89" s="106" t="str">
        <f t="shared" si="16"/>
        <v>Garlic - ثوم مقشر</v>
      </c>
      <c r="C89" s="106" t="str">
        <f t="shared" si="16"/>
        <v>gm</v>
      </c>
      <c r="D89" s="106">
        <f t="shared" si="16"/>
        <v>40</v>
      </c>
      <c r="E89" s="108">
        <f t="shared" si="20"/>
        <v>1.1720000000000006</v>
      </c>
      <c r="F89" s="109">
        <f t="shared" si="17"/>
        <v>1</v>
      </c>
      <c r="G89" s="101">
        <f t="shared" si="18"/>
        <v>46.880000000000024</v>
      </c>
      <c r="H89" s="102">
        <f t="shared" si="19"/>
        <v>46.880000000000024</v>
      </c>
    </row>
    <row r="90" spans="1:8" ht="14.25" customHeight="1" x14ac:dyDescent="0.25">
      <c r="A90" s="1471"/>
      <c r="B90" s="106" t="str">
        <f t="shared" si="16"/>
        <v>Paprika Powder - بابريكا مطحون</v>
      </c>
      <c r="C90" s="106" t="str">
        <f t="shared" si="16"/>
        <v>gm</v>
      </c>
      <c r="D90" s="106">
        <f t="shared" si="16"/>
        <v>11</v>
      </c>
      <c r="E90" s="108">
        <f t="shared" si="20"/>
        <v>1.1720000000000006</v>
      </c>
      <c r="F90" s="109">
        <f t="shared" si="17"/>
        <v>0.75</v>
      </c>
      <c r="G90" s="101">
        <f t="shared" si="18"/>
        <v>12.892000000000007</v>
      </c>
      <c r="H90" s="102">
        <f t="shared" si="19"/>
        <v>9.669000000000004</v>
      </c>
    </row>
    <row r="91" spans="1:8" ht="14.25" customHeight="1" x14ac:dyDescent="0.25">
      <c r="A91" s="1471"/>
      <c r="B91" s="106" t="str">
        <f t="shared" si="16"/>
        <v>Tomato Paste - صلصة طماطم</v>
      </c>
      <c r="C91" s="106" t="str">
        <f t="shared" si="16"/>
        <v>gm</v>
      </c>
      <c r="D91" s="106">
        <f t="shared" si="16"/>
        <v>100</v>
      </c>
      <c r="E91" s="108">
        <f t="shared" si="20"/>
        <v>1.1720000000000006</v>
      </c>
      <c r="F91" s="109">
        <f t="shared" si="17"/>
        <v>1</v>
      </c>
      <c r="G91" s="101">
        <f t="shared" si="18"/>
        <v>117.20000000000006</v>
      </c>
      <c r="H91" s="102">
        <f t="shared" si="19"/>
        <v>117.20000000000006</v>
      </c>
    </row>
    <row r="92" spans="1:8" ht="14.25" customHeight="1" x14ac:dyDescent="0.25">
      <c r="A92" s="1471"/>
      <c r="B92" s="106" t="str">
        <f t="shared" si="16"/>
        <v>Maggi Cubes - مكعبات ماجي</v>
      </c>
      <c r="C92" s="106" t="str">
        <f t="shared" si="16"/>
        <v>gm</v>
      </c>
      <c r="D92" s="106">
        <f t="shared" si="16"/>
        <v>15</v>
      </c>
      <c r="E92" s="108">
        <f t="shared" si="20"/>
        <v>1.1720000000000006</v>
      </c>
      <c r="F92" s="109">
        <f t="shared" si="17"/>
        <v>1</v>
      </c>
      <c r="G92" s="101">
        <f t="shared" si="18"/>
        <v>17.580000000000009</v>
      </c>
      <c r="H92" s="102">
        <f t="shared" si="19"/>
        <v>17.580000000000009</v>
      </c>
    </row>
    <row r="93" spans="1:8" ht="14.25" customHeight="1" x14ac:dyDescent="0.25">
      <c r="A93" s="1471"/>
      <c r="B93" s="106" t="str">
        <f t="shared" si="16"/>
        <v>Honey - عسل</v>
      </c>
      <c r="C93" s="106" t="str">
        <f t="shared" si="16"/>
        <v>gm</v>
      </c>
      <c r="D93" s="106">
        <f t="shared" si="16"/>
        <v>50</v>
      </c>
      <c r="E93" s="108">
        <f t="shared" si="20"/>
        <v>1.1720000000000006</v>
      </c>
      <c r="F93" s="109">
        <f t="shared" si="17"/>
        <v>1</v>
      </c>
      <c r="G93" s="101">
        <f t="shared" si="18"/>
        <v>58.60000000000003</v>
      </c>
      <c r="H93" s="102">
        <f t="shared" si="19"/>
        <v>58.60000000000003</v>
      </c>
    </row>
    <row r="94" spans="1:8" ht="14.25" customHeight="1" x14ac:dyDescent="0.25">
      <c r="A94" s="1471"/>
      <c r="B94" s="106" t="str">
        <f t="shared" si="16"/>
        <v>Cooking Cream - كريمة طبخ</v>
      </c>
      <c r="C94" s="106" t="str">
        <f t="shared" si="16"/>
        <v>ml</v>
      </c>
      <c r="D94" s="106">
        <f t="shared" si="16"/>
        <v>600</v>
      </c>
      <c r="E94" s="108">
        <f t="shared" si="20"/>
        <v>1.1720000000000006</v>
      </c>
      <c r="F94" s="109">
        <f t="shared" si="17"/>
        <v>1</v>
      </c>
      <c r="G94" s="101">
        <f t="shared" si="18"/>
        <v>703.20000000000039</v>
      </c>
      <c r="H94" s="102">
        <f t="shared" si="19"/>
        <v>703.20000000000039</v>
      </c>
    </row>
    <row r="95" spans="1:8" ht="14.25" customHeight="1" x14ac:dyDescent="0.25">
      <c r="A95" s="1471"/>
      <c r="B95" s="106" t="str">
        <f t="shared" si="16"/>
        <v>Salt - ملح</v>
      </c>
      <c r="C95" s="106" t="str">
        <f t="shared" si="16"/>
        <v>gm</v>
      </c>
      <c r="D95" s="106">
        <f t="shared" si="16"/>
        <v>6</v>
      </c>
      <c r="E95" s="108">
        <f t="shared" si="20"/>
        <v>1.1720000000000006</v>
      </c>
      <c r="F95" s="109">
        <f t="shared" si="17"/>
        <v>0.75</v>
      </c>
      <c r="G95" s="101">
        <f t="shared" si="18"/>
        <v>7.0320000000000036</v>
      </c>
      <c r="H95" s="102">
        <f t="shared" si="19"/>
        <v>5.2740000000000027</v>
      </c>
    </row>
    <row r="96" spans="1:8" ht="14.25" customHeight="1" x14ac:dyDescent="0.25">
      <c r="A96" s="1471"/>
      <c r="B96" s="106" t="str">
        <f t="shared" si="16"/>
        <v>Black Pepper Powder - فلفل أسود مطحون</v>
      </c>
      <c r="C96" s="106" t="str">
        <f t="shared" si="16"/>
        <v>gm</v>
      </c>
      <c r="D96" s="106">
        <f t="shared" si="16"/>
        <v>8</v>
      </c>
      <c r="E96" s="108">
        <f t="shared" si="20"/>
        <v>1.1720000000000006</v>
      </c>
      <c r="F96" s="109">
        <f t="shared" si="17"/>
        <v>0.75</v>
      </c>
      <c r="G96" s="101">
        <f t="shared" si="18"/>
        <v>9.3760000000000048</v>
      </c>
      <c r="H96" s="102">
        <f t="shared" si="19"/>
        <v>7.0320000000000036</v>
      </c>
    </row>
    <row r="97" spans="1:10" ht="14.25" customHeight="1" x14ac:dyDescent="0.25">
      <c r="A97" s="1471"/>
      <c r="B97" s="106" t="str">
        <f t="shared" si="16"/>
        <v>Corn Starch - نشا ذرة</v>
      </c>
      <c r="C97" s="106" t="str">
        <f t="shared" si="16"/>
        <v>gm</v>
      </c>
      <c r="D97" s="106">
        <f t="shared" si="16"/>
        <v>90</v>
      </c>
      <c r="E97" s="108">
        <f t="shared" si="20"/>
        <v>1.1720000000000006</v>
      </c>
      <c r="F97" s="109">
        <f t="shared" si="17"/>
        <v>1</v>
      </c>
      <c r="G97" s="101">
        <f t="shared" si="18"/>
        <v>105.48000000000005</v>
      </c>
      <c r="H97" s="102">
        <f t="shared" si="19"/>
        <v>105.48000000000005</v>
      </c>
    </row>
    <row r="98" spans="1:10" ht="14.25" customHeight="1" x14ac:dyDescent="0.25">
      <c r="A98" s="1471"/>
      <c r="B98" s="106" t="str">
        <f t="shared" si="16"/>
        <v>Butter - زبدة</v>
      </c>
      <c r="C98" s="106" t="str">
        <f t="shared" si="16"/>
        <v>gm</v>
      </c>
      <c r="D98" s="106">
        <f t="shared" si="16"/>
        <v>30</v>
      </c>
      <c r="E98" s="108">
        <f t="shared" si="20"/>
        <v>1.1720000000000006</v>
      </c>
      <c r="F98" s="109">
        <f t="shared" si="17"/>
        <v>1</v>
      </c>
      <c r="G98" s="101">
        <f t="shared" si="18"/>
        <v>35.160000000000018</v>
      </c>
      <c r="H98" s="102">
        <f t="shared" si="19"/>
        <v>35.160000000000018</v>
      </c>
    </row>
    <row r="99" spans="1:10" ht="14.25" customHeight="1" x14ac:dyDescent="0.25">
      <c r="A99" s="1471"/>
      <c r="B99" s="106" t="str">
        <f t="shared" si="16"/>
        <v>Water - ماء</v>
      </c>
      <c r="C99" s="106" t="str">
        <f t="shared" si="16"/>
        <v>ml</v>
      </c>
      <c r="D99" s="106">
        <f t="shared" si="16"/>
        <v>500</v>
      </c>
      <c r="E99" s="108">
        <f t="shared" si="20"/>
        <v>1.1720000000000006</v>
      </c>
      <c r="F99" s="109">
        <f t="shared" si="17"/>
        <v>0.75</v>
      </c>
      <c r="G99" s="101">
        <f t="shared" si="18"/>
        <v>586.00000000000034</v>
      </c>
      <c r="H99" s="102">
        <f t="shared" si="19"/>
        <v>439.50000000000023</v>
      </c>
    </row>
    <row r="100" spans="1:10" ht="22.5" customHeight="1" x14ac:dyDescent="0.25">
      <c r="A100" s="1458"/>
      <c r="B100" s="178" t="s">
        <v>287</v>
      </c>
      <c r="C100" s="180" t="s">
        <v>273</v>
      </c>
      <c r="E100" s="180" t="s">
        <v>288</v>
      </c>
      <c r="G100" s="804" t="s">
        <v>264</v>
      </c>
      <c r="H100" s="804" t="s">
        <v>673</v>
      </c>
      <c r="I100" s="76"/>
      <c r="J100" s="120"/>
    </row>
    <row r="101" spans="1:10" ht="21.75" customHeight="1" x14ac:dyDescent="0.3">
      <c r="A101" s="1458"/>
      <c r="B101" s="179">
        <f>$J$54</f>
        <v>2930</v>
      </c>
      <c r="C101" s="179">
        <f>E101+G101</f>
        <v>1172.0000000000007</v>
      </c>
      <c r="D101" s="839"/>
      <c r="E101" s="179">
        <f>$D$54*$S$44</f>
        <v>0</v>
      </c>
      <c r="F101" s="843"/>
      <c r="G101" s="179">
        <f>$D$54*$T$44</f>
        <v>1172.0000000000007</v>
      </c>
      <c r="H101" s="179">
        <f>B101+E101</f>
        <v>2930</v>
      </c>
    </row>
    <row r="102" spans="1:10" x14ac:dyDescent="0.25">
      <c r="A102" s="1472"/>
    </row>
    <row r="103" spans="1:10" x14ac:dyDescent="0.25">
      <c r="A103" s="1472"/>
    </row>
    <row r="104" spans="1:10" x14ac:dyDescent="0.25">
      <c r="A104" s="1472"/>
    </row>
    <row r="105" spans="1:10" x14ac:dyDescent="0.25">
      <c r="A105" s="1472"/>
    </row>
    <row r="106" spans="1:10" x14ac:dyDescent="0.25">
      <c r="A106" s="1472"/>
    </row>
    <row r="107" spans="1:10" x14ac:dyDescent="0.25">
      <c r="A107" s="1472"/>
    </row>
    <row r="108" spans="1:10" x14ac:dyDescent="0.25">
      <c r="A108" s="1472"/>
    </row>
    <row r="109" spans="1:10" x14ac:dyDescent="0.25">
      <c r="A109" s="1472"/>
    </row>
    <row r="110" spans="1:10" x14ac:dyDescent="0.25">
      <c r="A110" s="1472"/>
    </row>
    <row r="111" spans="1:10" x14ac:dyDescent="0.25">
      <c r="A111" s="1472"/>
    </row>
    <row r="112" spans="1:10"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9">
    <mergeCell ref="AK2:AM2"/>
    <mergeCell ref="B85:H85"/>
    <mergeCell ref="B2:J3"/>
    <mergeCell ref="B84:H84"/>
    <mergeCell ref="R26:U26"/>
    <mergeCell ref="R25:U25"/>
    <mergeCell ref="B62:H62"/>
    <mergeCell ref="B63:H63"/>
    <mergeCell ref="B35:F35"/>
  </mergeCells>
  <printOptions horizontalCentered="1"/>
  <pageMargins left="0.4" right="0.4" top="1" bottom="0.5" header="0.3" footer="0.511811023622047"/>
  <pageSetup paperSize="9" scale="47" orientation="landscape"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2E75B6"/>
    <pageSetUpPr fitToPage="1"/>
  </sheetPr>
  <dimension ref="A1:AT174"/>
  <sheetViews>
    <sheetView topLeftCell="B30" zoomScale="68" zoomScaleNormal="68" workbookViewId="0">
      <selection activeCell="D5" sqref="D5"/>
    </sheetView>
  </sheetViews>
  <sheetFormatPr defaultColWidth="12.5" defaultRowHeight="15" x14ac:dyDescent="0.25"/>
  <cols>
    <col min="1" max="1" width="12.5" style="63" customWidth="1"/>
    <col min="2" max="2" width="37" style="14" customWidth="1"/>
    <col min="3" max="3" width="17.25" style="14" customWidth="1"/>
    <col min="4" max="4" width="18" style="14" customWidth="1"/>
    <col min="5" max="5" width="15.125" style="274" customWidth="1"/>
    <col min="6" max="6" width="13.875" style="14" customWidth="1"/>
    <col min="7" max="7" width="16.875" style="14" customWidth="1"/>
    <col min="8" max="8" width="29.75" style="14" customWidth="1"/>
    <col min="9" max="10" width="12.375" style="14" customWidth="1"/>
    <col min="11" max="11" width="11.5" style="14" customWidth="1"/>
    <col min="12" max="12" width="8.375" style="14" customWidth="1"/>
    <col min="13" max="14" width="4.375" style="14" customWidth="1"/>
    <col min="15" max="15" width="8.25" style="14" customWidth="1"/>
    <col min="16" max="16" width="7.5" style="14" customWidth="1"/>
    <col min="17" max="17" width="12.5" style="14" customWidth="1"/>
    <col min="18" max="18" width="23.5" style="14" customWidth="1"/>
    <col min="19" max="19" width="12.5" style="14" customWidth="1"/>
    <col min="20" max="23" width="12.5" style="14"/>
    <col min="24" max="24" width="2.875" style="14" customWidth="1"/>
    <col min="25" max="27" width="12.5" style="14"/>
    <col min="28" max="28" width="13.25" style="14" bestFit="1" customWidth="1"/>
    <col min="29" max="30" width="11.375" style="14" bestFit="1" customWidth="1"/>
    <col min="31" max="31" width="11.375" style="14" customWidth="1"/>
    <col min="32" max="32" width="9.625" style="14" customWidth="1"/>
    <col min="33" max="34" width="4.25" style="14" customWidth="1"/>
    <col min="35" max="35" width="12.5" style="14"/>
    <col min="36" max="36" width="33.875" style="14" customWidth="1"/>
    <col min="37" max="37" width="12.5" style="14"/>
    <col min="38" max="38" width="16.625" style="14" customWidth="1"/>
    <col min="39" max="16384" width="12.5" style="14"/>
  </cols>
  <sheetData>
    <row r="1" spans="1:46" s="228" customFormat="1" ht="35.25" customHeight="1" x14ac:dyDescent="0.25">
      <c r="A1" s="226"/>
      <c r="B1" s="64" t="s">
        <v>231</v>
      </c>
      <c r="C1" s="65">
        <v>1000</v>
      </c>
      <c r="D1" s="66" t="s">
        <v>232</v>
      </c>
      <c r="E1" s="67">
        <f>$T$32</f>
        <v>10481.025641025644</v>
      </c>
      <c r="F1" s="360" t="s">
        <v>233</v>
      </c>
      <c r="G1" s="68">
        <f>E1/1000</f>
        <v>10.481025641025644</v>
      </c>
      <c r="H1" s="64" t="s">
        <v>234</v>
      </c>
      <c r="I1" s="69">
        <f>(G1/K1)</f>
        <v>11.032658569500679</v>
      </c>
      <c r="J1" s="70" t="s">
        <v>235</v>
      </c>
      <c r="K1" s="69">
        <v>0.95</v>
      </c>
      <c r="L1" s="361"/>
      <c r="M1" s="195"/>
      <c r="N1" s="196"/>
      <c r="O1" s="75" t="s">
        <v>236</v>
      </c>
      <c r="P1" s="76" t="s">
        <v>237</v>
      </c>
      <c r="Q1" s="77" t="s">
        <v>238</v>
      </c>
      <c r="R1" s="76">
        <v>0.59</v>
      </c>
      <c r="Y1" s="75" t="s">
        <v>453</v>
      </c>
      <c r="Z1" s="766">
        <v>18580</v>
      </c>
      <c r="AA1" s="75" t="s">
        <v>556</v>
      </c>
      <c r="AB1" s="766">
        <v>0</v>
      </c>
      <c r="AC1" s="75" t="s">
        <v>546</v>
      </c>
      <c r="AD1" s="766">
        <v>128</v>
      </c>
      <c r="AF1" s="230"/>
      <c r="AG1" s="76"/>
      <c r="AI1" s="63"/>
      <c r="AJ1" s="93" t="s">
        <v>250</v>
      </c>
      <c r="AK1" s="78">
        <v>10000</v>
      </c>
      <c r="AL1" s="561" t="s">
        <v>483</v>
      </c>
      <c r="AM1" s="562">
        <f>$S$32</f>
        <v>14292.30769230769</v>
      </c>
      <c r="AN1" s="78" t="s">
        <v>239</v>
      </c>
      <c r="AO1" s="80">
        <f>($S$32/$R$1)/$AK$1</f>
        <v>2.422425032594524</v>
      </c>
      <c r="AP1" s="79"/>
    </row>
    <row r="2" spans="1:46" ht="15.75" customHeight="1" x14ac:dyDescent="0.25">
      <c r="A2" s="81"/>
      <c r="B2" s="82"/>
      <c r="C2" s="82"/>
      <c r="D2" s="82"/>
      <c r="E2" s="82"/>
      <c r="F2" s="1632" t="s">
        <v>46</v>
      </c>
      <c r="G2" s="82"/>
      <c r="H2" s="82"/>
      <c r="I2" s="82"/>
      <c r="J2" s="82"/>
      <c r="K2" s="82"/>
      <c r="L2" s="82"/>
      <c r="M2" s="83"/>
      <c r="N2" s="83"/>
      <c r="O2" s="84"/>
      <c r="P2" s="84"/>
      <c r="Q2" s="84"/>
      <c r="R2" s="84"/>
      <c r="AC2" s="83"/>
      <c r="AD2" s="83"/>
      <c r="AE2" s="1652"/>
      <c r="AF2" s="1655"/>
      <c r="AG2" s="1655"/>
      <c r="AI2" s="63"/>
      <c r="AJ2" s="85"/>
      <c r="AK2" s="1631" t="s">
        <v>357</v>
      </c>
      <c r="AL2" s="1631"/>
      <c r="AM2" s="1631"/>
      <c r="AN2" s="86"/>
      <c r="AO2" s="85"/>
      <c r="AP2" s="85"/>
    </row>
    <row r="3" spans="1:46" ht="15.75" customHeight="1" x14ac:dyDescent="0.25">
      <c r="A3" s="81"/>
      <c r="B3" s="87"/>
      <c r="C3" s="87"/>
      <c r="D3" s="87"/>
      <c r="E3" s="87"/>
      <c r="F3" s="1633"/>
      <c r="G3" s="87"/>
      <c r="H3" s="87"/>
      <c r="I3" s="87"/>
      <c r="J3" s="87"/>
      <c r="K3" s="87"/>
      <c r="L3" s="87"/>
      <c r="M3" s="83"/>
      <c r="N3" s="83"/>
      <c r="O3" s="84"/>
      <c r="P3" s="84"/>
      <c r="Q3" s="84"/>
      <c r="R3" s="84"/>
      <c r="AC3" s="83"/>
      <c r="AD3" s="83"/>
      <c r="AE3" s="1655"/>
      <c r="AF3" s="1655"/>
      <c r="AG3" s="1655"/>
      <c r="AI3" s="63"/>
      <c r="AJ3" s="88"/>
      <c r="AK3" s="88"/>
      <c r="AL3" s="89"/>
      <c r="AM3" s="89"/>
      <c r="AN3" s="89"/>
      <c r="AO3" s="88"/>
      <c r="AP3" s="88"/>
    </row>
    <row r="4" spans="1:46" ht="69" customHeight="1" x14ac:dyDescent="0.25">
      <c r="A4" s="75" t="s">
        <v>903</v>
      </c>
      <c r="B4" s="75" t="s">
        <v>241</v>
      </c>
      <c r="C4" s="90" t="s">
        <v>242</v>
      </c>
      <c r="D4" s="75" t="s">
        <v>231</v>
      </c>
      <c r="E4" s="91" t="s">
        <v>234</v>
      </c>
      <c r="F4" s="91" t="s">
        <v>243</v>
      </c>
      <c r="G4" s="75" t="s">
        <v>244</v>
      </c>
      <c r="H4" s="92" t="s">
        <v>245</v>
      </c>
      <c r="I4" s="75" t="s">
        <v>246</v>
      </c>
      <c r="J4" s="75" t="s">
        <v>247</v>
      </c>
      <c r="K4" s="75" t="s">
        <v>248</v>
      </c>
      <c r="L4" s="73" t="s">
        <v>249</v>
      </c>
      <c r="M4" s="347"/>
      <c r="N4" s="347"/>
      <c r="O4" s="84"/>
      <c r="P4" s="84"/>
      <c r="Q4" s="84"/>
      <c r="R4" s="84"/>
      <c r="AC4" s="229"/>
      <c r="AD4" s="231"/>
      <c r="AE4" s="229"/>
      <c r="AF4" s="229"/>
      <c r="AG4" s="229"/>
      <c r="AI4" s="63"/>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99"/>
      <c r="B5" s="286" t="s">
        <v>220</v>
      </c>
      <c r="C5" s="97" t="s">
        <v>14</v>
      </c>
      <c r="D5" s="103">
        <f>I51/10</f>
        <v>2311.3713405238827</v>
      </c>
      <c r="E5" s="99">
        <f>H52</f>
        <v>10.480466682802557</v>
      </c>
      <c r="F5" s="100">
        <v>1</v>
      </c>
      <c r="G5" s="101">
        <f t="shared" ref="G5:G28" si="0">D5*E5</f>
        <v>24224.250325945239</v>
      </c>
      <c r="H5" s="102">
        <f t="shared" ref="H5:H28" si="1">G5*F5</f>
        <v>24224.250325945239</v>
      </c>
      <c r="I5" s="65">
        <f>VLOOKUP(B5,All_Ingredients!$A$1:$F$156,6,FALSE())</f>
        <v>0.86</v>
      </c>
      <c r="J5" s="101">
        <f>VLOOKUP(B5,All_Ingredients!$A$1:$J$156,10,FALSE())</f>
        <v>17.100000000000001</v>
      </c>
      <c r="K5" s="104">
        <f t="shared" ref="K5" si="2">(H5/I5)/1000</f>
        <v>28.167732937145626</v>
      </c>
      <c r="L5" s="104">
        <f t="shared" ref="L5" si="3">K5*J5</f>
        <v>481.66823322519025</v>
      </c>
      <c r="M5" s="112"/>
      <c r="N5" s="112"/>
      <c r="O5" s="84"/>
      <c r="P5" s="84"/>
      <c r="Q5" s="84"/>
      <c r="R5" s="84"/>
      <c r="AC5" s="76"/>
      <c r="AD5" s="114"/>
      <c r="AE5" s="232"/>
      <c r="AF5" s="116"/>
      <c r="AG5" s="117"/>
      <c r="AI5" s="63"/>
      <c r="AJ5" s="105" t="s">
        <v>220</v>
      </c>
      <c r="AK5" s="106" t="s">
        <v>227</v>
      </c>
      <c r="AL5" s="107">
        <v>10</v>
      </c>
      <c r="AM5" s="177">
        <f t="shared" ref="AM5:AM16" si="4">$AO$1</f>
        <v>2.422425032594524</v>
      </c>
      <c r="AN5" s="109">
        <v>1</v>
      </c>
      <c r="AO5" s="101">
        <f t="shared" ref="AO5:AO16" si="5">AL5*AM5</f>
        <v>24.224250325945242</v>
      </c>
      <c r="AP5" s="102">
        <f t="shared" ref="AP5:AP16" si="6">AO5*AN5</f>
        <v>24.224250325945242</v>
      </c>
      <c r="AR5" s="993"/>
      <c r="AS5" s="514"/>
      <c r="AT5" s="991"/>
    </row>
    <row r="6" spans="1:46" ht="14.25" customHeight="1" x14ac:dyDescent="0.25">
      <c r="A6" s="1471"/>
      <c r="B6" s="96" t="s">
        <v>131</v>
      </c>
      <c r="C6" s="106" t="s">
        <v>14</v>
      </c>
      <c r="D6" s="107">
        <v>2</v>
      </c>
      <c r="E6" s="177">
        <f t="shared" ref="E6:E28" si="7">$I$1</f>
        <v>11.032658569500679</v>
      </c>
      <c r="F6" s="109">
        <v>1</v>
      </c>
      <c r="G6" s="101">
        <f t="shared" si="0"/>
        <v>22.065317139001358</v>
      </c>
      <c r="H6" s="102">
        <f t="shared" si="1"/>
        <v>22.065317139001358</v>
      </c>
      <c r="I6" s="65">
        <f>VLOOKUP(B6,All_Ingredients!$A$1:$F$156,6,FALSE())</f>
        <v>1</v>
      </c>
      <c r="J6" s="101">
        <f>VLOOKUP(B6,All_Ingredients!$A$1:$J$156,10,FALSE())</f>
        <v>10</v>
      </c>
      <c r="K6" s="104">
        <f t="shared" ref="K6:K28" si="8">(H6/I6)/1000</f>
        <v>2.206531713900136E-2</v>
      </c>
      <c r="L6" s="104">
        <f t="shared" ref="L6:L28" si="9">K6*J6</f>
        <v>0.22065317139001361</v>
      </c>
      <c r="M6" s="112"/>
      <c r="N6" s="112"/>
      <c r="AI6" s="63" t="s">
        <v>55</v>
      </c>
      <c r="AJ6" s="105" t="s">
        <v>54</v>
      </c>
      <c r="AK6" s="106" t="s">
        <v>14</v>
      </c>
      <c r="AL6" s="107">
        <v>100</v>
      </c>
      <c r="AM6" s="177">
        <f t="shared" si="4"/>
        <v>2.422425032594524</v>
      </c>
      <c r="AN6" s="109">
        <v>1</v>
      </c>
      <c r="AO6" s="101">
        <f t="shared" si="5"/>
        <v>242.24250325945241</v>
      </c>
      <c r="AP6" s="102">
        <f t="shared" si="6"/>
        <v>242.24250325945241</v>
      </c>
      <c r="AQ6" s="991">
        <f>VLOOKUP(AJ6,Marination_Ordering!$A:$J,6,FALSE)</f>
        <v>0.87</v>
      </c>
      <c r="AR6" s="991">
        <f>VLOOKUP(AJ6,Marination_Ordering!$A:$J,10,FALSE)</f>
        <v>7</v>
      </c>
      <c r="AS6" s="514">
        <f>AP6/AQ6</f>
        <v>278.43965891891082</v>
      </c>
      <c r="AT6" s="991">
        <f>AR6*(AS6/1000)</f>
        <v>1.9490776124323757</v>
      </c>
    </row>
    <row r="7" spans="1:46" ht="14.25" customHeight="1" x14ac:dyDescent="0.25">
      <c r="A7" s="1471"/>
      <c r="B7" s="96" t="s">
        <v>103</v>
      </c>
      <c r="C7" s="106" t="s">
        <v>14</v>
      </c>
      <c r="D7" s="107">
        <v>1</v>
      </c>
      <c r="E7" s="177">
        <f t="shared" si="7"/>
        <v>11.032658569500679</v>
      </c>
      <c r="F7" s="109">
        <v>1</v>
      </c>
      <c r="G7" s="101">
        <f t="shared" si="0"/>
        <v>11.032658569500679</v>
      </c>
      <c r="H7" s="102">
        <f t="shared" si="1"/>
        <v>11.032658569500679</v>
      </c>
      <c r="I7" s="65">
        <f>VLOOKUP(B7,All_Ingredients!$A$1:$F$156,6,FALSE())</f>
        <v>1</v>
      </c>
      <c r="J7" s="101">
        <f>VLOOKUP(B7,All_Ingredients!$A$1:$J$156,10,FALSE())</f>
        <v>19</v>
      </c>
      <c r="K7" s="104">
        <f t="shared" si="8"/>
        <v>1.103265856950068E-2</v>
      </c>
      <c r="L7" s="104">
        <f t="shared" si="9"/>
        <v>0.20962051282051292</v>
      </c>
      <c r="M7" s="112"/>
      <c r="N7" s="112"/>
      <c r="AI7" s="63" t="s">
        <v>13</v>
      </c>
      <c r="AJ7" s="105" t="s">
        <v>727</v>
      </c>
      <c r="AK7" s="106" t="s">
        <v>14</v>
      </c>
      <c r="AL7" s="107">
        <v>100</v>
      </c>
      <c r="AM7" s="177">
        <f t="shared" si="4"/>
        <v>2.422425032594524</v>
      </c>
      <c r="AN7" s="109">
        <v>1</v>
      </c>
      <c r="AO7" s="101">
        <f t="shared" si="5"/>
        <v>242.24250325945241</v>
      </c>
      <c r="AP7" s="102">
        <f t="shared" si="6"/>
        <v>242.24250325945241</v>
      </c>
      <c r="AQ7" s="991">
        <f>VLOOKUP(AJ7,Marination_Ordering!$A:$J,6,FALSE)</f>
        <v>1</v>
      </c>
      <c r="AR7" s="991">
        <f>VLOOKUP(AJ7,Marination_Ordering!$A:$J,10,FALSE)</f>
        <v>10.5</v>
      </c>
      <c r="AS7" s="514">
        <f t="shared" ref="AS7:AS16" si="10">AP7/AQ7</f>
        <v>242.24250325945241</v>
      </c>
      <c r="AT7" s="991">
        <f t="shared" ref="AT7:AT16" si="11">AR7*(AS7/1000)</f>
        <v>2.5435462842242504</v>
      </c>
    </row>
    <row r="8" spans="1:46" ht="15" customHeight="1" x14ac:dyDescent="0.25">
      <c r="A8" s="1471"/>
      <c r="B8" s="96" t="s">
        <v>126</v>
      </c>
      <c r="C8" s="106" t="s">
        <v>14</v>
      </c>
      <c r="D8" s="107">
        <v>1</v>
      </c>
      <c r="E8" s="177">
        <f t="shared" si="7"/>
        <v>11.032658569500679</v>
      </c>
      <c r="F8" s="109">
        <v>1</v>
      </c>
      <c r="G8" s="101">
        <f t="shared" si="0"/>
        <v>11.032658569500679</v>
      </c>
      <c r="H8" s="102">
        <f t="shared" si="1"/>
        <v>11.032658569500679</v>
      </c>
      <c r="I8" s="65">
        <f>VLOOKUP(B8,All_Ingredients!$A$1:$F$156,6,FALSE())</f>
        <v>1</v>
      </c>
      <c r="J8" s="101">
        <f>VLOOKUP(B8,All_Ingredients!$A$1:$J$156,10,FALSE())</f>
        <v>125</v>
      </c>
      <c r="K8" s="104">
        <f t="shared" si="8"/>
        <v>1.103265856950068E-2</v>
      </c>
      <c r="L8" s="104">
        <f t="shared" si="9"/>
        <v>1.3790823211875849</v>
      </c>
      <c r="M8" s="112"/>
      <c r="N8" s="112"/>
      <c r="AI8" s="63" t="s">
        <v>204</v>
      </c>
      <c r="AJ8" s="105" t="s">
        <v>212</v>
      </c>
      <c r="AK8" s="106" t="s">
        <v>160</v>
      </c>
      <c r="AL8" s="107">
        <v>200</v>
      </c>
      <c r="AM8" s="177">
        <f t="shared" si="4"/>
        <v>2.422425032594524</v>
      </c>
      <c r="AN8" s="109">
        <v>1</v>
      </c>
      <c r="AO8" s="101">
        <f t="shared" si="5"/>
        <v>484.48500651890481</v>
      </c>
      <c r="AP8" s="102">
        <f t="shared" si="6"/>
        <v>484.48500651890481</v>
      </c>
      <c r="AQ8" s="991">
        <f>VLOOKUP(AJ8,Marination_Ordering!$A:$J,6,FALSE)</f>
        <v>1</v>
      </c>
      <c r="AR8" s="991">
        <f>VLOOKUP(AJ8,Marination_Ordering!$A:$J,10,FALSE)</f>
        <v>5</v>
      </c>
      <c r="AS8" s="514">
        <f t="shared" si="10"/>
        <v>484.48500651890481</v>
      </c>
      <c r="AT8" s="991">
        <f t="shared" si="11"/>
        <v>2.422425032594524</v>
      </c>
    </row>
    <row r="9" spans="1:46" ht="14.25" customHeight="1" x14ac:dyDescent="0.25">
      <c r="A9" s="1471"/>
      <c r="B9" s="96" t="s">
        <v>122</v>
      </c>
      <c r="C9" s="106" t="s">
        <v>14</v>
      </c>
      <c r="D9" s="107">
        <v>1</v>
      </c>
      <c r="E9" s="177">
        <f t="shared" si="7"/>
        <v>11.032658569500679</v>
      </c>
      <c r="F9" s="109">
        <v>1</v>
      </c>
      <c r="G9" s="101">
        <f t="shared" si="0"/>
        <v>11.032658569500679</v>
      </c>
      <c r="H9" s="102">
        <f t="shared" si="1"/>
        <v>11.032658569500679</v>
      </c>
      <c r="I9" s="65">
        <f>VLOOKUP(B9,All_Ingredients!$A$1:$F$156,6,FALSE())</f>
        <v>1</v>
      </c>
      <c r="J9" s="101">
        <f>VLOOKUP(B9,All_Ingredients!$A$1:$J$156,10,FALSE())</f>
        <v>14</v>
      </c>
      <c r="K9" s="104">
        <f t="shared" si="8"/>
        <v>1.103265856950068E-2</v>
      </c>
      <c r="L9" s="104">
        <f t="shared" si="9"/>
        <v>0.15445721997300951</v>
      </c>
      <c r="M9" s="112"/>
      <c r="N9" s="112"/>
      <c r="AI9" s="63" t="s">
        <v>204</v>
      </c>
      <c r="AJ9" s="105" t="s">
        <v>208</v>
      </c>
      <c r="AK9" s="106" t="s">
        <v>160</v>
      </c>
      <c r="AL9" s="107">
        <v>80</v>
      </c>
      <c r="AM9" s="177">
        <f t="shared" si="4"/>
        <v>2.422425032594524</v>
      </c>
      <c r="AN9" s="109">
        <v>1</v>
      </c>
      <c r="AO9" s="101">
        <f t="shared" si="5"/>
        <v>193.79400260756194</v>
      </c>
      <c r="AP9" s="102">
        <f t="shared" si="6"/>
        <v>193.79400260756194</v>
      </c>
      <c r="AQ9" s="991">
        <f>VLOOKUP(AJ9,Marination_Ordering!$A:$J,6,FALSE)</f>
        <v>1</v>
      </c>
      <c r="AR9" s="991">
        <f>VLOOKUP(AJ9,Marination_Ordering!$A:$J,10,FALSE)</f>
        <v>2.1621621621621623</v>
      </c>
      <c r="AS9" s="514">
        <f t="shared" si="10"/>
        <v>193.79400260756194</v>
      </c>
      <c r="AT9" s="991">
        <f t="shared" si="11"/>
        <v>0.41901405969202582</v>
      </c>
    </row>
    <row r="10" spans="1:46" ht="14.25" customHeight="1" x14ac:dyDescent="0.25">
      <c r="A10" s="1471" t="s">
        <v>920</v>
      </c>
      <c r="B10" s="96" t="s">
        <v>12</v>
      </c>
      <c r="C10" s="106" t="s">
        <v>14</v>
      </c>
      <c r="D10" s="107">
        <v>350</v>
      </c>
      <c r="E10" s="177">
        <f t="shared" si="7"/>
        <v>11.032658569500679</v>
      </c>
      <c r="F10" s="109">
        <v>0.95</v>
      </c>
      <c r="G10" s="101">
        <f t="shared" si="0"/>
        <v>3861.4304993252376</v>
      </c>
      <c r="H10" s="102">
        <f t="shared" si="1"/>
        <v>3668.3589743589755</v>
      </c>
      <c r="I10" s="65">
        <f>VLOOKUP(B10,All_Ingredients!$A$1:$F$156,6,FALSE())</f>
        <v>0.9</v>
      </c>
      <c r="J10" s="101">
        <f>VLOOKUP(B10,All_Ingredients!$A$1:$J$156,10,FALSE())</f>
        <v>3</v>
      </c>
      <c r="K10" s="104">
        <f t="shared" si="8"/>
        <v>4.075954415954417</v>
      </c>
      <c r="L10" s="104">
        <f t="shared" si="9"/>
        <v>12.227863247863251</v>
      </c>
      <c r="M10" s="112"/>
      <c r="N10" s="112"/>
      <c r="AI10" s="63" t="s">
        <v>94</v>
      </c>
      <c r="AJ10" s="105" t="s">
        <v>93</v>
      </c>
      <c r="AK10" s="106" t="s">
        <v>14</v>
      </c>
      <c r="AL10" s="107">
        <v>2</v>
      </c>
      <c r="AM10" s="177">
        <f t="shared" si="4"/>
        <v>2.422425032594524</v>
      </c>
      <c r="AN10" s="109">
        <v>1</v>
      </c>
      <c r="AO10" s="101">
        <f t="shared" si="5"/>
        <v>4.844850065189048</v>
      </c>
      <c r="AP10" s="102">
        <f t="shared" si="6"/>
        <v>4.844850065189048</v>
      </c>
      <c r="AQ10" s="991">
        <f>VLOOKUP(AJ10,Marination_Ordering!$A:$J,6,FALSE)</f>
        <v>1</v>
      </c>
      <c r="AR10" s="991">
        <f>VLOOKUP(AJ10,Marination_Ordering!$A:$J,10,FALSE)</f>
        <v>0.74</v>
      </c>
      <c r="AS10" s="514">
        <f t="shared" si="10"/>
        <v>4.844850065189048</v>
      </c>
      <c r="AT10" s="991">
        <f t="shared" si="11"/>
        <v>3.5851890482398955E-3</v>
      </c>
    </row>
    <row r="11" spans="1:46" ht="21.75" customHeight="1" x14ac:dyDescent="0.25">
      <c r="A11" s="1471"/>
      <c r="B11" s="96" t="s">
        <v>174</v>
      </c>
      <c r="C11" s="106" t="s">
        <v>160</v>
      </c>
      <c r="D11" s="107">
        <v>300</v>
      </c>
      <c r="E11" s="177">
        <f t="shared" si="7"/>
        <v>11.032658569500679</v>
      </c>
      <c r="F11" s="109">
        <v>0.9</v>
      </c>
      <c r="G11" s="101">
        <f t="shared" si="0"/>
        <v>3309.7975708502036</v>
      </c>
      <c r="H11" s="102">
        <f t="shared" si="1"/>
        <v>2978.8178137651835</v>
      </c>
      <c r="I11" s="65">
        <f>VLOOKUP(B11,All_Ingredients!$A$1:$F$156,6,FALSE())</f>
        <v>1</v>
      </c>
      <c r="J11" s="101">
        <f>VLOOKUP(B11,All_Ingredients!$A$1:$J$156,10,FALSE())</f>
        <v>9.8958333333333339</v>
      </c>
      <c r="K11" s="104">
        <f t="shared" si="8"/>
        <v>2.9788178137651835</v>
      </c>
      <c r="L11" s="104">
        <f t="shared" si="9"/>
        <v>29.477884615384632</v>
      </c>
      <c r="M11" s="112"/>
      <c r="N11" s="112"/>
      <c r="AI11" s="63" t="s">
        <v>94</v>
      </c>
      <c r="AJ11" s="105" t="s">
        <v>99</v>
      </c>
      <c r="AK11" s="106" t="s">
        <v>14</v>
      </c>
      <c r="AL11" s="107">
        <v>5</v>
      </c>
      <c r="AM11" s="177">
        <f t="shared" si="4"/>
        <v>2.422425032594524</v>
      </c>
      <c r="AN11" s="109">
        <v>1</v>
      </c>
      <c r="AO11" s="101">
        <f t="shared" si="5"/>
        <v>12.112125162972621</v>
      </c>
      <c r="AP11" s="102">
        <f t="shared" si="6"/>
        <v>12.112125162972621</v>
      </c>
      <c r="AQ11" s="991">
        <f>VLOOKUP(AJ11,Marination_Ordering!$A:$J,6,FALSE)</f>
        <v>1</v>
      </c>
      <c r="AR11" s="991">
        <f>VLOOKUP(AJ11,Marination_Ordering!$A:$J,10,FALSE)</f>
        <v>31</v>
      </c>
      <c r="AS11" s="514">
        <f t="shared" si="10"/>
        <v>12.112125162972621</v>
      </c>
      <c r="AT11" s="991">
        <f t="shared" si="11"/>
        <v>0.37547588005215127</v>
      </c>
    </row>
    <row r="12" spans="1:46" ht="16.5" customHeight="1" x14ac:dyDescent="0.25">
      <c r="A12" s="1471"/>
      <c r="B12" s="96" t="s">
        <v>728</v>
      </c>
      <c r="C12" s="106" t="s">
        <v>14</v>
      </c>
      <c r="D12" s="107">
        <v>200</v>
      </c>
      <c r="E12" s="177">
        <f t="shared" si="7"/>
        <v>11.032658569500679</v>
      </c>
      <c r="F12" s="109">
        <v>0.8</v>
      </c>
      <c r="G12" s="101">
        <f t="shared" si="0"/>
        <v>2206.5317139001359</v>
      </c>
      <c r="H12" s="102">
        <f t="shared" si="1"/>
        <v>1765.2253711201088</v>
      </c>
      <c r="I12" s="65">
        <f>VLOOKUP(B12,All_Ingredients!$A$1:$F$156,6,FALSE())</f>
        <v>1</v>
      </c>
      <c r="J12" s="101">
        <f>VLOOKUP(B12,All_Ingredients!$A$1:$J$156,10,FALSE())</f>
        <v>40.74074074074074</v>
      </c>
      <c r="K12" s="104">
        <f t="shared" si="8"/>
        <v>1.7652253711201087</v>
      </c>
      <c r="L12" s="104">
        <f t="shared" si="9"/>
        <v>71.916589193782201</v>
      </c>
      <c r="M12" s="112"/>
      <c r="N12" s="112"/>
      <c r="AI12" s="63" t="s">
        <v>213</v>
      </c>
      <c r="AJ12" s="105" t="s">
        <v>214</v>
      </c>
      <c r="AK12" s="106" t="s">
        <v>14</v>
      </c>
      <c r="AL12" s="107">
        <v>3</v>
      </c>
      <c r="AM12" s="177">
        <f t="shared" si="4"/>
        <v>2.422425032594524</v>
      </c>
      <c r="AN12" s="109">
        <v>1</v>
      </c>
      <c r="AO12" s="101">
        <f t="shared" si="5"/>
        <v>7.2672750977835721</v>
      </c>
      <c r="AP12" s="102">
        <f t="shared" si="6"/>
        <v>7.2672750977835721</v>
      </c>
      <c r="AQ12" s="991">
        <f>VLOOKUP(AJ12,Marination_Ordering!$A:$J,6,FALSE)</f>
        <v>1</v>
      </c>
      <c r="AR12" s="991">
        <f>VLOOKUP(AJ12,Marination_Ordering!$A:$J,10,FALSE)</f>
        <v>35</v>
      </c>
      <c r="AS12" s="514">
        <f t="shared" si="10"/>
        <v>7.2672750977835721</v>
      </c>
      <c r="AT12" s="991">
        <f t="shared" si="11"/>
        <v>0.25435462842242501</v>
      </c>
    </row>
    <row r="13" spans="1:46" ht="14.25" customHeight="1" x14ac:dyDescent="0.25">
      <c r="A13" s="1471" t="s">
        <v>907</v>
      </c>
      <c r="B13" s="96" t="s">
        <v>727</v>
      </c>
      <c r="C13" s="106" t="s">
        <v>14</v>
      </c>
      <c r="D13" s="107">
        <v>25</v>
      </c>
      <c r="E13" s="177">
        <f t="shared" si="7"/>
        <v>11.032658569500679</v>
      </c>
      <c r="F13" s="109">
        <v>0.95</v>
      </c>
      <c r="G13" s="101">
        <f t="shared" si="0"/>
        <v>275.81646423751698</v>
      </c>
      <c r="H13" s="102">
        <f t="shared" si="1"/>
        <v>262.02564102564111</v>
      </c>
      <c r="I13" s="65">
        <f>VLOOKUP(B13,All_Ingredients!$A$1:$F$156,6,FALSE())</f>
        <v>1</v>
      </c>
      <c r="J13" s="101">
        <f>VLOOKUP(B13,All_Ingredients!$A$1:$J$156,10,FALSE())</f>
        <v>10.5</v>
      </c>
      <c r="K13" s="104">
        <f t="shared" si="8"/>
        <v>0.26202564102564113</v>
      </c>
      <c r="L13" s="104">
        <f t="shared" si="9"/>
        <v>2.7512692307692319</v>
      </c>
      <c r="M13" s="112"/>
      <c r="N13" s="112"/>
      <c r="AI13" s="63" t="s">
        <v>153</v>
      </c>
      <c r="AJ13" s="105" t="s">
        <v>174</v>
      </c>
      <c r="AK13" s="106" t="s">
        <v>160</v>
      </c>
      <c r="AL13" s="107">
        <v>100</v>
      </c>
      <c r="AM13" s="177">
        <f t="shared" si="4"/>
        <v>2.422425032594524</v>
      </c>
      <c r="AN13" s="109">
        <v>1</v>
      </c>
      <c r="AO13" s="101">
        <f t="shared" si="5"/>
        <v>242.24250325945241</v>
      </c>
      <c r="AP13" s="102">
        <f t="shared" si="6"/>
        <v>242.24250325945241</v>
      </c>
      <c r="AQ13" s="991">
        <f>VLOOKUP(AJ13,Marination_Ordering!$A:$J,6,FALSE)</f>
        <v>1</v>
      </c>
      <c r="AR13" s="991">
        <f>VLOOKUP(AJ13,Marination_Ordering!$A:$J,10,FALSE)</f>
        <v>9.8958333333333339</v>
      </c>
      <c r="AS13" s="514">
        <f t="shared" si="10"/>
        <v>242.24250325945241</v>
      </c>
      <c r="AT13" s="991">
        <f t="shared" si="11"/>
        <v>2.3971914385049979</v>
      </c>
    </row>
    <row r="14" spans="1:46" ht="15" customHeight="1" x14ac:dyDescent="0.25">
      <c r="A14" s="1471"/>
      <c r="B14" s="96" t="s">
        <v>115</v>
      </c>
      <c r="C14" s="106" t="s">
        <v>14</v>
      </c>
      <c r="D14" s="107">
        <v>10</v>
      </c>
      <c r="E14" s="177">
        <f t="shared" si="7"/>
        <v>11.032658569500679</v>
      </c>
      <c r="F14" s="109">
        <v>0.75</v>
      </c>
      <c r="G14" s="101">
        <f t="shared" si="0"/>
        <v>110.3265856950068</v>
      </c>
      <c r="H14" s="102">
        <f t="shared" si="1"/>
        <v>82.744939271255106</v>
      </c>
      <c r="I14" s="65">
        <f>VLOOKUP(B14,All_Ingredients!$A$1:$F$156,6,FALSE())</f>
        <v>1</v>
      </c>
      <c r="J14" s="101">
        <f>VLOOKUP(B14,All_Ingredients!$A$1:$J$156,10,FALSE())</f>
        <v>14.5</v>
      </c>
      <c r="K14" s="104">
        <f t="shared" si="8"/>
        <v>8.2744939271255105E-2</v>
      </c>
      <c r="L14" s="104">
        <f t="shared" si="9"/>
        <v>1.1998016194331991</v>
      </c>
      <c r="M14" s="112"/>
      <c r="N14" s="112"/>
      <c r="AI14" s="63" t="s">
        <v>94</v>
      </c>
      <c r="AJ14" s="105" t="s">
        <v>105</v>
      </c>
      <c r="AK14" s="106" t="s">
        <v>14</v>
      </c>
      <c r="AL14" s="107">
        <v>25</v>
      </c>
      <c r="AM14" s="177">
        <f t="shared" si="4"/>
        <v>2.422425032594524</v>
      </c>
      <c r="AN14" s="109">
        <v>1</v>
      </c>
      <c r="AO14" s="101">
        <f t="shared" si="5"/>
        <v>60.560625814863101</v>
      </c>
      <c r="AP14" s="102">
        <f t="shared" si="6"/>
        <v>60.560625814863101</v>
      </c>
      <c r="AQ14" s="991">
        <f>VLOOKUP(AJ14,Marination_Ordering!$A:$J,6,FALSE)</f>
        <v>1</v>
      </c>
      <c r="AR14" s="991">
        <f>VLOOKUP(AJ14,Marination_Ordering!$A:$J,10,FALSE)</f>
        <v>15</v>
      </c>
      <c r="AS14" s="514">
        <f t="shared" si="10"/>
        <v>60.560625814863101</v>
      </c>
      <c r="AT14" s="991">
        <f t="shared" si="11"/>
        <v>0.90840938722294651</v>
      </c>
    </row>
    <row r="15" spans="1:46" ht="12.75" customHeight="1" x14ac:dyDescent="0.25">
      <c r="A15" s="1471"/>
      <c r="B15" s="96" t="s">
        <v>214</v>
      </c>
      <c r="C15" s="106" t="s">
        <v>14</v>
      </c>
      <c r="D15" s="107">
        <v>2</v>
      </c>
      <c r="E15" s="177">
        <f t="shared" si="7"/>
        <v>11.032658569500679</v>
      </c>
      <c r="F15" s="109">
        <v>1</v>
      </c>
      <c r="G15" s="101">
        <f t="shared" si="0"/>
        <v>22.065317139001358</v>
      </c>
      <c r="H15" s="102">
        <f t="shared" si="1"/>
        <v>22.065317139001358</v>
      </c>
      <c r="I15" s="65">
        <f>VLOOKUP(B15,All_Ingredients!$A$1:$F$156,6,FALSE())</f>
        <v>1</v>
      </c>
      <c r="J15" s="101">
        <f>VLOOKUP(B15,All_Ingredients!$A$1:$J$156,10,FALSE())</f>
        <v>35</v>
      </c>
      <c r="K15" s="104">
        <f t="shared" si="8"/>
        <v>2.206531713900136E-2</v>
      </c>
      <c r="L15" s="104">
        <f t="shared" si="9"/>
        <v>0.77228609986504759</v>
      </c>
      <c r="M15" s="112"/>
      <c r="N15" s="112"/>
      <c r="AI15" s="63" t="s">
        <v>94</v>
      </c>
      <c r="AJ15" s="105" t="s">
        <v>108</v>
      </c>
      <c r="AK15" s="106" t="s">
        <v>14</v>
      </c>
      <c r="AL15" s="107">
        <v>50</v>
      </c>
      <c r="AM15" s="177">
        <f t="shared" si="4"/>
        <v>2.422425032594524</v>
      </c>
      <c r="AN15" s="109">
        <v>1</v>
      </c>
      <c r="AO15" s="101">
        <f t="shared" si="5"/>
        <v>121.1212516297262</v>
      </c>
      <c r="AP15" s="102">
        <f t="shared" si="6"/>
        <v>121.1212516297262</v>
      </c>
      <c r="AQ15" s="991">
        <f>VLOOKUP(AJ15,Marination_Ordering!$A:$J,6,FALSE)</f>
        <v>1</v>
      </c>
      <c r="AR15" s="991">
        <f>VLOOKUP(AJ15,Marination_Ordering!$A:$J,10,FALSE)</f>
        <v>26.5</v>
      </c>
      <c r="AS15" s="514">
        <f t="shared" si="10"/>
        <v>121.1212516297262</v>
      </c>
      <c r="AT15" s="991">
        <f t="shared" si="11"/>
        <v>3.2097131681877444</v>
      </c>
    </row>
    <row r="16" spans="1:46" ht="15" customHeight="1" x14ac:dyDescent="0.25">
      <c r="A16" s="1471"/>
      <c r="B16" s="96" t="s">
        <v>93</v>
      </c>
      <c r="C16" s="106" t="s">
        <v>14</v>
      </c>
      <c r="D16" s="107">
        <v>11</v>
      </c>
      <c r="E16" s="177">
        <f t="shared" si="7"/>
        <v>11.032658569500679</v>
      </c>
      <c r="F16" s="109">
        <v>0.75</v>
      </c>
      <c r="G16" s="101">
        <f t="shared" si="0"/>
        <v>121.35924426450747</v>
      </c>
      <c r="H16" s="102">
        <f t="shared" si="1"/>
        <v>91.019433198380597</v>
      </c>
      <c r="I16" s="65">
        <f>VLOOKUP(B16,All_Ingredients!$A$1:$F$156,6,FALSE())</f>
        <v>1</v>
      </c>
      <c r="J16" s="101">
        <f>VLOOKUP(B16,All_Ingredients!$A$1:$J$156,10,FALSE())</f>
        <v>0.74</v>
      </c>
      <c r="K16" s="104">
        <f t="shared" si="8"/>
        <v>9.10194331983806E-2</v>
      </c>
      <c r="L16" s="104">
        <f t="shared" si="9"/>
        <v>6.7354380566801639E-2</v>
      </c>
      <c r="M16" s="112"/>
      <c r="N16" s="112"/>
      <c r="AI16" s="63" t="s">
        <v>213</v>
      </c>
      <c r="AJ16" s="105" t="s">
        <v>837</v>
      </c>
      <c r="AK16" s="106" t="s">
        <v>14</v>
      </c>
      <c r="AL16" s="107">
        <v>5</v>
      </c>
      <c r="AM16" s="177">
        <f t="shared" si="4"/>
        <v>2.422425032594524</v>
      </c>
      <c r="AN16" s="109">
        <v>1</v>
      </c>
      <c r="AO16" s="101">
        <f t="shared" si="5"/>
        <v>12.112125162972621</v>
      </c>
      <c r="AP16" s="102">
        <f t="shared" si="6"/>
        <v>12.112125162972621</v>
      </c>
      <c r="AQ16" s="991">
        <f>VLOOKUP(AJ16,Marination_Ordering!$A:$J,6,FALSE)</f>
        <v>1</v>
      </c>
      <c r="AR16" s="991">
        <f>VLOOKUP(AJ16,Marination_Ordering!$A:$J,10,FALSE)</f>
        <v>22.5</v>
      </c>
      <c r="AS16" s="514">
        <f t="shared" si="10"/>
        <v>12.112125162972621</v>
      </c>
      <c r="AT16" s="991">
        <f t="shared" si="11"/>
        <v>0.27252281616688395</v>
      </c>
    </row>
    <row r="17" spans="1:32" ht="14.25" customHeight="1" x14ac:dyDescent="0.25">
      <c r="A17" s="1471"/>
      <c r="B17" s="96" t="s">
        <v>203</v>
      </c>
      <c r="C17" s="106" t="s">
        <v>160</v>
      </c>
      <c r="D17" s="107">
        <v>500</v>
      </c>
      <c r="E17" s="177">
        <f t="shared" si="7"/>
        <v>11.032658569500679</v>
      </c>
      <c r="F17" s="109">
        <v>0.75</v>
      </c>
      <c r="G17" s="101">
        <f t="shared" si="0"/>
        <v>5516.3292847503399</v>
      </c>
      <c r="H17" s="102">
        <f t="shared" si="1"/>
        <v>4137.2469635627549</v>
      </c>
      <c r="I17" s="65">
        <f>VLOOKUP(B17,All_Ingredients!$A$1:$F$156,6,FALSE())</f>
        <v>1</v>
      </c>
      <c r="J17" s="101">
        <f>VLOOKUP(B17,All_Ingredients!$A$1:$J$156,10,FALSE())</f>
        <v>0</v>
      </c>
      <c r="K17" s="104">
        <f t="shared" si="8"/>
        <v>4.1372469635627551</v>
      </c>
      <c r="L17" s="104">
        <f t="shared" si="9"/>
        <v>0</v>
      </c>
      <c r="M17" s="112"/>
      <c r="N17" s="112"/>
    </row>
    <row r="18" spans="1:32" ht="14.25" customHeight="1" x14ac:dyDescent="0.25">
      <c r="A18" s="1471" t="s">
        <v>923</v>
      </c>
      <c r="B18" s="96" t="s">
        <v>75</v>
      </c>
      <c r="C18" s="106" t="s">
        <v>14</v>
      </c>
      <c r="D18" s="107">
        <v>3</v>
      </c>
      <c r="E18" s="177">
        <f t="shared" si="7"/>
        <v>11.032658569500679</v>
      </c>
      <c r="F18" s="109">
        <v>1</v>
      </c>
      <c r="G18" s="101">
        <f t="shared" si="0"/>
        <v>33.097975708502034</v>
      </c>
      <c r="H18" s="102">
        <f t="shared" si="1"/>
        <v>33.097975708502034</v>
      </c>
      <c r="I18" s="65">
        <f>VLOOKUP(B18,All_Ingredients!$A$1:$F$156,6,FALSE())</f>
        <v>0.6</v>
      </c>
      <c r="J18" s="101">
        <f>VLOOKUP(B18,All_Ingredients!$A$1:$J$156,10,FALSE())</f>
        <v>90</v>
      </c>
      <c r="K18" s="104">
        <f t="shared" si="8"/>
        <v>5.516329284750339E-2</v>
      </c>
      <c r="L18" s="104">
        <f t="shared" si="9"/>
        <v>4.9646963562753053</v>
      </c>
      <c r="M18" s="112"/>
      <c r="N18" s="112"/>
    </row>
    <row r="19" spans="1:32" ht="14.25" customHeight="1" x14ac:dyDescent="0.25">
      <c r="A19" s="1471" t="s">
        <v>908</v>
      </c>
      <c r="B19" s="96" t="s">
        <v>60</v>
      </c>
      <c r="C19" s="106" t="s">
        <v>14</v>
      </c>
      <c r="D19" s="107">
        <v>10</v>
      </c>
      <c r="E19" s="177">
        <f t="shared" si="7"/>
        <v>11.032658569500679</v>
      </c>
      <c r="F19" s="109">
        <v>1</v>
      </c>
      <c r="G19" s="101">
        <f t="shared" si="0"/>
        <v>110.3265856950068</v>
      </c>
      <c r="H19" s="102">
        <f t="shared" si="1"/>
        <v>110.3265856950068</v>
      </c>
      <c r="I19" s="65">
        <f>VLOOKUP(B19,All_Ingredients!$A$1:$F$156,6,FALSE())</f>
        <v>0.94</v>
      </c>
      <c r="J19" s="101">
        <f>VLOOKUP(B19,All_Ingredients!$A$1:$J$156,10,FALSE())</f>
        <v>3.6363636363636367</v>
      </c>
      <c r="K19" s="104">
        <f t="shared" si="8"/>
        <v>0.11736870818617745</v>
      </c>
      <c r="L19" s="104">
        <f t="shared" si="9"/>
        <v>0.42679530249519076</v>
      </c>
      <c r="M19" s="112"/>
      <c r="N19" s="112"/>
    </row>
    <row r="20" spans="1:32" ht="14.25" customHeight="1" x14ac:dyDescent="0.25">
      <c r="A20" s="1471"/>
      <c r="B20" s="96" t="s">
        <v>152</v>
      </c>
      <c r="C20" s="106" t="s">
        <v>14</v>
      </c>
      <c r="D20" s="107">
        <v>50</v>
      </c>
      <c r="E20" s="177">
        <f t="shared" si="7"/>
        <v>11.032658569500679</v>
      </c>
      <c r="F20" s="109">
        <v>1</v>
      </c>
      <c r="G20" s="101">
        <f t="shared" si="0"/>
        <v>551.63292847503396</v>
      </c>
      <c r="H20" s="102">
        <f t="shared" si="1"/>
        <v>551.63292847503396</v>
      </c>
      <c r="I20" s="65">
        <f>VLOOKUP(B20,All_Ingredients!$A$1:$F$156,6,FALSE())</f>
        <v>1</v>
      </c>
      <c r="J20" s="101">
        <f>VLOOKUP(B20,All_Ingredients!$A$1:$J$156,10,FALSE())</f>
        <v>30</v>
      </c>
      <c r="K20" s="104">
        <f t="shared" si="8"/>
        <v>0.55163292847503398</v>
      </c>
      <c r="L20" s="104">
        <f t="shared" si="9"/>
        <v>16.54898785425102</v>
      </c>
      <c r="M20" s="112"/>
      <c r="N20" s="112"/>
    </row>
    <row r="21" spans="1:32" ht="14.25" customHeight="1" x14ac:dyDescent="0.25">
      <c r="A21" s="1471"/>
      <c r="B21" s="96" t="s">
        <v>124</v>
      </c>
      <c r="C21" s="106" t="s">
        <v>14</v>
      </c>
      <c r="D21" s="107">
        <v>1</v>
      </c>
      <c r="E21" s="177">
        <f t="shared" si="7"/>
        <v>11.032658569500679</v>
      </c>
      <c r="F21" s="109">
        <v>1</v>
      </c>
      <c r="G21" s="101">
        <f t="shared" si="0"/>
        <v>11.032658569500679</v>
      </c>
      <c r="H21" s="102">
        <f t="shared" si="1"/>
        <v>11.032658569500679</v>
      </c>
      <c r="I21" s="65">
        <f>VLOOKUP(B21,All_Ingredients!$A$1:$F$156,6,FALSE())</f>
        <v>1</v>
      </c>
      <c r="J21" s="101">
        <f>VLOOKUP(B21,All_Ingredients!$A$1:$J$156,10,FALSE())</f>
        <v>37</v>
      </c>
      <c r="K21" s="104">
        <f t="shared" si="8"/>
        <v>1.103265856950068E-2</v>
      </c>
      <c r="L21" s="104">
        <f t="shared" si="9"/>
        <v>0.40820836707152514</v>
      </c>
      <c r="M21" s="112"/>
      <c r="N21" s="112"/>
    </row>
    <row r="22" spans="1:32" ht="14.25" customHeight="1" x14ac:dyDescent="0.25">
      <c r="A22" s="1471"/>
      <c r="B22" s="96" t="s">
        <v>107</v>
      </c>
      <c r="C22" s="106" t="s">
        <v>14</v>
      </c>
      <c r="D22" s="107">
        <v>15</v>
      </c>
      <c r="E22" s="177">
        <f t="shared" si="7"/>
        <v>11.032658569500679</v>
      </c>
      <c r="F22" s="109">
        <v>1</v>
      </c>
      <c r="G22" s="101">
        <f t="shared" si="0"/>
        <v>165.48987854251018</v>
      </c>
      <c r="H22" s="102">
        <f t="shared" si="1"/>
        <v>165.48987854251018</v>
      </c>
      <c r="I22" s="65">
        <f>VLOOKUP(B22,All_Ingredients!$A$1:$F$156,6,FALSE())</f>
        <v>1</v>
      </c>
      <c r="J22" s="101">
        <f>VLOOKUP(B22,All_Ingredients!$A$1:$J$156,10,FALSE())</f>
        <v>8</v>
      </c>
      <c r="K22" s="104">
        <f t="shared" si="8"/>
        <v>0.16548987854251018</v>
      </c>
      <c r="L22" s="104">
        <f t="shared" si="9"/>
        <v>1.3239190283400815</v>
      </c>
      <c r="M22" s="112"/>
      <c r="N22" s="112"/>
    </row>
    <row r="23" spans="1:32" ht="14.25" customHeight="1" x14ac:dyDescent="0.25">
      <c r="A23" s="1471"/>
      <c r="B23" s="96" t="s">
        <v>105</v>
      </c>
      <c r="C23" s="106" t="s">
        <v>14</v>
      </c>
      <c r="D23" s="107">
        <v>2</v>
      </c>
      <c r="E23" s="177">
        <f t="shared" si="7"/>
        <v>11.032658569500679</v>
      </c>
      <c r="F23" s="109">
        <v>1</v>
      </c>
      <c r="G23" s="101">
        <f t="shared" si="0"/>
        <v>22.065317139001358</v>
      </c>
      <c r="H23" s="102">
        <f t="shared" si="1"/>
        <v>22.065317139001358</v>
      </c>
      <c r="I23" s="65">
        <f>VLOOKUP(B23,All_Ingredients!$A$1:$F$156,6,FALSE())</f>
        <v>1</v>
      </c>
      <c r="J23" s="101">
        <f>VLOOKUP(B23,All_Ingredients!$A$1:$J$156,10,FALSE())</f>
        <v>15</v>
      </c>
      <c r="K23" s="104">
        <f t="shared" si="8"/>
        <v>2.206531713900136E-2</v>
      </c>
      <c r="L23" s="104">
        <f t="shared" si="9"/>
        <v>0.33097975708502042</v>
      </c>
      <c r="M23" s="112"/>
      <c r="N23" s="112"/>
    </row>
    <row r="24" spans="1:32" ht="14.25" customHeight="1" x14ac:dyDescent="0.25">
      <c r="A24" s="1471"/>
      <c r="B24" s="96" t="s">
        <v>118</v>
      </c>
      <c r="C24" s="106" t="s">
        <v>14</v>
      </c>
      <c r="D24" s="107">
        <v>1</v>
      </c>
      <c r="E24" s="177">
        <f t="shared" si="7"/>
        <v>11.032658569500679</v>
      </c>
      <c r="F24" s="109">
        <v>1</v>
      </c>
      <c r="G24" s="101">
        <f t="shared" si="0"/>
        <v>11.032658569500679</v>
      </c>
      <c r="H24" s="102">
        <f t="shared" si="1"/>
        <v>11.032658569500679</v>
      </c>
      <c r="I24" s="65">
        <f>VLOOKUP(B24,All_Ingredients!$A$1:$F$156,6,FALSE())</f>
        <v>1</v>
      </c>
      <c r="J24" s="101">
        <f>VLOOKUP(B24,All_Ingredients!$A$1:$J$156,10,FALSE())</f>
        <v>15</v>
      </c>
      <c r="K24" s="104">
        <f t="shared" si="8"/>
        <v>1.103265856950068E-2</v>
      </c>
      <c r="L24" s="104">
        <f t="shared" si="9"/>
        <v>0.16548987854251021</v>
      </c>
      <c r="M24" s="112"/>
      <c r="N24" s="112"/>
      <c r="Z24" s="1073"/>
    </row>
    <row r="25" spans="1:32" ht="14.25" customHeight="1" x14ac:dyDescent="0.25">
      <c r="A25" s="1471"/>
      <c r="B25" s="96" t="s">
        <v>212</v>
      </c>
      <c r="C25" s="106" t="s">
        <v>160</v>
      </c>
      <c r="D25" s="107">
        <v>20</v>
      </c>
      <c r="E25" s="177">
        <f t="shared" si="7"/>
        <v>11.032658569500679</v>
      </c>
      <c r="F25" s="109">
        <v>1</v>
      </c>
      <c r="G25" s="101">
        <f t="shared" si="0"/>
        <v>220.6531713900136</v>
      </c>
      <c r="H25" s="102">
        <f t="shared" si="1"/>
        <v>220.6531713900136</v>
      </c>
      <c r="I25" s="65">
        <f>VLOOKUP(B25,All_Ingredients!$A$1:$F$156,6,FALSE())</f>
        <v>1</v>
      </c>
      <c r="J25" s="101">
        <f>VLOOKUP(B25,All_Ingredients!$A$1:$J$156,10,FALSE())</f>
        <v>5</v>
      </c>
      <c r="K25" s="104">
        <f t="shared" si="8"/>
        <v>0.22065317139001359</v>
      </c>
      <c r="L25" s="104">
        <f t="shared" si="9"/>
        <v>1.103265856950068</v>
      </c>
      <c r="R25" s="1640" t="s">
        <v>357</v>
      </c>
      <c r="S25" s="1633"/>
      <c r="T25" s="1633"/>
      <c r="U25" s="1633"/>
      <c r="V25" s="997"/>
      <c r="Z25" s="122" t="s">
        <v>252</v>
      </c>
      <c r="AA25" s="123">
        <v>1</v>
      </c>
      <c r="AB25" s="122" t="s">
        <v>249</v>
      </c>
      <c r="AC25" s="1195">
        <f>(AA25*(4/3))*AF30+(AA30*(AB28/R1))</f>
        <v>3.481638903129021E-2</v>
      </c>
    </row>
    <row r="26" spans="1:32" ht="14.25" customHeight="1" x14ac:dyDescent="0.25">
      <c r="A26" s="1471"/>
      <c r="B26" s="96" t="s">
        <v>129</v>
      </c>
      <c r="C26" s="106" t="s">
        <v>14</v>
      </c>
      <c r="D26" s="107">
        <v>1</v>
      </c>
      <c r="E26" s="177">
        <f t="shared" si="7"/>
        <v>11.032658569500679</v>
      </c>
      <c r="F26" s="109">
        <v>1</v>
      </c>
      <c r="G26" s="101">
        <f t="shared" si="0"/>
        <v>11.032658569500679</v>
      </c>
      <c r="H26" s="102">
        <f t="shared" si="1"/>
        <v>11.032658569500679</v>
      </c>
      <c r="I26" s="65">
        <f>VLOOKUP(B26,All_Ingredients!$A$1:$F$156,6,FALSE())</f>
        <v>1</v>
      </c>
      <c r="J26" s="101">
        <f>VLOOKUP(B26,All_Ingredients!$A$1:$J$156,10,FALSE())</f>
        <v>31.5</v>
      </c>
      <c r="K26" s="104">
        <f t="shared" si="8"/>
        <v>1.103265856950068E-2</v>
      </c>
      <c r="L26" s="104">
        <f t="shared" si="9"/>
        <v>0.34752874493927144</v>
      </c>
      <c r="R26" s="1654" t="s">
        <v>253</v>
      </c>
      <c r="S26" s="1633"/>
      <c r="T26" s="1633"/>
      <c r="U26" s="1633"/>
      <c r="V26" s="997"/>
    </row>
    <row r="27" spans="1:32" ht="14.25" customHeight="1" thickBot="1" x14ac:dyDescent="0.3">
      <c r="A27" s="1471"/>
      <c r="B27" s="96" t="s">
        <v>198</v>
      </c>
      <c r="C27" s="906" t="s">
        <v>160</v>
      </c>
      <c r="D27" s="107">
        <v>20</v>
      </c>
      <c r="E27" s="177">
        <f t="shared" si="7"/>
        <v>11.032658569500679</v>
      </c>
      <c r="F27" s="109">
        <v>1</v>
      </c>
      <c r="G27" s="101">
        <f t="shared" si="0"/>
        <v>220.6531713900136</v>
      </c>
      <c r="H27" s="102">
        <f t="shared" si="1"/>
        <v>220.6531713900136</v>
      </c>
      <c r="I27" s="65">
        <f>VLOOKUP(B27,All_Ingredients!$A$1:$F$156,6,FALSE())</f>
        <v>1</v>
      </c>
      <c r="J27" s="101">
        <f>VLOOKUP(B27,All_Ingredients!$A$1:$J$156,10,FALSE())</f>
        <v>3.25</v>
      </c>
      <c r="K27" s="104">
        <f t="shared" si="8"/>
        <v>0.22065317139001359</v>
      </c>
      <c r="L27" s="104">
        <f t="shared" si="9"/>
        <v>0.71712280701754416</v>
      </c>
      <c r="R27" s="126" t="s">
        <v>254</v>
      </c>
      <c r="S27" s="127" t="s">
        <v>255</v>
      </c>
      <c r="T27" s="127" t="s">
        <v>256</v>
      </c>
      <c r="U27" s="127" t="s">
        <v>262</v>
      </c>
      <c r="V27" s="127" t="s">
        <v>772</v>
      </c>
      <c r="W27" s="127" t="s">
        <v>779</v>
      </c>
      <c r="Z27" s="122" t="s">
        <v>258</v>
      </c>
      <c r="AA27" s="1031" t="s">
        <v>312</v>
      </c>
      <c r="AB27" s="128" t="s">
        <v>259</v>
      </c>
      <c r="AC27" s="128" t="s">
        <v>260</v>
      </c>
      <c r="AD27" s="128" t="s">
        <v>261</v>
      </c>
      <c r="AE27" s="1032" t="s">
        <v>779</v>
      </c>
      <c r="AF27" s="128" t="s">
        <v>262</v>
      </c>
    </row>
    <row r="28" spans="1:32" ht="14.25" customHeight="1" thickBot="1" x14ac:dyDescent="0.3">
      <c r="A28" s="1471"/>
      <c r="B28" s="96" t="s">
        <v>183</v>
      </c>
      <c r="C28" s="106" t="s">
        <v>14</v>
      </c>
      <c r="D28" s="107">
        <v>20</v>
      </c>
      <c r="E28" s="177">
        <f t="shared" si="7"/>
        <v>11.032658569500679</v>
      </c>
      <c r="F28" s="109">
        <v>1</v>
      </c>
      <c r="G28" s="101">
        <f t="shared" si="0"/>
        <v>220.6531713900136</v>
      </c>
      <c r="H28" s="102">
        <f t="shared" si="1"/>
        <v>220.6531713900136</v>
      </c>
      <c r="I28" s="65">
        <f>VLOOKUP(B28,All_Ingredients!$A$1:$F$156,6,FALSE())</f>
        <v>1</v>
      </c>
      <c r="J28" s="101">
        <f>VLOOKUP(B28,All_Ingredients!$A$1:$J$156,10,FALSE())</f>
        <v>17</v>
      </c>
      <c r="K28" s="104">
        <f t="shared" si="8"/>
        <v>0.22065317139001359</v>
      </c>
      <c r="L28" s="104">
        <f t="shared" si="9"/>
        <v>3.7511039136302311</v>
      </c>
      <c r="R28" s="129" t="s">
        <v>263</v>
      </c>
      <c r="S28" s="1215">
        <f>U28*S40</f>
        <v>14292.30769230769</v>
      </c>
      <c r="T28" s="1215">
        <f>U28*U40</f>
        <v>4287.6923076923122</v>
      </c>
      <c r="U28" s="1186">
        <f>$Z$1</f>
        <v>18580</v>
      </c>
      <c r="V28" s="130">
        <f>SUM(AP5:AP13)</f>
        <v>1453.4550195567147</v>
      </c>
      <c r="W28" s="130">
        <f>H37</f>
        <v>0</v>
      </c>
      <c r="Z28" s="132"/>
      <c r="AA28" s="1034"/>
      <c r="AB28" s="133">
        <f>AA25*$S$40</f>
        <v>0.76923076923076905</v>
      </c>
      <c r="AC28" s="133">
        <f>AA25*U40</f>
        <v>0.230769230769231</v>
      </c>
      <c r="AD28" s="134">
        <f>AA25*(1/3)</f>
        <v>0.33333333333333331</v>
      </c>
      <c r="AE28" s="1034"/>
      <c r="AF28" s="135">
        <f>SUM(AB28:AD28)</f>
        <v>1.3333333333333333</v>
      </c>
    </row>
    <row r="29" spans="1:32" ht="21" customHeight="1" thickBot="1" x14ac:dyDescent="0.3">
      <c r="A29" s="1472"/>
      <c r="L29" s="274"/>
      <c r="R29" s="129" t="s">
        <v>264</v>
      </c>
      <c r="S29" s="1218"/>
      <c r="T29" s="130">
        <f>U28*(1/3)</f>
        <v>6193.333333333333</v>
      </c>
      <c r="U29" s="1215">
        <f>T29</f>
        <v>6193.333333333333</v>
      </c>
      <c r="V29" s="130"/>
      <c r="W29" s="130"/>
      <c r="Z29" s="132"/>
      <c r="AA29" s="1038"/>
      <c r="AB29" s="137">
        <f>AB28/$AF$28</f>
        <v>0.57692307692307687</v>
      </c>
      <c r="AC29" s="137">
        <f>AC28/$AF$28</f>
        <v>0.17307692307692327</v>
      </c>
      <c r="AD29" s="137">
        <f>AD28/$AF$28</f>
        <v>0.25</v>
      </c>
      <c r="AE29" s="1038"/>
      <c r="AF29" s="137">
        <f>AF28/$AF$28</f>
        <v>1</v>
      </c>
    </row>
    <row r="30" spans="1:32" ht="19.5" customHeight="1" thickBot="1" x14ac:dyDescent="0.3">
      <c r="A30" s="1472"/>
      <c r="L30" s="274"/>
      <c r="R30" s="129" t="s">
        <v>265</v>
      </c>
      <c r="S30" s="1225">
        <f>U30*S40</f>
        <v>0</v>
      </c>
      <c r="T30" s="1225">
        <f>(U30*U40)+(U30*(1/3))</f>
        <v>0</v>
      </c>
      <c r="U30" s="1186">
        <f>$AB$1</f>
        <v>0</v>
      </c>
      <c r="V30" s="989"/>
      <c r="W30" s="989"/>
      <c r="Z30" s="122" t="s">
        <v>266</v>
      </c>
      <c r="AA30" s="1081">
        <f>V35/(S32/R1)</f>
        <v>6.0911340074557322E-4</v>
      </c>
      <c r="AB30" s="138">
        <f>S35/(S32)</f>
        <v>3.3701221915648408E-2</v>
      </c>
      <c r="AC30" s="139">
        <f>T35/T32</f>
        <v>1.4355938496197509E-2</v>
      </c>
      <c r="AD30" s="139">
        <f>T35/T32</f>
        <v>1.4355938496197509E-2</v>
      </c>
      <c r="AE30" s="1045">
        <f>W35/U32</f>
        <v>0</v>
      </c>
      <c r="AF30" s="140">
        <f>SUMPRODUCT(AB30:AD30,AB29:AD29)</f>
        <v>2.5516678930496108E-2</v>
      </c>
    </row>
    <row r="31" spans="1:32" ht="14.25" customHeight="1" thickBot="1" x14ac:dyDescent="0.3">
      <c r="A31" s="1472"/>
      <c r="R31" s="129" t="s">
        <v>267</v>
      </c>
      <c r="S31" s="136"/>
      <c r="T31" s="130"/>
      <c r="U31" s="130"/>
      <c r="V31" s="130"/>
      <c r="W31" s="130"/>
    </row>
    <row r="32" spans="1:32" ht="14.25" customHeight="1" thickBot="1" x14ac:dyDescent="0.3">
      <c r="A32" s="1472"/>
      <c r="O32" s="280"/>
      <c r="R32" s="141" t="s">
        <v>257</v>
      </c>
      <c r="S32" s="130">
        <f>SUM(S28:S30)</f>
        <v>14292.30769230769</v>
      </c>
      <c r="T32" s="130">
        <f>SUM(T28:T30)</f>
        <v>10481.025641025644</v>
      </c>
      <c r="U32" s="1063">
        <f>SUM(S32:T32)</f>
        <v>24773.333333333336</v>
      </c>
      <c r="V32" s="130"/>
      <c r="W32" s="130">
        <f>SUM(W28:W30)</f>
        <v>0</v>
      </c>
    </row>
    <row r="33" spans="1:23" ht="14.25" customHeight="1" thickBot="1" x14ac:dyDescent="0.3">
      <c r="A33" s="1472"/>
      <c r="O33" s="280"/>
      <c r="R33" s="142" t="s">
        <v>268</v>
      </c>
      <c r="S33" s="136"/>
      <c r="T33" s="136"/>
      <c r="U33" s="136"/>
      <c r="V33" s="136"/>
      <c r="W33" s="136"/>
    </row>
    <row r="34" spans="1:23" ht="14.25" customHeight="1" thickBot="1" x14ac:dyDescent="0.3">
      <c r="A34" s="1472"/>
      <c r="O34" s="280"/>
      <c r="R34" s="143" t="s">
        <v>269</v>
      </c>
      <c r="S34" s="136"/>
      <c r="T34" s="130"/>
      <c r="U34" s="136"/>
      <c r="V34" s="136"/>
      <c r="W34" s="136"/>
    </row>
    <row r="35" spans="1:23" ht="14.25" customHeight="1" thickBot="1" x14ac:dyDescent="0.3">
      <c r="A35" s="1472"/>
      <c r="R35" s="144" t="s">
        <v>249</v>
      </c>
      <c r="S35" s="990">
        <f>$L$5</f>
        <v>481.66823322519025</v>
      </c>
      <c r="T35" s="990">
        <f>SUM(L6:L28)</f>
        <v>150.46495947963322</v>
      </c>
      <c r="U35" s="990">
        <f>S35+T35+V35</f>
        <v>646.88850820137202</v>
      </c>
      <c r="V35" s="990">
        <f>SUM(AT6:AT16)</f>
        <v>14.755315496548565</v>
      </c>
      <c r="W35" s="990">
        <f>I36</f>
        <v>0</v>
      </c>
    </row>
    <row r="36" spans="1:23" ht="14.25" customHeight="1" x14ac:dyDescent="0.25">
      <c r="A36" s="1472"/>
      <c r="N36" s="280"/>
    </row>
    <row r="37" spans="1:23" ht="14.25" customHeight="1" x14ac:dyDescent="0.25">
      <c r="A37" s="1472"/>
      <c r="N37" s="280"/>
    </row>
    <row r="38" spans="1:23" ht="14.25" customHeight="1" x14ac:dyDescent="0.25">
      <c r="A38" s="1472"/>
      <c r="N38" s="280"/>
    </row>
    <row r="39" spans="1:23" x14ac:dyDescent="0.25">
      <c r="A39" s="1472"/>
    </row>
    <row r="40" spans="1:23" ht="18" customHeight="1" x14ac:dyDescent="0.25">
      <c r="A40" s="1472"/>
      <c r="R40" s="146" t="s">
        <v>270</v>
      </c>
      <c r="S40" s="147">
        <v>0.76923076923076905</v>
      </c>
      <c r="T40" s="146" t="s">
        <v>271</v>
      </c>
      <c r="U40" s="148">
        <v>0.230769230769231</v>
      </c>
      <c r="V40" s="149">
        <f>S40+U40</f>
        <v>1</v>
      </c>
    </row>
    <row r="41" spans="1:23" ht="14.25" customHeight="1" x14ac:dyDescent="0.25">
      <c r="A41" s="1472"/>
      <c r="U41" s="150"/>
    </row>
    <row r="42" spans="1:23" x14ac:dyDescent="0.25">
      <c r="A42" s="1472"/>
    </row>
    <row r="43" spans="1:23" ht="14.25" customHeight="1" thickBot="1" x14ac:dyDescent="0.3">
      <c r="A43" s="1472"/>
      <c r="Q43" s="151" t="s">
        <v>272</v>
      </c>
      <c r="R43" s="151" t="s">
        <v>273</v>
      </c>
      <c r="S43" s="151" t="s">
        <v>274</v>
      </c>
      <c r="T43" s="151" t="s">
        <v>275</v>
      </c>
      <c r="U43" s="151" t="s">
        <v>276</v>
      </c>
      <c r="V43" s="151" t="s">
        <v>277</v>
      </c>
      <c r="W43" s="235" t="s">
        <v>278</v>
      </c>
    </row>
    <row r="44" spans="1:23" ht="14.25" customHeight="1" thickBot="1" x14ac:dyDescent="0.3">
      <c r="A44" s="1472"/>
      <c r="Q44" s="1182">
        <v>17728</v>
      </c>
      <c r="R44" s="154">
        <f>D51</f>
        <v>10000</v>
      </c>
      <c r="S44" s="1184">
        <v>0.40909090909090912</v>
      </c>
      <c r="T44" s="1184">
        <v>0.59090909090909094</v>
      </c>
      <c r="U44" s="220">
        <f>R44*S44</f>
        <v>4090.909090909091</v>
      </c>
      <c r="V44" s="157">
        <f>R44*T44</f>
        <v>5909.090909090909</v>
      </c>
      <c r="W44" s="237">
        <f>Q44-U44</f>
        <v>13637.090909090908</v>
      </c>
    </row>
    <row r="45" spans="1:23" x14ac:dyDescent="0.25">
      <c r="A45" s="1472"/>
    </row>
    <row r="46" spans="1:23" x14ac:dyDescent="0.25">
      <c r="A46" s="1472"/>
    </row>
    <row r="47" spans="1:23" x14ac:dyDescent="0.25">
      <c r="A47" s="1472"/>
    </row>
    <row r="48" spans="1:23" ht="14.25" customHeight="1" x14ac:dyDescent="0.25">
      <c r="A48" s="1472"/>
    </row>
    <row r="49" spans="1:10" ht="14.25" customHeight="1" x14ac:dyDescent="0.25">
      <c r="A49" s="1472"/>
    </row>
    <row r="50" spans="1:10" ht="20.25" customHeight="1" x14ac:dyDescent="0.25">
      <c r="A50" s="1472"/>
      <c r="B50" s="126"/>
      <c r="C50" s="126" t="s">
        <v>233</v>
      </c>
      <c r="D50" s="126" t="s">
        <v>279</v>
      </c>
      <c r="E50" s="164"/>
      <c r="F50" s="84"/>
      <c r="G50" s="126" t="s">
        <v>280</v>
      </c>
      <c r="H50" s="126" t="s">
        <v>233</v>
      </c>
      <c r="I50" s="126" t="s">
        <v>281</v>
      </c>
      <c r="J50" s="126" t="s">
        <v>282</v>
      </c>
    </row>
    <row r="51" spans="1:10" ht="20.25" customHeight="1" x14ac:dyDescent="0.25">
      <c r="A51" s="1472"/>
      <c r="B51" s="161" t="s">
        <v>283</v>
      </c>
      <c r="C51" s="162">
        <f>10/$K$1</f>
        <v>10.526315789473685</v>
      </c>
      <c r="D51" s="163">
        <f>$C$1*10</f>
        <v>10000</v>
      </c>
      <c r="E51" s="164"/>
      <c r="F51" s="84"/>
      <c r="G51" s="161" t="s">
        <v>283</v>
      </c>
      <c r="H51" s="254">
        <f>I51/$D$5</f>
        <v>10</v>
      </c>
      <c r="I51" s="162">
        <f>J51/$R$1</f>
        <v>23113.713405238828</v>
      </c>
      <c r="J51" s="162">
        <f>$W$44</f>
        <v>13637.090909090908</v>
      </c>
    </row>
    <row r="52" spans="1:10" ht="14.25" customHeight="1" x14ac:dyDescent="0.25">
      <c r="A52" s="1472"/>
      <c r="B52" s="209" t="s">
        <v>262</v>
      </c>
      <c r="C52" s="210">
        <f>$I$1</f>
        <v>11.032658569500679</v>
      </c>
      <c r="D52" s="211">
        <f>$E$1</f>
        <v>10481.025641025644</v>
      </c>
      <c r="E52" s="84"/>
      <c r="F52" s="84"/>
      <c r="G52" s="129" t="s">
        <v>262</v>
      </c>
      <c r="H52" s="190">
        <f>I52/$D$5</f>
        <v>10.480466682802557</v>
      </c>
      <c r="I52" s="157">
        <f>J52/$R$1</f>
        <v>24224.250325945239</v>
      </c>
      <c r="J52" s="165">
        <f>$S$32</f>
        <v>14292.30769230769</v>
      </c>
    </row>
    <row r="53" spans="1:10" ht="14.25" customHeight="1" x14ac:dyDescent="0.25">
      <c r="A53" s="1472"/>
      <c r="B53" s="209" t="s">
        <v>284</v>
      </c>
      <c r="C53" s="212">
        <f>MIN(C52, C51)</f>
        <v>10.526315789473685</v>
      </c>
      <c r="D53" s="211">
        <f>(C53*$K$1)*$C$1</f>
        <v>10000</v>
      </c>
      <c r="E53" s="84"/>
      <c r="F53" s="84"/>
      <c r="G53" s="129" t="s">
        <v>284</v>
      </c>
      <c r="H53" s="168">
        <f>MIN(H52,H51)</f>
        <v>10</v>
      </c>
      <c r="I53" s="157">
        <f>J53/$R$1</f>
        <v>23113.713405238828</v>
      </c>
      <c r="J53" s="157">
        <f>MIN(J52,J51)</f>
        <v>13637.090909090908</v>
      </c>
    </row>
    <row r="54" spans="1:10" x14ac:dyDescent="0.25">
      <c r="A54" s="1472"/>
      <c r="B54" s="209" t="s">
        <v>285</v>
      </c>
      <c r="C54" s="212">
        <f>MIN(MAX(C52-C53,0),C51)</f>
        <v>0.50634278002699418</v>
      </c>
      <c r="D54" s="211">
        <f>(C54*$K$1)*$C$1</f>
        <v>481.02564102564446</v>
      </c>
      <c r="E54" s="84"/>
      <c r="F54" s="84"/>
      <c r="G54" s="129" t="s">
        <v>285</v>
      </c>
      <c r="H54" s="168">
        <f>MIN(MAX(H52-H53),H51)</f>
        <v>0.48046668280255744</v>
      </c>
      <c r="I54" s="157">
        <f>J54/$R$1</f>
        <v>1110.5369207064095</v>
      </c>
      <c r="J54" s="157">
        <f>MIN(MAX(J52-J53),J51)</f>
        <v>655.21678321678155</v>
      </c>
    </row>
    <row r="55" spans="1:10"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42" t="str">
        <f>"دجاج بكريمة جوز الهند 1 / " &amp; COUNTIF($C$53:$C$55, "&gt;0")</f>
        <v>دجاج بكريمة جوز الهند 1 / 2</v>
      </c>
      <c r="C62" s="1656"/>
      <c r="D62" s="1656"/>
      <c r="E62" s="1683"/>
      <c r="F62" s="1656"/>
      <c r="G62" s="1656"/>
      <c r="H62" s="1656"/>
    </row>
    <row r="63" spans="1:10" ht="18" customHeight="1" x14ac:dyDescent="0.25">
      <c r="A63" s="1473"/>
      <c r="B63" s="1636" t="str">
        <f>"Coconut Chicken  1 / " &amp; COUNTIF(C$53:$C$55, "&gt;0")</f>
        <v>Coconut Chicken  1 / 2</v>
      </c>
      <c r="C63" s="1637"/>
      <c r="D63" s="1637"/>
      <c r="E63" s="1637"/>
      <c r="F63" s="1637"/>
      <c r="G63" s="1637"/>
      <c r="H63" s="1637"/>
    </row>
    <row r="64" spans="1:10" ht="36.75" customHeight="1" x14ac:dyDescent="0.2">
      <c r="A64" s="1457"/>
      <c r="B64" s="75" t="s">
        <v>241</v>
      </c>
      <c r="C64" s="90" t="s">
        <v>242</v>
      </c>
      <c r="D64" s="75" t="s">
        <v>231</v>
      </c>
      <c r="E64" s="91" t="s">
        <v>234</v>
      </c>
      <c r="F64" s="91" t="s">
        <v>243</v>
      </c>
      <c r="G64" s="75" t="s">
        <v>244</v>
      </c>
      <c r="H64" s="92" t="s">
        <v>245</v>
      </c>
    </row>
    <row r="65" spans="1:8" ht="14.25" customHeight="1" x14ac:dyDescent="0.25">
      <c r="A65" s="1471"/>
      <c r="B65" s="105" t="str">
        <f t="shared" ref="B65:B88" si="12">B5</f>
        <v>Chicken - دجاج</v>
      </c>
      <c r="C65" s="105" t="str">
        <f t="shared" ref="C65:D88" si="13">C5</f>
        <v>gm</v>
      </c>
      <c r="D65" s="256">
        <f>D5</f>
        <v>2311.3713405238827</v>
      </c>
      <c r="E65" s="98">
        <f>H53</f>
        <v>10</v>
      </c>
      <c r="F65" s="109">
        <f t="shared" ref="F65:F88" si="14">F5</f>
        <v>1</v>
      </c>
      <c r="G65" s="101">
        <f t="shared" ref="G65:G88" si="15">D65*E65</f>
        <v>23113.713405238828</v>
      </c>
      <c r="H65" s="102">
        <f t="shared" ref="H65:H88" si="16">G65*F65</f>
        <v>23113.713405238828</v>
      </c>
    </row>
    <row r="66" spans="1:8" ht="14.25" customHeight="1" x14ac:dyDescent="0.25">
      <c r="A66" s="1471"/>
      <c r="B66" s="105" t="str">
        <f t="shared" si="12"/>
        <v>Fennel Seeds - شمر حب</v>
      </c>
      <c r="C66" s="105" t="str">
        <f t="shared" si="13"/>
        <v>gm</v>
      </c>
      <c r="D66" s="105">
        <f t="shared" si="13"/>
        <v>2</v>
      </c>
      <c r="E66" s="98">
        <f t="shared" ref="E66:E88" si="17">$C$53</f>
        <v>10.526315789473685</v>
      </c>
      <c r="F66" s="109">
        <f t="shared" si="14"/>
        <v>1</v>
      </c>
      <c r="G66" s="101">
        <f t="shared" si="15"/>
        <v>21.05263157894737</v>
      </c>
      <c r="H66" s="102">
        <f t="shared" si="16"/>
        <v>21.05263157894737</v>
      </c>
    </row>
    <row r="67" spans="1:8" ht="14.25" customHeight="1" x14ac:dyDescent="0.25">
      <c r="A67" s="1471"/>
      <c r="B67" s="105" t="str">
        <f t="shared" si="12"/>
        <v>Cumin Whole - كمون حب</v>
      </c>
      <c r="C67" s="105" t="str">
        <f t="shared" si="13"/>
        <v>gm</v>
      </c>
      <c r="D67" s="105">
        <f t="shared" si="13"/>
        <v>1</v>
      </c>
      <c r="E67" s="98">
        <f t="shared" si="17"/>
        <v>10.526315789473685</v>
      </c>
      <c r="F67" s="109">
        <f t="shared" si="14"/>
        <v>1</v>
      </c>
      <c r="G67" s="101">
        <f t="shared" si="15"/>
        <v>10.526315789473685</v>
      </c>
      <c r="H67" s="102">
        <f t="shared" si="16"/>
        <v>10.526315789473685</v>
      </c>
    </row>
    <row r="68" spans="1:8" ht="14.25" customHeight="1" x14ac:dyDescent="0.25">
      <c r="A68" s="1471"/>
      <c r="B68" s="105" t="str">
        <f t="shared" si="12"/>
        <v>Cardamom Whole - هيل حب</v>
      </c>
      <c r="C68" s="105" t="str">
        <f t="shared" si="13"/>
        <v>gm</v>
      </c>
      <c r="D68" s="105">
        <f t="shared" si="13"/>
        <v>1</v>
      </c>
      <c r="E68" s="98">
        <f t="shared" si="17"/>
        <v>10.526315789473685</v>
      </c>
      <c r="F68" s="109">
        <f t="shared" si="14"/>
        <v>1</v>
      </c>
      <c r="G68" s="101">
        <f t="shared" si="15"/>
        <v>10.526315789473685</v>
      </c>
      <c r="H68" s="102">
        <f t="shared" si="16"/>
        <v>10.526315789473685</v>
      </c>
    </row>
    <row r="69" spans="1:8" ht="14.25" customHeight="1" x14ac:dyDescent="0.25">
      <c r="A69" s="1471"/>
      <c r="B69" s="105" t="str">
        <f t="shared" si="12"/>
        <v>Cinnamon Powder - قرفة مطحونة</v>
      </c>
      <c r="C69" s="105" t="str">
        <f t="shared" si="13"/>
        <v>gm</v>
      </c>
      <c r="D69" s="105">
        <f t="shared" si="13"/>
        <v>1</v>
      </c>
      <c r="E69" s="98">
        <f t="shared" si="17"/>
        <v>10.526315789473685</v>
      </c>
      <c r="F69" s="109">
        <f t="shared" si="14"/>
        <v>1</v>
      </c>
      <c r="G69" s="101">
        <f t="shared" si="15"/>
        <v>10.526315789473685</v>
      </c>
      <c r="H69" s="102">
        <f t="shared" si="16"/>
        <v>10.526315789473685</v>
      </c>
    </row>
    <row r="70" spans="1:8" ht="14.25" customHeight="1" x14ac:dyDescent="0.25">
      <c r="A70" s="1471" t="s">
        <v>920</v>
      </c>
      <c r="B70" s="105" t="str">
        <f t="shared" si="12"/>
        <v>Onion - بصل</v>
      </c>
      <c r="C70" s="105" t="str">
        <f t="shared" si="13"/>
        <v>gm</v>
      </c>
      <c r="D70" s="105">
        <f t="shared" si="13"/>
        <v>350</v>
      </c>
      <c r="E70" s="98">
        <f t="shared" si="17"/>
        <v>10.526315789473685</v>
      </c>
      <c r="F70" s="109">
        <f t="shared" si="14"/>
        <v>0.95</v>
      </c>
      <c r="G70" s="101">
        <f t="shared" si="15"/>
        <v>3684.2105263157896</v>
      </c>
      <c r="H70" s="102">
        <f t="shared" si="16"/>
        <v>3500</v>
      </c>
    </row>
    <row r="71" spans="1:8" ht="14.25" customHeight="1" x14ac:dyDescent="0.25">
      <c r="A71" s="1471"/>
      <c r="B71" s="105" t="str">
        <f t="shared" si="12"/>
        <v>Coconut Milk - حليب جوز الهند</v>
      </c>
      <c r="C71" s="105" t="str">
        <f t="shared" si="13"/>
        <v>ml</v>
      </c>
      <c r="D71" s="105">
        <f t="shared" si="13"/>
        <v>300</v>
      </c>
      <c r="E71" s="98">
        <f t="shared" si="17"/>
        <v>10.526315789473685</v>
      </c>
      <c r="F71" s="109">
        <f t="shared" si="14"/>
        <v>0.9</v>
      </c>
      <c r="G71" s="101">
        <f t="shared" si="15"/>
        <v>3157.8947368421054</v>
      </c>
      <c r="H71" s="102">
        <f t="shared" si="16"/>
        <v>2842.105263157895</v>
      </c>
    </row>
    <row r="72" spans="1:8" ht="14.25" customHeight="1" x14ac:dyDescent="0.25">
      <c r="A72" s="1471"/>
      <c r="B72" s="105" t="str">
        <f t="shared" si="12"/>
        <v>Fresh Coconut - جوز هند طازج</v>
      </c>
      <c r="C72" s="105" t="str">
        <f t="shared" si="13"/>
        <v>gm</v>
      </c>
      <c r="D72" s="105">
        <f t="shared" si="13"/>
        <v>200</v>
      </c>
      <c r="E72" s="98">
        <f t="shared" si="17"/>
        <v>10.526315789473685</v>
      </c>
      <c r="F72" s="109">
        <f t="shared" si="14"/>
        <v>0.8</v>
      </c>
      <c r="G72" s="101">
        <f t="shared" si="15"/>
        <v>2105.2631578947371</v>
      </c>
      <c r="H72" s="102">
        <f t="shared" si="16"/>
        <v>1684.2105263157898</v>
      </c>
    </row>
    <row r="73" spans="1:8" ht="14.25" customHeight="1" x14ac:dyDescent="0.25">
      <c r="A73" s="1471" t="s">
        <v>907</v>
      </c>
      <c r="B73" s="105" t="str">
        <f t="shared" si="12"/>
        <v>Garlic - ثوم مقشر</v>
      </c>
      <c r="C73" s="105" t="str">
        <f t="shared" si="13"/>
        <v>gm</v>
      </c>
      <c r="D73" s="105">
        <f t="shared" si="13"/>
        <v>25</v>
      </c>
      <c r="E73" s="98">
        <f t="shared" si="17"/>
        <v>10.526315789473685</v>
      </c>
      <c r="F73" s="109">
        <f t="shared" si="14"/>
        <v>0.95</v>
      </c>
      <c r="G73" s="101">
        <f t="shared" si="15"/>
        <v>263.15789473684214</v>
      </c>
      <c r="H73" s="102">
        <f t="shared" si="16"/>
        <v>250.00000000000003</v>
      </c>
    </row>
    <row r="74" spans="1:8" ht="14.25" customHeight="1" x14ac:dyDescent="0.25">
      <c r="A74" s="1471"/>
      <c r="B74" s="105" t="str">
        <f t="shared" si="12"/>
        <v>Kashmiri Red Chilli Whole - فلفل كشميري أحمر كامل</v>
      </c>
      <c r="C74" s="105" t="str">
        <f t="shared" si="13"/>
        <v>gm</v>
      </c>
      <c r="D74" s="105">
        <f t="shared" si="13"/>
        <v>10</v>
      </c>
      <c r="E74" s="98">
        <f t="shared" si="17"/>
        <v>10.526315789473685</v>
      </c>
      <c r="F74" s="109">
        <f t="shared" si="14"/>
        <v>0.75</v>
      </c>
      <c r="G74" s="101">
        <f t="shared" si="15"/>
        <v>105.26315789473685</v>
      </c>
      <c r="H74" s="102">
        <f t="shared" si="16"/>
        <v>78.94736842105263</v>
      </c>
    </row>
    <row r="75" spans="1:8" ht="14.25" customHeight="1" x14ac:dyDescent="0.25">
      <c r="A75" s="1471"/>
      <c r="B75" s="105" t="str">
        <f t="shared" si="12"/>
        <v>Orange Color - لون برتقالي</v>
      </c>
      <c r="C75" s="105" t="str">
        <f t="shared" si="13"/>
        <v>gm</v>
      </c>
      <c r="D75" s="105">
        <f t="shared" si="13"/>
        <v>2</v>
      </c>
      <c r="E75" s="98">
        <f t="shared" si="17"/>
        <v>10.526315789473685</v>
      </c>
      <c r="F75" s="109">
        <f t="shared" si="14"/>
        <v>1</v>
      </c>
      <c r="G75" s="101">
        <f t="shared" si="15"/>
        <v>21.05263157894737</v>
      </c>
      <c r="H75" s="102">
        <f t="shared" si="16"/>
        <v>21.05263157894737</v>
      </c>
    </row>
    <row r="76" spans="1:8" ht="14.25" customHeight="1" x14ac:dyDescent="0.25">
      <c r="A76" s="1471"/>
      <c r="B76" s="105" t="str">
        <f t="shared" si="12"/>
        <v>Salt - ملح</v>
      </c>
      <c r="C76" s="105" t="str">
        <f t="shared" si="13"/>
        <v>gm</v>
      </c>
      <c r="D76" s="105">
        <f t="shared" si="13"/>
        <v>11</v>
      </c>
      <c r="E76" s="98">
        <f t="shared" si="17"/>
        <v>10.526315789473685</v>
      </c>
      <c r="F76" s="109">
        <f t="shared" si="14"/>
        <v>0.75</v>
      </c>
      <c r="G76" s="101">
        <f t="shared" si="15"/>
        <v>115.78947368421053</v>
      </c>
      <c r="H76" s="102">
        <f t="shared" si="16"/>
        <v>86.842105263157904</v>
      </c>
    </row>
    <row r="77" spans="1:8" ht="14.25" customHeight="1" x14ac:dyDescent="0.25">
      <c r="A77" s="1471"/>
      <c r="B77" s="105" t="str">
        <f t="shared" si="12"/>
        <v>Water - ماء</v>
      </c>
      <c r="C77" s="105" t="str">
        <f t="shared" si="13"/>
        <v>ml</v>
      </c>
      <c r="D77" s="105">
        <f t="shared" si="13"/>
        <v>500</v>
      </c>
      <c r="E77" s="98">
        <f t="shared" si="17"/>
        <v>10.526315789473685</v>
      </c>
      <c r="F77" s="109">
        <f t="shared" si="14"/>
        <v>0.75</v>
      </c>
      <c r="G77" s="101">
        <f t="shared" si="15"/>
        <v>5263.1578947368425</v>
      </c>
      <c r="H77" s="102">
        <f t="shared" si="16"/>
        <v>3947.3684210526317</v>
      </c>
    </row>
    <row r="78" spans="1:8" ht="14.25" customHeight="1" x14ac:dyDescent="0.25">
      <c r="A78" s="1471" t="s">
        <v>923</v>
      </c>
      <c r="B78" s="105" t="str">
        <f t="shared" si="12"/>
        <v>Curry Leaves - أوراق الكاري</v>
      </c>
      <c r="C78" s="105" t="str">
        <f t="shared" si="13"/>
        <v>gm</v>
      </c>
      <c r="D78" s="105">
        <f t="shared" si="13"/>
        <v>3</v>
      </c>
      <c r="E78" s="98">
        <f t="shared" si="17"/>
        <v>10.526315789473685</v>
      </c>
      <c r="F78" s="109">
        <f t="shared" si="14"/>
        <v>1</v>
      </c>
      <c r="G78" s="101">
        <f t="shared" si="15"/>
        <v>31.578947368421055</v>
      </c>
      <c r="H78" s="102">
        <f t="shared" si="16"/>
        <v>31.578947368421055</v>
      </c>
    </row>
    <row r="79" spans="1:8" ht="14.25" customHeight="1" x14ac:dyDescent="0.25">
      <c r="A79" s="1471" t="s">
        <v>908</v>
      </c>
      <c r="B79" s="105" t="str">
        <f t="shared" si="12"/>
        <v>Coriander Leaves - كزبرة خضراء</v>
      </c>
      <c r="C79" s="105" t="str">
        <f t="shared" si="13"/>
        <v>gm</v>
      </c>
      <c r="D79" s="105">
        <f t="shared" si="13"/>
        <v>10</v>
      </c>
      <c r="E79" s="98">
        <f t="shared" si="17"/>
        <v>10.526315789473685</v>
      </c>
      <c r="F79" s="109">
        <f t="shared" si="14"/>
        <v>1</v>
      </c>
      <c r="G79" s="101">
        <f t="shared" si="15"/>
        <v>105.26315789473685</v>
      </c>
      <c r="H79" s="102">
        <f t="shared" si="16"/>
        <v>105.26315789473685</v>
      </c>
    </row>
    <row r="80" spans="1:8" ht="14.25" customHeight="1" x14ac:dyDescent="0.25">
      <c r="A80" s="1471"/>
      <c r="B80" s="105" t="str">
        <f t="shared" si="12"/>
        <v>Butter - زبدة</v>
      </c>
      <c r="C80" s="105" t="str">
        <f t="shared" si="13"/>
        <v>gm</v>
      </c>
      <c r="D80" s="105">
        <f t="shared" si="13"/>
        <v>50</v>
      </c>
      <c r="E80" s="98">
        <f t="shared" si="17"/>
        <v>10.526315789473685</v>
      </c>
      <c r="F80" s="109">
        <f t="shared" si="14"/>
        <v>1</v>
      </c>
      <c r="G80" s="101">
        <f t="shared" si="15"/>
        <v>526.31578947368428</v>
      </c>
      <c r="H80" s="102">
        <f t="shared" si="16"/>
        <v>526.31578947368428</v>
      </c>
    </row>
    <row r="81" spans="1:8" ht="14.25" customHeight="1" x14ac:dyDescent="0.25">
      <c r="A81" s="1471"/>
      <c r="B81" s="105" t="str">
        <f t="shared" si="12"/>
        <v>Cloves Whole - قرنفل حب</v>
      </c>
      <c r="C81" s="105" t="str">
        <f t="shared" si="13"/>
        <v>gm</v>
      </c>
      <c r="D81" s="105">
        <f t="shared" si="13"/>
        <v>1</v>
      </c>
      <c r="E81" s="98">
        <f t="shared" si="17"/>
        <v>10.526315789473685</v>
      </c>
      <c r="F81" s="109">
        <f t="shared" si="14"/>
        <v>1</v>
      </c>
      <c r="G81" s="101">
        <f t="shared" si="15"/>
        <v>10.526315789473685</v>
      </c>
      <c r="H81" s="102">
        <f t="shared" si="16"/>
        <v>10.526315789473685</v>
      </c>
    </row>
    <row r="82" spans="1:8" ht="14.25" customHeight="1" x14ac:dyDescent="0.25">
      <c r="A82" s="1471"/>
      <c r="B82" s="105" t="str">
        <f t="shared" si="12"/>
        <v>Coriander Powder - كزبرة مطحونة</v>
      </c>
      <c r="C82" s="105" t="str">
        <f t="shared" si="13"/>
        <v>gm</v>
      </c>
      <c r="D82" s="105">
        <f t="shared" si="13"/>
        <v>15</v>
      </c>
      <c r="E82" s="98">
        <f t="shared" si="17"/>
        <v>10.526315789473685</v>
      </c>
      <c r="F82" s="109">
        <f t="shared" si="14"/>
        <v>1</v>
      </c>
      <c r="G82" s="101">
        <f t="shared" si="15"/>
        <v>157.89473684210526</v>
      </c>
      <c r="H82" s="102">
        <f t="shared" si="16"/>
        <v>157.89473684210526</v>
      </c>
    </row>
    <row r="83" spans="1:8" ht="14.25" customHeight="1" x14ac:dyDescent="0.25">
      <c r="A83" s="1471"/>
      <c r="B83" s="105" t="str">
        <f t="shared" si="12"/>
        <v>Cumin Powder - كمون مطحون</v>
      </c>
      <c r="C83" s="105" t="str">
        <f t="shared" si="13"/>
        <v>gm</v>
      </c>
      <c r="D83" s="105">
        <f t="shared" si="13"/>
        <v>2</v>
      </c>
      <c r="E83" s="98">
        <f t="shared" si="17"/>
        <v>10.526315789473685</v>
      </c>
      <c r="F83" s="109">
        <f t="shared" si="14"/>
        <v>1</v>
      </c>
      <c r="G83" s="101">
        <f t="shared" si="15"/>
        <v>21.05263157894737</v>
      </c>
      <c r="H83" s="102">
        <f t="shared" si="16"/>
        <v>21.05263157894737</v>
      </c>
    </row>
    <row r="84" spans="1:8" ht="14.25" customHeight="1" x14ac:dyDescent="0.25">
      <c r="A84" s="1471"/>
      <c r="B84" s="105" t="str">
        <f t="shared" si="12"/>
        <v>Turmeric - كركم</v>
      </c>
      <c r="C84" s="105" t="str">
        <f t="shared" si="13"/>
        <v>gm</v>
      </c>
      <c r="D84" s="105">
        <f t="shared" si="13"/>
        <v>1</v>
      </c>
      <c r="E84" s="98">
        <f t="shared" si="17"/>
        <v>10.526315789473685</v>
      </c>
      <c r="F84" s="109">
        <f t="shared" si="14"/>
        <v>1</v>
      </c>
      <c r="G84" s="101">
        <f t="shared" si="15"/>
        <v>10.526315789473685</v>
      </c>
      <c r="H84" s="102">
        <f t="shared" si="16"/>
        <v>10.526315789473685</v>
      </c>
    </row>
    <row r="85" spans="1:8" ht="14.25" customHeight="1" x14ac:dyDescent="0.25">
      <c r="A85" s="1471"/>
      <c r="B85" s="105" t="str">
        <f t="shared" si="12"/>
        <v>Lemon Juice - عصير ليمون</v>
      </c>
      <c r="C85" s="105" t="str">
        <f t="shared" si="13"/>
        <v>ml</v>
      </c>
      <c r="D85" s="105">
        <f t="shared" si="13"/>
        <v>20</v>
      </c>
      <c r="E85" s="98">
        <f t="shared" si="17"/>
        <v>10.526315789473685</v>
      </c>
      <c r="F85" s="109">
        <f t="shared" si="14"/>
        <v>1</v>
      </c>
      <c r="G85" s="101">
        <f t="shared" si="15"/>
        <v>210.5263157894737</v>
      </c>
      <c r="H85" s="102">
        <f t="shared" si="16"/>
        <v>210.5263157894737</v>
      </c>
    </row>
    <row r="86" spans="1:8" ht="14.25" customHeight="1" x14ac:dyDescent="0.25">
      <c r="A86" s="1471"/>
      <c r="B86" s="105" t="str">
        <f t="shared" si="12"/>
        <v>Star Anise - ينسون نجمي</v>
      </c>
      <c r="C86" s="105" t="str">
        <f t="shared" si="13"/>
        <v>gm</v>
      </c>
      <c r="D86" s="105">
        <f t="shared" si="13"/>
        <v>1</v>
      </c>
      <c r="E86" s="98">
        <f t="shared" si="17"/>
        <v>10.526315789473685</v>
      </c>
      <c r="F86" s="109">
        <f t="shared" si="14"/>
        <v>1</v>
      </c>
      <c r="G86" s="101">
        <f t="shared" si="15"/>
        <v>10.526315789473685</v>
      </c>
      <c r="H86" s="102">
        <f t="shared" si="16"/>
        <v>10.526315789473685</v>
      </c>
    </row>
    <row r="87" spans="1:8" ht="14.25" customHeight="1" x14ac:dyDescent="0.25">
      <c r="A87" s="1471"/>
      <c r="B87" s="105" t="str">
        <f t="shared" si="12"/>
        <v>Tomato Ketchup - كاتشب طماطم</v>
      </c>
      <c r="C87" s="105" t="str">
        <f t="shared" si="13"/>
        <v>ml</v>
      </c>
      <c r="D87" s="105">
        <f t="shared" si="13"/>
        <v>20</v>
      </c>
      <c r="E87" s="98">
        <f t="shared" si="17"/>
        <v>10.526315789473685</v>
      </c>
      <c r="F87" s="109">
        <f t="shared" si="14"/>
        <v>1</v>
      </c>
      <c r="G87" s="101">
        <f t="shared" si="15"/>
        <v>210.5263157894737</v>
      </c>
      <c r="H87" s="102">
        <f t="shared" si="16"/>
        <v>210.5263157894737</v>
      </c>
    </row>
    <row r="88" spans="1:8" ht="14.25" customHeight="1" x14ac:dyDescent="0.25">
      <c r="A88" s="1471"/>
      <c r="B88" s="105" t="str">
        <f t="shared" si="12"/>
        <v>Honey - عسل</v>
      </c>
      <c r="C88" s="105" t="str">
        <f t="shared" si="13"/>
        <v>gm</v>
      </c>
      <c r="D88" s="105">
        <f t="shared" si="13"/>
        <v>20</v>
      </c>
      <c r="E88" s="98">
        <f t="shared" si="17"/>
        <v>10.526315789473685</v>
      </c>
      <c r="F88" s="109">
        <f t="shared" si="14"/>
        <v>1</v>
      </c>
      <c r="G88" s="101">
        <f t="shared" si="15"/>
        <v>210.5263157894737</v>
      </c>
      <c r="H88" s="102">
        <f t="shared" si="16"/>
        <v>210.5263157894737</v>
      </c>
    </row>
    <row r="89" spans="1:8" ht="18" x14ac:dyDescent="0.25">
      <c r="A89" s="1458"/>
      <c r="B89" s="178" t="s">
        <v>287</v>
      </c>
      <c r="C89" s="180" t="s">
        <v>273</v>
      </c>
      <c r="E89" s="180" t="s">
        <v>288</v>
      </c>
      <c r="G89" s="804" t="s">
        <v>264</v>
      </c>
      <c r="H89" s="804" t="s">
        <v>673</v>
      </c>
    </row>
    <row r="90" spans="1:8" ht="20.25" customHeight="1" x14ac:dyDescent="0.3">
      <c r="A90" s="1458"/>
      <c r="B90" s="179">
        <f>$J$53</f>
        <v>13637.090909090908</v>
      </c>
      <c r="C90" s="179">
        <f>E90+G90</f>
        <v>10000</v>
      </c>
      <c r="D90" s="839"/>
      <c r="E90" s="179">
        <f>$D$53*$S$44</f>
        <v>4090.909090909091</v>
      </c>
      <c r="F90" s="843"/>
      <c r="G90" s="179">
        <f>$D$53*$T$44</f>
        <v>5909.090909090909</v>
      </c>
      <c r="H90" s="179">
        <f>B90+E90</f>
        <v>17728</v>
      </c>
    </row>
    <row r="91" spans="1:8" x14ac:dyDescent="0.25">
      <c r="A91" s="1472"/>
    </row>
    <row r="92" spans="1:8" x14ac:dyDescent="0.25">
      <c r="A92" s="1472"/>
    </row>
    <row r="93" spans="1:8" ht="18" customHeight="1" x14ac:dyDescent="0.25">
      <c r="A93" s="1473"/>
      <c r="B93" s="1642" t="str">
        <f>"دجاج بكريمة جوز الهند  2 / " &amp; COUNTIF($C$53:$C$55, "&gt;0")</f>
        <v>دجاج بكريمة جوز الهند  2 / 2</v>
      </c>
      <c r="C93" s="1656"/>
      <c r="D93" s="1656"/>
      <c r="E93" s="1683"/>
      <c r="F93" s="1656"/>
      <c r="G93" s="1656"/>
      <c r="H93" s="1656"/>
    </row>
    <row r="94" spans="1:8" ht="18" customHeight="1" x14ac:dyDescent="0.25">
      <c r="A94" s="1473"/>
      <c r="B94" s="1636" t="str">
        <f>"Coconut Chicken  2 / " &amp; COUNTIF(C$53:$C$55, "&gt;0")</f>
        <v>Coconut Chicken  2 / 2</v>
      </c>
      <c r="C94" s="1637"/>
      <c r="D94" s="1637"/>
      <c r="E94" s="1637"/>
      <c r="F94" s="1637"/>
      <c r="G94" s="1637"/>
      <c r="H94" s="1637"/>
    </row>
    <row r="95" spans="1:8" ht="36.75" customHeight="1" x14ac:dyDescent="0.2">
      <c r="A95" s="1457"/>
      <c r="B95" s="75" t="s">
        <v>241</v>
      </c>
      <c r="C95" s="90" t="s">
        <v>242</v>
      </c>
      <c r="D95" s="75" t="s">
        <v>231</v>
      </c>
      <c r="E95" s="91" t="s">
        <v>234</v>
      </c>
      <c r="F95" s="91" t="s">
        <v>243</v>
      </c>
      <c r="G95" s="75" t="s">
        <v>244</v>
      </c>
      <c r="H95" s="92" t="s">
        <v>245</v>
      </c>
    </row>
    <row r="96" spans="1:8" ht="14.25" customHeight="1" x14ac:dyDescent="0.25">
      <c r="A96" s="1471"/>
      <c r="B96" s="105" t="str">
        <f t="shared" ref="B96:D119" si="18">B5</f>
        <v>Chicken - دجاج</v>
      </c>
      <c r="C96" s="105" t="str">
        <f t="shared" si="18"/>
        <v>gm</v>
      </c>
      <c r="D96" s="256">
        <f t="shared" si="18"/>
        <v>2311.3713405238827</v>
      </c>
      <c r="E96" s="177">
        <f>H54</f>
        <v>0.48046668280255744</v>
      </c>
      <c r="F96" s="109">
        <f t="shared" ref="F96:F119" si="19">F5</f>
        <v>1</v>
      </c>
      <c r="G96" s="103">
        <f t="shared" ref="G96:G119" si="20">D96*E96</f>
        <v>1110.5369207064105</v>
      </c>
      <c r="H96" s="102">
        <f t="shared" ref="H96:H119" si="21">G96*F96</f>
        <v>1110.5369207064105</v>
      </c>
    </row>
    <row r="97" spans="1:8" ht="14.25" customHeight="1" x14ac:dyDescent="0.25">
      <c r="A97" s="1471"/>
      <c r="B97" s="105" t="str">
        <f t="shared" si="18"/>
        <v>Fennel Seeds - شمر حب</v>
      </c>
      <c r="C97" s="105" t="str">
        <f t="shared" si="18"/>
        <v>gm</v>
      </c>
      <c r="D97" s="105">
        <f t="shared" si="18"/>
        <v>2</v>
      </c>
      <c r="E97" s="177">
        <f t="shared" ref="E97:E119" si="22">$C$54</f>
        <v>0.50634278002699418</v>
      </c>
      <c r="F97" s="109">
        <f t="shared" si="19"/>
        <v>1</v>
      </c>
      <c r="G97" s="103">
        <f t="shared" si="20"/>
        <v>1.0126855600539884</v>
      </c>
      <c r="H97" s="102">
        <f t="shared" si="21"/>
        <v>1.0126855600539884</v>
      </c>
    </row>
    <row r="98" spans="1:8" ht="14.25" customHeight="1" x14ac:dyDescent="0.25">
      <c r="A98" s="1471"/>
      <c r="B98" s="105" t="str">
        <f t="shared" si="18"/>
        <v>Cumin Whole - كمون حب</v>
      </c>
      <c r="C98" s="105" t="str">
        <f t="shared" si="18"/>
        <v>gm</v>
      </c>
      <c r="D98" s="105">
        <f t="shared" si="18"/>
        <v>1</v>
      </c>
      <c r="E98" s="177">
        <f t="shared" si="22"/>
        <v>0.50634278002699418</v>
      </c>
      <c r="F98" s="109">
        <f t="shared" si="19"/>
        <v>1</v>
      </c>
      <c r="G98" s="103">
        <f t="shared" si="20"/>
        <v>0.50634278002699418</v>
      </c>
      <c r="H98" s="102">
        <f t="shared" si="21"/>
        <v>0.50634278002699418</v>
      </c>
    </row>
    <row r="99" spans="1:8" ht="14.25" customHeight="1" x14ac:dyDescent="0.25">
      <c r="A99" s="1471"/>
      <c r="B99" s="105" t="str">
        <f t="shared" si="18"/>
        <v>Cardamom Whole - هيل حب</v>
      </c>
      <c r="C99" s="105" t="str">
        <f t="shared" si="18"/>
        <v>gm</v>
      </c>
      <c r="D99" s="105">
        <f t="shared" si="18"/>
        <v>1</v>
      </c>
      <c r="E99" s="177">
        <f t="shared" si="22"/>
        <v>0.50634278002699418</v>
      </c>
      <c r="F99" s="109">
        <f t="shared" si="19"/>
        <v>1</v>
      </c>
      <c r="G99" s="103">
        <f t="shared" si="20"/>
        <v>0.50634278002699418</v>
      </c>
      <c r="H99" s="102">
        <f t="shared" si="21"/>
        <v>0.50634278002699418</v>
      </c>
    </row>
    <row r="100" spans="1:8" ht="14.25" customHeight="1" x14ac:dyDescent="0.25">
      <c r="A100" s="1471"/>
      <c r="B100" s="105" t="str">
        <f t="shared" si="18"/>
        <v>Cinnamon Powder - قرفة مطحونة</v>
      </c>
      <c r="C100" s="105" t="str">
        <f t="shared" si="18"/>
        <v>gm</v>
      </c>
      <c r="D100" s="105">
        <f t="shared" si="18"/>
        <v>1</v>
      </c>
      <c r="E100" s="177">
        <f t="shared" si="22"/>
        <v>0.50634278002699418</v>
      </c>
      <c r="F100" s="109">
        <f t="shared" si="19"/>
        <v>1</v>
      </c>
      <c r="G100" s="103">
        <f t="shared" si="20"/>
        <v>0.50634278002699418</v>
      </c>
      <c r="H100" s="102">
        <f t="shared" si="21"/>
        <v>0.50634278002699418</v>
      </c>
    </row>
    <row r="101" spans="1:8" ht="14.25" customHeight="1" x14ac:dyDescent="0.25">
      <c r="A101" s="1471" t="s">
        <v>920</v>
      </c>
      <c r="B101" s="105" t="str">
        <f t="shared" si="18"/>
        <v>Onion - بصل</v>
      </c>
      <c r="C101" s="105" t="str">
        <f t="shared" si="18"/>
        <v>gm</v>
      </c>
      <c r="D101" s="105">
        <f t="shared" si="18"/>
        <v>350</v>
      </c>
      <c r="E101" s="177">
        <f t="shared" si="22"/>
        <v>0.50634278002699418</v>
      </c>
      <c r="F101" s="109">
        <f t="shared" si="19"/>
        <v>0.95</v>
      </c>
      <c r="G101" s="103">
        <f t="shared" si="20"/>
        <v>177.21997300944795</v>
      </c>
      <c r="H101" s="102">
        <f t="shared" si="21"/>
        <v>168.35897435897556</v>
      </c>
    </row>
    <row r="102" spans="1:8" ht="14.25" customHeight="1" x14ac:dyDescent="0.25">
      <c r="A102" s="1471"/>
      <c r="B102" s="105" t="str">
        <f t="shared" si="18"/>
        <v>Coconut Milk - حليب جوز الهند</v>
      </c>
      <c r="C102" s="105" t="str">
        <f t="shared" si="18"/>
        <v>ml</v>
      </c>
      <c r="D102" s="105">
        <f t="shared" si="18"/>
        <v>300</v>
      </c>
      <c r="E102" s="177">
        <f t="shared" si="22"/>
        <v>0.50634278002699418</v>
      </c>
      <c r="F102" s="109">
        <f t="shared" si="19"/>
        <v>0.9</v>
      </c>
      <c r="G102" s="103">
        <f t="shared" si="20"/>
        <v>151.90283400809824</v>
      </c>
      <c r="H102" s="102">
        <f t="shared" si="21"/>
        <v>136.71255060728842</v>
      </c>
    </row>
    <row r="103" spans="1:8" ht="14.25" customHeight="1" x14ac:dyDescent="0.25">
      <c r="A103" s="1471"/>
      <c r="B103" s="105" t="str">
        <f t="shared" si="18"/>
        <v>Fresh Coconut - جوز هند طازج</v>
      </c>
      <c r="C103" s="105" t="str">
        <f t="shared" si="18"/>
        <v>gm</v>
      </c>
      <c r="D103" s="105">
        <f t="shared" si="18"/>
        <v>200</v>
      </c>
      <c r="E103" s="177">
        <f t="shared" si="22"/>
        <v>0.50634278002699418</v>
      </c>
      <c r="F103" s="109">
        <f t="shared" si="19"/>
        <v>0.8</v>
      </c>
      <c r="G103" s="103">
        <f t="shared" si="20"/>
        <v>101.26855600539884</v>
      </c>
      <c r="H103" s="102">
        <f t="shared" si="21"/>
        <v>81.014844804319068</v>
      </c>
    </row>
    <row r="104" spans="1:8" ht="14.25" customHeight="1" x14ac:dyDescent="0.25">
      <c r="A104" s="1471" t="s">
        <v>907</v>
      </c>
      <c r="B104" s="105" t="str">
        <f t="shared" si="18"/>
        <v>Garlic - ثوم مقشر</v>
      </c>
      <c r="C104" s="105" t="str">
        <f t="shared" si="18"/>
        <v>gm</v>
      </c>
      <c r="D104" s="105">
        <f t="shared" si="18"/>
        <v>25</v>
      </c>
      <c r="E104" s="177">
        <f t="shared" si="22"/>
        <v>0.50634278002699418</v>
      </c>
      <c r="F104" s="109">
        <f t="shared" si="19"/>
        <v>0.95</v>
      </c>
      <c r="G104" s="103">
        <f t="shared" si="20"/>
        <v>12.658569500674854</v>
      </c>
      <c r="H104" s="102">
        <f t="shared" si="21"/>
        <v>12.025641025641111</v>
      </c>
    </row>
    <row r="105" spans="1:8" ht="14.25" customHeight="1" x14ac:dyDescent="0.25">
      <c r="A105" s="1471"/>
      <c r="B105" s="105" t="str">
        <f t="shared" si="18"/>
        <v>Kashmiri Red Chilli Whole - فلفل كشميري أحمر كامل</v>
      </c>
      <c r="C105" s="105" t="str">
        <f t="shared" si="18"/>
        <v>gm</v>
      </c>
      <c r="D105" s="105">
        <f t="shared" si="18"/>
        <v>10</v>
      </c>
      <c r="E105" s="177">
        <f t="shared" si="22"/>
        <v>0.50634278002699418</v>
      </c>
      <c r="F105" s="109">
        <f t="shared" si="19"/>
        <v>0.75</v>
      </c>
      <c r="G105" s="103">
        <f t="shared" si="20"/>
        <v>5.0634278002699418</v>
      </c>
      <c r="H105" s="102">
        <f t="shared" si="21"/>
        <v>3.7975708502024563</v>
      </c>
    </row>
    <row r="106" spans="1:8" ht="14.25" customHeight="1" x14ac:dyDescent="0.25">
      <c r="A106" s="1471"/>
      <c r="B106" s="105" t="str">
        <f t="shared" si="18"/>
        <v>Orange Color - لون برتقالي</v>
      </c>
      <c r="C106" s="105" t="str">
        <f t="shared" si="18"/>
        <v>gm</v>
      </c>
      <c r="D106" s="105">
        <f t="shared" si="18"/>
        <v>2</v>
      </c>
      <c r="E106" s="177">
        <f t="shared" si="22"/>
        <v>0.50634278002699418</v>
      </c>
      <c r="F106" s="109">
        <f t="shared" si="19"/>
        <v>1</v>
      </c>
      <c r="G106" s="103">
        <f t="shared" si="20"/>
        <v>1.0126855600539884</v>
      </c>
      <c r="H106" s="102">
        <f t="shared" si="21"/>
        <v>1.0126855600539884</v>
      </c>
    </row>
    <row r="107" spans="1:8" ht="14.25" customHeight="1" x14ac:dyDescent="0.25">
      <c r="A107" s="1471"/>
      <c r="B107" s="105" t="str">
        <f t="shared" si="18"/>
        <v>Salt - ملح</v>
      </c>
      <c r="C107" s="105" t="str">
        <f t="shared" si="18"/>
        <v>gm</v>
      </c>
      <c r="D107" s="105">
        <f t="shared" si="18"/>
        <v>11</v>
      </c>
      <c r="E107" s="177">
        <f t="shared" si="22"/>
        <v>0.50634278002699418</v>
      </c>
      <c r="F107" s="109">
        <f t="shared" si="19"/>
        <v>0.75</v>
      </c>
      <c r="G107" s="103">
        <f t="shared" si="20"/>
        <v>5.5697705802969359</v>
      </c>
      <c r="H107" s="102">
        <f t="shared" si="21"/>
        <v>4.177327935222702</v>
      </c>
    </row>
    <row r="108" spans="1:8" ht="14.25" customHeight="1" x14ac:dyDescent="0.25">
      <c r="A108" s="1471"/>
      <c r="B108" s="105" t="str">
        <f t="shared" si="18"/>
        <v>Water - ماء</v>
      </c>
      <c r="C108" s="105" t="str">
        <f t="shared" si="18"/>
        <v>ml</v>
      </c>
      <c r="D108" s="105">
        <f t="shared" si="18"/>
        <v>500</v>
      </c>
      <c r="E108" s="177">
        <f t="shared" si="22"/>
        <v>0.50634278002699418</v>
      </c>
      <c r="F108" s="109">
        <f t="shared" si="19"/>
        <v>0.75</v>
      </c>
      <c r="G108" s="103">
        <f t="shared" si="20"/>
        <v>253.1713900134971</v>
      </c>
      <c r="H108" s="102">
        <f t="shared" si="21"/>
        <v>189.87854251012283</v>
      </c>
    </row>
    <row r="109" spans="1:8" ht="14.25" customHeight="1" x14ac:dyDescent="0.25">
      <c r="A109" s="1471" t="s">
        <v>923</v>
      </c>
      <c r="B109" s="105" t="str">
        <f t="shared" si="18"/>
        <v>Curry Leaves - أوراق الكاري</v>
      </c>
      <c r="C109" s="105" t="str">
        <f t="shared" si="18"/>
        <v>gm</v>
      </c>
      <c r="D109" s="105">
        <f t="shared" si="18"/>
        <v>3</v>
      </c>
      <c r="E109" s="177">
        <f t="shared" si="22"/>
        <v>0.50634278002699418</v>
      </c>
      <c r="F109" s="109">
        <f t="shared" si="19"/>
        <v>1</v>
      </c>
      <c r="G109" s="103">
        <f t="shared" si="20"/>
        <v>1.5190283400809825</v>
      </c>
      <c r="H109" s="102">
        <f t="shared" si="21"/>
        <v>1.5190283400809825</v>
      </c>
    </row>
    <row r="110" spans="1:8" ht="14.25" customHeight="1" x14ac:dyDescent="0.25">
      <c r="A110" s="1471" t="s">
        <v>908</v>
      </c>
      <c r="B110" s="105" t="str">
        <f t="shared" si="18"/>
        <v>Coriander Leaves - كزبرة خضراء</v>
      </c>
      <c r="C110" s="105" t="str">
        <f t="shared" si="18"/>
        <v>gm</v>
      </c>
      <c r="D110" s="105">
        <f t="shared" si="18"/>
        <v>10</v>
      </c>
      <c r="E110" s="177">
        <f t="shared" si="22"/>
        <v>0.50634278002699418</v>
      </c>
      <c r="F110" s="109">
        <f t="shared" si="19"/>
        <v>1</v>
      </c>
      <c r="G110" s="103">
        <f t="shared" si="20"/>
        <v>5.0634278002699418</v>
      </c>
      <c r="H110" s="102">
        <f t="shared" si="21"/>
        <v>5.0634278002699418</v>
      </c>
    </row>
    <row r="111" spans="1:8" ht="14.25" customHeight="1" x14ac:dyDescent="0.25">
      <c r="A111" s="1471"/>
      <c r="B111" s="105" t="str">
        <f t="shared" si="18"/>
        <v>Butter - زبدة</v>
      </c>
      <c r="C111" s="105" t="str">
        <f t="shared" si="18"/>
        <v>gm</v>
      </c>
      <c r="D111" s="105">
        <f t="shared" si="18"/>
        <v>50</v>
      </c>
      <c r="E111" s="177">
        <f t="shared" si="22"/>
        <v>0.50634278002699418</v>
      </c>
      <c r="F111" s="109">
        <f t="shared" si="19"/>
        <v>1</v>
      </c>
      <c r="G111" s="103">
        <f t="shared" si="20"/>
        <v>25.317139001349709</v>
      </c>
      <c r="H111" s="102">
        <f t="shared" si="21"/>
        <v>25.317139001349709</v>
      </c>
    </row>
    <row r="112" spans="1:8" ht="14.25" customHeight="1" x14ac:dyDescent="0.25">
      <c r="A112" s="1471"/>
      <c r="B112" s="105" t="str">
        <f t="shared" si="18"/>
        <v>Cloves Whole - قرنفل حب</v>
      </c>
      <c r="C112" s="105" t="str">
        <f t="shared" si="18"/>
        <v>gm</v>
      </c>
      <c r="D112" s="105">
        <f t="shared" si="18"/>
        <v>1</v>
      </c>
      <c r="E112" s="177">
        <f t="shared" si="22"/>
        <v>0.50634278002699418</v>
      </c>
      <c r="F112" s="109">
        <f t="shared" si="19"/>
        <v>1</v>
      </c>
      <c r="G112" s="103">
        <f t="shared" si="20"/>
        <v>0.50634278002699418</v>
      </c>
      <c r="H112" s="102">
        <f t="shared" si="21"/>
        <v>0.50634278002699418</v>
      </c>
    </row>
    <row r="113" spans="1:8" ht="14.25" customHeight="1" x14ac:dyDescent="0.25">
      <c r="A113" s="1471"/>
      <c r="B113" s="105" t="str">
        <f t="shared" si="18"/>
        <v>Coriander Powder - كزبرة مطحونة</v>
      </c>
      <c r="C113" s="105" t="str">
        <f t="shared" si="18"/>
        <v>gm</v>
      </c>
      <c r="D113" s="105">
        <f t="shared" si="18"/>
        <v>15</v>
      </c>
      <c r="E113" s="177">
        <f t="shared" si="22"/>
        <v>0.50634278002699418</v>
      </c>
      <c r="F113" s="109">
        <f t="shared" si="19"/>
        <v>1</v>
      </c>
      <c r="G113" s="103">
        <f t="shared" si="20"/>
        <v>7.5951417004049127</v>
      </c>
      <c r="H113" s="102">
        <f t="shared" si="21"/>
        <v>7.5951417004049127</v>
      </c>
    </row>
    <row r="114" spans="1:8" ht="14.25" customHeight="1" x14ac:dyDescent="0.25">
      <c r="A114" s="1471"/>
      <c r="B114" s="105" t="str">
        <f t="shared" si="18"/>
        <v>Cumin Powder - كمون مطحون</v>
      </c>
      <c r="C114" s="105" t="str">
        <f t="shared" si="18"/>
        <v>gm</v>
      </c>
      <c r="D114" s="105">
        <f t="shared" si="18"/>
        <v>2</v>
      </c>
      <c r="E114" s="177">
        <f t="shared" si="22"/>
        <v>0.50634278002699418</v>
      </c>
      <c r="F114" s="109">
        <f t="shared" si="19"/>
        <v>1</v>
      </c>
      <c r="G114" s="103">
        <f t="shared" si="20"/>
        <v>1.0126855600539884</v>
      </c>
      <c r="H114" s="102">
        <f t="shared" si="21"/>
        <v>1.0126855600539884</v>
      </c>
    </row>
    <row r="115" spans="1:8" ht="14.25" customHeight="1" x14ac:dyDescent="0.25">
      <c r="A115" s="1471"/>
      <c r="B115" s="105" t="str">
        <f t="shared" si="18"/>
        <v>Turmeric - كركم</v>
      </c>
      <c r="C115" s="105" t="str">
        <f t="shared" si="18"/>
        <v>gm</v>
      </c>
      <c r="D115" s="105">
        <f t="shared" si="18"/>
        <v>1</v>
      </c>
      <c r="E115" s="177">
        <f t="shared" si="22"/>
        <v>0.50634278002699418</v>
      </c>
      <c r="F115" s="109">
        <f t="shared" si="19"/>
        <v>1</v>
      </c>
      <c r="G115" s="103">
        <f t="shared" si="20"/>
        <v>0.50634278002699418</v>
      </c>
      <c r="H115" s="102">
        <f t="shared" si="21"/>
        <v>0.50634278002699418</v>
      </c>
    </row>
    <row r="116" spans="1:8" ht="14.25" customHeight="1" x14ac:dyDescent="0.25">
      <c r="A116" s="1471"/>
      <c r="B116" s="105" t="str">
        <f t="shared" si="18"/>
        <v>Lemon Juice - عصير ليمون</v>
      </c>
      <c r="C116" s="105" t="str">
        <f t="shared" si="18"/>
        <v>ml</v>
      </c>
      <c r="D116" s="105">
        <f t="shared" si="18"/>
        <v>20</v>
      </c>
      <c r="E116" s="177">
        <f t="shared" si="22"/>
        <v>0.50634278002699418</v>
      </c>
      <c r="F116" s="109">
        <f t="shared" si="19"/>
        <v>1</v>
      </c>
      <c r="G116" s="103">
        <f t="shared" si="20"/>
        <v>10.126855600539884</v>
      </c>
      <c r="H116" s="102">
        <f t="shared" si="21"/>
        <v>10.126855600539884</v>
      </c>
    </row>
    <row r="117" spans="1:8" ht="14.25" customHeight="1" x14ac:dyDescent="0.25">
      <c r="A117" s="1471"/>
      <c r="B117" s="105" t="str">
        <f t="shared" si="18"/>
        <v>Star Anise - ينسون نجمي</v>
      </c>
      <c r="C117" s="105" t="str">
        <f t="shared" si="18"/>
        <v>gm</v>
      </c>
      <c r="D117" s="105">
        <f t="shared" si="18"/>
        <v>1</v>
      </c>
      <c r="E117" s="177">
        <f t="shared" si="22"/>
        <v>0.50634278002699418</v>
      </c>
      <c r="F117" s="109">
        <f t="shared" si="19"/>
        <v>1</v>
      </c>
      <c r="G117" s="103">
        <f t="shared" si="20"/>
        <v>0.50634278002699418</v>
      </c>
      <c r="H117" s="102">
        <f t="shared" si="21"/>
        <v>0.50634278002699418</v>
      </c>
    </row>
    <row r="118" spans="1:8" ht="14.25" customHeight="1" x14ac:dyDescent="0.25">
      <c r="A118" s="1471"/>
      <c r="B118" s="105" t="str">
        <f t="shared" si="18"/>
        <v>Tomato Ketchup - كاتشب طماطم</v>
      </c>
      <c r="C118" s="105" t="str">
        <f t="shared" si="18"/>
        <v>ml</v>
      </c>
      <c r="D118" s="105">
        <f t="shared" si="18"/>
        <v>20</v>
      </c>
      <c r="E118" s="177">
        <f t="shared" si="22"/>
        <v>0.50634278002699418</v>
      </c>
      <c r="F118" s="109">
        <f t="shared" si="19"/>
        <v>1</v>
      </c>
      <c r="G118" s="103">
        <f t="shared" si="20"/>
        <v>10.126855600539884</v>
      </c>
      <c r="H118" s="102">
        <f t="shared" si="21"/>
        <v>10.126855600539884</v>
      </c>
    </row>
    <row r="119" spans="1:8" ht="14.25" customHeight="1" x14ac:dyDescent="0.25">
      <c r="A119" s="1471"/>
      <c r="B119" s="105" t="str">
        <f t="shared" si="18"/>
        <v>Honey - عسل</v>
      </c>
      <c r="C119" s="105" t="str">
        <f t="shared" si="18"/>
        <v>gm</v>
      </c>
      <c r="D119" s="105">
        <f t="shared" si="18"/>
        <v>20</v>
      </c>
      <c r="E119" s="177">
        <f t="shared" si="22"/>
        <v>0.50634278002699418</v>
      </c>
      <c r="F119" s="109">
        <f t="shared" si="19"/>
        <v>1</v>
      </c>
      <c r="G119" s="103">
        <f t="shared" si="20"/>
        <v>10.126855600539884</v>
      </c>
      <c r="H119" s="102">
        <f t="shared" si="21"/>
        <v>10.126855600539884</v>
      </c>
    </row>
    <row r="120" spans="1:8" ht="20.25" customHeight="1" x14ac:dyDescent="0.25">
      <c r="A120" s="1458"/>
      <c r="B120" s="178" t="s">
        <v>287</v>
      </c>
      <c r="C120" s="180" t="s">
        <v>273</v>
      </c>
      <c r="E120" s="180" t="s">
        <v>288</v>
      </c>
      <c r="G120" s="804" t="s">
        <v>264</v>
      </c>
      <c r="H120" s="804" t="s">
        <v>673</v>
      </c>
    </row>
    <row r="121" spans="1:8" ht="20.25" x14ac:dyDescent="0.3">
      <c r="A121" s="1458"/>
      <c r="B121" s="179">
        <f>$J$54</f>
        <v>655.21678321678155</v>
      </c>
      <c r="C121" s="179">
        <f>E121+G121</f>
        <v>481.02564102564452</v>
      </c>
      <c r="D121" s="839"/>
      <c r="E121" s="179">
        <f>$D$54*$S$44</f>
        <v>196.78321678321819</v>
      </c>
      <c r="F121" s="843"/>
      <c r="G121" s="179">
        <f>$D$54*$T$44</f>
        <v>284.2424242424263</v>
      </c>
      <c r="H121" s="179">
        <f>B121+E121</f>
        <v>851.99999999999977</v>
      </c>
    </row>
    <row r="122" spans="1:8" x14ac:dyDescent="0.25">
      <c r="A122" s="1472"/>
    </row>
    <row r="123" spans="1:8" x14ac:dyDescent="0.25">
      <c r="A123" s="1472"/>
    </row>
    <row r="124" spans="1:8" x14ac:dyDescent="0.25">
      <c r="A124" s="1472"/>
    </row>
    <row r="125" spans="1:8" x14ac:dyDescent="0.25">
      <c r="A125" s="1472"/>
    </row>
    <row r="126" spans="1:8" x14ac:dyDescent="0.25">
      <c r="A126" s="1472"/>
    </row>
    <row r="127" spans="1:8" x14ac:dyDescent="0.25">
      <c r="A127" s="1472"/>
    </row>
    <row r="128" spans="1:8"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9">
    <mergeCell ref="AK2:AM2"/>
    <mergeCell ref="AE2:AG3"/>
    <mergeCell ref="B93:H93"/>
    <mergeCell ref="B94:H94"/>
    <mergeCell ref="R26:U26"/>
    <mergeCell ref="R25:U25"/>
    <mergeCell ref="B62:H62"/>
    <mergeCell ref="F2:F3"/>
    <mergeCell ref="B63:H63"/>
  </mergeCells>
  <printOptions horizontalCentered="1"/>
  <pageMargins left="0.4" right="0.4" top="1" bottom="0.5" header="0.3" footer="0.511811023622047"/>
  <pageSetup paperSize="9" scale="56" orientation="landscape"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2E75B6"/>
    <pageSetUpPr fitToPage="1"/>
  </sheetPr>
  <dimension ref="A1:AT174"/>
  <sheetViews>
    <sheetView topLeftCell="H17" zoomScale="70" zoomScaleNormal="70" workbookViewId="0">
      <selection activeCell="D5" sqref="D5"/>
    </sheetView>
  </sheetViews>
  <sheetFormatPr defaultColWidth="12.5" defaultRowHeight="15" x14ac:dyDescent="0.25"/>
  <cols>
    <col min="1" max="1" width="12.5" style="63" customWidth="1"/>
    <col min="2" max="2" width="37.5" style="14" customWidth="1"/>
    <col min="3" max="3" width="23.875" style="14" customWidth="1"/>
    <col min="4" max="4" width="19" style="14" customWidth="1"/>
    <col min="5" max="5" width="16.125" style="274" customWidth="1"/>
    <col min="6" max="6" width="23.125" style="14" customWidth="1"/>
    <col min="7" max="7" width="25.125" style="14" customWidth="1"/>
    <col min="8" max="8" width="36.125" style="14" customWidth="1"/>
    <col min="9" max="9" width="12.5" style="14" customWidth="1"/>
    <col min="10" max="10" width="14" style="14" customWidth="1"/>
    <col min="11" max="11" width="12.5" style="14" customWidth="1"/>
    <col min="12" max="12" width="8.375" style="14" customWidth="1"/>
    <col min="13" max="14" width="5.375" style="14" customWidth="1"/>
    <col min="15" max="17" width="12.5" style="14" customWidth="1"/>
    <col min="18" max="18" width="30.5" style="14" customWidth="1"/>
    <col min="19" max="19" width="12.5" style="14" customWidth="1"/>
    <col min="20" max="27" width="12.5" style="14"/>
    <col min="28" max="28" width="6.75" style="14" customWidth="1"/>
    <col min="29" max="29" width="13.375" style="14" bestFit="1" customWidth="1"/>
    <col min="30" max="30" width="11.625" style="14" bestFit="1" customWidth="1"/>
    <col min="31" max="31" width="10" style="14" bestFit="1" customWidth="1"/>
    <col min="32" max="32" width="11.625" style="14" bestFit="1" customWidth="1"/>
    <col min="33" max="34" width="4.25" style="14" customWidth="1"/>
    <col min="35" max="35" width="12.5" style="14"/>
    <col min="36" max="36" width="33.125" style="14" customWidth="1"/>
    <col min="37" max="16384" width="12.5" style="14"/>
  </cols>
  <sheetData>
    <row r="1" spans="1:46" ht="42" customHeight="1" x14ac:dyDescent="0.25">
      <c r="B1" s="64" t="s">
        <v>231</v>
      </c>
      <c r="C1" s="65">
        <v>1000</v>
      </c>
      <c r="D1" s="66" t="s">
        <v>232</v>
      </c>
      <c r="E1" s="67">
        <f>$T$32</f>
        <v>8612.3076923077006</v>
      </c>
      <c r="F1" s="360" t="s">
        <v>233</v>
      </c>
      <c r="G1" s="68">
        <f>E1/1000</f>
        <v>8.6123076923077004</v>
      </c>
      <c r="H1" s="64" t="s">
        <v>234</v>
      </c>
      <c r="I1" s="69">
        <f>(G1/K1)</f>
        <v>8.9711538461538556</v>
      </c>
      <c r="J1" s="70" t="s">
        <v>235</v>
      </c>
      <c r="K1" s="69">
        <v>0.96</v>
      </c>
      <c r="L1" s="72"/>
      <c r="M1" s="73"/>
      <c r="N1" s="74"/>
      <c r="O1" s="75" t="s">
        <v>236</v>
      </c>
      <c r="P1" s="76" t="s">
        <v>237</v>
      </c>
      <c r="Q1" s="77" t="s">
        <v>238</v>
      </c>
      <c r="R1" s="76">
        <v>0.59</v>
      </c>
      <c r="Y1" s="75" t="s">
        <v>453</v>
      </c>
      <c r="Z1" s="766">
        <v>36820</v>
      </c>
      <c r="AA1" s="75" t="s">
        <v>556</v>
      </c>
      <c r="AB1" s="766">
        <v>500</v>
      </c>
      <c r="AC1" s="75" t="s">
        <v>546</v>
      </c>
      <c r="AD1" s="766">
        <v>266</v>
      </c>
      <c r="AE1" s="228"/>
      <c r="AF1" s="230"/>
      <c r="AG1" s="76"/>
      <c r="AI1" s="63"/>
      <c r="AJ1" s="93" t="s">
        <v>250</v>
      </c>
      <c r="AK1" s="78">
        <v>10000</v>
      </c>
      <c r="AL1" s="561" t="s">
        <v>483</v>
      </c>
      <c r="AM1" s="562">
        <f>$S$32</f>
        <v>28707.692307692298</v>
      </c>
      <c r="AN1" s="78" t="s">
        <v>239</v>
      </c>
      <c r="AO1" s="80">
        <f>($S$32/$R$1)/$AK$1</f>
        <v>4.8657105606258133</v>
      </c>
      <c r="AP1" s="79"/>
    </row>
    <row r="2" spans="1:46" ht="12.75" customHeight="1" x14ac:dyDescent="0.25">
      <c r="A2" s="81"/>
      <c r="B2" s="1684" t="s">
        <v>48</v>
      </c>
      <c r="C2" s="1655"/>
      <c r="D2" s="1655"/>
      <c r="E2" s="1682"/>
      <c r="F2" s="1655"/>
      <c r="G2" s="1655"/>
      <c r="H2" s="1655"/>
      <c r="I2" s="1655"/>
      <c r="J2" s="1655"/>
      <c r="K2" s="1685"/>
      <c r="L2" s="270"/>
      <c r="M2" s="84"/>
      <c r="N2" s="84"/>
      <c r="O2" s="84"/>
      <c r="P2" s="84"/>
      <c r="Q2" s="84"/>
      <c r="R2" s="84"/>
      <c r="AC2" s="83"/>
      <c r="AD2" s="83"/>
      <c r="AE2" s="1652"/>
      <c r="AF2" s="1655"/>
      <c r="AG2" s="1655"/>
      <c r="AI2" s="63"/>
      <c r="AJ2" s="85"/>
      <c r="AK2" s="1631" t="s">
        <v>484</v>
      </c>
      <c r="AL2" s="1631"/>
      <c r="AM2" s="1631"/>
      <c r="AN2" s="86"/>
      <c r="AO2" s="85"/>
      <c r="AP2" s="85"/>
    </row>
    <row r="3" spans="1:46" ht="12.75" customHeight="1" x14ac:dyDescent="0.25">
      <c r="A3" s="81"/>
      <c r="B3" s="1633"/>
      <c r="C3" s="1633"/>
      <c r="D3" s="1633"/>
      <c r="E3" s="1633"/>
      <c r="F3" s="1633"/>
      <c r="G3" s="1633"/>
      <c r="H3" s="1633"/>
      <c r="I3" s="1633"/>
      <c r="J3" s="1633"/>
      <c r="K3" s="1686"/>
      <c r="L3" s="270"/>
      <c r="M3" s="84"/>
      <c r="N3" s="84"/>
      <c r="O3" s="84"/>
      <c r="P3" s="84"/>
      <c r="Q3" s="84"/>
      <c r="R3" s="84"/>
      <c r="AC3" s="83"/>
      <c r="AD3" s="83"/>
      <c r="AE3" s="1655"/>
      <c r="AF3" s="1655"/>
      <c r="AG3" s="1655"/>
      <c r="AI3" s="63"/>
      <c r="AJ3" s="88"/>
      <c r="AK3" s="88"/>
      <c r="AL3" s="89"/>
      <c r="AM3" s="89"/>
      <c r="AN3" s="89"/>
      <c r="AO3" s="88"/>
      <c r="AP3" s="88"/>
    </row>
    <row r="4" spans="1:46" ht="69" customHeight="1" x14ac:dyDescent="0.25">
      <c r="A4" s="75" t="s">
        <v>903</v>
      </c>
      <c r="B4" s="75" t="s">
        <v>241</v>
      </c>
      <c r="C4" s="90" t="s">
        <v>242</v>
      </c>
      <c r="D4" s="75" t="s">
        <v>231</v>
      </c>
      <c r="E4" s="91" t="s">
        <v>234</v>
      </c>
      <c r="F4" s="91" t="s">
        <v>243</v>
      </c>
      <c r="G4" s="75" t="s">
        <v>244</v>
      </c>
      <c r="H4" s="92" t="s">
        <v>245</v>
      </c>
      <c r="I4" s="75" t="s">
        <v>246</v>
      </c>
      <c r="J4" s="75" t="s">
        <v>247</v>
      </c>
      <c r="K4" s="75" t="s">
        <v>248</v>
      </c>
      <c r="L4" s="75" t="s">
        <v>249</v>
      </c>
      <c r="M4" s="84"/>
      <c r="N4" s="84"/>
      <c r="O4" s="84"/>
      <c r="P4" s="84"/>
      <c r="AA4" s="229"/>
      <c r="AB4" s="231"/>
      <c r="AC4" s="229"/>
      <c r="AD4" s="229"/>
      <c r="AE4" s="229"/>
      <c r="AI4" s="63"/>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286" t="s">
        <v>220</v>
      </c>
      <c r="C5" s="97" t="s">
        <v>14</v>
      </c>
      <c r="D5" s="103">
        <f>I51/10</f>
        <v>5649.8305084745762</v>
      </c>
      <c r="E5" s="99">
        <f>H52</f>
        <v>8.6121354495986981</v>
      </c>
      <c r="F5" s="109">
        <v>1</v>
      </c>
      <c r="G5" s="101">
        <f t="shared" ref="G5:G20" si="0">D5*E5</f>
        <v>48657.105606258134</v>
      </c>
      <c r="H5" s="102">
        <f t="shared" ref="H5:H20" si="1">G5*F5</f>
        <v>48657.105606258134</v>
      </c>
      <c r="I5" s="65">
        <f>VLOOKUP(B5,All_Ingredients!$A$1:$F$156,6,FALSE())</f>
        <v>0.86</v>
      </c>
      <c r="J5" s="101">
        <f>VLOOKUP(B5,All_Ingredients!$A$1:$J$156,10,FALSE())</f>
        <v>17.100000000000001</v>
      </c>
      <c r="K5" s="104">
        <f t="shared" ref="K5" si="2">(H5/I5)/1000</f>
        <v>56.578029774718757</v>
      </c>
      <c r="L5" s="104">
        <f t="shared" ref="L5" si="3">K5*J5</f>
        <v>967.48430914769085</v>
      </c>
      <c r="M5" s="84"/>
      <c r="N5" s="84"/>
      <c r="O5" s="84"/>
      <c r="P5" s="84"/>
      <c r="AA5" s="76"/>
      <c r="AB5" s="114"/>
      <c r="AC5" s="232"/>
      <c r="AD5" s="116"/>
      <c r="AE5" s="117"/>
      <c r="AI5" s="63"/>
      <c r="AJ5" s="105" t="s">
        <v>220</v>
      </c>
      <c r="AK5" s="106" t="s">
        <v>227</v>
      </c>
      <c r="AL5" s="98">
        <v>10</v>
      </c>
      <c r="AM5" s="98">
        <f t="shared" ref="AM5:AM19" si="4">$AO$1</f>
        <v>4.8657105606258133</v>
      </c>
      <c r="AN5" s="109">
        <v>1</v>
      </c>
      <c r="AO5" s="101">
        <f t="shared" ref="AO5:AO19" si="5">AL5*AM5</f>
        <v>48.657105606258135</v>
      </c>
      <c r="AP5" s="102">
        <f t="shared" ref="AP5:AP19" si="6">AO5*AN5</f>
        <v>48.657105606258135</v>
      </c>
      <c r="AR5" s="993"/>
      <c r="AS5" s="514"/>
      <c r="AT5" s="991"/>
    </row>
    <row r="6" spans="1:46" ht="14.25" customHeight="1" x14ac:dyDescent="0.25">
      <c r="A6" s="1471"/>
      <c r="B6" s="96" t="s">
        <v>198</v>
      </c>
      <c r="C6" s="906" t="s">
        <v>160</v>
      </c>
      <c r="D6" s="107">
        <v>400</v>
      </c>
      <c r="E6" s="98">
        <f>$I$1</f>
        <v>8.9711538461538556</v>
      </c>
      <c r="F6" s="109">
        <v>1</v>
      </c>
      <c r="G6" s="101">
        <f t="shared" si="0"/>
        <v>3588.4615384615422</v>
      </c>
      <c r="H6" s="102">
        <f t="shared" si="1"/>
        <v>3588.4615384615422</v>
      </c>
      <c r="I6" s="65">
        <f>VLOOKUP(B6,All_Ingredients!$A$1:$F$156,6,FALSE())</f>
        <v>1</v>
      </c>
      <c r="J6" s="101">
        <f>VLOOKUP(B6,All_Ingredients!$A$1:$J$156,10,FALSE())</f>
        <v>3.25</v>
      </c>
      <c r="K6" s="104">
        <f t="shared" ref="K6:K20" si="7">(H6/I6)/1000</f>
        <v>3.5884615384615421</v>
      </c>
      <c r="L6" s="104">
        <f t="shared" ref="L6:L20" si="8">K6*J6</f>
        <v>11.662500000000012</v>
      </c>
      <c r="AI6" s="63" t="s">
        <v>94</v>
      </c>
      <c r="AJ6" s="299" t="s">
        <v>105</v>
      </c>
      <c r="AK6" s="310" t="s">
        <v>14</v>
      </c>
      <c r="AL6" s="98">
        <v>20</v>
      </c>
      <c r="AM6" s="98">
        <f t="shared" si="4"/>
        <v>4.8657105606258133</v>
      </c>
      <c r="AN6" s="109">
        <v>1</v>
      </c>
      <c r="AO6" s="101">
        <f t="shared" si="5"/>
        <v>97.31421121251627</v>
      </c>
      <c r="AP6" s="102">
        <f t="shared" si="6"/>
        <v>97.31421121251627</v>
      </c>
      <c r="AQ6" s="991">
        <f>VLOOKUP(AJ6,Marination_Ordering!$A:$J,6,FALSE)</f>
        <v>1</v>
      </c>
      <c r="AR6" s="991">
        <f>VLOOKUP(AJ6,Marination_Ordering!$A:$J,10,FALSE)</f>
        <v>15</v>
      </c>
      <c r="AS6" s="514">
        <f>AP6/AQ6</f>
        <v>97.31421121251627</v>
      </c>
      <c r="AT6" s="991">
        <f>AR6*(AS6/1000)</f>
        <v>1.459713168187744</v>
      </c>
    </row>
    <row r="7" spans="1:46" ht="14.25" customHeight="1" x14ac:dyDescent="0.25">
      <c r="A7" s="1471"/>
      <c r="B7" s="96" t="s">
        <v>192</v>
      </c>
      <c r="C7" s="106" t="s">
        <v>160</v>
      </c>
      <c r="D7" s="107">
        <v>33</v>
      </c>
      <c r="E7" s="98">
        <f t="shared" ref="E7:E20" si="9">$I$1</f>
        <v>8.9711538461538556</v>
      </c>
      <c r="F7" s="109">
        <v>0.75</v>
      </c>
      <c r="G7" s="101">
        <f t="shared" si="0"/>
        <v>296.04807692307725</v>
      </c>
      <c r="H7" s="102">
        <f t="shared" si="1"/>
        <v>222.03605769230793</v>
      </c>
      <c r="I7" s="65">
        <f>VLOOKUP(B7,All_Ingredients!$A$1:$F$156,6,FALSE())</f>
        <v>1</v>
      </c>
      <c r="J7" s="101">
        <f>VLOOKUP(B7,All_Ingredients!$A$1:$J$156,10,FALSE())</f>
        <v>58.685446009389672</v>
      </c>
      <c r="K7" s="104">
        <f t="shared" si="7"/>
        <v>0.22203605769230794</v>
      </c>
      <c r="L7" s="104">
        <f t="shared" si="8"/>
        <v>13.030285075839668</v>
      </c>
      <c r="AI7" s="63" t="s">
        <v>94</v>
      </c>
      <c r="AJ7" s="299" t="s">
        <v>107</v>
      </c>
      <c r="AK7" s="310" t="s">
        <v>14</v>
      </c>
      <c r="AL7" s="98">
        <v>10</v>
      </c>
      <c r="AM7" s="98">
        <f t="shared" si="4"/>
        <v>4.8657105606258133</v>
      </c>
      <c r="AN7" s="109">
        <v>1</v>
      </c>
      <c r="AO7" s="101">
        <f t="shared" si="5"/>
        <v>48.657105606258135</v>
      </c>
      <c r="AP7" s="102">
        <f t="shared" si="6"/>
        <v>48.657105606258135</v>
      </c>
      <c r="AQ7" s="991">
        <f>VLOOKUP(AJ7,Marination_Ordering!$A:$J,6,FALSE)</f>
        <v>1</v>
      </c>
      <c r="AR7" s="991">
        <f>VLOOKUP(AJ7,Marination_Ordering!$A:$J,10,FALSE)</f>
        <v>8</v>
      </c>
      <c r="AS7" s="514">
        <f t="shared" ref="AS7:AS8" si="10">AP7/AQ7</f>
        <v>48.657105606258135</v>
      </c>
      <c r="AT7" s="991">
        <f t="shared" ref="AT7:AT8" si="11">AR7*(AS7/1000)</f>
        <v>0.38925684485006506</v>
      </c>
    </row>
    <row r="8" spans="1:46" ht="14.25" customHeight="1" x14ac:dyDescent="0.25">
      <c r="A8" s="1471"/>
      <c r="B8" s="96" t="s">
        <v>183</v>
      </c>
      <c r="C8" s="106" t="s">
        <v>14</v>
      </c>
      <c r="D8" s="107">
        <v>20</v>
      </c>
      <c r="E8" s="98">
        <f t="shared" si="9"/>
        <v>8.9711538461538556</v>
      </c>
      <c r="F8" s="109">
        <v>1</v>
      </c>
      <c r="G8" s="101">
        <f t="shared" si="0"/>
        <v>179.4230769230771</v>
      </c>
      <c r="H8" s="102">
        <f t="shared" si="1"/>
        <v>179.4230769230771</v>
      </c>
      <c r="I8" s="65">
        <f>VLOOKUP(B8,All_Ingredients!$A$1:$F$156,6,FALSE())</f>
        <v>1</v>
      </c>
      <c r="J8" s="101">
        <f>VLOOKUP(B8,All_Ingredients!$A$1:$J$156,10,FALSE())</f>
        <v>17</v>
      </c>
      <c r="K8" s="104">
        <f t="shared" si="7"/>
        <v>0.1794230769230771</v>
      </c>
      <c r="L8" s="104">
        <f t="shared" si="8"/>
        <v>3.0501923076923108</v>
      </c>
      <c r="AI8" s="63" t="s">
        <v>153</v>
      </c>
      <c r="AJ8" s="350" t="s">
        <v>163</v>
      </c>
      <c r="AK8" s="310" t="s">
        <v>14</v>
      </c>
      <c r="AL8" s="201">
        <v>250</v>
      </c>
      <c r="AM8" s="98">
        <f t="shared" si="4"/>
        <v>4.8657105606258133</v>
      </c>
      <c r="AN8" s="109">
        <v>1</v>
      </c>
      <c r="AO8" s="101">
        <f t="shared" si="5"/>
        <v>1216.4276401564534</v>
      </c>
      <c r="AP8" s="102">
        <f t="shared" si="6"/>
        <v>1216.4276401564534</v>
      </c>
      <c r="AQ8" s="991">
        <f>VLOOKUP(AJ8,Marination_Ordering!$A:$J,6,FALSE)</f>
        <v>1</v>
      </c>
      <c r="AR8" s="991">
        <f>VLOOKUP(AJ8,Marination_Ordering!$A:$J,10,FALSE)</f>
        <v>6.6959999999999997</v>
      </c>
      <c r="AS8" s="514">
        <f t="shared" si="10"/>
        <v>1216.4276401564534</v>
      </c>
      <c r="AT8" s="991">
        <f t="shared" si="11"/>
        <v>8.1451994784876103</v>
      </c>
    </row>
    <row r="9" spans="1:46" ht="14.25" customHeight="1" x14ac:dyDescent="0.25">
      <c r="A9" s="1471"/>
      <c r="B9" s="96" t="s">
        <v>203</v>
      </c>
      <c r="C9" s="106" t="s">
        <v>160</v>
      </c>
      <c r="D9" s="107">
        <v>280</v>
      </c>
      <c r="E9" s="98">
        <f t="shared" si="9"/>
        <v>8.9711538461538556</v>
      </c>
      <c r="F9" s="109">
        <v>1</v>
      </c>
      <c r="G9" s="101">
        <f t="shared" si="0"/>
        <v>2511.9230769230794</v>
      </c>
      <c r="H9" s="102">
        <f t="shared" si="1"/>
        <v>2511.9230769230794</v>
      </c>
      <c r="I9" s="65">
        <f>VLOOKUP(B9,All_Ingredients!$A$1:$F$156,6,FALSE())</f>
        <v>1</v>
      </c>
      <c r="J9" s="101">
        <f>VLOOKUP(B9,All_Ingredients!$A$1:$J$156,10,FALSE())</f>
        <v>0</v>
      </c>
      <c r="K9" s="104">
        <f t="shared" si="7"/>
        <v>2.5119230769230794</v>
      </c>
      <c r="L9" s="104">
        <f t="shared" si="8"/>
        <v>0</v>
      </c>
      <c r="AI9" s="63" t="s">
        <v>94</v>
      </c>
      <c r="AJ9" s="350" t="s">
        <v>113</v>
      </c>
      <c r="AK9" s="310" t="s">
        <v>14</v>
      </c>
      <c r="AL9" s="98">
        <v>10</v>
      </c>
      <c r="AM9" s="98">
        <f t="shared" si="4"/>
        <v>4.8657105606258133</v>
      </c>
      <c r="AN9" s="109">
        <v>1</v>
      </c>
      <c r="AO9" s="101">
        <f t="shared" si="5"/>
        <v>48.657105606258135</v>
      </c>
      <c r="AP9" s="102">
        <f t="shared" si="6"/>
        <v>48.657105606258135</v>
      </c>
      <c r="AQ9" s="991">
        <f>VLOOKUP(AJ9,Marination_Ordering!$A:$J,6,FALSE)</f>
        <v>1</v>
      </c>
      <c r="AR9" s="991">
        <f>VLOOKUP(AJ9,Marination_Ordering!$A:$J,10,FALSE)</f>
        <v>20</v>
      </c>
      <c r="AS9" s="514">
        <f t="shared" ref="AS9:AS19" si="12">AP9/AQ9</f>
        <v>48.657105606258135</v>
      </c>
      <c r="AT9" s="991">
        <f t="shared" ref="AT9:AT19" si="13">AR9*(AS9/1000)</f>
        <v>0.97314211212516266</v>
      </c>
    </row>
    <row r="10" spans="1:46" ht="14.25" customHeight="1" x14ac:dyDescent="0.25">
      <c r="A10" s="1471"/>
      <c r="B10" s="96" t="s">
        <v>187</v>
      </c>
      <c r="C10" s="106" t="s">
        <v>14</v>
      </c>
      <c r="D10" s="107">
        <v>40</v>
      </c>
      <c r="E10" s="98">
        <f t="shared" si="9"/>
        <v>8.9711538461538556</v>
      </c>
      <c r="F10" s="109">
        <v>0.5</v>
      </c>
      <c r="G10" s="101">
        <f t="shared" si="0"/>
        <v>358.84615384615421</v>
      </c>
      <c r="H10" s="102">
        <f t="shared" si="1"/>
        <v>179.4230769230771</v>
      </c>
      <c r="I10" s="65">
        <f>VLOOKUP(B10,All_Ingredients!$A$1:$F$156,6,FALSE())</f>
        <v>0.9</v>
      </c>
      <c r="J10" s="101">
        <f>VLOOKUP(B10,All_Ingredients!$A$1:$J$156,10,FALSE())</f>
        <v>2.3199999999999998</v>
      </c>
      <c r="K10" s="104">
        <f t="shared" si="7"/>
        <v>0.19935897435897457</v>
      </c>
      <c r="L10" s="104">
        <f t="shared" si="8"/>
        <v>0.46251282051282094</v>
      </c>
      <c r="AI10" s="63" t="s">
        <v>94</v>
      </c>
      <c r="AJ10" s="350" t="s">
        <v>118</v>
      </c>
      <c r="AK10" s="310" t="s">
        <v>14</v>
      </c>
      <c r="AL10" s="98">
        <v>5</v>
      </c>
      <c r="AM10" s="98">
        <f t="shared" si="4"/>
        <v>4.8657105606258133</v>
      </c>
      <c r="AN10" s="109">
        <v>1</v>
      </c>
      <c r="AO10" s="101">
        <f t="shared" si="5"/>
        <v>24.328552803129067</v>
      </c>
      <c r="AP10" s="102">
        <f t="shared" si="6"/>
        <v>24.328552803129067</v>
      </c>
      <c r="AQ10" s="991">
        <f>VLOOKUP(AJ10,Marination_Ordering!$A:$J,6,FALSE)</f>
        <v>1</v>
      </c>
      <c r="AR10" s="991">
        <f>VLOOKUP(AJ10,Marination_Ordering!$A:$J,10,FALSE)</f>
        <v>15</v>
      </c>
      <c r="AS10" s="514">
        <f t="shared" si="12"/>
        <v>24.328552803129067</v>
      </c>
      <c r="AT10" s="991">
        <f t="shared" si="13"/>
        <v>0.364928292046936</v>
      </c>
    </row>
    <row r="11" spans="1:46" ht="14.25" customHeight="1" x14ac:dyDescent="0.25">
      <c r="A11" s="1471" t="s">
        <v>920</v>
      </c>
      <c r="B11" s="96" t="s">
        <v>12</v>
      </c>
      <c r="C11" s="106" t="s">
        <v>14</v>
      </c>
      <c r="D11" s="107">
        <v>270</v>
      </c>
      <c r="E11" s="98">
        <f t="shared" si="9"/>
        <v>8.9711538461538556</v>
      </c>
      <c r="F11" s="109">
        <v>0.95</v>
      </c>
      <c r="G11" s="101">
        <f t="shared" si="0"/>
        <v>2422.2115384615408</v>
      </c>
      <c r="H11" s="102">
        <f t="shared" si="1"/>
        <v>2301.1009615384637</v>
      </c>
      <c r="I11" s="65">
        <f>VLOOKUP(B11,All_Ingredients!$A$1:$F$156,6,FALSE())</f>
        <v>0.9</v>
      </c>
      <c r="J11" s="101">
        <f>VLOOKUP(B11,All_Ingredients!$A$1:$J$156,10,FALSE())</f>
        <v>3</v>
      </c>
      <c r="K11" s="104">
        <f t="shared" si="7"/>
        <v>2.5567788461538483</v>
      </c>
      <c r="L11" s="104">
        <f t="shared" si="8"/>
        <v>7.6703365384615445</v>
      </c>
      <c r="AI11" s="63" t="s">
        <v>61</v>
      </c>
      <c r="AJ11" s="299" t="s">
        <v>75</v>
      </c>
      <c r="AK11" s="310" t="s">
        <v>14</v>
      </c>
      <c r="AL11" s="98">
        <v>5</v>
      </c>
      <c r="AM11" s="98">
        <f t="shared" si="4"/>
        <v>4.8657105606258133</v>
      </c>
      <c r="AN11" s="109">
        <v>1</v>
      </c>
      <c r="AO11" s="101">
        <f t="shared" si="5"/>
        <v>24.328552803129067</v>
      </c>
      <c r="AP11" s="102">
        <f t="shared" si="6"/>
        <v>24.328552803129067</v>
      </c>
      <c r="AQ11" s="991">
        <f>VLOOKUP(AJ11,Marination_Ordering!$A:$J,6,FALSE)</f>
        <v>1</v>
      </c>
      <c r="AR11" s="991">
        <f>VLOOKUP(AJ11,Marination_Ordering!$A:$J,10,FALSE)</f>
        <v>90</v>
      </c>
      <c r="AS11" s="514">
        <f t="shared" si="12"/>
        <v>24.328552803129067</v>
      </c>
      <c r="AT11" s="991">
        <f t="shared" si="13"/>
        <v>2.1895697522816162</v>
      </c>
    </row>
    <row r="12" spans="1:46" ht="14.25" customHeight="1" x14ac:dyDescent="0.25">
      <c r="A12" s="1471" t="s">
        <v>907</v>
      </c>
      <c r="B12" s="96" t="s">
        <v>727</v>
      </c>
      <c r="C12" s="106" t="s">
        <v>14</v>
      </c>
      <c r="D12" s="107">
        <v>40</v>
      </c>
      <c r="E12" s="98">
        <f t="shared" si="9"/>
        <v>8.9711538461538556</v>
      </c>
      <c r="F12" s="109">
        <v>0.95</v>
      </c>
      <c r="G12" s="101">
        <f t="shared" si="0"/>
        <v>358.84615384615421</v>
      </c>
      <c r="H12" s="102">
        <f t="shared" si="1"/>
        <v>340.90384615384647</v>
      </c>
      <c r="I12" s="65">
        <f>VLOOKUP(B12,All_Ingredients!$A$1:$F$156,6,FALSE())</f>
        <v>1</v>
      </c>
      <c r="J12" s="101">
        <f>VLOOKUP(B12,All_Ingredients!$A$1:$J$156,10,FALSE())</f>
        <v>10.5</v>
      </c>
      <c r="K12" s="104">
        <f t="shared" si="7"/>
        <v>0.34090384615384645</v>
      </c>
      <c r="L12" s="104">
        <f t="shared" si="8"/>
        <v>3.5794903846153878</v>
      </c>
      <c r="AI12" s="63" t="s">
        <v>94</v>
      </c>
      <c r="AJ12" s="299" t="s">
        <v>93</v>
      </c>
      <c r="AK12" s="310" t="s">
        <v>14</v>
      </c>
      <c r="AL12" s="107">
        <v>5</v>
      </c>
      <c r="AM12" s="98">
        <f t="shared" si="4"/>
        <v>4.8657105606258133</v>
      </c>
      <c r="AN12" s="109">
        <v>1</v>
      </c>
      <c r="AO12" s="101">
        <f t="shared" si="5"/>
        <v>24.328552803129067</v>
      </c>
      <c r="AP12" s="102">
        <f t="shared" si="6"/>
        <v>24.328552803129067</v>
      </c>
      <c r="AQ12" s="991">
        <f>VLOOKUP(AJ12,Marination_Ordering!$A:$J,6,FALSE)</f>
        <v>1</v>
      </c>
      <c r="AR12" s="991">
        <f>VLOOKUP(AJ12,Marination_Ordering!$A:$J,10,FALSE)</f>
        <v>0.74</v>
      </c>
      <c r="AS12" s="514">
        <f t="shared" si="12"/>
        <v>24.328552803129067</v>
      </c>
      <c r="AT12" s="991">
        <f t="shared" si="13"/>
        <v>1.8003129074315508E-2</v>
      </c>
    </row>
    <row r="13" spans="1:46" ht="14.25" customHeight="1" x14ac:dyDescent="0.25">
      <c r="A13" s="1471" t="s">
        <v>906</v>
      </c>
      <c r="B13" s="96" t="s">
        <v>54</v>
      </c>
      <c r="C13" s="106" t="s">
        <v>14</v>
      </c>
      <c r="D13" s="107">
        <v>40</v>
      </c>
      <c r="E13" s="98">
        <f t="shared" si="9"/>
        <v>8.9711538461538556</v>
      </c>
      <c r="F13" s="109">
        <v>0.6</v>
      </c>
      <c r="G13" s="101">
        <f t="shared" si="0"/>
        <v>358.84615384615421</v>
      </c>
      <c r="H13" s="102">
        <f t="shared" si="1"/>
        <v>215.30769230769252</v>
      </c>
      <c r="I13" s="65">
        <f>VLOOKUP(B13,All_Ingredients!$A$1:$F$156,6,FALSE())</f>
        <v>0.87</v>
      </c>
      <c r="J13" s="101">
        <f>VLOOKUP(B13,All_Ingredients!$A$1:$J$156,10,FALSE())</f>
        <v>7</v>
      </c>
      <c r="K13" s="104">
        <f t="shared" si="7"/>
        <v>0.24748010610079602</v>
      </c>
      <c r="L13" s="104">
        <f t="shared" si="8"/>
        <v>1.7323607427055721</v>
      </c>
      <c r="AI13" s="63" t="s">
        <v>213</v>
      </c>
      <c r="AJ13" s="299" t="s">
        <v>214</v>
      </c>
      <c r="AK13" s="310" t="s">
        <v>14</v>
      </c>
      <c r="AL13" s="98">
        <v>5</v>
      </c>
      <c r="AM13" s="98">
        <f t="shared" si="4"/>
        <v>4.8657105606258133</v>
      </c>
      <c r="AN13" s="109">
        <v>1</v>
      </c>
      <c r="AO13" s="101">
        <f t="shared" si="5"/>
        <v>24.328552803129067</v>
      </c>
      <c r="AP13" s="102">
        <f t="shared" si="6"/>
        <v>24.328552803129067</v>
      </c>
      <c r="AQ13" s="991">
        <f>VLOOKUP(AJ13,Marination_Ordering!$A:$J,6,FALSE)</f>
        <v>1</v>
      </c>
      <c r="AR13" s="991">
        <f>VLOOKUP(AJ13,Marination_Ordering!$A:$J,10,FALSE)</f>
        <v>35</v>
      </c>
      <c r="AS13" s="514">
        <f t="shared" si="12"/>
        <v>24.328552803129067</v>
      </c>
      <c r="AT13" s="991">
        <f t="shared" si="13"/>
        <v>0.85149934810951733</v>
      </c>
    </row>
    <row r="14" spans="1:46" ht="14.25" customHeight="1" x14ac:dyDescent="0.25">
      <c r="A14" s="1471" t="s">
        <v>923</v>
      </c>
      <c r="B14" s="96" t="s">
        <v>75</v>
      </c>
      <c r="C14" s="106" t="s">
        <v>14</v>
      </c>
      <c r="D14" s="107">
        <v>3</v>
      </c>
      <c r="E14" s="98">
        <f t="shared" si="9"/>
        <v>8.9711538461538556</v>
      </c>
      <c r="F14" s="109">
        <v>1</v>
      </c>
      <c r="G14" s="101">
        <f t="shared" si="0"/>
        <v>26.913461538461569</v>
      </c>
      <c r="H14" s="102">
        <f t="shared" si="1"/>
        <v>26.913461538461569</v>
      </c>
      <c r="I14" s="65">
        <f>VLOOKUP(B14,All_Ingredients!$A$1:$F$156,6,FALSE())</f>
        <v>0.6</v>
      </c>
      <c r="J14" s="101">
        <f>VLOOKUP(B14,All_Ingredients!$A$1:$J$156,10,FALSE())</f>
        <v>90</v>
      </c>
      <c r="K14" s="104">
        <f t="shared" si="7"/>
        <v>4.4855769230769282E-2</v>
      </c>
      <c r="L14" s="104">
        <f t="shared" si="8"/>
        <v>4.0370192307692356</v>
      </c>
      <c r="AI14" s="63" t="s">
        <v>94</v>
      </c>
      <c r="AJ14" s="299" t="s">
        <v>128</v>
      </c>
      <c r="AK14" s="310" t="s">
        <v>14</v>
      </c>
      <c r="AL14" s="98">
        <v>5</v>
      </c>
      <c r="AM14" s="98">
        <f t="shared" si="4"/>
        <v>4.8657105606258133</v>
      </c>
      <c r="AN14" s="109">
        <v>1</v>
      </c>
      <c r="AO14" s="101">
        <f t="shared" si="5"/>
        <v>24.328552803129067</v>
      </c>
      <c r="AP14" s="102">
        <f t="shared" si="6"/>
        <v>24.328552803129067</v>
      </c>
      <c r="AQ14" s="991">
        <f>VLOOKUP(AJ14,Marination_Ordering!$A:$J,6,FALSE)</f>
        <v>1</v>
      </c>
      <c r="AR14" s="991">
        <f>VLOOKUP(AJ14,Marination_Ordering!$A:$J,10,FALSE)</f>
        <v>107</v>
      </c>
      <c r="AS14" s="514">
        <f t="shared" si="12"/>
        <v>24.328552803129067</v>
      </c>
      <c r="AT14" s="991">
        <f t="shared" si="13"/>
        <v>2.60315514993481</v>
      </c>
    </row>
    <row r="15" spans="1:46" ht="14.25" customHeight="1" x14ac:dyDescent="0.25">
      <c r="A15" s="1471" t="s">
        <v>908</v>
      </c>
      <c r="B15" s="96" t="s">
        <v>60</v>
      </c>
      <c r="C15" s="106" t="s">
        <v>14</v>
      </c>
      <c r="D15" s="107">
        <v>28</v>
      </c>
      <c r="E15" s="98">
        <f t="shared" si="9"/>
        <v>8.9711538461538556</v>
      </c>
      <c r="F15" s="109">
        <v>1</v>
      </c>
      <c r="G15" s="101">
        <f t="shared" si="0"/>
        <v>251.19230769230796</v>
      </c>
      <c r="H15" s="102">
        <f t="shared" si="1"/>
        <v>251.19230769230796</v>
      </c>
      <c r="I15" s="65">
        <f>VLOOKUP(B15,All_Ingredients!$A$1:$F$156,6,FALSE())</f>
        <v>0.94</v>
      </c>
      <c r="J15" s="101">
        <f>VLOOKUP(B15,All_Ingredients!$A$1:$J$156,10,FALSE())</f>
        <v>3.6363636363636367</v>
      </c>
      <c r="K15" s="104">
        <f t="shared" si="7"/>
        <v>0.26722585924713615</v>
      </c>
      <c r="L15" s="104">
        <f t="shared" si="8"/>
        <v>0.97173039726231336</v>
      </c>
      <c r="AI15" s="63" t="s">
        <v>94</v>
      </c>
      <c r="AJ15" s="299" t="s">
        <v>124</v>
      </c>
      <c r="AK15" s="310" t="s">
        <v>14</v>
      </c>
      <c r="AL15" s="98">
        <v>7</v>
      </c>
      <c r="AM15" s="98">
        <f t="shared" si="4"/>
        <v>4.8657105606258133</v>
      </c>
      <c r="AN15" s="109">
        <v>1</v>
      </c>
      <c r="AO15" s="101">
        <f t="shared" si="5"/>
        <v>34.059973924380692</v>
      </c>
      <c r="AP15" s="102">
        <f t="shared" si="6"/>
        <v>34.059973924380692</v>
      </c>
      <c r="AQ15" s="991">
        <f>VLOOKUP(AJ15,Marination_Ordering!$A:$J,6,FALSE)</f>
        <v>1</v>
      </c>
      <c r="AR15" s="991">
        <f>VLOOKUP(AJ15,Marination_Ordering!$A:$J,10,FALSE)</f>
        <v>37</v>
      </c>
      <c r="AS15" s="514">
        <f t="shared" si="12"/>
        <v>34.059973924380692</v>
      </c>
      <c r="AT15" s="991">
        <f t="shared" si="13"/>
        <v>1.2602190352020854</v>
      </c>
    </row>
    <row r="16" spans="1:46" ht="14.25" customHeight="1" x14ac:dyDescent="0.25">
      <c r="A16" s="1471"/>
      <c r="B16" s="96" t="s">
        <v>115</v>
      </c>
      <c r="C16" s="106" t="s">
        <v>14</v>
      </c>
      <c r="D16" s="107">
        <v>12</v>
      </c>
      <c r="E16" s="98">
        <f t="shared" si="9"/>
        <v>8.9711538461538556</v>
      </c>
      <c r="F16" s="109">
        <v>0.75</v>
      </c>
      <c r="G16" s="101">
        <f t="shared" si="0"/>
        <v>107.65384615384627</v>
      </c>
      <c r="H16" s="102">
        <f t="shared" si="1"/>
        <v>80.740384615384698</v>
      </c>
      <c r="I16" s="65">
        <f>VLOOKUP(B16,All_Ingredients!$A$1:$F$156,6,FALSE())</f>
        <v>1</v>
      </c>
      <c r="J16" s="101">
        <f>VLOOKUP(B16,All_Ingredients!$A$1:$J$156,10,FALSE())</f>
        <v>14.5</v>
      </c>
      <c r="K16" s="104">
        <f t="shared" si="7"/>
        <v>8.07403846153847E-2</v>
      </c>
      <c r="L16" s="104">
        <f t="shared" si="8"/>
        <v>1.1707355769230781</v>
      </c>
      <c r="AI16" s="63" t="s">
        <v>55</v>
      </c>
      <c r="AJ16" s="299" t="s">
        <v>54</v>
      </c>
      <c r="AK16" s="310" t="s">
        <v>14</v>
      </c>
      <c r="AL16" s="107">
        <v>100</v>
      </c>
      <c r="AM16" s="98">
        <f t="shared" si="4"/>
        <v>4.8657105606258133</v>
      </c>
      <c r="AN16" s="109">
        <v>1</v>
      </c>
      <c r="AO16" s="101">
        <f t="shared" si="5"/>
        <v>486.57105606258131</v>
      </c>
      <c r="AP16" s="102">
        <f t="shared" si="6"/>
        <v>486.57105606258131</v>
      </c>
      <c r="AQ16" s="991">
        <f>VLOOKUP(AJ16,Marination_Ordering!$A:$J,6,FALSE)</f>
        <v>0.87</v>
      </c>
      <c r="AR16" s="991">
        <f>VLOOKUP(AJ16,Marination_Ordering!$A:$J,10,FALSE)</f>
        <v>7</v>
      </c>
      <c r="AS16" s="514">
        <f t="shared" si="12"/>
        <v>559.27707593400146</v>
      </c>
      <c r="AT16" s="991">
        <f t="shared" si="13"/>
        <v>3.91493953153801</v>
      </c>
    </row>
    <row r="17" spans="1:46" ht="14.25" customHeight="1" x14ac:dyDescent="0.25">
      <c r="A17" s="1471"/>
      <c r="B17" s="96" t="s">
        <v>152</v>
      </c>
      <c r="C17" s="106" t="s">
        <v>14</v>
      </c>
      <c r="D17" s="107">
        <v>25</v>
      </c>
      <c r="E17" s="98">
        <f t="shared" si="9"/>
        <v>8.9711538461538556</v>
      </c>
      <c r="F17" s="109">
        <v>1</v>
      </c>
      <c r="G17" s="101">
        <f t="shared" si="0"/>
        <v>224.27884615384639</v>
      </c>
      <c r="H17" s="102">
        <f t="shared" si="1"/>
        <v>224.27884615384639</v>
      </c>
      <c r="I17" s="65">
        <f>VLOOKUP(B17,All_Ingredients!$A$1:$F$156,6,FALSE())</f>
        <v>1</v>
      </c>
      <c r="J17" s="101">
        <f>VLOOKUP(B17,All_Ingredients!$A$1:$J$156,10,FALSE())</f>
        <v>30</v>
      </c>
      <c r="K17" s="104">
        <f t="shared" si="7"/>
        <v>0.22427884615384638</v>
      </c>
      <c r="L17" s="104">
        <f t="shared" si="8"/>
        <v>6.7283653846153912</v>
      </c>
      <c r="AI17" s="63" t="s">
        <v>13</v>
      </c>
      <c r="AJ17" s="299" t="s">
        <v>727</v>
      </c>
      <c r="AK17" s="310" t="s">
        <v>14</v>
      </c>
      <c r="AL17" s="98">
        <v>150</v>
      </c>
      <c r="AM17" s="98">
        <f t="shared" si="4"/>
        <v>4.8657105606258133</v>
      </c>
      <c r="AN17" s="109">
        <v>1</v>
      </c>
      <c r="AO17" s="101">
        <f t="shared" si="5"/>
        <v>729.85658409387202</v>
      </c>
      <c r="AP17" s="102">
        <f t="shared" si="6"/>
        <v>729.85658409387202</v>
      </c>
      <c r="AQ17" s="991">
        <f>VLOOKUP(AJ17,Marination_Ordering!$A:$J,6,FALSE)</f>
        <v>1</v>
      </c>
      <c r="AR17" s="991">
        <f>VLOOKUP(AJ17,Marination_Ordering!$A:$J,10,FALSE)</f>
        <v>10.5</v>
      </c>
      <c r="AS17" s="514">
        <f t="shared" si="12"/>
        <v>729.85658409387202</v>
      </c>
      <c r="AT17" s="991">
        <f t="shared" si="13"/>
        <v>7.6634941329856563</v>
      </c>
    </row>
    <row r="18" spans="1:46" ht="14.25" customHeight="1" x14ac:dyDescent="0.25">
      <c r="A18" s="1471"/>
      <c r="B18" s="96" t="s">
        <v>93</v>
      </c>
      <c r="C18" s="106" t="s">
        <v>14</v>
      </c>
      <c r="D18" s="107">
        <v>7</v>
      </c>
      <c r="E18" s="98">
        <f t="shared" si="9"/>
        <v>8.9711538461538556</v>
      </c>
      <c r="F18" s="109">
        <v>0.75</v>
      </c>
      <c r="G18" s="101">
        <f t="shared" si="0"/>
        <v>62.798076923076991</v>
      </c>
      <c r="H18" s="102">
        <f t="shared" si="1"/>
        <v>47.098557692307743</v>
      </c>
      <c r="I18" s="65">
        <f>VLOOKUP(B18,All_Ingredients!$A$1:$F$156,6,FALSE())</f>
        <v>1</v>
      </c>
      <c r="J18" s="101">
        <f>VLOOKUP(B18,All_Ingredients!$A$1:$J$156,10,FALSE())</f>
        <v>0.74</v>
      </c>
      <c r="K18" s="104">
        <f t="shared" si="7"/>
        <v>4.7098557692307745E-2</v>
      </c>
      <c r="L18" s="104">
        <f t="shared" si="8"/>
        <v>3.4852932692307728E-2</v>
      </c>
      <c r="AI18" s="63" t="s">
        <v>204</v>
      </c>
      <c r="AJ18" s="299" t="s">
        <v>212</v>
      </c>
      <c r="AK18" s="310" t="s">
        <v>160</v>
      </c>
      <c r="AL18" s="98">
        <v>300</v>
      </c>
      <c r="AM18" s="98">
        <f t="shared" si="4"/>
        <v>4.8657105606258133</v>
      </c>
      <c r="AN18" s="109">
        <v>1</v>
      </c>
      <c r="AO18" s="101">
        <f t="shared" si="5"/>
        <v>1459.713168187744</v>
      </c>
      <c r="AP18" s="102">
        <f t="shared" si="6"/>
        <v>1459.713168187744</v>
      </c>
      <c r="AQ18" s="991">
        <f>VLOOKUP(AJ18,Marination_Ordering!$A:$J,6,FALSE)</f>
        <v>1</v>
      </c>
      <c r="AR18" s="991">
        <f>VLOOKUP(AJ18,Marination_Ordering!$A:$J,10,FALSE)</f>
        <v>5</v>
      </c>
      <c r="AS18" s="514">
        <f t="shared" si="12"/>
        <v>1459.713168187744</v>
      </c>
      <c r="AT18" s="991">
        <f t="shared" si="13"/>
        <v>7.2985658409387195</v>
      </c>
    </row>
    <row r="19" spans="1:46" ht="14.25" customHeight="1" x14ac:dyDescent="0.25">
      <c r="A19" s="1471"/>
      <c r="B19" s="96" t="s">
        <v>214</v>
      </c>
      <c r="C19" s="106" t="s">
        <v>14</v>
      </c>
      <c r="D19" s="107">
        <v>2.5</v>
      </c>
      <c r="E19" s="98">
        <f t="shared" si="9"/>
        <v>8.9711538461538556</v>
      </c>
      <c r="F19" s="109">
        <v>1</v>
      </c>
      <c r="G19" s="101">
        <f t="shared" si="0"/>
        <v>22.427884615384638</v>
      </c>
      <c r="H19" s="102">
        <f t="shared" si="1"/>
        <v>22.427884615384638</v>
      </c>
      <c r="I19" s="65">
        <f>VLOOKUP(B19,All_Ingredients!$A$1:$F$156,6,FALSE())</f>
        <v>1</v>
      </c>
      <c r="J19" s="101">
        <f>VLOOKUP(B19,All_Ingredients!$A$1:$J$156,10,FALSE())</f>
        <v>35</v>
      </c>
      <c r="K19" s="104">
        <f t="shared" si="7"/>
        <v>2.2427884615384638E-2</v>
      </c>
      <c r="L19" s="104">
        <f t="shared" si="8"/>
        <v>0.78497596153846227</v>
      </c>
      <c r="AI19" s="63" t="s">
        <v>204</v>
      </c>
      <c r="AJ19" s="299" t="s">
        <v>208</v>
      </c>
      <c r="AK19" s="106" t="s">
        <v>160</v>
      </c>
      <c r="AL19" s="98">
        <v>50</v>
      </c>
      <c r="AM19" s="98">
        <f t="shared" si="4"/>
        <v>4.8657105606258133</v>
      </c>
      <c r="AN19" s="109">
        <v>1</v>
      </c>
      <c r="AO19" s="101">
        <f t="shared" si="5"/>
        <v>243.28552803129065</v>
      </c>
      <c r="AP19" s="102">
        <f t="shared" si="6"/>
        <v>243.28552803129065</v>
      </c>
      <c r="AQ19" s="991">
        <f>VLOOKUP(AJ19,Marination_Ordering!$A:$J,6,FALSE)</f>
        <v>1</v>
      </c>
      <c r="AR19" s="991">
        <f>VLOOKUP(AJ19,Marination_Ordering!$A:$J,10,FALSE)</f>
        <v>2.1621621621621623</v>
      </c>
      <c r="AS19" s="514">
        <f t="shared" si="12"/>
        <v>243.28552803129065</v>
      </c>
      <c r="AT19" s="991">
        <f t="shared" si="13"/>
        <v>0.52602276331089881</v>
      </c>
    </row>
    <row r="20" spans="1:46" ht="14.25" customHeight="1" x14ac:dyDescent="0.25">
      <c r="A20" s="1471" t="s">
        <v>909</v>
      </c>
      <c r="B20" s="96" t="s">
        <v>17</v>
      </c>
      <c r="C20" s="106" t="s">
        <v>14</v>
      </c>
      <c r="D20" s="367">
        <v>400</v>
      </c>
      <c r="E20" s="98">
        <f t="shared" si="9"/>
        <v>8.9711538461538556</v>
      </c>
      <c r="F20" s="368">
        <v>0.95</v>
      </c>
      <c r="G20" s="101">
        <f t="shared" si="0"/>
        <v>3588.4615384615422</v>
      </c>
      <c r="H20" s="102">
        <f t="shared" si="1"/>
        <v>3409.0384615384651</v>
      </c>
      <c r="I20" s="65">
        <f>VLOOKUP(B20,All_Ingredients!$A$1:$F$156,6,FALSE())</f>
        <v>0.98</v>
      </c>
      <c r="J20" s="101">
        <f>VLOOKUP(B20,All_Ingredients!$A$1:$J$156,10,FALSE())</f>
        <v>3.5</v>
      </c>
      <c r="K20" s="104">
        <f t="shared" si="7"/>
        <v>3.47861067503925</v>
      </c>
      <c r="L20" s="104">
        <f t="shared" si="8"/>
        <v>12.175137362637376</v>
      </c>
    </row>
    <row r="21" spans="1:46" ht="14.25" customHeight="1" x14ac:dyDescent="0.25">
      <c r="A21" s="1472"/>
      <c r="B21" s="84"/>
      <c r="C21" s="152"/>
      <c r="D21" s="152"/>
      <c r="E21" s="322"/>
      <c r="F21" s="84"/>
      <c r="G21" s="152"/>
      <c r="L21" s="274"/>
    </row>
    <row r="22" spans="1:46" ht="14.25" customHeight="1" x14ac:dyDescent="0.25">
      <c r="A22" s="1472"/>
      <c r="L22" s="274"/>
    </row>
    <row r="23" spans="1:46" ht="14.25" customHeight="1" x14ac:dyDescent="0.25">
      <c r="A23" s="1472"/>
      <c r="L23" s="274"/>
      <c r="R23"/>
    </row>
    <row r="24" spans="1:46" ht="14.25" customHeight="1" x14ac:dyDescent="0.25">
      <c r="A24" s="1472"/>
      <c r="L24" s="274"/>
      <c r="Z24" s="1073"/>
    </row>
    <row r="25" spans="1:46" ht="15.75" customHeight="1" x14ac:dyDescent="0.25">
      <c r="A25" s="1472"/>
      <c r="L25" s="274"/>
      <c r="R25" s="1640" t="s">
        <v>359</v>
      </c>
      <c r="S25" s="1633"/>
      <c r="T25" s="1633"/>
      <c r="U25" s="1633"/>
      <c r="V25" s="997"/>
      <c r="Z25" s="122" t="s">
        <v>252</v>
      </c>
      <c r="AA25" s="123">
        <v>1</v>
      </c>
      <c r="AB25" s="122" t="s">
        <v>249</v>
      </c>
      <c r="AC25" s="124">
        <f>(AA25*AE30)+(AA30*(AB28/R1))</f>
        <v>2.779985002887302E-2</v>
      </c>
    </row>
    <row r="26" spans="1:46" ht="14.25" customHeight="1" x14ac:dyDescent="0.25">
      <c r="A26" s="1472"/>
      <c r="L26" s="274"/>
      <c r="R26" s="1638" t="s">
        <v>360</v>
      </c>
      <c r="S26" s="1639"/>
      <c r="T26" s="1639"/>
      <c r="U26" s="1639"/>
      <c r="V26" s="997"/>
    </row>
    <row r="27" spans="1:46" ht="33.75" customHeight="1" thickBot="1" x14ac:dyDescent="0.3">
      <c r="A27" s="1472"/>
      <c r="R27" s="126" t="s">
        <v>254</v>
      </c>
      <c r="S27" s="127" t="s">
        <v>255</v>
      </c>
      <c r="T27" s="127" t="s">
        <v>256</v>
      </c>
      <c r="U27" s="127" t="s">
        <v>262</v>
      </c>
      <c r="V27" s="127" t="s">
        <v>772</v>
      </c>
      <c r="W27" s="127" t="s">
        <v>779</v>
      </c>
      <c r="Z27" s="122" t="s">
        <v>258</v>
      </c>
      <c r="AA27" s="1031" t="s">
        <v>312</v>
      </c>
      <c r="AB27" s="128" t="s">
        <v>259</v>
      </c>
      <c r="AC27" s="128" t="s">
        <v>260</v>
      </c>
      <c r="AD27" s="1032" t="s">
        <v>779</v>
      </c>
      <c r="AE27" s="128" t="s">
        <v>262</v>
      </c>
    </row>
    <row r="28" spans="1:46" ht="14.25" customHeight="1" thickBot="1" x14ac:dyDescent="0.3">
      <c r="A28" s="1472"/>
      <c r="R28" s="129" t="s">
        <v>263</v>
      </c>
      <c r="S28" s="1215">
        <f>U28*S40</f>
        <v>28323.076923076915</v>
      </c>
      <c r="T28" s="1215">
        <f>U28*U40</f>
        <v>8496.9230769230853</v>
      </c>
      <c r="U28" s="1186">
        <f>$Z$1</f>
        <v>36820</v>
      </c>
      <c r="V28" s="130">
        <f>SUM(AP5:AP13)</f>
        <v>1557.0273794002601</v>
      </c>
      <c r="W28" s="130">
        <f>H37</f>
        <v>18.62</v>
      </c>
      <c r="Z28" s="132"/>
      <c r="AA28" s="1034"/>
      <c r="AB28" s="133">
        <f>AA25*$S$40</f>
        <v>0.76923076923076905</v>
      </c>
      <c r="AC28" s="133">
        <f>AA25-AB28</f>
        <v>0.23076923076923095</v>
      </c>
      <c r="AD28" s="1034"/>
      <c r="AE28" s="135">
        <f>SUM(AB28:AC28)</f>
        <v>1</v>
      </c>
    </row>
    <row r="29" spans="1:46" ht="14.25" customHeight="1" thickBot="1" x14ac:dyDescent="0.3">
      <c r="A29" s="1472"/>
      <c r="R29" s="129" t="s">
        <v>264</v>
      </c>
      <c r="S29" s="1218"/>
      <c r="T29" s="130"/>
      <c r="U29" s="1215">
        <f>T29</f>
        <v>0</v>
      </c>
      <c r="V29" s="130"/>
      <c r="W29" s="130"/>
      <c r="Z29" s="132"/>
      <c r="AA29" s="1038"/>
      <c r="AB29" s="137">
        <f>AB28/$AE$28</f>
        <v>0.76923076923076905</v>
      </c>
      <c r="AC29" s="137">
        <f>AC28/$AE$28</f>
        <v>0.23076923076923095</v>
      </c>
      <c r="AD29" s="1038"/>
      <c r="AE29" s="137">
        <f>AE28/$AE$28</f>
        <v>1</v>
      </c>
    </row>
    <row r="30" spans="1:46" ht="19.5" customHeight="1" thickBot="1" x14ac:dyDescent="0.3">
      <c r="A30" s="1472"/>
      <c r="R30" s="129" t="s">
        <v>265</v>
      </c>
      <c r="S30" s="1225">
        <f>U30*S40</f>
        <v>384.61538461538453</v>
      </c>
      <c r="T30" s="1225">
        <f>U30*U40</f>
        <v>115.3846153846155</v>
      </c>
      <c r="U30" s="1186">
        <f>$AB$1</f>
        <v>500</v>
      </c>
      <c r="V30" s="989"/>
      <c r="W30" s="989"/>
      <c r="Z30" s="122" t="s">
        <v>266</v>
      </c>
      <c r="AA30" s="1042">
        <f>V35/(S32/R1)</f>
        <v>2.9577E-4</v>
      </c>
      <c r="AB30" s="138">
        <f>S35/(S28)</f>
        <v>3.4158870230635484E-2</v>
      </c>
      <c r="AC30" s="139">
        <f>T35/T32</f>
        <v>4.7824206172539709E-3</v>
      </c>
      <c r="AD30" s="1045">
        <f>W35/U32</f>
        <v>3.4541182290378437E-5</v>
      </c>
      <c r="AE30" s="1047">
        <f>SUMPRODUCT(AB30:AC30,AB29:AC29)+AD30</f>
        <v>2.7414230732914741E-2</v>
      </c>
    </row>
    <row r="31" spans="1:46" ht="14.25" customHeight="1" thickBot="1" x14ac:dyDescent="0.3">
      <c r="A31" s="1472"/>
      <c r="L31" s="84"/>
      <c r="M31" s="84"/>
      <c r="N31" s="84"/>
      <c r="O31" s="84"/>
      <c r="P31" s="84"/>
      <c r="Q31" s="84"/>
      <c r="R31" s="129" t="s">
        <v>267</v>
      </c>
      <c r="S31" s="136"/>
      <c r="T31" s="130"/>
      <c r="U31" s="130"/>
      <c r="V31" s="130"/>
      <c r="W31" s="130"/>
      <c r="X31" s="14" t="s">
        <v>310</v>
      </c>
    </row>
    <row r="32" spans="1:46" ht="14.25" customHeight="1" thickBot="1" x14ac:dyDescent="0.3">
      <c r="A32" s="1472"/>
      <c r="R32" s="141" t="s">
        <v>257</v>
      </c>
      <c r="S32" s="130">
        <f>SUM(S28:S30)</f>
        <v>28707.692307692298</v>
      </c>
      <c r="T32" s="130">
        <f>SUM(T28:T30)</f>
        <v>8612.3076923077006</v>
      </c>
      <c r="U32" s="130">
        <f>SUM(U28:U30)</f>
        <v>37320</v>
      </c>
      <c r="V32" s="130"/>
      <c r="W32" s="130">
        <f>SUM(W28:W30)</f>
        <v>18.62</v>
      </c>
    </row>
    <row r="33" spans="1:23" ht="14.25" customHeight="1" thickBot="1" x14ac:dyDescent="0.3">
      <c r="A33" s="1472"/>
      <c r="R33" s="142" t="s">
        <v>268</v>
      </c>
      <c r="S33" s="136"/>
      <c r="T33" s="136"/>
      <c r="U33" s="136"/>
      <c r="V33" s="136"/>
      <c r="W33" s="136"/>
    </row>
    <row r="34" spans="1:23" ht="14.25" customHeight="1" thickBot="1" x14ac:dyDescent="0.3">
      <c r="A34" s="1472"/>
      <c r="R34" s="143" t="s">
        <v>269</v>
      </c>
      <c r="S34" s="136"/>
      <c r="T34" s="130"/>
      <c r="U34" s="136"/>
      <c r="V34" s="136"/>
      <c r="W34" s="136"/>
    </row>
    <row r="35" spans="1:23" ht="14.25" customHeight="1" thickBot="1" x14ac:dyDescent="0.3">
      <c r="A35" s="1472"/>
      <c r="B35" s="1681" t="s">
        <v>635</v>
      </c>
      <c r="C35" s="1681"/>
      <c r="D35" s="1681"/>
      <c r="E35" s="1681"/>
      <c r="F35" s="1681"/>
      <c r="G35" s="803"/>
      <c r="H35" s="803"/>
      <c r="I35" s="803"/>
      <c r="J35" s="803"/>
      <c r="K35" s="803"/>
      <c r="L35" s="803"/>
      <c r="R35" s="144" t="s">
        <v>249</v>
      </c>
      <c r="S35" s="145">
        <f>$L$5</f>
        <v>967.48430914769085</v>
      </c>
      <c r="T35" s="145">
        <f>SUM(L6:L13)</f>
        <v>41.187677869827318</v>
      </c>
      <c r="U35" s="145">
        <f>S35+T35+V35+W35</f>
        <v>1024.3523760657581</v>
      </c>
      <c r="V35" s="990">
        <f>SUM(AT6:AT13)</f>
        <v>14.391312125162969</v>
      </c>
      <c r="W35" s="990">
        <f>L37</f>
        <v>1.2890769230769232</v>
      </c>
    </row>
    <row r="36" spans="1:23" ht="47.25"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1472"/>
      <c r="B37" s="772" t="s">
        <v>686</v>
      </c>
      <c r="C37" s="773" t="s">
        <v>14</v>
      </c>
      <c r="D37" s="774">
        <v>7.0000000000000007E-2</v>
      </c>
      <c r="E37" s="772">
        <f>$AD$1</f>
        <v>266</v>
      </c>
      <c r="F37" s="772">
        <f>D37*E37</f>
        <v>18.62</v>
      </c>
      <c r="G37"/>
      <c r="H37" s="772">
        <f>F37</f>
        <v>18.62</v>
      </c>
      <c r="I37" s="772">
        <f>VLOOKUP(B37,All_Ingredients!$A$1:$F$156,6,FALSE())</f>
        <v>0.65</v>
      </c>
      <c r="J37" s="772">
        <f>VLOOKUP(B37,All_Ingredients!$A$1:$J$156,10,FALSE())</f>
        <v>45</v>
      </c>
      <c r="K37" s="772">
        <f>(H37/I37)/1000</f>
        <v>2.8646153846153849E-2</v>
      </c>
      <c r="L37" s="772">
        <f t="shared" ref="L37" si="14">K37*J37</f>
        <v>1.2890769230769232</v>
      </c>
    </row>
    <row r="38" spans="1:23" x14ac:dyDescent="0.25">
      <c r="A38" s="1472"/>
    </row>
    <row r="39" spans="1:23" x14ac:dyDescent="0.25">
      <c r="A39" s="1472"/>
    </row>
    <row r="40" spans="1:23" ht="10.5" customHeight="1" x14ac:dyDescent="0.25">
      <c r="A40" s="1472"/>
      <c r="R40" s="146" t="s">
        <v>270</v>
      </c>
      <c r="S40" s="147">
        <v>0.76923076923076905</v>
      </c>
      <c r="T40" s="146" t="s">
        <v>271</v>
      </c>
      <c r="U40" s="148">
        <v>0.230769230769231</v>
      </c>
      <c r="V40" s="149">
        <f>S40+U40</f>
        <v>1</v>
      </c>
    </row>
    <row r="41" spans="1:23" ht="14.25" customHeight="1" x14ac:dyDescent="0.25">
      <c r="A41" s="1472"/>
      <c r="U41" s="150"/>
    </row>
    <row r="42" spans="1:23"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43334</v>
      </c>
      <c r="R44" s="154">
        <f>D51</f>
        <v>10000</v>
      </c>
      <c r="S44" s="155">
        <v>1</v>
      </c>
      <c r="T44" s="155">
        <v>0</v>
      </c>
      <c r="U44" s="220">
        <f>R44*S44</f>
        <v>10000</v>
      </c>
      <c r="V44" s="157">
        <f>R44*T44</f>
        <v>0</v>
      </c>
      <c r="W44" s="237">
        <f>Q44-U44</f>
        <v>33334</v>
      </c>
    </row>
    <row r="45" spans="1:23" x14ac:dyDescent="0.25">
      <c r="A45" s="1472"/>
    </row>
    <row r="46" spans="1:23" x14ac:dyDescent="0.25">
      <c r="A46" s="1472"/>
    </row>
    <row r="47" spans="1:23" x14ac:dyDescent="0.25">
      <c r="A47" s="1472"/>
    </row>
    <row r="48" spans="1:23" ht="14.25" customHeight="1" x14ac:dyDescent="0.25">
      <c r="A48" s="1472"/>
    </row>
    <row r="49" spans="1:10" ht="14.25" customHeight="1" x14ac:dyDescent="0.25">
      <c r="A49" s="1472"/>
    </row>
    <row r="50" spans="1:10" ht="14.25" customHeight="1" x14ac:dyDescent="0.25">
      <c r="A50" s="1472"/>
      <c r="B50" s="126"/>
      <c r="C50" s="126" t="s">
        <v>233</v>
      </c>
      <c r="D50" s="126" t="s">
        <v>279</v>
      </c>
      <c r="E50" s="164"/>
      <c r="F50" s="84"/>
      <c r="G50" s="126" t="s">
        <v>280</v>
      </c>
      <c r="H50" s="126" t="s">
        <v>233</v>
      </c>
      <c r="I50" s="126" t="s">
        <v>281</v>
      </c>
      <c r="J50" s="126" t="s">
        <v>282</v>
      </c>
    </row>
    <row r="51" spans="1:10" ht="14.25" customHeight="1" x14ac:dyDescent="0.25">
      <c r="A51" s="1472"/>
      <c r="B51" s="161" t="s">
        <v>283</v>
      </c>
      <c r="C51" s="162">
        <f>10/$K$1</f>
        <v>10.416666666666668</v>
      </c>
      <c r="D51" s="163">
        <f>$C$1*10</f>
        <v>10000</v>
      </c>
      <c r="E51" s="164"/>
      <c r="F51" s="84"/>
      <c r="G51" s="161" t="s">
        <v>283</v>
      </c>
      <c r="H51" s="254">
        <f>I51/$D$5</f>
        <v>10</v>
      </c>
      <c r="I51" s="162">
        <f>J51/$R$1</f>
        <v>56498.305084745763</v>
      </c>
      <c r="J51" s="162">
        <f>$W$44</f>
        <v>33334</v>
      </c>
    </row>
    <row r="52" spans="1:10" ht="14.25" customHeight="1" x14ac:dyDescent="0.25">
      <c r="A52" s="1472"/>
      <c r="B52" s="209" t="s">
        <v>262</v>
      </c>
      <c r="C52" s="210">
        <f>$I$1</f>
        <v>8.9711538461538556</v>
      </c>
      <c r="D52" s="211">
        <f>$E$1</f>
        <v>8612.3076923077006</v>
      </c>
      <c r="E52" s="84"/>
      <c r="F52" s="84"/>
      <c r="G52" s="129" t="s">
        <v>262</v>
      </c>
      <c r="H52" s="190">
        <f>I52/$D$5</f>
        <v>8.6121354495986981</v>
      </c>
      <c r="I52" s="157">
        <f>J52/$R$1</f>
        <v>48657.105606258134</v>
      </c>
      <c r="J52" s="165">
        <f>$S$32</f>
        <v>28707.692307692298</v>
      </c>
    </row>
    <row r="53" spans="1:10" ht="14.25" customHeight="1" x14ac:dyDescent="0.25">
      <c r="A53" s="1472"/>
      <c r="B53" s="209" t="s">
        <v>284</v>
      </c>
      <c r="C53" s="212">
        <f>MIN(C52, C51)</f>
        <v>8.9711538461538556</v>
      </c>
      <c r="D53" s="211">
        <f>(C53*$K$1)*$C$1</f>
        <v>8612.3076923077006</v>
      </c>
      <c r="E53" s="84"/>
      <c r="F53" s="84"/>
      <c r="G53" s="129" t="s">
        <v>284</v>
      </c>
      <c r="H53" s="168">
        <f>MIN(H52,H51)</f>
        <v>8.6121354495986981</v>
      </c>
      <c r="I53" s="157">
        <f>J53/$R$1</f>
        <v>48657.105606258134</v>
      </c>
      <c r="J53" s="157">
        <f>MIN(J52,J51)</f>
        <v>28707.692307692298</v>
      </c>
    </row>
    <row r="54" spans="1:10"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42" t="str">
        <f>"دجاج 65   1 / " &amp; COUNTIF($C$53:$C$55, "&gt;0")</f>
        <v>دجاج 65   1 / 1</v>
      </c>
      <c r="C62" s="1656"/>
      <c r="D62" s="1656"/>
      <c r="E62" s="1683"/>
      <c r="F62" s="1656"/>
      <c r="G62" s="1656"/>
      <c r="H62" s="1656"/>
    </row>
    <row r="63" spans="1:10" ht="18" customHeight="1" x14ac:dyDescent="0.25">
      <c r="A63" s="1473"/>
      <c r="B63" s="1636" t="str">
        <f>"  Chicken 65   1 / " &amp; COUNTIF($C$53:$C$55, "&gt;0")</f>
        <v xml:space="preserve">  Chicken 65   1 / 1</v>
      </c>
      <c r="C63" s="1637"/>
      <c r="D63" s="1637"/>
      <c r="E63" s="1637"/>
      <c r="F63" s="1637"/>
      <c r="G63" s="1637"/>
      <c r="H63" s="1637"/>
    </row>
    <row r="64" spans="1:10" ht="25.5" customHeight="1" x14ac:dyDescent="0.2">
      <c r="A64" s="1457"/>
      <c r="B64" s="75" t="s">
        <v>241</v>
      </c>
      <c r="C64" s="90" t="s">
        <v>242</v>
      </c>
      <c r="D64" s="75" t="s">
        <v>231</v>
      </c>
      <c r="E64" s="91" t="s">
        <v>234</v>
      </c>
      <c r="F64" s="91" t="s">
        <v>243</v>
      </c>
      <c r="G64" s="75" t="s">
        <v>244</v>
      </c>
      <c r="H64" s="92" t="s">
        <v>245</v>
      </c>
    </row>
    <row r="65" spans="1:8" ht="14.25" customHeight="1" x14ac:dyDescent="0.25">
      <c r="A65" s="1471"/>
      <c r="B65" s="105" t="str">
        <f t="shared" ref="B65:D80" si="15">B5</f>
        <v>Chicken - دجاج</v>
      </c>
      <c r="C65" s="105" t="str">
        <f t="shared" si="15"/>
        <v>gm</v>
      </c>
      <c r="D65" s="240">
        <f t="shared" si="15"/>
        <v>5649.8305084745762</v>
      </c>
      <c r="E65" s="177">
        <f>H53</f>
        <v>8.6121354495986981</v>
      </c>
      <c r="F65" s="109">
        <f t="shared" ref="F65:F80" si="16">F5</f>
        <v>1</v>
      </c>
      <c r="G65" s="101">
        <f t="shared" ref="G65:G80" si="17">D65*E65</f>
        <v>48657.105606258134</v>
      </c>
      <c r="H65" s="102">
        <f t="shared" ref="H65:H80" si="18">G65*F65</f>
        <v>48657.105606258134</v>
      </c>
    </row>
    <row r="66" spans="1:8" ht="14.25" customHeight="1" x14ac:dyDescent="0.25">
      <c r="A66" s="1471"/>
      <c r="B66" s="105" t="str">
        <f t="shared" si="15"/>
        <v>Tomato Ketchup - كاتشب طماطم</v>
      </c>
      <c r="C66" s="105" t="str">
        <f t="shared" si="15"/>
        <v>ml</v>
      </c>
      <c r="D66" s="105">
        <f t="shared" si="15"/>
        <v>400</v>
      </c>
      <c r="E66" s="177">
        <f t="shared" ref="E66:E80" si="19">$C$53</f>
        <v>8.9711538461538556</v>
      </c>
      <c r="F66" s="109">
        <f t="shared" si="16"/>
        <v>1</v>
      </c>
      <c r="G66" s="101">
        <f t="shared" si="17"/>
        <v>3588.4615384615422</v>
      </c>
      <c r="H66" s="102">
        <f t="shared" si="18"/>
        <v>3588.4615384615422</v>
      </c>
    </row>
    <row r="67" spans="1:8" ht="14.25" customHeight="1" x14ac:dyDescent="0.25">
      <c r="A67" s="1471"/>
      <c r="B67" s="105" t="str">
        <f t="shared" si="15"/>
        <v>Sriracha Sauce - صوص سريراتشا</v>
      </c>
      <c r="C67" s="105" t="str">
        <f t="shared" si="15"/>
        <v>ml</v>
      </c>
      <c r="D67" s="105">
        <f t="shared" si="15"/>
        <v>33</v>
      </c>
      <c r="E67" s="177">
        <f t="shared" si="19"/>
        <v>8.9711538461538556</v>
      </c>
      <c r="F67" s="109">
        <f t="shared" si="16"/>
        <v>0.75</v>
      </c>
      <c r="G67" s="101">
        <f t="shared" si="17"/>
        <v>296.04807692307725</v>
      </c>
      <c r="H67" s="102">
        <f t="shared" si="18"/>
        <v>222.03605769230793</v>
      </c>
    </row>
    <row r="68" spans="1:8" ht="14.25" customHeight="1" x14ac:dyDescent="0.25">
      <c r="A68" s="1471"/>
      <c r="B68" s="105" t="str">
        <f t="shared" si="15"/>
        <v>Honey - عسل</v>
      </c>
      <c r="C68" s="105" t="str">
        <f t="shared" si="15"/>
        <v>gm</v>
      </c>
      <c r="D68" s="105">
        <f t="shared" si="15"/>
        <v>20</v>
      </c>
      <c r="E68" s="177">
        <f t="shared" si="19"/>
        <v>8.9711538461538556</v>
      </c>
      <c r="F68" s="109">
        <f t="shared" si="16"/>
        <v>1</v>
      </c>
      <c r="G68" s="101">
        <f t="shared" si="17"/>
        <v>179.4230769230771</v>
      </c>
      <c r="H68" s="102">
        <f t="shared" si="18"/>
        <v>179.4230769230771</v>
      </c>
    </row>
    <row r="69" spans="1:8" ht="14.25" customHeight="1" x14ac:dyDescent="0.25">
      <c r="A69" s="1471"/>
      <c r="B69" s="105" t="str">
        <f t="shared" si="15"/>
        <v>Water - ماء</v>
      </c>
      <c r="C69" s="105" t="str">
        <f t="shared" si="15"/>
        <v>ml</v>
      </c>
      <c r="D69" s="105">
        <f t="shared" si="15"/>
        <v>280</v>
      </c>
      <c r="E69" s="177">
        <f t="shared" si="19"/>
        <v>8.9711538461538556</v>
      </c>
      <c r="F69" s="109">
        <f t="shared" si="16"/>
        <v>1</v>
      </c>
      <c r="G69" s="101">
        <f t="shared" si="17"/>
        <v>2511.9230769230794</v>
      </c>
      <c r="H69" s="102">
        <f t="shared" si="18"/>
        <v>2511.9230769230794</v>
      </c>
    </row>
    <row r="70" spans="1:8" ht="14.25" customHeight="1" x14ac:dyDescent="0.25">
      <c r="A70" s="1471"/>
      <c r="B70" s="105" t="str">
        <f t="shared" si="15"/>
        <v>Corn Starch - نشا ذرة</v>
      </c>
      <c r="C70" s="105" t="str">
        <f t="shared" si="15"/>
        <v>gm</v>
      </c>
      <c r="D70" s="105">
        <f t="shared" si="15"/>
        <v>40</v>
      </c>
      <c r="E70" s="177">
        <f t="shared" si="19"/>
        <v>8.9711538461538556</v>
      </c>
      <c r="F70" s="109">
        <f t="shared" si="16"/>
        <v>0.5</v>
      </c>
      <c r="G70" s="101">
        <f t="shared" si="17"/>
        <v>358.84615384615421</v>
      </c>
      <c r="H70" s="102">
        <f t="shared" si="18"/>
        <v>179.4230769230771</v>
      </c>
    </row>
    <row r="71" spans="1:8" ht="14.25" customHeight="1" x14ac:dyDescent="0.25">
      <c r="A71" s="1471" t="s">
        <v>920</v>
      </c>
      <c r="B71" s="105" t="str">
        <f t="shared" si="15"/>
        <v>Onion - بصل</v>
      </c>
      <c r="C71" s="105" t="str">
        <f t="shared" si="15"/>
        <v>gm</v>
      </c>
      <c r="D71" s="105">
        <f t="shared" si="15"/>
        <v>270</v>
      </c>
      <c r="E71" s="177">
        <f t="shared" si="19"/>
        <v>8.9711538461538556</v>
      </c>
      <c r="F71" s="109">
        <f t="shared" si="16"/>
        <v>0.95</v>
      </c>
      <c r="G71" s="101">
        <f t="shared" si="17"/>
        <v>2422.2115384615408</v>
      </c>
      <c r="H71" s="102">
        <f t="shared" si="18"/>
        <v>2301.1009615384637</v>
      </c>
    </row>
    <row r="72" spans="1:8" ht="14.25" customHeight="1" x14ac:dyDescent="0.25">
      <c r="A72" s="1471" t="s">
        <v>907</v>
      </c>
      <c r="B72" s="105" t="str">
        <f t="shared" si="15"/>
        <v>Garlic - ثوم مقشر</v>
      </c>
      <c r="C72" s="105" t="str">
        <f t="shared" si="15"/>
        <v>gm</v>
      </c>
      <c r="D72" s="105">
        <f t="shared" si="15"/>
        <v>40</v>
      </c>
      <c r="E72" s="177">
        <f t="shared" si="19"/>
        <v>8.9711538461538556</v>
      </c>
      <c r="F72" s="109">
        <f t="shared" si="16"/>
        <v>0.95</v>
      </c>
      <c r="G72" s="101">
        <f t="shared" si="17"/>
        <v>358.84615384615421</v>
      </c>
      <c r="H72" s="102">
        <f t="shared" si="18"/>
        <v>340.90384615384647</v>
      </c>
    </row>
    <row r="73" spans="1:8" ht="14.25" customHeight="1" x14ac:dyDescent="0.25">
      <c r="A73" s="1471" t="s">
        <v>906</v>
      </c>
      <c r="B73" s="105" t="str">
        <f t="shared" si="15"/>
        <v>Ginger - زنجبيل</v>
      </c>
      <c r="C73" s="105" t="str">
        <f t="shared" si="15"/>
        <v>gm</v>
      </c>
      <c r="D73" s="105">
        <f t="shared" si="15"/>
        <v>40</v>
      </c>
      <c r="E73" s="177">
        <f t="shared" si="19"/>
        <v>8.9711538461538556</v>
      </c>
      <c r="F73" s="109">
        <f t="shared" si="16"/>
        <v>0.6</v>
      </c>
      <c r="G73" s="101">
        <f t="shared" si="17"/>
        <v>358.84615384615421</v>
      </c>
      <c r="H73" s="102">
        <f t="shared" si="18"/>
        <v>215.30769230769252</v>
      </c>
    </row>
    <row r="74" spans="1:8" ht="14.25" customHeight="1" x14ac:dyDescent="0.25">
      <c r="A74" s="1471" t="s">
        <v>923</v>
      </c>
      <c r="B74" s="105" t="str">
        <f t="shared" si="15"/>
        <v>Curry Leaves - أوراق الكاري</v>
      </c>
      <c r="C74" s="105" t="str">
        <f t="shared" si="15"/>
        <v>gm</v>
      </c>
      <c r="D74" s="105">
        <f t="shared" si="15"/>
        <v>3</v>
      </c>
      <c r="E74" s="177">
        <f t="shared" si="19"/>
        <v>8.9711538461538556</v>
      </c>
      <c r="F74" s="109">
        <f t="shared" si="16"/>
        <v>1</v>
      </c>
      <c r="G74" s="101">
        <f t="shared" si="17"/>
        <v>26.913461538461569</v>
      </c>
      <c r="H74" s="102">
        <f t="shared" si="18"/>
        <v>26.913461538461569</v>
      </c>
    </row>
    <row r="75" spans="1:8" ht="14.25" customHeight="1" x14ac:dyDescent="0.25">
      <c r="A75" s="1471" t="s">
        <v>908</v>
      </c>
      <c r="B75" s="105" t="str">
        <f t="shared" si="15"/>
        <v>Coriander Leaves - كزبرة خضراء</v>
      </c>
      <c r="C75" s="105" t="str">
        <f t="shared" si="15"/>
        <v>gm</v>
      </c>
      <c r="D75" s="105">
        <f t="shared" si="15"/>
        <v>28</v>
      </c>
      <c r="E75" s="177">
        <f t="shared" si="19"/>
        <v>8.9711538461538556</v>
      </c>
      <c r="F75" s="109">
        <f t="shared" si="16"/>
        <v>1</v>
      </c>
      <c r="G75" s="101">
        <f t="shared" si="17"/>
        <v>251.19230769230796</v>
      </c>
      <c r="H75" s="102">
        <f t="shared" si="18"/>
        <v>251.19230769230796</v>
      </c>
    </row>
    <row r="76" spans="1:8" ht="14.25" customHeight="1" x14ac:dyDescent="0.25">
      <c r="A76" s="1471"/>
      <c r="B76" s="105" t="str">
        <f t="shared" si="15"/>
        <v>Kashmiri Red Chilli Whole - فلفل كشميري أحمر كامل</v>
      </c>
      <c r="C76" s="105" t="str">
        <f t="shared" si="15"/>
        <v>gm</v>
      </c>
      <c r="D76" s="105">
        <f t="shared" si="15"/>
        <v>12</v>
      </c>
      <c r="E76" s="177">
        <f t="shared" si="19"/>
        <v>8.9711538461538556</v>
      </c>
      <c r="F76" s="109">
        <f t="shared" si="16"/>
        <v>0.75</v>
      </c>
      <c r="G76" s="101">
        <f t="shared" si="17"/>
        <v>107.65384615384627</v>
      </c>
      <c r="H76" s="102">
        <f t="shared" si="18"/>
        <v>80.740384615384698</v>
      </c>
    </row>
    <row r="77" spans="1:8" ht="14.25" customHeight="1" x14ac:dyDescent="0.25">
      <c r="A77" s="1471"/>
      <c r="B77" s="105" t="str">
        <f t="shared" si="15"/>
        <v>Butter - زبدة</v>
      </c>
      <c r="C77" s="105" t="str">
        <f t="shared" si="15"/>
        <v>gm</v>
      </c>
      <c r="D77" s="105">
        <f t="shared" si="15"/>
        <v>25</v>
      </c>
      <c r="E77" s="177">
        <f t="shared" si="19"/>
        <v>8.9711538461538556</v>
      </c>
      <c r="F77" s="109">
        <f t="shared" si="16"/>
        <v>1</v>
      </c>
      <c r="G77" s="101">
        <f t="shared" si="17"/>
        <v>224.27884615384639</v>
      </c>
      <c r="H77" s="102">
        <f t="shared" si="18"/>
        <v>224.27884615384639</v>
      </c>
    </row>
    <row r="78" spans="1:8" ht="14.25" customHeight="1" x14ac:dyDescent="0.25">
      <c r="A78" s="1471"/>
      <c r="B78" s="105" t="str">
        <f t="shared" si="15"/>
        <v>Salt - ملح</v>
      </c>
      <c r="C78" s="105" t="str">
        <f t="shared" si="15"/>
        <v>gm</v>
      </c>
      <c r="D78" s="105">
        <f t="shared" si="15"/>
        <v>7</v>
      </c>
      <c r="E78" s="177">
        <f t="shared" si="19"/>
        <v>8.9711538461538556</v>
      </c>
      <c r="F78" s="109">
        <f t="shared" si="16"/>
        <v>0.75</v>
      </c>
      <c r="G78" s="101">
        <f t="shared" si="17"/>
        <v>62.798076923076991</v>
      </c>
      <c r="H78" s="102">
        <f t="shared" si="18"/>
        <v>47.098557692307743</v>
      </c>
    </row>
    <row r="79" spans="1:8" ht="14.25" customHeight="1" x14ac:dyDescent="0.25">
      <c r="A79" s="1471"/>
      <c r="B79" s="105" t="str">
        <f t="shared" si="15"/>
        <v>Orange Color - لون برتقالي</v>
      </c>
      <c r="C79" s="105" t="str">
        <f t="shared" si="15"/>
        <v>gm</v>
      </c>
      <c r="D79" s="105">
        <f t="shared" si="15"/>
        <v>2.5</v>
      </c>
      <c r="E79" s="177">
        <f t="shared" si="19"/>
        <v>8.9711538461538556</v>
      </c>
      <c r="F79" s="109">
        <f t="shared" si="16"/>
        <v>1</v>
      </c>
      <c r="G79" s="101">
        <f t="shared" si="17"/>
        <v>22.427884615384638</v>
      </c>
      <c r="H79" s="102">
        <f t="shared" si="18"/>
        <v>22.427884615384638</v>
      </c>
    </row>
    <row r="80" spans="1:8" ht="14.25" customHeight="1" x14ac:dyDescent="0.25">
      <c r="A80" s="1471" t="s">
        <v>909</v>
      </c>
      <c r="B80" s="105" t="str">
        <f t="shared" si="15"/>
        <v>Tomato - طماطم</v>
      </c>
      <c r="C80" s="105" t="str">
        <f t="shared" si="15"/>
        <v>gm</v>
      </c>
      <c r="D80" s="105">
        <f t="shared" si="15"/>
        <v>400</v>
      </c>
      <c r="E80" s="177">
        <f t="shared" si="19"/>
        <v>8.9711538461538556</v>
      </c>
      <c r="F80" s="109">
        <f t="shared" si="16"/>
        <v>0.95</v>
      </c>
      <c r="G80" s="101">
        <f t="shared" si="17"/>
        <v>3588.4615384615422</v>
      </c>
      <c r="H80" s="102">
        <f t="shared" si="18"/>
        <v>3409.0384615384651</v>
      </c>
    </row>
    <row r="81" spans="1:8" ht="20.25" customHeight="1" x14ac:dyDescent="0.25">
      <c r="A81" s="1458"/>
      <c r="B81" s="178" t="s">
        <v>287</v>
      </c>
      <c r="C81" s="180" t="s">
        <v>273</v>
      </c>
      <c r="E81" s="180" t="s">
        <v>288</v>
      </c>
      <c r="G81" s="804" t="s">
        <v>264</v>
      </c>
      <c r="H81" s="804" t="s">
        <v>673</v>
      </c>
    </row>
    <row r="82" spans="1:8" ht="21.75" customHeight="1" x14ac:dyDescent="0.3">
      <c r="A82" s="1458"/>
      <c r="B82" s="179">
        <f>$J$53</f>
        <v>28707.692307692298</v>
      </c>
      <c r="C82" s="179">
        <f>E82+G82</f>
        <v>8612.3076923077006</v>
      </c>
      <c r="D82" s="839"/>
      <c r="E82" s="179">
        <f>$D$53*$S$44</f>
        <v>8612.3076923077006</v>
      </c>
      <c r="F82" s="843"/>
      <c r="G82" s="179">
        <f>$D$53*$T$44</f>
        <v>0</v>
      </c>
      <c r="H82" s="179">
        <f>B82+E82</f>
        <v>37320</v>
      </c>
    </row>
    <row r="83" spans="1:8" ht="21.75" customHeight="1" x14ac:dyDescent="0.25">
      <c r="A83" s="1472"/>
      <c r="B83" s="84"/>
      <c r="E83" s="322"/>
      <c r="F83" s="84"/>
    </row>
    <row r="84" spans="1:8" ht="14.25" customHeight="1" x14ac:dyDescent="0.25">
      <c r="A84" s="1472"/>
      <c r="B84" s="84"/>
      <c r="C84" s="84"/>
      <c r="D84" s="84"/>
      <c r="E84" s="84"/>
      <c r="F84" s="84"/>
      <c r="G84" s="84"/>
      <c r="H84" s="84"/>
    </row>
    <row r="85" spans="1:8" ht="14.25" customHeight="1" x14ac:dyDescent="0.25">
      <c r="A85" s="1472"/>
      <c r="B85" s="84"/>
      <c r="C85" s="84"/>
      <c r="D85" s="84"/>
      <c r="E85" s="84"/>
      <c r="F85" s="84"/>
      <c r="G85" s="84"/>
      <c r="H85" s="84"/>
    </row>
    <row r="86" spans="1:8" ht="14.25" customHeight="1" x14ac:dyDescent="0.25">
      <c r="A86" s="1472"/>
      <c r="B86" s="84"/>
      <c r="C86" s="84"/>
      <c r="D86" s="84"/>
      <c r="E86" s="84"/>
      <c r="F86" s="84"/>
      <c r="G86" s="84"/>
      <c r="H86" s="84"/>
    </row>
    <row r="87" spans="1:8" ht="18" customHeight="1" x14ac:dyDescent="0.25">
      <c r="A87" s="1473"/>
      <c r="B87" s="1642" t="str">
        <f>"دجاج 65 2 / " &amp; COUNTIF($C$53:$C$55, "&gt;0")</f>
        <v>دجاج 65 2 / 1</v>
      </c>
      <c r="C87" s="1656"/>
      <c r="D87" s="1656"/>
      <c r="E87" s="1683"/>
      <c r="F87" s="1656"/>
      <c r="G87" s="1656"/>
      <c r="H87" s="1656"/>
    </row>
    <row r="88" spans="1:8" ht="18" customHeight="1" x14ac:dyDescent="0.25">
      <c r="A88" s="1473"/>
      <c r="B88" s="1636" t="str">
        <f>"  Chicken 65   2 / " &amp; COUNTIF($C$53:$C$55, "&gt;0")</f>
        <v xml:space="preserve">  Chicken 65   2 / 1</v>
      </c>
      <c r="C88" s="1637"/>
      <c r="D88" s="1637"/>
      <c r="E88" s="1637"/>
      <c r="F88" s="1637"/>
      <c r="G88" s="1637"/>
      <c r="H88" s="1637"/>
    </row>
    <row r="89" spans="1:8" ht="25.5" customHeight="1" x14ac:dyDescent="0.2">
      <c r="A89" s="1457"/>
      <c r="B89" s="75" t="s">
        <v>241</v>
      </c>
      <c r="C89" s="90" t="s">
        <v>242</v>
      </c>
      <c r="D89" s="75" t="s">
        <v>231</v>
      </c>
      <c r="E89" s="91" t="s">
        <v>234</v>
      </c>
      <c r="F89" s="91" t="s">
        <v>243</v>
      </c>
      <c r="G89" s="75" t="s">
        <v>244</v>
      </c>
      <c r="H89" s="92" t="s">
        <v>245</v>
      </c>
    </row>
    <row r="90" spans="1:8" ht="14.25" customHeight="1" x14ac:dyDescent="0.25">
      <c r="A90" s="1472"/>
      <c r="B90" s="105" t="str">
        <f t="shared" ref="B90:D105" si="20">B5</f>
        <v>Chicken - دجاج</v>
      </c>
      <c r="C90" s="105" t="str">
        <f t="shared" si="20"/>
        <v>gm</v>
      </c>
      <c r="D90" s="240">
        <f>D5</f>
        <v>5649.8305084745762</v>
      </c>
      <c r="E90" s="177">
        <f>H54</f>
        <v>0</v>
      </c>
      <c r="F90" s="109">
        <f t="shared" ref="F90:F105" si="21">F5</f>
        <v>1</v>
      </c>
      <c r="G90" s="103">
        <f t="shared" ref="G90:G105" si="22">D90*E90</f>
        <v>0</v>
      </c>
      <c r="H90" s="102">
        <f t="shared" ref="H90:H105" si="23">G90*F90</f>
        <v>0</v>
      </c>
    </row>
    <row r="91" spans="1:8" ht="14.25" customHeight="1" x14ac:dyDescent="0.25">
      <c r="A91" s="1472"/>
      <c r="B91" s="105" t="str">
        <f t="shared" si="20"/>
        <v>Tomato Ketchup - كاتشب طماطم</v>
      </c>
      <c r="C91" s="105" t="str">
        <f t="shared" si="20"/>
        <v>ml</v>
      </c>
      <c r="D91" s="105">
        <f t="shared" si="20"/>
        <v>400</v>
      </c>
      <c r="E91" s="177">
        <f t="shared" ref="E91:E105" si="24">$C$54</f>
        <v>0</v>
      </c>
      <c r="F91" s="109">
        <f t="shared" si="21"/>
        <v>1</v>
      </c>
      <c r="G91" s="103">
        <f t="shared" si="22"/>
        <v>0</v>
      </c>
      <c r="H91" s="102">
        <f t="shared" si="23"/>
        <v>0</v>
      </c>
    </row>
    <row r="92" spans="1:8" ht="14.25" customHeight="1" x14ac:dyDescent="0.25">
      <c r="A92" s="1472"/>
      <c r="B92" s="105" t="str">
        <f t="shared" si="20"/>
        <v>Sriracha Sauce - صوص سريراتشا</v>
      </c>
      <c r="C92" s="105" t="str">
        <f t="shared" si="20"/>
        <v>ml</v>
      </c>
      <c r="D92" s="105">
        <f t="shared" si="20"/>
        <v>33</v>
      </c>
      <c r="E92" s="177">
        <f t="shared" si="24"/>
        <v>0</v>
      </c>
      <c r="F92" s="109">
        <f t="shared" si="21"/>
        <v>0.75</v>
      </c>
      <c r="G92" s="103">
        <f t="shared" si="22"/>
        <v>0</v>
      </c>
      <c r="H92" s="102">
        <f t="shared" si="23"/>
        <v>0</v>
      </c>
    </row>
    <row r="93" spans="1:8" ht="14.25" customHeight="1" x14ac:dyDescent="0.25">
      <c r="A93" s="1472"/>
      <c r="B93" s="105" t="str">
        <f t="shared" si="20"/>
        <v>Honey - عسل</v>
      </c>
      <c r="C93" s="105" t="str">
        <f t="shared" si="20"/>
        <v>gm</v>
      </c>
      <c r="D93" s="105">
        <f t="shared" si="20"/>
        <v>20</v>
      </c>
      <c r="E93" s="177">
        <f t="shared" si="24"/>
        <v>0</v>
      </c>
      <c r="F93" s="109">
        <f t="shared" si="21"/>
        <v>1</v>
      </c>
      <c r="G93" s="103">
        <f t="shared" si="22"/>
        <v>0</v>
      </c>
      <c r="H93" s="102">
        <f t="shared" si="23"/>
        <v>0</v>
      </c>
    </row>
    <row r="94" spans="1:8" ht="14.25" customHeight="1" x14ac:dyDescent="0.25">
      <c r="A94" s="1472"/>
      <c r="B94" s="105" t="str">
        <f t="shared" si="20"/>
        <v>Water - ماء</v>
      </c>
      <c r="C94" s="105" t="str">
        <f t="shared" si="20"/>
        <v>ml</v>
      </c>
      <c r="D94" s="105">
        <f t="shared" si="20"/>
        <v>280</v>
      </c>
      <c r="E94" s="177">
        <f t="shared" si="24"/>
        <v>0</v>
      </c>
      <c r="F94" s="109">
        <f t="shared" si="21"/>
        <v>1</v>
      </c>
      <c r="G94" s="103">
        <f t="shared" si="22"/>
        <v>0</v>
      </c>
      <c r="H94" s="102">
        <f t="shared" si="23"/>
        <v>0</v>
      </c>
    </row>
    <row r="95" spans="1:8" ht="14.25" customHeight="1" x14ac:dyDescent="0.25">
      <c r="A95" s="1472"/>
      <c r="B95" s="105" t="str">
        <f t="shared" si="20"/>
        <v>Corn Starch - نشا ذرة</v>
      </c>
      <c r="C95" s="105" t="str">
        <f t="shared" si="20"/>
        <v>gm</v>
      </c>
      <c r="D95" s="105">
        <f t="shared" si="20"/>
        <v>40</v>
      </c>
      <c r="E95" s="177">
        <f t="shared" si="24"/>
        <v>0</v>
      </c>
      <c r="F95" s="109">
        <f t="shared" si="21"/>
        <v>0.5</v>
      </c>
      <c r="G95" s="103">
        <f t="shared" si="22"/>
        <v>0</v>
      </c>
      <c r="H95" s="102">
        <f t="shared" si="23"/>
        <v>0</v>
      </c>
    </row>
    <row r="96" spans="1:8" ht="14.25" customHeight="1" x14ac:dyDescent="0.25">
      <c r="A96" s="1472" t="s">
        <v>920</v>
      </c>
      <c r="B96" s="105" t="str">
        <f t="shared" si="20"/>
        <v>Onion - بصل</v>
      </c>
      <c r="C96" s="105" t="str">
        <f t="shared" si="20"/>
        <v>gm</v>
      </c>
      <c r="D96" s="105">
        <f t="shared" si="20"/>
        <v>270</v>
      </c>
      <c r="E96" s="177">
        <f t="shared" si="24"/>
        <v>0</v>
      </c>
      <c r="F96" s="109">
        <f t="shared" si="21"/>
        <v>0.95</v>
      </c>
      <c r="G96" s="103">
        <f t="shared" si="22"/>
        <v>0</v>
      </c>
      <c r="H96" s="102">
        <f t="shared" si="23"/>
        <v>0</v>
      </c>
    </row>
    <row r="97" spans="1:10" ht="14.25" customHeight="1" x14ac:dyDescent="0.25">
      <c r="A97" s="1472" t="s">
        <v>907</v>
      </c>
      <c r="B97" s="105" t="str">
        <f t="shared" si="20"/>
        <v>Garlic - ثوم مقشر</v>
      </c>
      <c r="C97" s="105" t="str">
        <f t="shared" si="20"/>
        <v>gm</v>
      </c>
      <c r="D97" s="105">
        <f t="shared" si="20"/>
        <v>40</v>
      </c>
      <c r="E97" s="177">
        <f t="shared" si="24"/>
        <v>0</v>
      </c>
      <c r="F97" s="109">
        <f t="shared" si="21"/>
        <v>0.95</v>
      </c>
      <c r="G97" s="103">
        <f t="shared" si="22"/>
        <v>0</v>
      </c>
      <c r="H97" s="102">
        <f t="shared" si="23"/>
        <v>0</v>
      </c>
    </row>
    <row r="98" spans="1:10" ht="14.25" customHeight="1" x14ac:dyDescent="0.25">
      <c r="A98" s="1472" t="s">
        <v>906</v>
      </c>
      <c r="B98" s="105" t="str">
        <f t="shared" si="20"/>
        <v>Ginger - زنجبيل</v>
      </c>
      <c r="C98" s="105" t="str">
        <f t="shared" si="20"/>
        <v>gm</v>
      </c>
      <c r="D98" s="105">
        <f t="shared" si="20"/>
        <v>40</v>
      </c>
      <c r="E98" s="177">
        <f t="shared" si="24"/>
        <v>0</v>
      </c>
      <c r="F98" s="109">
        <f t="shared" si="21"/>
        <v>0.6</v>
      </c>
      <c r="G98" s="103">
        <f t="shared" si="22"/>
        <v>0</v>
      </c>
      <c r="H98" s="102">
        <f t="shared" si="23"/>
        <v>0</v>
      </c>
    </row>
    <row r="99" spans="1:10" ht="14.25" customHeight="1" x14ac:dyDescent="0.25">
      <c r="A99" s="1472" t="s">
        <v>923</v>
      </c>
      <c r="B99" s="105" t="str">
        <f t="shared" si="20"/>
        <v>Curry Leaves - أوراق الكاري</v>
      </c>
      <c r="C99" s="105" t="str">
        <f t="shared" si="20"/>
        <v>gm</v>
      </c>
      <c r="D99" s="105">
        <f t="shared" si="20"/>
        <v>3</v>
      </c>
      <c r="E99" s="177">
        <f t="shared" si="24"/>
        <v>0</v>
      </c>
      <c r="F99" s="109">
        <f t="shared" si="21"/>
        <v>1</v>
      </c>
      <c r="G99" s="103">
        <f t="shared" si="22"/>
        <v>0</v>
      </c>
      <c r="H99" s="102">
        <f t="shared" si="23"/>
        <v>0</v>
      </c>
    </row>
    <row r="100" spans="1:10" ht="14.25" customHeight="1" x14ac:dyDescent="0.25">
      <c r="A100" s="1472" t="s">
        <v>908</v>
      </c>
      <c r="B100" s="105" t="str">
        <f t="shared" si="20"/>
        <v>Coriander Leaves - كزبرة خضراء</v>
      </c>
      <c r="C100" s="105" t="str">
        <f t="shared" si="20"/>
        <v>gm</v>
      </c>
      <c r="D100" s="105">
        <f t="shared" si="20"/>
        <v>28</v>
      </c>
      <c r="E100" s="177">
        <f t="shared" si="24"/>
        <v>0</v>
      </c>
      <c r="F100" s="109">
        <f t="shared" si="21"/>
        <v>1</v>
      </c>
      <c r="G100" s="103">
        <f t="shared" si="22"/>
        <v>0</v>
      </c>
      <c r="H100" s="102">
        <f t="shared" si="23"/>
        <v>0</v>
      </c>
    </row>
    <row r="101" spans="1:10" ht="14.25" customHeight="1" x14ac:dyDescent="0.25">
      <c r="A101" s="1472"/>
      <c r="B101" s="105" t="str">
        <f t="shared" si="20"/>
        <v>Kashmiri Red Chilli Whole - فلفل كشميري أحمر كامل</v>
      </c>
      <c r="C101" s="105" t="str">
        <f t="shared" si="20"/>
        <v>gm</v>
      </c>
      <c r="D101" s="105">
        <f t="shared" si="20"/>
        <v>12</v>
      </c>
      <c r="E101" s="177">
        <f t="shared" si="24"/>
        <v>0</v>
      </c>
      <c r="F101" s="109">
        <f t="shared" si="21"/>
        <v>0.75</v>
      </c>
      <c r="G101" s="103">
        <f t="shared" si="22"/>
        <v>0</v>
      </c>
      <c r="H101" s="102">
        <f t="shared" si="23"/>
        <v>0</v>
      </c>
    </row>
    <row r="102" spans="1:10" ht="14.25" customHeight="1" x14ac:dyDescent="0.25">
      <c r="A102" s="1472"/>
      <c r="B102" s="105" t="str">
        <f t="shared" si="20"/>
        <v>Butter - زبدة</v>
      </c>
      <c r="C102" s="105" t="str">
        <f t="shared" si="20"/>
        <v>gm</v>
      </c>
      <c r="D102" s="105">
        <f t="shared" si="20"/>
        <v>25</v>
      </c>
      <c r="E102" s="177">
        <f t="shared" si="24"/>
        <v>0</v>
      </c>
      <c r="F102" s="109">
        <f t="shared" si="21"/>
        <v>1</v>
      </c>
      <c r="G102" s="103">
        <f t="shared" si="22"/>
        <v>0</v>
      </c>
      <c r="H102" s="102">
        <f t="shared" si="23"/>
        <v>0</v>
      </c>
    </row>
    <row r="103" spans="1:10" ht="14.25" customHeight="1" x14ac:dyDescent="0.25">
      <c r="A103" s="1472"/>
      <c r="B103" s="105" t="str">
        <f t="shared" si="20"/>
        <v>Salt - ملح</v>
      </c>
      <c r="C103" s="105" t="str">
        <f t="shared" si="20"/>
        <v>gm</v>
      </c>
      <c r="D103" s="105">
        <f t="shared" si="20"/>
        <v>7</v>
      </c>
      <c r="E103" s="177">
        <f t="shared" si="24"/>
        <v>0</v>
      </c>
      <c r="F103" s="109">
        <f t="shared" si="21"/>
        <v>0.75</v>
      </c>
      <c r="G103" s="103">
        <f t="shared" si="22"/>
        <v>0</v>
      </c>
      <c r="H103" s="102">
        <f t="shared" si="23"/>
        <v>0</v>
      </c>
    </row>
    <row r="104" spans="1:10" ht="14.25" customHeight="1" x14ac:dyDescent="0.25">
      <c r="A104" s="1472"/>
      <c r="B104" s="105" t="str">
        <f t="shared" si="20"/>
        <v>Orange Color - لون برتقالي</v>
      </c>
      <c r="C104" s="105" t="str">
        <f t="shared" si="20"/>
        <v>gm</v>
      </c>
      <c r="D104" s="105">
        <f t="shared" si="20"/>
        <v>2.5</v>
      </c>
      <c r="E104" s="177">
        <f t="shared" si="24"/>
        <v>0</v>
      </c>
      <c r="F104" s="109">
        <f t="shared" si="21"/>
        <v>1</v>
      </c>
      <c r="G104" s="103">
        <f t="shared" si="22"/>
        <v>0</v>
      </c>
      <c r="H104" s="102">
        <f t="shared" si="23"/>
        <v>0</v>
      </c>
    </row>
    <row r="105" spans="1:10" ht="14.25" customHeight="1" x14ac:dyDescent="0.25">
      <c r="A105" s="1472" t="s">
        <v>909</v>
      </c>
      <c r="B105" s="105" t="str">
        <f t="shared" si="20"/>
        <v>Tomato - طماطم</v>
      </c>
      <c r="C105" s="105" t="str">
        <f t="shared" si="20"/>
        <v>gm</v>
      </c>
      <c r="D105" s="105">
        <f t="shared" si="20"/>
        <v>400</v>
      </c>
      <c r="E105" s="177">
        <f t="shared" si="24"/>
        <v>0</v>
      </c>
      <c r="F105" s="109">
        <f t="shared" si="21"/>
        <v>0.95</v>
      </c>
      <c r="G105" s="103">
        <f t="shared" si="22"/>
        <v>0</v>
      </c>
      <c r="H105" s="102">
        <f t="shared" si="23"/>
        <v>0</v>
      </c>
    </row>
    <row r="106" spans="1:10" ht="20.25" customHeight="1" x14ac:dyDescent="0.3">
      <c r="A106" s="1458"/>
      <c r="B106" s="178" t="s">
        <v>287</v>
      </c>
      <c r="C106" s="180" t="s">
        <v>273</v>
      </c>
      <c r="E106" s="180" t="s">
        <v>288</v>
      </c>
      <c r="G106" s="804" t="s">
        <v>264</v>
      </c>
      <c r="H106" s="804" t="s">
        <v>673</v>
      </c>
      <c r="I106" s="184"/>
      <c r="J106" s="183"/>
    </row>
    <row r="107" spans="1:10" ht="20.25" x14ac:dyDescent="0.3">
      <c r="A107" s="1458"/>
      <c r="B107" s="179">
        <f>$J$54</f>
        <v>0</v>
      </c>
      <c r="C107" s="179">
        <f>E107+G107</f>
        <v>0</v>
      </c>
      <c r="D107" s="839"/>
      <c r="E107" s="179">
        <f>$D$54*$S$44</f>
        <v>0</v>
      </c>
      <c r="F107" s="843"/>
      <c r="G107" s="179">
        <f>$D$54*$T$44</f>
        <v>0</v>
      </c>
      <c r="H107" s="179">
        <f>B107+E107</f>
        <v>0</v>
      </c>
    </row>
    <row r="108" spans="1:10" x14ac:dyDescent="0.25">
      <c r="A108" s="1472"/>
    </row>
    <row r="109" spans="1:10" x14ac:dyDescent="0.25">
      <c r="A109" s="1472"/>
    </row>
    <row r="110" spans="1:10" x14ac:dyDescent="0.25">
      <c r="A110" s="1472"/>
    </row>
    <row r="111" spans="1:10" x14ac:dyDescent="0.25">
      <c r="A111" s="1472"/>
    </row>
    <row r="112" spans="1:10"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0">
    <mergeCell ref="AK2:AM2"/>
    <mergeCell ref="AE2:AG3"/>
    <mergeCell ref="B88:H88"/>
    <mergeCell ref="R26:U26"/>
    <mergeCell ref="B87:H87"/>
    <mergeCell ref="R25:U25"/>
    <mergeCell ref="B62:H62"/>
    <mergeCell ref="B2:K3"/>
    <mergeCell ref="B63:H63"/>
    <mergeCell ref="B35:F35"/>
  </mergeCells>
  <printOptions horizontalCentered="1"/>
  <pageMargins left="0.4" right="0.4" top="1" bottom="0.5" header="0.3" footer="0.511811023622047"/>
  <pageSetup paperSize="9" scale="46" orientation="landscape"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2E75B6"/>
    <pageSetUpPr fitToPage="1"/>
  </sheetPr>
  <dimension ref="A1:AG174"/>
  <sheetViews>
    <sheetView topLeftCell="A31" zoomScale="55" zoomScaleNormal="55" workbookViewId="0">
      <selection activeCell="J51" sqref="J51"/>
    </sheetView>
  </sheetViews>
  <sheetFormatPr defaultColWidth="12.5" defaultRowHeight="15" x14ac:dyDescent="0.25"/>
  <cols>
    <col min="1" max="1" width="12.5" style="1" customWidth="1"/>
    <col min="2" max="2" width="34.875" customWidth="1"/>
    <col min="3" max="3" width="16.75" customWidth="1"/>
    <col min="4" max="4" width="18.375" customWidth="1"/>
    <col min="5" max="5" width="15.625" customWidth="1"/>
    <col min="6" max="6" width="17.125" customWidth="1"/>
    <col min="7" max="7" width="17.25" customWidth="1"/>
    <col min="8" max="8" width="30.5" customWidth="1"/>
    <col min="10" max="10" width="11" customWidth="1"/>
    <col min="12" max="12" width="8.375" customWidth="1"/>
    <col min="13" max="14" width="4.125" customWidth="1"/>
    <col min="15" max="15" width="8.625" customWidth="1"/>
    <col min="16" max="16" width="7.5" customWidth="1"/>
    <col min="18" max="18" width="30.5" customWidth="1"/>
    <col min="26" max="26" width="9.375" bestFit="1" customWidth="1"/>
    <col min="27" max="27" width="21.375" customWidth="1"/>
    <col min="28" max="28" width="11.625" bestFit="1" customWidth="1"/>
    <col min="29" max="29" width="13.125" bestFit="1" customWidth="1"/>
  </cols>
  <sheetData>
    <row r="1" spans="1:33" ht="39" customHeight="1" x14ac:dyDescent="0.25">
      <c r="B1" s="64" t="s">
        <v>231</v>
      </c>
      <c r="C1" s="65">
        <v>1000</v>
      </c>
      <c r="D1" s="66" t="s">
        <v>232</v>
      </c>
      <c r="E1" s="99">
        <f>T32</f>
        <v>6068.0000000000018</v>
      </c>
      <c r="F1" s="64" t="s">
        <v>233</v>
      </c>
      <c r="G1" s="103">
        <f>E1/C1</f>
        <v>6.0680000000000014</v>
      </c>
      <c r="H1" s="64" t="s">
        <v>234</v>
      </c>
      <c r="I1" s="259">
        <f>G1/K1</f>
        <v>6.1918367346938785</v>
      </c>
      <c r="J1" s="70" t="s">
        <v>235</v>
      </c>
      <c r="K1" s="65">
        <f>9.8/10</f>
        <v>0.98000000000000009</v>
      </c>
      <c r="L1" s="84"/>
      <c r="M1" s="73"/>
      <c r="N1" s="74"/>
      <c r="O1" s="75" t="s">
        <v>236</v>
      </c>
      <c r="P1" s="76" t="s">
        <v>289</v>
      </c>
      <c r="Q1" s="77" t="s">
        <v>238</v>
      </c>
      <c r="R1" s="76">
        <v>0.51</v>
      </c>
      <c r="Y1" s="75" t="s">
        <v>453</v>
      </c>
      <c r="Z1" s="766">
        <v>9620</v>
      </c>
      <c r="AA1" s="75" t="s">
        <v>556</v>
      </c>
      <c r="AB1" s="766">
        <v>0</v>
      </c>
      <c r="AC1" s="75" t="s">
        <v>546</v>
      </c>
      <c r="AD1" s="766">
        <v>66</v>
      </c>
      <c r="AE1" s="228"/>
      <c r="AF1" s="230"/>
      <c r="AG1" s="76"/>
    </row>
    <row r="2" spans="1:33" ht="14.25" customHeight="1" x14ac:dyDescent="0.25">
      <c r="A2" s="242"/>
      <c r="B2" s="1645" t="s">
        <v>51</v>
      </c>
      <c r="C2" s="1653"/>
      <c r="D2" s="1653"/>
      <c r="E2" s="1653"/>
      <c r="F2" s="1653"/>
      <c r="G2" s="1653"/>
      <c r="H2" s="1653"/>
      <c r="I2" s="1653"/>
      <c r="J2" s="1653"/>
      <c r="K2" s="1653"/>
      <c r="L2" s="270"/>
      <c r="M2" s="84"/>
      <c r="N2" s="84"/>
      <c r="O2" s="84"/>
      <c r="P2" s="84"/>
      <c r="Q2" s="84"/>
      <c r="R2" s="84"/>
    </row>
    <row r="3" spans="1:33" ht="14.25" customHeight="1" x14ac:dyDescent="0.25">
      <c r="A3" s="242"/>
      <c r="B3" s="1633"/>
      <c r="C3" s="1633"/>
      <c r="D3" s="1633"/>
      <c r="E3" s="1633"/>
      <c r="F3" s="1633"/>
      <c r="G3" s="1633"/>
      <c r="H3" s="1633"/>
      <c r="I3" s="1633"/>
      <c r="J3" s="1633"/>
      <c r="K3" s="1633"/>
      <c r="L3" s="270"/>
      <c r="M3" s="84"/>
      <c r="N3" s="84"/>
      <c r="O3" s="84"/>
      <c r="P3" s="84"/>
      <c r="Q3" s="84"/>
      <c r="R3" s="84"/>
    </row>
    <row r="4" spans="1:33" ht="36.75" customHeight="1" x14ac:dyDescent="0.2">
      <c r="A4" s="75" t="s">
        <v>903</v>
      </c>
      <c r="B4" s="75" t="s">
        <v>241</v>
      </c>
      <c r="C4" s="90" t="s">
        <v>242</v>
      </c>
      <c r="D4" s="75" t="s">
        <v>231</v>
      </c>
      <c r="E4" s="91" t="s">
        <v>234</v>
      </c>
      <c r="F4" s="91" t="s">
        <v>243</v>
      </c>
      <c r="G4" s="75" t="s">
        <v>244</v>
      </c>
      <c r="H4" s="92" t="s">
        <v>245</v>
      </c>
      <c r="I4" s="75" t="s">
        <v>246</v>
      </c>
      <c r="J4" s="75" t="s">
        <v>247</v>
      </c>
      <c r="K4" s="75" t="s">
        <v>248</v>
      </c>
      <c r="L4" s="75" t="s">
        <v>249</v>
      </c>
      <c r="M4" s="84"/>
      <c r="N4" s="84"/>
      <c r="O4" s="84"/>
      <c r="P4" s="84"/>
      <c r="AA4" s="229"/>
      <c r="AB4" s="231"/>
    </row>
    <row r="5" spans="1:33" ht="14.25" customHeight="1" x14ac:dyDescent="0.2">
      <c r="A5" s="1454"/>
      <c r="B5" s="358" t="s">
        <v>223</v>
      </c>
      <c r="C5" s="97" t="s">
        <v>14</v>
      </c>
      <c r="D5" s="103">
        <f>I51/10</f>
        <v>2391.2509803921566</v>
      </c>
      <c r="E5" s="99">
        <f>H52</f>
        <v>6.0678716038368616</v>
      </c>
      <c r="F5" s="109">
        <v>1</v>
      </c>
      <c r="G5" s="101">
        <f t="shared" ref="G5:G19" si="0">D5*E5</f>
        <v>14509.803921568624</v>
      </c>
      <c r="H5" s="102">
        <f t="shared" ref="H5:H19" si="1">G5*F5</f>
        <v>14509.803921568624</v>
      </c>
      <c r="I5" s="65">
        <f>VLOOKUP(B5,All_Ingredients!$A$1:$F$156,6,FALSE())</f>
        <v>0.55000000000000004</v>
      </c>
      <c r="J5" s="101">
        <f>VLOOKUP(B5,All_Ingredients!$A$1:$J$156,10,FALSE())</f>
        <v>14.361111111111111</v>
      </c>
      <c r="K5" s="104">
        <f t="shared" ref="K5" si="2">(H5/I5)/1000</f>
        <v>26.381461675579313</v>
      </c>
      <c r="L5" s="104">
        <f t="shared" ref="L5" si="3">K5*J5</f>
        <v>378.86710239651404</v>
      </c>
      <c r="M5" s="84"/>
      <c r="N5" s="84"/>
      <c r="O5" s="84"/>
      <c r="P5" s="84"/>
      <c r="AA5" s="76"/>
      <c r="AB5" s="114"/>
      <c r="AE5" s="117"/>
    </row>
    <row r="6" spans="1:33" ht="14.25" customHeight="1" x14ac:dyDescent="0.25">
      <c r="A6" s="1455"/>
      <c r="B6" s="358" t="s">
        <v>12</v>
      </c>
      <c r="C6" s="106" t="s">
        <v>14</v>
      </c>
      <c r="D6" s="107">
        <v>300</v>
      </c>
      <c r="E6" s="201">
        <f t="shared" ref="E6:E19" si="4">$I$1</f>
        <v>6.1918367346938785</v>
      </c>
      <c r="F6" s="109">
        <v>1</v>
      </c>
      <c r="G6" s="101">
        <f t="shared" si="0"/>
        <v>1857.5510204081636</v>
      </c>
      <c r="H6" s="102">
        <f t="shared" si="1"/>
        <v>1857.5510204081636</v>
      </c>
      <c r="I6" s="65">
        <f>VLOOKUP(B6,All_Ingredients!$A$1:$F$156,6,FALSE())</f>
        <v>0.9</v>
      </c>
      <c r="J6" s="101">
        <f>VLOOKUP(B6,All_Ingredients!$A$1:$J$156,10,FALSE())</f>
        <v>3</v>
      </c>
      <c r="K6" s="104">
        <f t="shared" ref="K6:K19" si="5">(H6/I6)/1000</f>
        <v>2.063945578231293</v>
      </c>
      <c r="L6" s="104">
        <f t="shared" ref="L6:L19" si="6">K6*J6</f>
        <v>6.1918367346938794</v>
      </c>
    </row>
    <row r="7" spans="1:33" ht="14.25" customHeight="1" x14ac:dyDescent="0.25">
      <c r="A7" s="1455" t="s">
        <v>909</v>
      </c>
      <c r="B7" s="200" t="s">
        <v>17</v>
      </c>
      <c r="C7" s="106" t="s">
        <v>14</v>
      </c>
      <c r="D7" s="107">
        <v>200</v>
      </c>
      <c r="E7" s="201">
        <f t="shared" si="4"/>
        <v>6.1918367346938785</v>
      </c>
      <c r="F7" s="109">
        <v>1</v>
      </c>
      <c r="G7" s="101">
        <f t="shared" si="0"/>
        <v>1238.3673469387757</v>
      </c>
      <c r="H7" s="102">
        <f t="shared" si="1"/>
        <v>1238.3673469387757</v>
      </c>
      <c r="I7" s="65">
        <f>VLOOKUP(B7,All_Ingredients!$A$1:$F$156,6,FALSE())</f>
        <v>0.98</v>
      </c>
      <c r="J7" s="101">
        <f>VLOOKUP(B7,All_Ingredients!$A$1:$J$156,10,FALSE())</f>
        <v>3.5</v>
      </c>
      <c r="K7" s="104">
        <f t="shared" si="5"/>
        <v>1.2636401499375263</v>
      </c>
      <c r="L7" s="104">
        <f t="shared" si="6"/>
        <v>4.4227405247813421</v>
      </c>
    </row>
    <row r="8" spans="1:33" ht="14.25" customHeight="1" x14ac:dyDescent="0.25">
      <c r="A8" s="1455" t="s">
        <v>907</v>
      </c>
      <c r="B8" s="200" t="s">
        <v>727</v>
      </c>
      <c r="C8" s="106" t="s">
        <v>14</v>
      </c>
      <c r="D8" s="107">
        <v>35</v>
      </c>
      <c r="E8" s="201">
        <f t="shared" si="4"/>
        <v>6.1918367346938785</v>
      </c>
      <c r="F8" s="109">
        <v>1</v>
      </c>
      <c r="G8" s="101">
        <f t="shared" si="0"/>
        <v>216.71428571428575</v>
      </c>
      <c r="H8" s="102">
        <f t="shared" si="1"/>
        <v>216.71428571428575</v>
      </c>
      <c r="I8" s="65">
        <f>VLOOKUP(B8,All_Ingredients!$A$1:$F$156,6,FALSE())</f>
        <v>1</v>
      </c>
      <c r="J8" s="101">
        <f>VLOOKUP(B8,All_Ingredients!$A$1:$J$156,10,FALSE())</f>
        <v>10.5</v>
      </c>
      <c r="K8" s="104">
        <f t="shared" si="5"/>
        <v>0.21671428571428575</v>
      </c>
      <c r="L8" s="104">
        <f t="shared" si="6"/>
        <v>2.2755000000000005</v>
      </c>
    </row>
    <row r="9" spans="1:33" ht="14.25" customHeight="1" x14ac:dyDescent="0.25">
      <c r="A9" s="1455"/>
      <c r="B9" s="200" t="s">
        <v>99</v>
      </c>
      <c r="C9" s="106" t="s">
        <v>14</v>
      </c>
      <c r="D9" s="107">
        <v>3</v>
      </c>
      <c r="E9" s="201">
        <f t="shared" si="4"/>
        <v>6.1918367346938785</v>
      </c>
      <c r="F9" s="109">
        <v>1</v>
      </c>
      <c r="G9" s="101">
        <f t="shared" si="0"/>
        <v>18.575510204081635</v>
      </c>
      <c r="H9" s="102">
        <f t="shared" si="1"/>
        <v>18.575510204081635</v>
      </c>
      <c r="I9" s="65">
        <f>VLOOKUP(B9,All_Ingredients!$A$1:$F$156,6,FALSE())</f>
        <v>1</v>
      </c>
      <c r="J9" s="101">
        <f>VLOOKUP(B9,All_Ingredients!$A$1:$J$156,10,FALSE())</f>
        <v>31</v>
      </c>
      <c r="K9" s="104">
        <f t="shared" si="5"/>
        <v>1.8575510204081633E-2</v>
      </c>
      <c r="L9" s="104">
        <f t="shared" si="6"/>
        <v>0.57584081632653061</v>
      </c>
    </row>
    <row r="10" spans="1:33" ht="14.25" customHeight="1" x14ac:dyDescent="0.25">
      <c r="A10" s="1455"/>
      <c r="B10" s="200" t="s">
        <v>105</v>
      </c>
      <c r="C10" s="106" t="s">
        <v>14</v>
      </c>
      <c r="D10" s="107">
        <v>5</v>
      </c>
      <c r="E10" s="201">
        <f t="shared" si="4"/>
        <v>6.1918367346938785</v>
      </c>
      <c r="F10" s="109">
        <v>0.75</v>
      </c>
      <c r="G10" s="101">
        <f t="shared" si="0"/>
        <v>30.959183673469393</v>
      </c>
      <c r="H10" s="102">
        <f t="shared" si="1"/>
        <v>23.219387755102044</v>
      </c>
      <c r="I10" s="65">
        <f>VLOOKUP(B10,All_Ingredients!$A$1:$F$156,6,FALSE())</f>
        <v>1</v>
      </c>
      <c r="J10" s="101">
        <f>VLOOKUP(B10,All_Ingredients!$A$1:$J$156,10,FALSE())</f>
        <v>15</v>
      </c>
      <c r="K10" s="104">
        <f t="shared" si="5"/>
        <v>2.3219387755102044E-2</v>
      </c>
      <c r="L10" s="104">
        <f t="shared" si="6"/>
        <v>0.34829081632653069</v>
      </c>
    </row>
    <row r="11" spans="1:33" ht="14.25" customHeight="1" x14ac:dyDescent="0.25">
      <c r="A11" s="1455"/>
      <c r="B11" s="200" t="s">
        <v>107</v>
      </c>
      <c r="C11" s="106" t="s">
        <v>14</v>
      </c>
      <c r="D11" s="107">
        <v>5</v>
      </c>
      <c r="E11" s="201">
        <f t="shared" si="4"/>
        <v>6.1918367346938785</v>
      </c>
      <c r="F11" s="109">
        <v>0.75</v>
      </c>
      <c r="G11" s="101">
        <f t="shared" si="0"/>
        <v>30.959183673469393</v>
      </c>
      <c r="H11" s="102">
        <f t="shared" si="1"/>
        <v>23.219387755102044</v>
      </c>
      <c r="I11" s="65">
        <f>VLOOKUP(B11,All_Ingredients!$A$1:$F$156,6,FALSE())</f>
        <v>1</v>
      </c>
      <c r="J11" s="101">
        <f>VLOOKUP(B11,All_Ingredients!$A$1:$J$156,10,FALSE())</f>
        <v>8</v>
      </c>
      <c r="K11" s="104">
        <f t="shared" si="5"/>
        <v>2.3219387755102044E-2</v>
      </c>
      <c r="L11" s="104">
        <f t="shared" si="6"/>
        <v>0.18575510204081636</v>
      </c>
    </row>
    <row r="12" spans="1:33" ht="14.25" customHeight="1" x14ac:dyDescent="0.25">
      <c r="A12" s="1455"/>
      <c r="B12" s="200" t="s">
        <v>122</v>
      </c>
      <c r="C12" s="106" t="s">
        <v>14</v>
      </c>
      <c r="D12" s="107">
        <v>6</v>
      </c>
      <c r="E12" s="201">
        <f t="shared" si="4"/>
        <v>6.1918367346938785</v>
      </c>
      <c r="F12" s="109">
        <v>0.75</v>
      </c>
      <c r="G12" s="101">
        <f t="shared" si="0"/>
        <v>37.151020408163269</v>
      </c>
      <c r="H12" s="102">
        <f t="shared" si="1"/>
        <v>27.86326530612245</v>
      </c>
      <c r="I12" s="65">
        <f>VLOOKUP(B12,All_Ingredients!$A$1:$F$156,6,FALSE())</f>
        <v>1</v>
      </c>
      <c r="J12" s="101">
        <f>VLOOKUP(B12,All_Ingredients!$A$1:$J$156,10,FALSE())</f>
        <v>14</v>
      </c>
      <c r="K12" s="104">
        <f t="shared" si="5"/>
        <v>2.7863265306122452E-2</v>
      </c>
      <c r="L12" s="104">
        <f t="shared" si="6"/>
        <v>0.39008571428571431</v>
      </c>
    </row>
    <row r="13" spans="1:33" ht="14.25" customHeight="1" x14ac:dyDescent="0.25">
      <c r="A13" s="1455"/>
      <c r="B13" s="200" t="s">
        <v>93</v>
      </c>
      <c r="C13" s="106" t="s">
        <v>14</v>
      </c>
      <c r="D13" s="107">
        <v>11</v>
      </c>
      <c r="E13" s="201">
        <f t="shared" si="4"/>
        <v>6.1918367346938785</v>
      </c>
      <c r="F13" s="109">
        <v>0.75</v>
      </c>
      <c r="G13" s="101">
        <f t="shared" si="0"/>
        <v>68.110204081632659</v>
      </c>
      <c r="H13" s="102">
        <f t="shared" si="1"/>
        <v>51.082653061224491</v>
      </c>
      <c r="I13" s="65">
        <f>VLOOKUP(B13,All_Ingredients!$A$1:$F$156,6,FALSE())</f>
        <v>1</v>
      </c>
      <c r="J13" s="101">
        <f>VLOOKUP(B13,All_Ingredients!$A$1:$J$156,10,FALSE())</f>
        <v>0.74</v>
      </c>
      <c r="K13" s="104">
        <f t="shared" si="5"/>
        <v>5.1082653061224489E-2</v>
      </c>
      <c r="L13" s="104">
        <f t="shared" si="6"/>
        <v>3.7801163265306123E-2</v>
      </c>
    </row>
    <row r="14" spans="1:33" ht="14.25" customHeight="1" x14ac:dyDescent="0.25">
      <c r="A14" s="1455"/>
      <c r="B14" s="200" t="s">
        <v>698</v>
      </c>
      <c r="C14" s="106" t="s">
        <v>14</v>
      </c>
      <c r="D14" s="107">
        <v>300</v>
      </c>
      <c r="E14" s="201">
        <f t="shared" si="4"/>
        <v>6.1918367346938785</v>
      </c>
      <c r="F14" s="109">
        <v>1</v>
      </c>
      <c r="G14" s="101">
        <f t="shared" si="0"/>
        <v>1857.5510204081636</v>
      </c>
      <c r="H14" s="102">
        <f t="shared" si="1"/>
        <v>1857.5510204081636</v>
      </c>
      <c r="I14" s="65">
        <f>VLOOKUP(B14,All_Ingredients!$A$1:$F$156,6,FALSE())</f>
        <v>1</v>
      </c>
      <c r="J14" s="101">
        <f>VLOOKUP(B14,All_Ingredients!$A$1:$J$156,10,FALSE())</f>
        <v>8.1520833333333336</v>
      </c>
      <c r="K14" s="104">
        <f t="shared" si="5"/>
        <v>1.8575510204081636</v>
      </c>
      <c r="L14" s="104">
        <f t="shared" si="6"/>
        <v>15.142910714285717</v>
      </c>
    </row>
    <row r="15" spans="1:33" ht="14.25" customHeight="1" x14ac:dyDescent="0.25">
      <c r="A15" s="1455"/>
      <c r="B15" s="200" t="s">
        <v>207</v>
      </c>
      <c r="C15" s="106" t="s">
        <v>14</v>
      </c>
      <c r="D15" s="107">
        <v>500</v>
      </c>
      <c r="E15" s="201">
        <f t="shared" si="4"/>
        <v>6.1918367346938785</v>
      </c>
      <c r="F15" s="109">
        <v>1</v>
      </c>
      <c r="G15" s="101">
        <f t="shared" si="0"/>
        <v>3095.9183673469392</v>
      </c>
      <c r="H15" s="102">
        <f t="shared" si="1"/>
        <v>3095.9183673469392</v>
      </c>
      <c r="I15" s="65">
        <f>VLOOKUP(B15,All_Ingredients!$A$1:$F$156,6,FALSE())</f>
        <v>1</v>
      </c>
      <c r="J15" s="101">
        <f>VLOOKUP(B15,All_Ingredients!$A$1:$J$156,10,FALSE())</f>
        <v>0</v>
      </c>
      <c r="K15" s="104">
        <f t="shared" si="5"/>
        <v>3.0959183673469393</v>
      </c>
      <c r="L15" s="104">
        <f t="shared" si="6"/>
        <v>0</v>
      </c>
    </row>
    <row r="16" spans="1:33" ht="14.25" customHeight="1" x14ac:dyDescent="0.25">
      <c r="A16" s="1455"/>
      <c r="B16" s="200" t="s">
        <v>152</v>
      </c>
      <c r="C16" s="106" t="s">
        <v>14</v>
      </c>
      <c r="D16" s="107">
        <v>15</v>
      </c>
      <c r="E16" s="201">
        <f t="shared" si="4"/>
        <v>6.1918367346938785</v>
      </c>
      <c r="F16" s="109">
        <v>1</v>
      </c>
      <c r="G16" s="101">
        <f t="shared" si="0"/>
        <v>92.877551020408177</v>
      </c>
      <c r="H16" s="102">
        <f t="shared" si="1"/>
        <v>92.877551020408177</v>
      </c>
      <c r="I16" s="65">
        <f>VLOOKUP(B16,All_Ingredients!$A$1:$F$156,6,FALSE())</f>
        <v>1</v>
      </c>
      <c r="J16" s="101">
        <f>VLOOKUP(B16,All_Ingredients!$A$1:$J$156,10,FALSE())</f>
        <v>30</v>
      </c>
      <c r="K16" s="104">
        <f t="shared" si="5"/>
        <v>9.2877551020408178E-2</v>
      </c>
      <c r="L16" s="104">
        <f t="shared" si="6"/>
        <v>2.7863265306122456</v>
      </c>
    </row>
    <row r="17" spans="1:31" ht="14.25" customHeight="1" x14ac:dyDescent="0.25">
      <c r="A17" s="1455"/>
      <c r="B17" s="200" t="s">
        <v>139</v>
      </c>
      <c r="C17" s="106" t="s">
        <v>14</v>
      </c>
      <c r="D17" s="107">
        <v>10</v>
      </c>
      <c r="E17" s="201">
        <f t="shared" si="4"/>
        <v>6.1918367346938785</v>
      </c>
      <c r="F17" s="109">
        <v>0.75</v>
      </c>
      <c r="G17" s="101">
        <f t="shared" si="0"/>
        <v>61.918367346938787</v>
      </c>
      <c r="H17" s="102">
        <f t="shared" si="1"/>
        <v>46.438775510204088</v>
      </c>
      <c r="I17" s="65">
        <f>VLOOKUP(B17,All_Ingredients!$A$1:$F$156,6,FALSE())</f>
        <v>1</v>
      </c>
      <c r="J17" s="101">
        <f>VLOOKUP(B17,All_Ingredients!$A$1:$J$156,10,FALSE())</f>
        <v>15.277777777777779</v>
      </c>
      <c r="K17" s="104">
        <f t="shared" si="5"/>
        <v>4.6438775510204089E-2</v>
      </c>
      <c r="L17" s="104">
        <f t="shared" si="6"/>
        <v>0.70948129251700698</v>
      </c>
    </row>
    <row r="18" spans="1:31" ht="14.25" customHeight="1" x14ac:dyDescent="0.25">
      <c r="A18" s="1455"/>
      <c r="B18" s="200" t="s">
        <v>187</v>
      </c>
      <c r="C18" s="106" t="s">
        <v>14</v>
      </c>
      <c r="D18" s="107">
        <v>60</v>
      </c>
      <c r="E18" s="201">
        <f t="shared" si="4"/>
        <v>6.1918367346938785</v>
      </c>
      <c r="F18" s="109">
        <v>0.75</v>
      </c>
      <c r="G18" s="101">
        <f t="shared" si="0"/>
        <v>371.51020408163271</v>
      </c>
      <c r="H18" s="102">
        <f t="shared" si="1"/>
        <v>278.63265306122452</v>
      </c>
      <c r="I18" s="65">
        <f>VLOOKUP(B18,All_Ingredients!$A$1:$F$156,6,FALSE())</f>
        <v>0.9</v>
      </c>
      <c r="J18" s="101">
        <f>VLOOKUP(B18,All_Ingredients!$A$1:$J$156,10,FALSE())</f>
        <v>2.3199999999999998</v>
      </c>
      <c r="K18" s="104">
        <f t="shared" si="5"/>
        <v>0.30959183673469393</v>
      </c>
      <c r="L18" s="104">
        <f t="shared" si="6"/>
        <v>0.71825306122448984</v>
      </c>
    </row>
    <row r="19" spans="1:31" ht="14.25" customHeight="1" x14ac:dyDescent="0.25">
      <c r="A19" s="1455"/>
      <c r="B19" s="200" t="s">
        <v>93</v>
      </c>
      <c r="C19" s="106" t="s">
        <v>14</v>
      </c>
      <c r="D19" s="107">
        <v>5</v>
      </c>
      <c r="E19" s="201">
        <f t="shared" si="4"/>
        <v>6.1918367346938785</v>
      </c>
      <c r="F19" s="109">
        <v>1</v>
      </c>
      <c r="G19" s="101">
        <f t="shared" si="0"/>
        <v>30.959183673469393</v>
      </c>
      <c r="H19" s="102">
        <f t="shared" si="1"/>
        <v>30.959183673469393</v>
      </c>
      <c r="I19" s="65">
        <f>VLOOKUP(B19,All_Ingredients!$A$1:$F$156,6,FALSE())</f>
        <v>1</v>
      </c>
      <c r="J19" s="101">
        <f>VLOOKUP(B19,All_Ingredients!$A$1:$J$156,10,FALSE())</f>
        <v>0.74</v>
      </c>
      <c r="K19" s="104">
        <f t="shared" si="5"/>
        <v>3.0959183673469393E-2</v>
      </c>
      <c r="L19" s="104">
        <f t="shared" si="6"/>
        <v>2.2909795918367351E-2</v>
      </c>
    </row>
    <row r="20" spans="1:31" ht="14.25" customHeight="1" x14ac:dyDescent="0.25">
      <c r="A20" s="62"/>
      <c r="B20" s="84"/>
      <c r="E20" s="84"/>
      <c r="F20" s="84"/>
      <c r="L20" s="189"/>
    </row>
    <row r="21" spans="1:31" ht="14.25" customHeight="1" x14ac:dyDescent="0.25">
      <c r="A21" s="62"/>
      <c r="B21" s="84"/>
      <c r="E21" s="164"/>
      <c r="F21" s="84"/>
      <c r="L21" s="189"/>
    </row>
    <row r="22" spans="1:31" ht="14.25" customHeight="1" x14ac:dyDescent="0.25">
      <c r="A22" s="62"/>
      <c r="L22" s="189"/>
    </row>
    <row r="23" spans="1:31" ht="14.25" customHeight="1" x14ac:dyDescent="0.25">
      <c r="A23" s="62"/>
      <c r="L23" s="189"/>
    </row>
    <row r="24" spans="1:31" ht="14.25" customHeight="1" x14ac:dyDescent="0.25">
      <c r="A24" s="62"/>
      <c r="L24" s="189"/>
      <c r="R24" s="5"/>
      <c r="Z24" s="1124"/>
    </row>
    <row r="25" spans="1:31" ht="14.25" customHeight="1" x14ac:dyDescent="0.25">
      <c r="A25" s="62"/>
      <c r="L25" s="189"/>
      <c r="R25" s="1640" t="s">
        <v>950</v>
      </c>
      <c r="S25" s="1633"/>
      <c r="T25" s="1633"/>
      <c r="U25" s="1633"/>
      <c r="Z25" s="122" t="s">
        <v>252</v>
      </c>
      <c r="AA25" s="123">
        <v>1</v>
      </c>
      <c r="AB25" s="122" t="s">
        <v>249</v>
      </c>
      <c r="AC25" s="1075">
        <f>(AA25*(1.4))*AE30</f>
        <v>4.2953137299026833E-2</v>
      </c>
      <c r="AD25" s="14"/>
    </row>
    <row r="26" spans="1:31" ht="14.25" customHeight="1" x14ac:dyDescent="0.25">
      <c r="A26" s="62"/>
      <c r="L26" s="189"/>
      <c r="R26" s="1654" t="s">
        <v>305</v>
      </c>
      <c r="S26" s="1633"/>
      <c r="T26" s="1633"/>
      <c r="U26" s="1633"/>
      <c r="Z26" s="14"/>
      <c r="AA26" s="14"/>
      <c r="AB26" s="14"/>
      <c r="AC26" s="14"/>
      <c r="AD26" s="14"/>
    </row>
    <row r="27" spans="1:31" ht="14.25" customHeight="1" thickBot="1" x14ac:dyDescent="0.3">
      <c r="A27" s="62"/>
      <c r="R27" s="126" t="s">
        <v>254</v>
      </c>
      <c r="S27" s="127" t="s">
        <v>306</v>
      </c>
      <c r="T27" s="127" t="s">
        <v>256</v>
      </c>
      <c r="U27" s="127" t="s">
        <v>262</v>
      </c>
      <c r="V27" s="127" t="s">
        <v>779</v>
      </c>
      <c r="Z27" s="122" t="s">
        <v>258</v>
      </c>
      <c r="AA27" s="128" t="s">
        <v>259</v>
      </c>
      <c r="AB27" s="128" t="s">
        <v>260</v>
      </c>
      <c r="AC27" s="128" t="s">
        <v>261</v>
      </c>
      <c r="AD27" s="1032" t="s">
        <v>779</v>
      </c>
      <c r="AE27" s="128" t="s">
        <v>262</v>
      </c>
    </row>
    <row r="28" spans="1:31" ht="14.25" customHeight="1" thickBot="1" x14ac:dyDescent="0.3">
      <c r="A28" s="62"/>
      <c r="B28" s="84"/>
      <c r="E28" s="84"/>
      <c r="F28" s="84"/>
      <c r="R28" s="129" t="s">
        <v>263</v>
      </c>
      <c r="S28" s="1215">
        <f>U28*S40</f>
        <v>7399.9999999999982</v>
      </c>
      <c r="T28" s="1215">
        <f>U28*U40</f>
        <v>2220.0000000000023</v>
      </c>
      <c r="U28" s="1186">
        <f>$Z$1</f>
        <v>9620</v>
      </c>
      <c r="V28" s="130">
        <f>SUM(H37:H38)</f>
        <v>70.62</v>
      </c>
      <c r="Z28" s="132"/>
      <c r="AA28" s="133">
        <f>AA25*$S$40</f>
        <v>0.76923076923076905</v>
      </c>
      <c r="AB28" s="133">
        <f>AA25*$U$40</f>
        <v>0.230769230769231</v>
      </c>
      <c r="AC28" s="134">
        <f>AA25*(0.4)</f>
        <v>0.4</v>
      </c>
      <c r="AD28" s="1034"/>
      <c r="AE28" s="135">
        <f>SUM(AA28:AC28)</f>
        <v>1.4</v>
      </c>
    </row>
    <row r="29" spans="1:31" ht="14.25" customHeight="1" thickBot="1" x14ac:dyDescent="0.3">
      <c r="A29" s="62"/>
      <c r="B29" s="84"/>
      <c r="E29" s="84"/>
      <c r="F29" s="84"/>
      <c r="R29" s="129" t="s">
        <v>264</v>
      </c>
      <c r="S29" s="1218"/>
      <c r="T29" s="130">
        <f>U28*0.4</f>
        <v>3848</v>
      </c>
      <c r="U29" s="1215">
        <f>T29</f>
        <v>3848</v>
      </c>
      <c r="V29" s="130"/>
      <c r="Z29" s="132"/>
      <c r="AA29" s="137">
        <f>AA28/$AE$28</f>
        <v>0.54945054945054939</v>
      </c>
      <c r="AB29" s="137">
        <f>AB28/$AE$28</f>
        <v>0.16483516483516503</v>
      </c>
      <c r="AC29" s="137">
        <f>AC28/$AE$28</f>
        <v>0.28571428571428575</v>
      </c>
      <c r="AD29" s="1038"/>
      <c r="AE29" s="137">
        <f>AE28/$AE$28</f>
        <v>1</v>
      </c>
    </row>
    <row r="30" spans="1:31" ht="14.25" customHeight="1" thickBot="1" x14ac:dyDescent="0.3">
      <c r="A30" s="62"/>
      <c r="R30" s="129" t="s">
        <v>265</v>
      </c>
      <c r="S30" s="1214">
        <f>U30*S40</f>
        <v>0</v>
      </c>
      <c r="T30" s="1226">
        <f>(U30*U40)+(U30*0.4)</f>
        <v>0</v>
      </c>
      <c r="U30" s="1227">
        <f>$AB$1</f>
        <v>0</v>
      </c>
      <c r="V30" s="989"/>
      <c r="Z30" s="122" t="s">
        <v>266</v>
      </c>
      <c r="AA30" s="138">
        <f>S35/(S32)</f>
        <v>5.1198257080610016E-2</v>
      </c>
      <c r="AB30" s="139">
        <f>T35/T32</f>
        <v>5.5714786200194346E-3</v>
      </c>
      <c r="AC30" s="139">
        <f>T35/T32</f>
        <v>5.5714786200194346E-3</v>
      </c>
      <c r="AD30" s="1127">
        <f>V35/(U32)</f>
        <v>3.9675241598318515E-5</v>
      </c>
      <c r="AE30" s="1047">
        <f>SUMPRODUCT(AA30:AC30,AA29:AC29)+(AD30)</f>
        <v>3.0680812356447741E-2</v>
      </c>
    </row>
    <row r="31" spans="1:31" ht="59.25" customHeight="1" thickBot="1" x14ac:dyDescent="0.3">
      <c r="A31" s="62"/>
      <c r="R31" s="129" t="s">
        <v>267</v>
      </c>
      <c r="S31" s="136"/>
      <c r="T31" s="130"/>
      <c r="U31" s="130"/>
      <c r="V31" s="130"/>
      <c r="AA31">
        <f>AA28*AA30</f>
        <v>3.9383274677392312E-2</v>
      </c>
      <c r="AB31">
        <f>AB28*AB30</f>
        <v>1.2857258353891016E-3</v>
      </c>
      <c r="AC31">
        <f>AC28*AC30</f>
        <v>2.2285914480077739E-3</v>
      </c>
    </row>
    <row r="32" spans="1:31" ht="20.25" customHeight="1" thickBot="1" x14ac:dyDescent="0.3">
      <c r="A32" s="62"/>
      <c r="M32" s="371"/>
      <c r="N32" s="371"/>
      <c r="R32" s="141" t="s">
        <v>257</v>
      </c>
      <c r="S32" s="130">
        <f>SUM(S28:S30)</f>
        <v>7399.9999999999982</v>
      </c>
      <c r="T32" s="1063">
        <f>SUM(T28:T30)</f>
        <v>6068.0000000000018</v>
      </c>
      <c r="U32" s="130">
        <f>SUM(U28:U29)+S30+T30</f>
        <v>13468</v>
      </c>
      <c r="V32" s="130">
        <f>SUM(V28:V30)</f>
        <v>70.62</v>
      </c>
      <c r="AB32">
        <f>AB31+AC31</f>
        <v>3.5143172833968757E-3</v>
      </c>
    </row>
    <row r="33" spans="1:23" ht="14.25" customHeight="1" thickBot="1" x14ac:dyDescent="0.3">
      <c r="A33" s="62"/>
      <c r="R33" s="142" t="s">
        <v>268</v>
      </c>
      <c r="S33" s="136"/>
      <c r="T33" s="136">
        <f>F81+F103</f>
        <v>0</v>
      </c>
      <c r="U33" s="136"/>
      <c r="V33" s="136"/>
    </row>
    <row r="34" spans="1:23" ht="14.25" customHeight="1" thickBot="1" x14ac:dyDescent="0.3">
      <c r="A34" s="62"/>
      <c r="E34" s="84"/>
      <c r="F34" s="84"/>
      <c r="R34" s="143" t="s">
        <v>269</v>
      </c>
      <c r="S34" s="136"/>
      <c r="T34" s="130">
        <f>T33-(T28+T29)</f>
        <v>-6068.0000000000018</v>
      </c>
      <c r="U34" s="136"/>
      <c r="V34" s="136"/>
    </row>
    <row r="35" spans="1:23" ht="14.25" customHeight="1" thickBot="1" x14ac:dyDescent="0.3">
      <c r="A35" s="62"/>
      <c r="B35" s="1681" t="s">
        <v>951</v>
      </c>
      <c r="C35" s="1681"/>
      <c r="D35" s="1681"/>
      <c r="E35" s="1681"/>
      <c r="F35" s="1681"/>
      <c r="G35" s="803"/>
      <c r="H35" s="803"/>
      <c r="I35" s="803"/>
      <c r="J35" s="803"/>
      <c r="K35" s="803"/>
      <c r="L35" s="803"/>
      <c r="R35" s="144" t="s">
        <v>249</v>
      </c>
      <c r="S35" s="990">
        <f>$L$5</f>
        <v>378.86710239651404</v>
      </c>
      <c r="T35" s="1128">
        <f>SUM(L6:L19)</f>
        <v>33.807732266277938</v>
      </c>
      <c r="U35" s="1078">
        <f>S35+T35+V35</f>
        <v>413.20918081663814</v>
      </c>
      <c r="V35" s="1049">
        <f>SUM(L37:L38)</f>
        <v>0.5343461538461538</v>
      </c>
    </row>
    <row r="36" spans="1:23" ht="47.25"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62"/>
      <c r="B37" s="772" t="s">
        <v>686</v>
      </c>
      <c r="C37" s="773" t="s">
        <v>14</v>
      </c>
      <c r="D37" s="774">
        <v>7.0000000000000007E-2</v>
      </c>
      <c r="E37" s="772">
        <f>$AD$1</f>
        <v>66</v>
      </c>
      <c r="F37" s="772">
        <f>D37*E37</f>
        <v>4.62</v>
      </c>
      <c r="H37" s="772">
        <f>F37</f>
        <v>4.62</v>
      </c>
      <c r="I37" s="772">
        <f>VLOOKUP(B37,All_Ingredients!$A$1:$F$156,6,FALSE())</f>
        <v>0.65</v>
      </c>
      <c r="J37" s="772">
        <f>VLOOKUP(B37,All_Ingredients!$A$1:$J$156,10,FALSE())</f>
        <v>45</v>
      </c>
      <c r="K37" s="772">
        <f>(H37/I37)/1000</f>
        <v>7.1076923076923071E-3</v>
      </c>
      <c r="L37" s="772">
        <f t="shared" ref="L37" si="7">K37*J37</f>
        <v>0.31984615384615384</v>
      </c>
    </row>
    <row r="38" spans="1:23" x14ac:dyDescent="0.25">
      <c r="A38" s="62"/>
      <c r="B38" s="772" t="s">
        <v>19</v>
      </c>
      <c r="C38" s="773" t="s">
        <v>14</v>
      </c>
      <c r="D38" s="774">
        <v>1</v>
      </c>
      <c r="E38" s="772">
        <f>$AD$1</f>
        <v>66</v>
      </c>
      <c r="F38" s="772">
        <f>D38*E38</f>
        <v>66</v>
      </c>
      <c r="H38" s="772">
        <f>F38</f>
        <v>66</v>
      </c>
      <c r="I38" s="772">
        <f>VLOOKUP(B38,All_Ingredients!$A$1:$F$156,6,FALSE())</f>
        <v>0.8</v>
      </c>
      <c r="J38" s="772">
        <f>VLOOKUP(B38,All_Ingredients!$A$1:$J$156,10,FALSE())</f>
        <v>2.6</v>
      </c>
      <c r="K38" s="772">
        <f>(H38/I38)/1000</f>
        <v>8.2500000000000004E-2</v>
      </c>
      <c r="L38" s="772">
        <f t="shared" ref="L38" si="8">K38*J38</f>
        <v>0.21450000000000002</v>
      </c>
    </row>
    <row r="39" spans="1:23" x14ac:dyDescent="0.25">
      <c r="A39" s="62"/>
    </row>
    <row r="40" spans="1:23" ht="15" customHeight="1" x14ac:dyDescent="0.25">
      <c r="A40" s="62"/>
      <c r="Q40" s="14"/>
      <c r="R40" s="146" t="s">
        <v>270</v>
      </c>
      <c r="S40" s="147">
        <v>0.76923076923076905</v>
      </c>
      <c r="T40" s="146" t="s">
        <v>271</v>
      </c>
      <c r="U40" s="148">
        <v>0.230769230769231</v>
      </c>
      <c r="V40" s="149">
        <f>S40+U40</f>
        <v>1</v>
      </c>
      <c r="W40" s="14"/>
    </row>
    <row r="41" spans="1:23" ht="14.25" customHeight="1" x14ac:dyDescent="0.25">
      <c r="A41" s="62"/>
      <c r="Q41" s="14"/>
      <c r="R41" s="14"/>
      <c r="S41" s="14"/>
      <c r="T41" s="14"/>
      <c r="V41" s="14"/>
      <c r="W41" s="14"/>
    </row>
    <row r="42" spans="1:23" ht="14.25" customHeight="1" x14ac:dyDescent="0.25">
      <c r="A42" s="62"/>
      <c r="Q42" s="14"/>
      <c r="R42" s="14"/>
      <c r="S42" s="14"/>
      <c r="T42" s="150"/>
      <c r="U42" s="14"/>
      <c r="V42" s="14"/>
      <c r="W42" s="14"/>
    </row>
    <row r="43" spans="1:23" ht="14.25" customHeight="1" x14ac:dyDescent="0.25">
      <c r="A43" s="62"/>
      <c r="Q43" s="151" t="s">
        <v>272</v>
      </c>
      <c r="R43" s="151" t="s">
        <v>273</v>
      </c>
      <c r="S43" s="151" t="s">
        <v>274</v>
      </c>
      <c r="T43" s="151" t="s">
        <v>275</v>
      </c>
      <c r="U43" s="151" t="s">
        <v>276</v>
      </c>
      <c r="V43" s="151" t="s">
        <v>277</v>
      </c>
      <c r="W43" s="235" t="s">
        <v>278</v>
      </c>
    </row>
    <row r="44" spans="1:23" ht="14.25" customHeight="1" x14ac:dyDescent="0.25">
      <c r="A44" s="62"/>
      <c r="Q44" s="153">
        <v>15854</v>
      </c>
      <c r="R44" s="154">
        <f>D51</f>
        <v>10000</v>
      </c>
      <c r="S44" s="155">
        <v>0.36586200000000002</v>
      </c>
      <c r="T44" s="155">
        <v>0.63415999999999995</v>
      </c>
      <c r="U44" s="220">
        <f>R44*S44</f>
        <v>3658.6200000000003</v>
      </c>
      <c r="V44" s="157">
        <f>R44*T44</f>
        <v>6341.5999999999995</v>
      </c>
      <c r="W44" s="237">
        <f>Q44-U44</f>
        <v>12195.38</v>
      </c>
    </row>
    <row r="45" spans="1:23" x14ac:dyDescent="0.25">
      <c r="A45" s="62"/>
    </row>
    <row r="46" spans="1:23" x14ac:dyDescent="0.25">
      <c r="A46" s="62"/>
    </row>
    <row r="47" spans="1:23" x14ac:dyDescent="0.25">
      <c r="A47" s="62"/>
    </row>
    <row r="48" spans="1:23" x14ac:dyDescent="0.25">
      <c r="A48" s="62"/>
    </row>
    <row r="49" spans="1:10" x14ac:dyDescent="0.25">
      <c r="A49" s="62"/>
    </row>
    <row r="50" spans="1:10" x14ac:dyDescent="0.25">
      <c r="A50" s="62"/>
      <c r="B50" s="126"/>
      <c r="C50" s="126" t="s">
        <v>233</v>
      </c>
      <c r="D50" s="126" t="s">
        <v>279</v>
      </c>
      <c r="E50" s="371"/>
      <c r="F50" s="84"/>
      <c r="G50" s="126" t="s">
        <v>280</v>
      </c>
      <c r="H50" s="126" t="s">
        <v>233</v>
      </c>
      <c r="I50" s="126" t="s">
        <v>281</v>
      </c>
      <c r="J50" s="126" t="s">
        <v>282</v>
      </c>
    </row>
    <row r="51" spans="1:10" ht="18" customHeight="1" x14ac:dyDescent="0.25">
      <c r="A51" s="62"/>
      <c r="B51" s="161" t="s">
        <v>283</v>
      </c>
      <c r="C51" s="162">
        <f>10/$K$1</f>
        <v>10.204081632653061</v>
      </c>
      <c r="D51" s="163">
        <f>$C$1*10</f>
        <v>10000</v>
      </c>
      <c r="E51" s="164"/>
      <c r="F51" s="84"/>
      <c r="G51" s="161" t="s">
        <v>283</v>
      </c>
      <c r="H51" s="254">
        <f>I51/$D$5</f>
        <v>10</v>
      </c>
      <c r="I51" s="162">
        <f>J51/$R$1</f>
        <v>23912.509803921566</v>
      </c>
      <c r="J51" s="162">
        <f>$W$44</f>
        <v>12195.38</v>
      </c>
    </row>
    <row r="52" spans="1:10" ht="19.5" customHeight="1" x14ac:dyDescent="0.25">
      <c r="A52" s="62"/>
      <c r="B52" s="209" t="s">
        <v>262</v>
      </c>
      <c r="C52" s="210">
        <f>$I$1</f>
        <v>6.1918367346938785</v>
      </c>
      <c r="D52" s="211">
        <f>$E$1</f>
        <v>6068.0000000000018</v>
      </c>
      <c r="E52" s="84"/>
      <c r="F52" s="84"/>
      <c r="G52" s="129" t="s">
        <v>262</v>
      </c>
      <c r="H52" s="190">
        <f>I52/$D$5</f>
        <v>6.0678716038368616</v>
      </c>
      <c r="I52" s="157">
        <f>J52/$R$1</f>
        <v>14509.803921568624</v>
      </c>
      <c r="J52" s="165">
        <f>$S$32</f>
        <v>7399.9999999999982</v>
      </c>
    </row>
    <row r="53" spans="1:10" x14ac:dyDescent="0.25">
      <c r="A53" s="62"/>
      <c r="B53" s="209" t="s">
        <v>284</v>
      </c>
      <c r="C53" s="212">
        <f>MIN(C52, C51)</f>
        <v>6.1918367346938785</v>
      </c>
      <c r="D53" s="211">
        <f>(C53*$K$1)*$C$1</f>
        <v>6068.0000000000018</v>
      </c>
      <c r="E53" s="84"/>
      <c r="F53" s="84"/>
      <c r="G53" s="129" t="s">
        <v>284</v>
      </c>
      <c r="H53" s="168">
        <f>MIN(H52,H51)</f>
        <v>6.0678716038368616</v>
      </c>
      <c r="I53" s="157">
        <f>J53/$R$1</f>
        <v>14509.803921568624</v>
      </c>
      <c r="J53" s="157">
        <f>MIN(J52,J51)</f>
        <v>7399.9999999999982</v>
      </c>
    </row>
    <row r="54" spans="1:10" x14ac:dyDescent="0.25">
      <c r="A54" s="6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62"/>
    </row>
    <row r="57" spans="1:10" x14ac:dyDescent="0.25">
      <c r="A57" s="62"/>
    </row>
    <row r="58" spans="1:10" x14ac:dyDescent="0.25">
      <c r="A58" s="62"/>
    </row>
    <row r="59" spans="1:10" x14ac:dyDescent="0.25">
      <c r="A59" s="62"/>
    </row>
    <row r="60" spans="1:10" x14ac:dyDescent="0.25">
      <c r="A60" s="62"/>
    </row>
    <row r="61" spans="1:10" x14ac:dyDescent="0.25">
      <c r="A61" s="62"/>
    </row>
    <row r="62" spans="1:10" ht="18" customHeight="1" x14ac:dyDescent="0.25">
      <c r="A62" s="1456"/>
      <c r="B62" s="1636" t="str">
        <f>"  لحم مختوم 1 / " &amp; COUNTIF($C$53:$C$55, "&gt;0")</f>
        <v xml:space="preserve">  لحم مختوم 1 / 1</v>
      </c>
      <c r="C62" s="1637"/>
      <c r="D62" s="1637"/>
      <c r="E62" s="1637"/>
      <c r="F62" s="1637"/>
      <c r="G62" s="1637"/>
      <c r="H62" s="1637"/>
    </row>
    <row r="63" spans="1:10" ht="18" customHeight="1" x14ac:dyDescent="0.25">
      <c r="A63" s="1456"/>
      <c r="B63" s="1687" t="str">
        <f>" Mkhtoum Lahm 1  / " &amp; COUNTIF($C$53:$C$55, "&gt;0")</f>
        <v xml:space="preserve"> Mkhtoum Lahm 1  / 1</v>
      </c>
      <c r="C63" s="1635"/>
      <c r="D63" s="1635"/>
      <c r="E63" s="1635"/>
      <c r="F63" s="1635"/>
      <c r="G63" s="1635"/>
      <c r="H63" s="1635"/>
    </row>
    <row r="64" spans="1:10" ht="44.25" customHeight="1" x14ac:dyDescent="0.2">
      <c r="A64" s="1457"/>
      <c r="B64" s="75" t="s">
        <v>241</v>
      </c>
      <c r="C64" s="90" t="s">
        <v>242</v>
      </c>
      <c r="D64" s="75" t="s">
        <v>231</v>
      </c>
      <c r="E64" s="91" t="s">
        <v>234</v>
      </c>
      <c r="F64" s="91" t="s">
        <v>243</v>
      </c>
      <c r="G64" s="75" t="s">
        <v>244</v>
      </c>
      <c r="H64" s="92" t="s">
        <v>245</v>
      </c>
    </row>
    <row r="65" spans="1:8" ht="14.25" customHeight="1" x14ac:dyDescent="0.25">
      <c r="A65" s="1455"/>
      <c r="B65" s="299" t="str">
        <f t="shared" ref="B65:D79" si="9">B5</f>
        <v>Indian Meat Alana  - لحم هندى ألانا</v>
      </c>
      <c r="C65" s="299" t="str">
        <f t="shared" si="9"/>
        <v>gm</v>
      </c>
      <c r="D65" s="300">
        <f t="shared" si="9"/>
        <v>2391.2509803921566</v>
      </c>
      <c r="E65" s="258">
        <f>H53</f>
        <v>6.0678716038368616</v>
      </c>
      <c r="F65" s="109">
        <f t="shared" ref="F65:F79" si="10">F5</f>
        <v>1</v>
      </c>
      <c r="G65" s="101">
        <f t="shared" ref="G65:G79" si="11">D65*E65</f>
        <v>14509.803921568624</v>
      </c>
      <c r="H65" s="102">
        <f t="shared" ref="H65:H79" si="12">G65*F65</f>
        <v>14509.803921568624</v>
      </c>
    </row>
    <row r="66" spans="1:8" ht="14.25" customHeight="1" x14ac:dyDescent="0.25">
      <c r="A66" s="1455"/>
      <c r="B66" s="299" t="str">
        <f t="shared" si="9"/>
        <v>Onion - بصل</v>
      </c>
      <c r="C66" s="299" t="str">
        <f t="shared" si="9"/>
        <v>gm</v>
      </c>
      <c r="D66" s="299">
        <f t="shared" si="9"/>
        <v>300</v>
      </c>
      <c r="E66" s="258">
        <f t="shared" ref="E66:E79" si="13">$C$53</f>
        <v>6.1918367346938785</v>
      </c>
      <c r="F66" s="109">
        <f t="shared" si="10"/>
        <v>1</v>
      </c>
      <c r="G66" s="101">
        <f t="shared" si="11"/>
        <v>1857.5510204081636</v>
      </c>
      <c r="H66" s="102">
        <f t="shared" si="12"/>
        <v>1857.5510204081636</v>
      </c>
    </row>
    <row r="67" spans="1:8" ht="14.25" customHeight="1" x14ac:dyDescent="0.25">
      <c r="A67" s="1455" t="s">
        <v>909</v>
      </c>
      <c r="B67" s="299" t="str">
        <f t="shared" si="9"/>
        <v>Tomato - طماطم</v>
      </c>
      <c r="C67" s="299" t="str">
        <f t="shared" si="9"/>
        <v>gm</v>
      </c>
      <c r="D67" s="299">
        <f t="shared" si="9"/>
        <v>200</v>
      </c>
      <c r="E67" s="258">
        <f t="shared" si="13"/>
        <v>6.1918367346938785</v>
      </c>
      <c r="F67" s="109">
        <f t="shared" si="10"/>
        <v>1</v>
      </c>
      <c r="G67" s="101">
        <f t="shared" si="11"/>
        <v>1238.3673469387757</v>
      </c>
      <c r="H67" s="102">
        <f t="shared" si="12"/>
        <v>1238.3673469387757</v>
      </c>
    </row>
    <row r="68" spans="1:8" ht="14.25" customHeight="1" x14ac:dyDescent="0.25">
      <c r="A68" s="1455" t="s">
        <v>907</v>
      </c>
      <c r="B68" s="299" t="str">
        <f t="shared" si="9"/>
        <v>Garlic - ثوم مقشر</v>
      </c>
      <c r="C68" s="299" t="str">
        <f t="shared" si="9"/>
        <v>gm</v>
      </c>
      <c r="D68" s="299">
        <f t="shared" si="9"/>
        <v>35</v>
      </c>
      <c r="E68" s="258">
        <f t="shared" si="13"/>
        <v>6.1918367346938785</v>
      </c>
      <c r="F68" s="109">
        <f t="shared" si="10"/>
        <v>1</v>
      </c>
      <c r="G68" s="101">
        <f t="shared" si="11"/>
        <v>216.71428571428575</v>
      </c>
      <c r="H68" s="102">
        <f t="shared" si="12"/>
        <v>216.71428571428575</v>
      </c>
    </row>
    <row r="69" spans="1:8" ht="14.25" customHeight="1" x14ac:dyDescent="0.25">
      <c r="A69" s="1455"/>
      <c r="B69" s="299" t="str">
        <f t="shared" si="9"/>
        <v>Black Pepper Powder - فلفل أسود مطحون</v>
      </c>
      <c r="C69" s="299" t="str">
        <f t="shared" si="9"/>
        <v>gm</v>
      </c>
      <c r="D69" s="299">
        <f t="shared" si="9"/>
        <v>3</v>
      </c>
      <c r="E69" s="258">
        <f t="shared" si="13"/>
        <v>6.1918367346938785</v>
      </c>
      <c r="F69" s="109">
        <f t="shared" si="10"/>
        <v>1</v>
      </c>
      <c r="G69" s="101">
        <f t="shared" si="11"/>
        <v>18.575510204081635</v>
      </c>
      <c r="H69" s="102">
        <f t="shared" si="12"/>
        <v>18.575510204081635</v>
      </c>
    </row>
    <row r="70" spans="1:8" ht="14.25" customHeight="1" x14ac:dyDescent="0.25">
      <c r="A70" s="1455"/>
      <c r="B70" s="299" t="str">
        <f t="shared" si="9"/>
        <v>Cumin Powder - كمون مطحون</v>
      </c>
      <c r="C70" s="299" t="str">
        <f t="shared" si="9"/>
        <v>gm</v>
      </c>
      <c r="D70" s="299">
        <f t="shared" si="9"/>
        <v>5</v>
      </c>
      <c r="E70" s="258">
        <f t="shared" si="13"/>
        <v>6.1918367346938785</v>
      </c>
      <c r="F70" s="109">
        <f t="shared" si="10"/>
        <v>0.75</v>
      </c>
      <c r="G70" s="101">
        <f t="shared" si="11"/>
        <v>30.959183673469393</v>
      </c>
      <c r="H70" s="102">
        <f t="shared" si="12"/>
        <v>23.219387755102044</v>
      </c>
    </row>
    <row r="71" spans="1:8" ht="14.25" customHeight="1" x14ac:dyDescent="0.25">
      <c r="A71" s="1455"/>
      <c r="B71" s="299" t="str">
        <f t="shared" si="9"/>
        <v>Coriander Powder - كزبرة مطحونة</v>
      </c>
      <c r="C71" s="299" t="str">
        <f t="shared" si="9"/>
        <v>gm</v>
      </c>
      <c r="D71" s="299">
        <f t="shared" si="9"/>
        <v>5</v>
      </c>
      <c r="E71" s="258">
        <f t="shared" si="13"/>
        <v>6.1918367346938785</v>
      </c>
      <c r="F71" s="109">
        <f t="shared" si="10"/>
        <v>0.75</v>
      </c>
      <c r="G71" s="101">
        <f t="shared" si="11"/>
        <v>30.959183673469393</v>
      </c>
      <c r="H71" s="102">
        <f t="shared" si="12"/>
        <v>23.219387755102044</v>
      </c>
    </row>
    <row r="72" spans="1:8" ht="14.25" customHeight="1" x14ac:dyDescent="0.25">
      <c r="A72" s="1455"/>
      <c r="B72" s="299" t="str">
        <f t="shared" si="9"/>
        <v>Cinnamon Powder - قرفة مطحونة</v>
      </c>
      <c r="C72" s="299" t="str">
        <f t="shared" si="9"/>
        <v>gm</v>
      </c>
      <c r="D72" s="299">
        <f t="shared" si="9"/>
        <v>6</v>
      </c>
      <c r="E72" s="258">
        <f t="shared" si="13"/>
        <v>6.1918367346938785</v>
      </c>
      <c r="F72" s="109">
        <f t="shared" si="10"/>
        <v>0.75</v>
      </c>
      <c r="G72" s="101">
        <f t="shared" si="11"/>
        <v>37.151020408163269</v>
      </c>
      <c r="H72" s="102">
        <f t="shared" si="12"/>
        <v>27.86326530612245</v>
      </c>
    </row>
    <row r="73" spans="1:8" ht="14.25" customHeight="1" x14ac:dyDescent="0.25">
      <c r="A73" s="1455"/>
      <c r="B73" s="299" t="str">
        <f t="shared" si="9"/>
        <v>Salt - ملح</v>
      </c>
      <c r="C73" s="299" t="str">
        <f t="shared" si="9"/>
        <v>gm</v>
      </c>
      <c r="D73" s="299">
        <f t="shared" si="9"/>
        <v>11</v>
      </c>
      <c r="E73" s="258">
        <f t="shared" si="13"/>
        <v>6.1918367346938785</v>
      </c>
      <c r="F73" s="109">
        <f t="shared" si="10"/>
        <v>0.75</v>
      </c>
      <c r="G73" s="101">
        <f t="shared" si="11"/>
        <v>68.110204081632659</v>
      </c>
      <c r="H73" s="102">
        <f t="shared" si="12"/>
        <v>51.082653061224491</v>
      </c>
    </row>
    <row r="74" spans="1:8" ht="14.25" customHeight="1" x14ac:dyDescent="0.25">
      <c r="A74" s="1455"/>
      <c r="B74" s="299" t="str">
        <f t="shared" si="9"/>
        <v>Tomato Paste - صلصة طماطم</v>
      </c>
      <c r="C74" s="299" t="str">
        <f t="shared" si="9"/>
        <v>gm</v>
      </c>
      <c r="D74" s="299">
        <f t="shared" si="9"/>
        <v>300</v>
      </c>
      <c r="E74" s="258">
        <f t="shared" si="13"/>
        <v>6.1918367346938785</v>
      </c>
      <c r="F74" s="109">
        <f t="shared" si="10"/>
        <v>1</v>
      </c>
      <c r="G74" s="101">
        <f t="shared" si="11"/>
        <v>1857.5510204081636</v>
      </c>
      <c r="H74" s="102">
        <f t="shared" si="12"/>
        <v>1857.5510204081636</v>
      </c>
    </row>
    <row r="75" spans="1:8" ht="14.25" customHeight="1" x14ac:dyDescent="0.25">
      <c r="A75" s="1455"/>
      <c r="B75" s="299" t="str">
        <f t="shared" si="9"/>
        <v>Beef Stock - مرق لحم بقري</v>
      </c>
      <c r="C75" s="299" t="str">
        <f t="shared" si="9"/>
        <v>gm</v>
      </c>
      <c r="D75" s="299">
        <f t="shared" si="9"/>
        <v>500</v>
      </c>
      <c r="E75" s="258">
        <f t="shared" si="13"/>
        <v>6.1918367346938785</v>
      </c>
      <c r="F75" s="109">
        <f t="shared" si="10"/>
        <v>1</v>
      </c>
      <c r="G75" s="101">
        <f t="shared" si="11"/>
        <v>3095.9183673469392</v>
      </c>
      <c r="H75" s="102">
        <f t="shared" si="12"/>
        <v>3095.9183673469392</v>
      </c>
    </row>
    <row r="76" spans="1:8" ht="14.25" customHeight="1" x14ac:dyDescent="0.25">
      <c r="A76" s="1455"/>
      <c r="B76" s="299" t="str">
        <f t="shared" si="9"/>
        <v>Butter - زبدة</v>
      </c>
      <c r="C76" s="299" t="str">
        <f t="shared" si="9"/>
        <v>gm</v>
      </c>
      <c r="D76" s="299">
        <f t="shared" si="9"/>
        <v>15</v>
      </c>
      <c r="E76" s="372">
        <f t="shared" si="13"/>
        <v>6.1918367346938785</v>
      </c>
      <c r="F76" s="109">
        <f t="shared" si="10"/>
        <v>1</v>
      </c>
      <c r="G76" s="101">
        <f t="shared" si="11"/>
        <v>92.877551020408177</v>
      </c>
      <c r="H76" s="102">
        <f t="shared" si="12"/>
        <v>92.877551020408177</v>
      </c>
    </row>
    <row r="77" spans="1:8" ht="14.25" customHeight="1" x14ac:dyDescent="0.25">
      <c r="A77" s="1455"/>
      <c r="B77" s="299" t="str">
        <f t="shared" si="9"/>
        <v>Maggi Cubes - مكعبات ماجي</v>
      </c>
      <c r="C77" s="299" t="str">
        <f t="shared" si="9"/>
        <v>gm</v>
      </c>
      <c r="D77" s="299">
        <f t="shared" si="9"/>
        <v>10</v>
      </c>
      <c r="E77" s="372">
        <f t="shared" si="13"/>
        <v>6.1918367346938785</v>
      </c>
      <c r="F77" s="109">
        <f t="shared" si="10"/>
        <v>0.75</v>
      </c>
      <c r="G77" s="101">
        <f t="shared" si="11"/>
        <v>61.918367346938787</v>
      </c>
      <c r="H77" s="102">
        <f t="shared" si="12"/>
        <v>46.438775510204088</v>
      </c>
    </row>
    <row r="78" spans="1:8" ht="14.25" customHeight="1" x14ac:dyDescent="0.25">
      <c r="A78" s="1455"/>
      <c r="B78" s="299" t="str">
        <f t="shared" si="9"/>
        <v>Corn Starch - نشا ذرة</v>
      </c>
      <c r="C78" s="299" t="str">
        <f t="shared" si="9"/>
        <v>gm</v>
      </c>
      <c r="D78" s="299">
        <f t="shared" si="9"/>
        <v>60</v>
      </c>
      <c r="E78" s="258">
        <f t="shared" si="13"/>
        <v>6.1918367346938785</v>
      </c>
      <c r="F78" s="109">
        <f t="shared" si="10"/>
        <v>0.75</v>
      </c>
      <c r="G78" s="101">
        <f t="shared" si="11"/>
        <v>371.51020408163271</v>
      </c>
      <c r="H78" s="102">
        <f t="shared" si="12"/>
        <v>278.63265306122452</v>
      </c>
    </row>
    <row r="79" spans="1:8" ht="14.25" customHeight="1" x14ac:dyDescent="0.25">
      <c r="A79" s="1455"/>
      <c r="B79" s="299" t="str">
        <f t="shared" si="9"/>
        <v>Salt - ملح</v>
      </c>
      <c r="C79" s="299" t="str">
        <f t="shared" si="9"/>
        <v>gm</v>
      </c>
      <c r="D79" s="299">
        <f t="shared" si="9"/>
        <v>5</v>
      </c>
      <c r="E79" s="258">
        <f t="shared" si="13"/>
        <v>6.1918367346938785</v>
      </c>
      <c r="F79" s="109">
        <f t="shared" si="10"/>
        <v>1</v>
      </c>
      <c r="G79" s="101">
        <f t="shared" si="11"/>
        <v>30.959183673469393</v>
      </c>
      <c r="H79" s="102">
        <f t="shared" si="12"/>
        <v>30.959183673469393</v>
      </c>
    </row>
    <row r="80" spans="1:8" ht="20.25" customHeight="1" x14ac:dyDescent="0.25">
      <c r="A80" s="1458"/>
      <c r="B80" s="178" t="s">
        <v>287</v>
      </c>
      <c r="C80" s="180" t="s">
        <v>273</v>
      </c>
      <c r="D80" s="14"/>
      <c r="E80" s="180" t="s">
        <v>288</v>
      </c>
      <c r="F80" s="14"/>
      <c r="G80" s="804" t="s">
        <v>264</v>
      </c>
      <c r="H80" s="804" t="s">
        <v>673</v>
      </c>
    </row>
    <row r="81" spans="1:8" ht="22.5" customHeight="1" x14ac:dyDescent="0.3">
      <c r="A81" s="1458"/>
      <c r="B81" s="179">
        <f>$J$53</f>
        <v>7399.9999999999982</v>
      </c>
      <c r="C81" s="179">
        <f>E81+G81</f>
        <v>6068.1334960000022</v>
      </c>
      <c r="D81" s="839"/>
      <c r="E81" s="179">
        <f>$D$53*$S$44</f>
        <v>2220.0506160000009</v>
      </c>
      <c r="F81" s="843"/>
      <c r="G81" s="179">
        <f>$D$53*$T$44</f>
        <v>3848.0828800000008</v>
      </c>
      <c r="H81" s="179">
        <f>B81+E81</f>
        <v>9620.0506159999986</v>
      </c>
    </row>
    <row r="82" spans="1:8" ht="14.25" customHeight="1" x14ac:dyDescent="0.25">
      <c r="A82" s="62"/>
      <c r="B82" s="84"/>
      <c r="E82" s="84"/>
      <c r="F82" s="84"/>
    </row>
    <row r="83" spans="1:8" ht="14.25" customHeight="1" x14ac:dyDescent="0.25">
      <c r="A83" s="62"/>
      <c r="B83" s="84"/>
      <c r="E83" s="84"/>
      <c r="F83" s="84"/>
    </row>
    <row r="84" spans="1:8" ht="18" customHeight="1" x14ac:dyDescent="0.25">
      <c r="A84" s="1456"/>
      <c r="B84" s="1636" t="str">
        <f>"  لحم مختوم 2 / " &amp; COUNTIF($C$53:$C$55, "&gt;0")</f>
        <v xml:space="preserve">  لحم مختوم 2 / 1</v>
      </c>
      <c r="C84" s="1637"/>
      <c r="D84" s="1637"/>
      <c r="E84" s="1637"/>
      <c r="F84" s="1637"/>
      <c r="G84" s="1637"/>
      <c r="H84" s="1637"/>
    </row>
    <row r="85" spans="1:8" ht="18" customHeight="1" x14ac:dyDescent="0.25">
      <c r="A85" s="1456"/>
      <c r="B85" s="1687" t="str">
        <f>" Mkhtoum Lahm 2  / " &amp; COUNTIF($C$53:$C$55, "&gt;0")</f>
        <v xml:space="preserve"> Mkhtoum Lahm 2  / 1</v>
      </c>
      <c r="C85" s="1635"/>
      <c r="D85" s="1635"/>
      <c r="E85" s="1635"/>
      <c r="F85" s="1635"/>
      <c r="G85" s="1635"/>
      <c r="H85" s="1635"/>
    </row>
    <row r="86" spans="1:8" ht="45" customHeight="1" x14ac:dyDescent="0.2">
      <c r="A86" s="1457"/>
      <c r="B86" s="75" t="s">
        <v>241</v>
      </c>
      <c r="C86" s="90" t="s">
        <v>242</v>
      </c>
      <c r="D86" s="75" t="s">
        <v>231</v>
      </c>
      <c r="E86" s="91" t="s">
        <v>234</v>
      </c>
      <c r="F86" s="91" t="s">
        <v>243</v>
      </c>
      <c r="G86" s="75" t="s">
        <v>244</v>
      </c>
      <c r="H86" s="92" t="s">
        <v>245</v>
      </c>
    </row>
    <row r="87" spans="1:8" ht="14.25" customHeight="1" x14ac:dyDescent="0.25">
      <c r="A87" s="1455"/>
      <c r="B87" s="105" t="str">
        <f t="shared" ref="B87:D101" si="14">B5</f>
        <v>Indian Meat Alana  - لحم هندى ألانا</v>
      </c>
      <c r="C87" s="105" t="str">
        <f t="shared" si="14"/>
        <v>gm</v>
      </c>
      <c r="D87" s="105">
        <f t="shared" si="14"/>
        <v>2391.2509803921566</v>
      </c>
      <c r="E87" s="201">
        <f>H54</f>
        <v>0</v>
      </c>
      <c r="F87" s="109">
        <f t="shared" ref="F87:F101" si="15">F5</f>
        <v>1</v>
      </c>
      <c r="G87" s="101">
        <f t="shared" ref="G87:G101" si="16">D87*E87</f>
        <v>0</v>
      </c>
      <c r="H87" s="102">
        <f t="shared" ref="H87:H101" si="17">G87*F87</f>
        <v>0</v>
      </c>
    </row>
    <row r="88" spans="1:8" ht="14.25" customHeight="1" x14ac:dyDescent="0.25">
      <c r="A88" s="1455"/>
      <c r="B88" s="105" t="str">
        <f t="shared" si="14"/>
        <v>Onion - بصل</v>
      </c>
      <c r="C88" s="105" t="str">
        <f t="shared" si="14"/>
        <v>gm</v>
      </c>
      <c r="D88" s="105">
        <f t="shared" si="14"/>
        <v>300</v>
      </c>
      <c r="E88" s="201">
        <f t="shared" ref="E88:E101" si="18">$C$54</f>
        <v>0</v>
      </c>
      <c r="F88" s="109">
        <f t="shared" si="15"/>
        <v>1</v>
      </c>
      <c r="G88" s="101">
        <f t="shared" si="16"/>
        <v>0</v>
      </c>
      <c r="H88" s="102">
        <f t="shared" si="17"/>
        <v>0</v>
      </c>
    </row>
    <row r="89" spans="1:8" ht="14.25" customHeight="1" x14ac:dyDescent="0.25">
      <c r="A89" s="1455" t="s">
        <v>909</v>
      </c>
      <c r="B89" s="105" t="str">
        <f t="shared" si="14"/>
        <v>Tomato - طماطم</v>
      </c>
      <c r="C89" s="105" t="str">
        <f t="shared" si="14"/>
        <v>gm</v>
      </c>
      <c r="D89" s="105">
        <f t="shared" si="14"/>
        <v>200</v>
      </c>
      <c r="E89" s="201">
        <f t="shared" si="18"/>
        <v>0</v>
      </c>
      <c r="F89" s="109">
        <f t="shared" si="15"/>
        <v>1</v>
      </c>
      <c r="G89" s="101">
        <f t="shared" si="16"/>
        <v>0</v>
      </c>
      <c r="H89" s="102">
        <f t="shared" si="17"/>
        <v>0</v>
      </c>
    </row>
    <row r="90" spans="1:8" ht="14.25" customHeight="1" x14ac:dyDescent="0.25">
      <c r="A90" s="1455" t="s">
        <v>907</v>
      </c>
      <c r="B90" s="105" t="str">
        <f t="shared" si="14"/>
        <v>Garlic - ثوم مقشر</v>
      </c>
      <c r="C90" s="105" t="str">
        <f t="shared" si="14"/>
        <v>gm</v>
      </c>
      <c r="D90" s="105">
        <f t="shared" si="14"/>
        <v>35</v>
      </c>
      <c r="E90" s="201">
        <f t="shared" si="18"/>
        <v>0</v>
      </c>
      <c r="F90" s="109">
        <f t="shared" si="15"/>
        <v>1</v>
      </c>
      <c r="G90" s="101">
        <f t="shared" si="16"/>
        <v>0</v>
      </c>
      <c r="H90" s="102">
        <f t="shared" si="17"/>
        <v>0</v>
      </c>
    </row>
    <row r="91" spans="1:8" ht="14.25" customHeight="1" x14ac:dyDescent="0.25">
      <c r="A91" s="1455"/>
      <c r="B91" s="105" t="str">
        <f t="shared" si="14"/>
        <v>Black Pepper Powder - فلفل أسود مطحون</v>
      </c>
      <c r="C91" s="105" t="str">
        <f t="shared" si="14"/>
        <v>gm</v>
      </c>
      <c r="D91" s="105">
        <f t="shared" si="14"/>
        <v>3</v>
      </c>
      <c r="E91" s="201">
        <f t="shared" si="18"/>
        <v>0</v>
      </c>
      <c r="F91" s="109">
        <f t="shared" si="15"/>
        <v>1</v>
      </c>
      <c r="G91" s="101">
        <f t="shared" si="16"/>
        <v>0</v>
      </c>
      <c r="H91" s="102">
        <f t="shared" si="17"/>
        <v>0</v>
      </c>
    </row>
    <row r="92" spans="1:8" ht="14.25" customHeight="1" x14ac:dyDescent="0.25">
      <c r="A92" s="1455"/>
      <c r="B92" s="105" t="str">
        <f t="shared" si="14"/>
        <v>Cumin Powder - كمون مطحون</v>
      </c>
      <c r="C92" s="105" t="str">
        <f t="shared" si="14"/>
        <v>gm</v>
      </c>
      <c r="D92" s="105">
        <f t="shared" si="14"/>
        <v>5</v>
      </c>
      <c r="E92" s="201">
        <f t="shared" si="18"/>
        <v>0</v>
      </c>
      <c r="F92" s="109">
        <f t="shared" si="15"/>
        <v>0.75</v>
      </c>
      <c r="G92" s="101">
        <f t="shared" si="16"/>
        <v>0</v>
      </c>
      <c r="H92" s="102">
        <f t="shared" si="17"/>
        <v>0</v>
      </c>
    </row>
    <row r="93" spans="1:8" ht="14.25" customHeight="1" x14ac:dyDescent="0.25">
      <c r="A93" s="1455"/>
      <c r="B93" s="105" t="str">
        <f t="shared" si="14"/>
        <v>Coriander Powder - كزبرة مطحونة</v>
      </c>
      <c r="C93" s="105" t="str">
        <f t="shared" si="14"/>
        <v>gm</v>
      </c>
      <c r="D93" s="105">
        <f t="shared" si="14"/>
        <v>5</v>
      </c>
      <c r="E93" s="201">
        <f t="shared" si="18"/>
        <v>0</v>
      </c>
      <c r="F93" s="109">
        <f t="shared" si="15"/>
        <v>0.75</v>
      </c>
      <c r="G93" s="101">
        <f t="shared" si="16"/>
        <v>0</v>
      </c>
      <c r="H93" s="102">
        <f t="shared" si="17"/>
        <v>0</v>
      </c>
    </row>
    <row r="94" spans="1:8" ht="14.25" customHeight="1" x14ac:dyDescent="0.25">
      <c r="A94" s="1455"/>
      <c r="B94" s="105" t="str">
        <f t="shared" si="14"/>
        <v>Cinnamon Powder - قرفة مطحونة</v>
      </c>
      <c r="C94" s="105" t="str">
        <f t="shared" si="14"/>
        <v>gm</v>
      </c>
      <c r="D94" s="105">
        <f t="shared" si="14"/>
        <v>6</v>
      </c>
      <c r="E94" s="201">
        <f t="shared" si="18"/>
        <v>0</v>
      </c>
      <c r="F94" s="109">
        <f t="shared" si="15"/>
        <v>0.75</v>
      </c>
      <c r="G94" s="101">
        <f t="shared" si="16"/>
        <v>0</v>
      </c>
      <c r="H94" s="102">
        <f t="shared" si="17"/>
        <v>0</v>
      </c>
    </row>
    <row r="95" spans="1:8" ht="14.25" customHeight="1" x14ac:dyDescent="0.25">
      <c r="A95" s="1455"/>
      <c r="B95" s="105" t="str">
        <f t="shared" si="14"/>
        <v>Salt - ملح</v>
      </c>
      <c r="C95" s="105" t="str">
        <f t="shared" si="14"/>
        <v>gm</v>
      </c>
      <c r="D95" s="105">
        <f t="shared" si="14"/>
        <v>11</v>
      </c>
      <c r="E95" s="201">
        <f t="shared" si="18"/>
        <v>0</v>
      </c>
      <c r="F95" s="109">
        <f t="shared" si="15"/>
        <v>0.75</v>
      </c>
      <c r="G95" s="101">
        <f t="shared" si="16"/>
        <v>0</v>
      </c>
      <c r="H95" s="102">
        <f t="shared" si="17"/>
        <v>0</v>
      </c>
    </row>
    <row r="96" spans="1:8" ht="14.25" customHeight="1" x14ac:dyDescent="0.25">
      <c r="A96" s="1455"/>
      <c r="B96" s="105" t="str">
        <f t="shared" si="14"/>
        <v>Tomato Paste - صلصة طماطم</v>
      </c>
      <c r="C96" s="105" t="str">
        <f t="shared" si="14"/>
        <v>gm</v>
      </c>
      <c r="D96" s="105">
        <f t="shared" si="14"/>
        <v>300</v>
      </c>
      <c r="E96" s="201">
        <f t="shared" si="18"/>
        <v>0</v>
      </c>
      <c r="F96" s="109">
        <f t="shared" si="15"/>
        <v>1</v>
      </c>
      <c r="G96" s="101">
        <f t="shared" si="16"/>
        <v>0</v>
      </c>
      <c r="H96" s="102">
        <f t="shared" si="17"/>
        <v>0</v>
      </c>
    </row>
    <row r="97" spans="1:8" ht="14.25" customHeight="1" x14ac:dyDescent="0.25">
      <c r="A97" s="1455"/>
      <c r="B97" s="105" t="str">
        <f t="shared" si="14"/>
        <v>Beef Stock - مرق لحم بقري</v>
      </c>
      <c r="C97" s="105" t="str">
        <f t="shared" si="14"/>
        <v>gm</v>
      </c>
      <c r="D97" s="105">
        <f t="shared" si="14"/>
        <v>500</v>
      </c>
      <c r="E97" s="201">
        <f t="shared" si="18"/>
        <v>0</v>
      </c>
      <c r="F97" s="109">
        <f t="shared" si="15"/>
        <v>1</v>
      </c>
      <c r="G97" s="101">
        <f t="shared" si="16"/>
        <v>0</v>
      </c>
      <c r="H97" s="102">
        <f t="shared" si="17"/>
        <v>0</v>
      </c>
    </row>
    <row r="98" spans="1:8" ht="14.25" customHeight="1" x14ac:dyDescent="0.25">
      <c r="A98" s="1455"/>
      <c r="B98" s="105" t="str">
        <f t="shared" si="14"/>
        <v>Butter - زبدة</v>
      </c>
      <c r="C98" s="105" t="str">
        <f t="shared" si="14"/>
        <v>gm</v>
      </c>
      <c r="D98" s="105">
        <f t="shared" si="14"/>
        <v>15</v>
      </c>
      <c r="E98" s="201">
        <f t="shared" si="18"/>
        <v>0</v>
      </c>
      <c r="F98" s="109">
        <f t="shared" si="15"/>
        <v>1</v>
      </c>
      <c r="G98" s="101">
        <f t="shared" si="16"/>
        <v>0</v>
      </c>
      <c r="H98" s="102">
        <f t="shared" si="17"/>
        <v>0</v>
      </c>
    </row>
    <row r="99" spans="1:8" ht="14.25" customHeight="1" x14ac:dyDescent="0.25">
      <c r="A99" s="1455"/>
      <c r="B99" s="105" t="str">
        <f t="shared" si="14"/>
        <v>Maggi Cubes - مكعبات ماجي</v>
      </c>
      <c r="C99" s="105" t="str">
        <f t="shared" si="14"/>
        <v>gm</v>
      </c>
      <c r="D99" s="105">
        <f t="shared" si="14"/>
        <v>10</v>
      </c>
      <c r="E99" s="201">
        <f t="shared" si="18"/>
        <v>0</v>
      </c>
      <c r="F99" s="109">
        <f t="shared" si="15"/>
        <v>0.75</v>
      </c>
      <c r="G99" s="101">
        <f t="shared" si="16"/>
        <v>0</v>
      </c>
      <c r="H99" s="102">
        <f t="shared" si="17"/>
        <v>0</v>
      </c>
    </row>
    <row r="100" spans="1:8" ht="14.25" customHeight="1" x14ac:dyDescent="0.25">
      <c r="A100" s="1455"/>
      <c r="B100" s="105" t="str">
        <f t="shared" si="14"/>
        <v>Corn Starch - نشا ذرة</v>
      </c>
      <c r="C100" s="105" t="str">
        <f t="shared" si="14"/>
        <v>gm</v>
      </c>
      <c r="D100" s="105">
        <f t="shared" si="14"/>
        <v>60</v>
      </c>
      <c r="E100" s="201">
        <f t="shared" si="18"/>
        <v>0</v>
      </c>
      <c r="F100" s="109">
        <f t="shared" si="15"/>
        <v>0.75</v>
      </c>
      <c r="G100" s="101">
        <f t="shared" si="16"/>
        <v>0</v>
      </c>
      <c r="H100" s="102">
        <f t="shared" si="17"/>
        <v>0</v>
      </c>
    </row>
    <row r="101" spans="1:8" ht="14.25" customHeight="1" x14ac:dyDescent="0.25">
      <c r="A101" s="1455"/>
      <c r="B101" s="105" t="str">
        <f t="shared" si="14"/>
        <v>Salt - ملح</v>
      </c>
      <c r="C101" s="105" t="str">
        <f t="shared" si="14"/>
        <v>gm</v>
      </c>
      <c r="D101" s="105">
        <f t="shared" si="14"/>
        <v>5</v>
      </c>
      <c r="E101" s="201">
        <f t="shared" si="18"/>
        <v>0</v>
      </c>
      <c r="F101" s="109">
        <f t="shared" si="15"/>
        <v>1</v>
      </c>
      <c r="G101" s="101">
        <f t="shared" si="16"/>
        <v>0</v>
      </c>
      <c r="H101" s="102">
        <f t="shared" si="17"/>
        <v>0</v>
      </c>
    </row>
    <row r="102" spans="1:8" ht="20.25" customHeight="1" x14ac:dyDescent="0.25">
      <c r="A102" s="1458"/>
      <c r="B102" s="178" t="s">
        <v>287</v>
      </c>
      <c r="C102" s="180" t="s">
        <v>273</v>
      </c>
      <c r="D102" s="14"/>
      <c r="E102" s="180" t="s">
        <v>288</v>
      </c>
      <c r="F102" s="14"/>
      <c r="G102" s="804" t="s">
        <v>264</v>
      </c>
      <c r="H102" s="804" t="s">
        <v>673</v>
      </c>
    </row>
    <row r="103" spans="1:8" ht="20.25" x14ac:dyDescent="0.3">
      <c r="A103" s="1458"/>
      <c r="B103" s="179">
        <f>$J$54</f>
        <v>0</v>
      </c>
      <c r="C103" s="179">
        <f>E103+G103</f>
        <v>0</v>
      </c>
      <c r="D103" s="839"/>
      <c r="E103" s="179">
        <f>$D$54*$S$44</f>
        <v>0</v>
      </c>
      <c r="F103" s="843"/>
      <c r="G103" s="179">
        <f>$D$54*$T$44</f>
        <v>0</v>
      </c>
      <c r="H103" s="179">
        <f>B103+E103</f>
        <v>0</v>
      </c>
    </row>
    <row r="104" spans="1:8" x14ac:dyDescent="0.25">
      <c r="A104" s="62"/>
    </row>
    <row r="105" spans="1:8" ht="18" customHeight="1" x14ac:dyDescent="0.25">
      <c r="A105" s="1479"/>
      <c r="B105" s="1636" t="str">
        <f>"  لحم مختوم3 / " &amp; COUNTIF($C$53:$C$55, "&gt;0")</f>
        <v xml:space="preserve">  لحم مختوم3 / 1</v>
      </c>
      <c r="C105" s="1633"/>
      <c r="D105" s="1633"/>
      <c r="E105" s="1633"/>
      <c r="F105" s="1633"/>
      <c r="G105" s="1633"/>
      <c r="H105" s="1633"/>
    </row>
    <row r="106" spans="1:8" ht="18" customHeight="1" x14ac:dyDescent="0.25">
      <c r="A106" s="1479"/>
      <c r="B106" s="1688" t="str">
        <f>" Mkhtoum Lahm 3  / " &amp; COUNTIF($C$53:$C$55, "&gt;0")</f>
        <v xml:space="preserve"> Mkhtoum Lahm 3  / 1</v>
      </c>
      <c r="C106" s="1639"/>
      <c r="D106" s="1639"/>
      <c r="E106" s="1639"/>
      <c r="F106" s="1639"/>
      <c r="G106" s="1639"/>
      <c r="H106" s="1639"/>
    </row>
    <row r="107" spans="1:8" ht="40.5" customHeight="1" x14ac:dyDescent="0.2">
      <c r="A107" s="1457"/>
      <c r="B107" s="75" t="s">
        <v>241</v>
      </c>
      <c r="C107" s="90" t="s">
        <v>242</v>
      </c>
      <c r="D107" s="75" t="s">
        <v>231</v>
      </c>
      <c r="E107" s="91" t="s">
        <v>234</v>
      </c>
      <c r="F107" s="91" t="s">
        <v>243</v>
      </c>
      <c r="G107" s="75" t="s">
        <v>244</v>
      </c>
      <c r="H107" s="92" t="s">
        <v>245</v>
      </c>
    </row>
    <row r="108" spans="1:8" ht="14.25" customHeight="1" x14ac:dyDescent="0.25">
      <c r="A108" s="1455"/>
      <c r="B108" s="105" t="str">
        <f t="shared" ref="B108:D122" si="19">B5</f>
        <v>Indian Meat Alana  - لحم هندى ألانا</v>
      </c>
      <c r="C108" s="105" t="str">
        <f t="shared" si="19"/>
        <v>gm</v>
      </c>
      <c r="D108" s="240">
        <f t="shared" si="19"/>
        <v>2391.2509803921566</v>
      </c>
      <c r="E108" s="201">
        <f>H55</f>
        <v>0</v>
      </c>
      <c r="F108" s="109">
        <f t="shared" ref="F108:F122" si="20">F5</f>
        <v>1</v>
      </c>
      <c r="G108" s="101">
        <f t="shared" ref="G108:G122" si="21">D108*E108</f>
        <v>0</v>
      </c>
      <c r="H108" s="102">
        <f t="shared" ref="H108:H122" si="22">G108*F108</f>
        <v>0</v>
      </c>
    </row>
    <row r="109" spans="1:8" ht="14.25" customHeight="1" x14ac:dyDescent="0.25">
      <c r="A109" s="1455"/>
      <c r="B109" s="105" t="str">
        <f t="shared" si="19"/>
        <v>Onion - بصل</v>
      </c>
      <c r="C109" s="105" t="str">
        <f t="shared" si="19"/>
        <v>gm</v>
      </c>
      <c r="D109" s="105">
        <f t="shared" si="19"/>
        <v>300</v>
      </c>
      <c r="E109" s="201">
        <f t="shared" ref="E109:E122" si="23">$C$55</f>
        <v>0</v>
      </c>
      <c r="F109" s="109">
        <f t="shared" si="20"/>
        <v>1</v>
      </c>
      <c r="G109" s="101">
        <f t="shared" si="21"/>
        <v>0</v>
      </c>
      <c r="H109" s="102">
        <f t="shared" si="22"/>
        <v>0</v>
      </c>
    </row>
    <row r="110" spans="1:8" ht="14.25" customHeight="1" x14ac:dyDescent="0.25">
      <c r="A110" s="1455" t="s">
        <v>909</v>
      </c>
      <c r="B110" s="105" t="str">
        <f t="shared" si="19"/>
        <v>Tomato - طماطم</v>
      </c>
      <c r="C110" s="105" t="str">
        <f t="shared" si="19"/>
        <v>gm</v>
      </c>
      <c r="D110" s="105">
        <f t="shared" si="19"/>
        <v>200</v>
      </c>
      <c r="E110" s="201">
        <f t="shared" si="23"/>
        <v>0</v>
      </c>
      <c r="F110" s="109">
        <f t="shared" si="20"/>
        <v>1</v>
      </c>
      <c r="G110" s="101">
        <f t="shared" si="21"/>
        <v>0</v>
      </c>
      <c r="H110" s="102">
        <f t="shared" si="22"/>
        <v>0</v>
      </c>
    </row>
    <row r="111" spans="1:8" ht="14.25" customHeight="1" x14ac:dyDescent="0.25">
      <c r="A111" s="1455" t="s">
        <v>907</v>
      </c>
      <c r="B111" s="105" t="str">
        <f t="shared" si="19"/>
        <v>Garlic - ثوم مقشر</v>
      </c>
      <c r="C111" s="105" t="str">
        <f t="shared" si="19"/>
        <v>gm</v>
      </c>
      <c r="D111" s="105">
        <f t="shared" si="19"/>
        <v>35</v>
      </c>
      <c r="E111" s="201">
        <f t="shared" si="23"/>
        <v>0</v>
      </c>
      <c r="F111" s="109">
        <f t="shared" si="20"/>
        <v>1</v>
      </c>
      <c r="G111" s="101">
        <f t="shared" si="21"/>
        <v>0</v>
      </c>
      <c r="H111" s="102">
        <f t="shared" si="22"/>
        <v>0</v>
      </c>
    </row>
    <row r="112" spans="1:8" ht="14.25" customHeight="1" x14ac:dyDescent="0.25">
      <c r="A112" s="1455"/>
      <c r="B112" s="105" t="str">
        <f t="shared" si="19"/>
        <v>Black Pepper Powder - فلفل أسود مطحون</v>
      </c>
      <c r="C112" s="105" t="str">
        <f t="shared" si="19"/>
        <v>gm</v>
      </c>
      <c r="D112" s="105">
        <f t="shared" si="19"/>
        <v>3</v>
      </c>
      <c r="E112" s="201">
        <f t="shared" si="23"/>
        <v>0</v>
      </c>
      <c r="F112" s="109">
        <f t="shared" si="20"/>
        <v>1</v>
      </c>
      <c r="G112" s="101">
        <f t="shared" si="21"/>
        <v>0</v>
      </c>
      <c r="H112" s="102">
        <f t="shared" si="22"/>
        <v>0</v>
      </c>
    </row>
    <row r="113" spans="1:10" ht="14.25" customHeight="1" x14ac:dyDescent="0.25">
      <c r="A113" s="1455"/>
      <c r="B113" s="105" t="str">
        <f t="shared" si="19"/>
        <v>Cumin Powder - كمون مطحون</v>
      </c>
      <c r="C113" s="105" t="str">
        <f t="shared" si="19"/>
        <v>gm</v>
      </c>
      <c r="D113" s="105">
        <f t="shared" si="19"/>
        <v>5</v>
      </c>
      <c r="E113" s="201">
        <f t="shared" si="23"/>
        <v>0</v>
      </c>
      <c r="F113" s="109">
        <f t="shared" si="20"/>
        <v>0.75</v>
      </c>
      <c r="G113" s="101">
        <f t="shared" si="21"/>
        <v>0</v>
      </c>
      <c r="H113" s="102">
        <f t="shared" si="22"/>
        <v>0</v>
      </c>
    </row>
    <row r="114" spans="1:10" ht="14.25" customHeight="1" x14ac:dyDescent="0.25">
      <c r="A114" s="1455"/>
      <c r="B114" s="105" t="str">
        <f t="shared" si="19"/>
        <v>Coriander Powder - كزبرة مطحونة</v>
      </c>
      <c r="C114" s="105" t="str">
        <f t="shared" si="19"/>
        <v>gm</v>
      </c>
      <c r="D114" s="105">
        <f t="shared" si="19"/>
        <v>5</v>
      </c>
      <c r="E114" s="201">
        <f t="shared" si="23"/>
        <v>0</v>
      </c>
      <c r="F114" s="109">
        <f t="shared" si="20"/>
        <v>0.75</v>
      </c>
      <c r="G114" s="101">
        <f t="shared" si="21"/>
        <v>0</v>
      </c>
      <c r="H114" s="102">
        <f t="shared" si="22"/>
        <v>0</v>
      </c>
    </row>
    <row r="115" spans="1:10" ht="14.25" customHeight="1" x14ac:dyDescent="0.25">
      <c r="A115" s="1455"/>
      <c r="B115" s="105" t="str">
        <f t="shared" si="19"/>
        <v>Cinnamon Powder - قرفة مطحونة</v>
      </c>
      <c r="C115" s="105" t="str">
        <f t="shared" si="19"/>
        <v>gm</v>
      </c>
      <c r="D115" s="105">
        <f t="shared" si="19"/>
        <v>6</v>
      </c>
      <c r="E115" s="201">
        <f t="shared" si="23"/>
        <v>0</v>
      </c>
      <c r="F115" s="109">
        <f t="shared" si="20"/>
        <v>0.75</v>
      </c>
      <c r="G115" s="101">
        <f t="shared" si="21"/>
        <v>0</v>
      </c>
      <c r="H115" s="102">
        <f t="shared" si="22"/>
        <v>0</v>
      </c>
    </row>
    <row r="116" spans="1:10" ht="14.25" customHeight="1" x14ac:dyDescent="0.25">
      <c r="A116" s="1455"/>
      <c r="B116" s="105" t="str">
        <f t="shared" si="19"/>
        <v>Salt - ملح</v>
      </c>
      <c r="C116" s="105" t="str">
        <f t="shared" si="19"/>
        <v>gm</v>
      </c>
      <c r="D116" s="105">
        <f t="shared" si="19"/>
        <v>11</v>
      </c>
      <c r="E116" s="201">
        <f t="shared" si="23"/>
        <v>0</v>
      </c>
      <c r="F116" s="109">
        <f t="shared" si="20"/>
        <v>0.75</v>
      </c>
      <c r="G116" s="101">
        <f t="shared" si="21"/>
        <v>0</v>
      </c>
      <c r="H116" s="102">
        <f t="shared" si="22"/>
        <v>0</v>
      </c>
    </row>
    <row r="117" spans="1:10" ht="14.25" customHeight="1" x14ac:dyDescent="0.25">
      <c r="A117" s="1455"/>
      <c r="B117" s="105" t="str">
        <f t="shared" si="19"/>
        <v>Tomato Paste - صلصة طماطم</v>
      </c>
      <c r="C117" s="105" t="str">
        <f t="shared" si="19"/>
        <v>gm</v>
      </c>
      <c r="D117" s="105">
        <f t="shared" si="19"/>
        <v>300</v>
      </c>
      <c r="E117" s="201">
        <f t="shared" si="23"/>
        <v>0</v>
      </c>
      <c r="F117" s="109">
        <f t="shared" si="20"/>
        <v>1</v>
      </c>
      <c r="G117" s="101">
        <f t="shared" si="21"/>
        <v>0</v>
      </c>
      <c r="H117" s="102">
        <f t="shared" si="22"/>
        <v>0</v>
      </c>
    </row>
    <row r="118" spans="1:10" ht="14.25" customHeight="1" x14ac:dyDescent="0.25">
      <c r="A118" s="1455"/>
      <c r="B118" s="105" t="str">
        <f t="shared" si="19"/>
        <v>Beef Stock - مرق لحم بقري</v>
      </c>
      <c r="C118" s="105" t="str">
        <f t="shared" si="19"/>
        <v>gm</v>
      </c>
      <c r="D118" s="105">
        <f t="shared" si="19"/>
        <v>500</v>
      </c>
      <c r="E118" s="201">
        <f t="shared" si="23"/>
        <v>0</v>
      </c>
      <c r="F118" s="109">
        <f t="shared" si="20"/>
        <v>1</v>
      </c>
      <c r="G118" s="101">
        <f t="shared" si="21"/>
        <v>0</v>
      </c>
      <c r="H118" s="102">
        <f t="shared" si="22"/>
        <v>0</v>
      </c>
    </row>
    <row r="119" spans="1:10" ht="14.25" customHeight="1" x14ac:dyDescent="0.25">
      <c r="A119" s="1455"/>
      <c r="B119" s="105" t="str">
        <f t="shared" si="19"/>
        <v>Butter - زبدة</v>
      </c>
      <c r="C119" s="105" t="str">
        <f t="shared" si="19"/>
        <v>gm</v>
      </c>
      <c r="D119" s="105">
        <f t="shared" si="19"/>
        <v>15</v>
      </c>
      <c r="E119" s="201">
        <f t="shared" si="23"/>
        <v>0</v>
      </c>
      <c r="F119" s="109">
        <f t="shared" si="20"/>
        <v>1</v>
      </c>
      <c r="G119" s="101">
        <f t="shared" si="21"/>
        <v>0</v>
      </c>
      <c r="H119" s="102">
        <f t="shared" si="22"/>
        <v>0</v>
      </c>
    </row>
    <row r="120" spans="1:10" ht="20.25" customHeight="1" x14ac:dyDescent="0.3">
      <c r="A120" s="1455"/>
      <c r="B120" s="105" t="str">
        <f t="shared" si="19"/>
        <v>Maggi Cubes - مكعبات ماجي</v>
      </c>
      <c r="C120" s="105" t="str">
        <f t="shared" si="19"/>
        <v>gm</v>
      </c>
      <c r="D120" s="105">
        <f t="shared" si="19"/>
        <v>10</v>
      </c>
      <c r="E120" s="201">
        <f t="shared" si="23"/>
        <v>0</v>
      </c>
      <c r="F120" s="109">
        <f t="shared" si="20"/>
        <v>0.75</v>
      </c>
      <c r="G120" s="101">
        <f t="shared" si="21"/>
        <v>0</v>
      </c>
      <c r="H120" s="102">
        <f t="shared" si="22"/>
        <v>0</v>
      </c>
      <c r="I120" s="184"/>
      <c r="J120" s="183"/>
    </row>
    <row r="121" spans="1:10" ht="14.25" customHeight="1" x14ac:dyDescent="0.25">
      <c r="A121" s="1455"/>
      <c r="B121" s="105" t="str">
        <f t="shared" si="19"/>
        <v>Corn Starch - نشا ذرة</v>
      </c>
      <c r="C121" s="105" t="str">
        <f t="shared" si="19"/>
        <v>gm</v>
      </c>
      <c r="D121" s="105">
        <f t="shared" si="19"/>
        <v>60</v>
      </c>
      <c r="E121" s="201">
        <f t="shared" si="23"/>
        <v>0</v>
      </c>
      <c r="F121" s="109">
        <f t="shared" si="20"/>
        <v>0.75</v>
      </c>
      <c r="G121" s="101">
        <f t="shared" si="21"/>
        <v>0</v>
      </c>
      <c r="H121" s="102">
        <f t="shared" si="22"/>
        <v>0</v>
      </c>
    </row>
    <row r="122" spans="1:10" ht="14.25" customHeight="1" x14ac:dyDescent="0.25">
      <c r="A122" s="1455"/>
      <c r="B122" s="105" t="str">
        <f t="shared" si="19"/>
        <v>Salt - ملح</v>
      </c>
      <c r="C122" s="105" t="str">
        <f t="shared" si="19"/>
        <v>gm</v>
      </c>
      <c r="D122" s="105">
        <f t="shared" si="19"/>
        <v>5</v>
      </c>
      <c r="E122" s="201">
        <f t="shared" si="23"/>
        <v>0</v>
      </c>
      <c r="F122" s="109">
        <f t="shared" si="20"/>
        <v>1</v>
      </c>
      <c r="G122" s="101">
        <f t="shared" si="21"/>
        <v>0</v>
      </c>
      <c r="H122" s="102">
        <f t="shared" si="22"/>
        <v>0</v>
      </c>
    </row>
    <row r="123" spans="1:10" ht="20.25" customHeight="1" x14ac:dyDescent="0.25">
      <c r="A123" s="1472"/>
      <c r="B123" s="178" t="s">
        <v>287</v>
      </c>
      <c r="C123" s="180" t="s">
        <v>273</v>
      </c>
      <c r="D123" s="14"/>
      <c r="E123" s="180" t="s">
        <v>288</v>
      </c>
      <c r="F123" s="14"/>
      <c r="G123" s="804" t="s">
        <v>264</v>
      </c>
      <c r="H123" s="804" t="s">
        <v>673</v>
      </c>
    </row>
    <row r="124" spans="1:10" ht="20.25" x14ac:dyDescent="0.3">
      <c r="A124" s="1472"/>
      <c r="B124" s="179">
        <f>$J$55</f>
        <v>0</v>
      </c>
      <c r="C124" s="179">
        <f>E124+G124</f>
        <v>0</v>
      </c>
      <c r="D124" s="850"/>
      <c r="E124" s="179">
        <f>$D$55*$S$44</f>
        <v>0</v>
      </c>
      <c r="F124" s="850"/>
      <c r="G124" s="179">
        <f>$D$55*$T$44</f>
        <v>0</v>
      </c>
      <c r="H124" s="179">
        <f>B124+E124</f>
        <v>0</v>
      </c>
    </row>
    <row r="125" spans="1:10" x14ac:dyDescent="0.25">
      <c r="A125" s="62"/>
    </row>
    <row r="126" spans="1:10" x14ac:dyDescent="0.25">
      <c r="A126" s="62"/>
    </row>
    <row r="127" spans="1:10" x14ac:dyDescent="0.25">
      <c r="A127" s="62"/>
    </row>
    <row r="128" spans="1:10"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0">
    <mergeCell ref="R25:U25"/>
    <mergeCell ref="B62:H62"/>
    <mergeCell ref="B2:K3"/>
    <mergeCell ref="B63:H63"/>
    <mergeCell ref="B35:F35"/>
    <mergeCell ref="B85:H85"/>
    <mergeCell ref="B84:H84"/>
    <mergeCell ref="B105:H105"/>
    <mergeCell ref="B106:H106"/>
    <mergeCell ref="R26:U26"/>
  </mergeCells>
  <printOptions horizontalCentered="1"/>
  <pageMargins left="0.5" right="0.5" top="1" bottom="0.5" header="0.3" footer="0.511811023622047"/>
  <pageSetup paperSize="9" scale="36"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2E75B6"/>
    <pageSetUpPr fitToPage="1"/>
  </sheetPr>
  <dimension ref="A1:AT174"/>
  <sheetViews>
    <sheetView zoomScaleNormal="100" workbookViewId="0">
      <selection activeCell="D5" sqref="D5"/>
    </sheetView>
  </sheetViews>
  <sheetFormatPr defaultColWidth="12.5" defaultRowHeight="15" x14ac:dyDescent="0.25"/>
  <cols>
    <col min="1" max="1" width="12.5" style="63" customWidth="1"/>
    <col min="2" max="2" width="29.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4" style="14" customWidth="1"/>
    <col min="15" max="17" width="12.5" style="14" customWidth="1"/>
    <col min="18" max="18" width="30.5" style="14" customWidth="1"/>
    <col min="19" max="19" width="12.5" style="14" customWidth="1"/>
    <col min="20" max="26" width="12.5" style="14"/>
    <col min="27" max="27" width="12.875" style="14" customWidth="1"/>
    <col min="28" max="28" width="11.75" style="14" bestFit="1" customWidth="1"/>
    <col min="29" max="29" width="14.125" style="14" customWidth="1"/>
    <col min="30" max="30" width="13.125" style="14" bestFit="1" customWidth="1"/>
    <col min="31" max="31" width="11.5" style="14" bestFit="1" customWidth="1"/>
    <col min="32" max="32" width="11" style="14" bestFit="1" customWidth="1"/>
    <col min="33" max="34" width="3" style="14" customWidth="1"/>
    <col min="35" max="35" width="12.5" style="14"/>
    <col min="36" max="36" width="33.25" style="14" customWidth="1"/>
    <col min="37" max="37" width="12.5" style="14"/>
    <col min="38" max="38" width="17.5" style="14" customWidth="1"/>
    <col min="39" max="41" width="12.5" style="14"/>
    <col min="42" max="42" width="17.875" style="14" customWidth="1"/>
    <col min="43" max="16384" width="12.5" style="14"/>
  </cols>
  <sheetData>
    <row r="1" spans="1:46" ht="35.25" customHeight="1" x14ac:dyDescent="0.25">
      <c r="B1" s="64" t="s">
        <v>231</v>
      </c>
      <c r="C1" s="65">
        <v>1000</v>
      </c>
      <c r="D1" s="66" t="s">
        <v>232</v>
      </c>
      <c r="E1" s="99">
        <f>T32</f>
        <v>4470.0000000000045</v>
      </c>
      <c r="F1" s="64" t="s">
        <v>233</v>
      </c>
      <c r="G1" s="65">
        <f>E1/C1</f>
        <v>4.4700000000000042</v>
      </c>
      <c r="H1" s="64" t="s">
        <v>234</v>
      </c>
      <c r="I1" s="69">
        <f>(G1/K1)</f>
        <v>4.5612244897959231</v>
      </c>
      <c r="J1" s="70" t="s">
        <v>235</v>
      </c>
      <c r="K1" s="373">
        <v>0.98</v>
      </c>
      <c r="L1" s="84"/>
      <c r="M1" s="73"/>
      <c r="N1" s="74"/>
      <c r="O1" s="75" t="s">
        <v>236</v>
      </c>
      <c r="P1" s="76" t="s">
        <v>237</v>
      </c>
      <c r="Q1" s="77" t="s">
        <v>238</v>
      </c>
      <c r="R1" s="76">
        <v>0.59</v>
      </c>
      <c r="Y1" s="75" t="s">
        <v>453</v>
      </c>
      <c r="Z1" s="766">
        <v>18870</v>
      </c>
      <c r="AA1" s="75" t="s">
        <v>556</v>
      </c>
      <c r="AB1" s="766">
        <v>500</v>
      </c>
      <c r="AC1" s="75" t="s">
        <v>546</v>
      </c>
      <c r="AD1" s="766">
        <v>127</v>
      </c>
      <c r="AE1" s="228"/>
      <c r="AF1" s="230"/>
      <c r="AG1" s="76"/>
      <c r="AI1" s="63"/>
      <c r="AJ1" s="93" t="s">
        <v>250</v>
      </c>
      <c r="AK1" s="78">
        <v>10000</v>
      </c>
      <c r="AL1" s="561" t="s">
        <v>483</v>
      </c>
      <c r="AM1" s="562">
        <f>$S$32</f>
        <v>14899.999999999996</v>
      </c>
      <c r="AN1" s="78" t="s">
        <v>239</v>
      </c>
      <c r="AO1" s="80">
        <f>($S$32/$R$1)/$AK$1</f>
        <v>2.5254237288135588</v>
      </c>
      <c r="AP1" s="79"/>
    </row>
    <row r="2" spans="1:46" ht="12.75" customHeight="1" x14ac:dyDescent="0.25">
      <c r="A2" s="81"/>
      <c r="B2" s="82"/>
      <c r="C2" s="82"/>
      <c r="D2" s="82"/>
      <c r="E2" s="82"/>
      <c r="F2" s="1632" t="s">
        <v>53</v>
      </c>
      <c r="G2" s="1661"/>
      <c r="H2" s="82"/>
      <c r="I2" s="82"/>
      <c r="J2" s="82"/>
      <c r="K2" s="269"/>
      <c r="L2" s="269"/>
      <c r="O2" s="84"/>
      <c r="P2" s="84"/>
      <c r="Q2" s="84"/>
      <c r="R2" s="84"/>
      <c r="AC2" s="83"/>
      <c r="AD2" s="83"/>
      <c r="AE2" s="1652"/>
      <c r="AF2" s="1655"/>
      <c r="AG2" s="1655"/>
      <c r="AI2" s="63"/>
      <c r="AJ2" s="85"/>
      <c r="AK2" s="1631" t="s">
        <v>363</v>
      </c>
      <c r="AL2" s="1631"/>
      <c r="AM2" s="1631"/>
      <c r="AN2" s="86"/>
      <c r="AO2" s="85"/>
      <c r="AP2" s="85"/>
    </row>
    <row r="3" spans="1:46" ht="12.75" customHeight="1" x14ac:dyDescent="0.25">
      <c r="A3" s="81"/>
      <c r="B3" s="87"/>
      <c r="C3" s="87"/>
      <c r="D3" s="87"/>
      <c r="E3" s="87"/>
      <c r="F3" s="1633"/>
      <c r="G3" s="1633"/>
      <c r="H3" s="87"/>
      <c r="I3" s="87"/>
      <c r="J3" s="87"/>
      <c r="K3" s="269"/>
      <c r="L3" s="269"/>
      <c r="O3" s="84"/>
      <c r="P3" s="84"/>
      <c r="Q3" s="84"/>
      <c r="R3" s="84"/>
      <c r="AC3" s="83"/>
      <c r="AD3" s="83"/>
      <c r="AE3" s="1655"/>
      <c r="AF3" s="1655"/>
      <c r="AG3" s="1655"/>
      <c r="AI3" s="63"/>
      <c r="AJ3" s="88"/>
      <c r="AK3" s="88"/>
      <c r="AL3" s="89"/>
      <c r="AM3" s="89"/>
      <c r="AN3" s="89"/>
      <c r="AO3" s="88"/>
      <c r="AP3" s="88"/>
    </row>
    <row r="4" spans="1:46" ht="69" customHeight="1" x14ac:dyDescent="0.25">
      <c r="A4" s="75" t="s">
        <v>903</v>
      </c>
      <c r="B4" s="75" t="s">
        <v>241</v>
      </c>
      <c r="C4" s="90" t="s">
        <v>242</v>
      </c>
      <c r="D4" s="75" t="s">
        <v>231</v>
      </c>
      <c r="E4" s="91" t="s">
        <v>234</v>
      </c>
      <c r="F4" s="91" t="s">
        <v>243</v>
      </c>
      <c r="G4" s="75" t="s">
        <v>244</v>
      </c>
      <c r="H4" s="92" t="s">
        <v>245</v>
      </c>
      <c r="I4" s="75" t="s">
        <v>246</v>
      </c>
      <c r="J4" s="75" t="s">
        <v>247</v>
      </c>
      <c r="K4" s="75" t="s">
        <v>248</v>
      </c>
      <c r="L4" s="75" t="s">
        <v>249</v>
      </c>
      <c r="O4" s="84"/>
      <c r="P4" s="84"/>
      <c r="AA4" s="229"/>
      <c r="AB4" s="231"/>
      <c r="AC4" s="229"/>
      <c r="AD4" s="229"/>
      <c r="AE4" s="229"/>
      <c r="AI4" s="63"/>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286" t="s">
        <v>220</v>
      </c>
      <c r="C5" s="97" t="s">
        <v>14</v>
      </c>
      <c r="D5" s="103">
        <f>I51/10</f>
        <v>5649.8305084745762</v>
      </c>
      <c r="E5" s="177">
        <f>H52</f>
        <v>4.4699106017879631</v>
      </c>
      <c r="F5" s="109">
        <v>1</v>
      </c>
      <c r="G5" s="101">
        <f t="shared" ref="G5:G17" si="0">D5*E5</f>
        <v>25254.237288135588</v>
      </c>
      <c r="H5" s="102">
        <f t="shared" ref="H5:H17" si="1">G5*F5</f>
        <v>25254.237288135588</v>
      </c>
      <c r="I5" s="65">
        <f>VLOOKUP(B5,All_Ingredients!$A$1:$F$156,6,FALSE())</f>
        <v>0.86</v>
      </c>
      <c r="J5" s="101">
        <f>VLOOKUP(B5,All_Ingredients!$A$1:$J$156,10,FALSE())</f>
        <v>17.100000000000001</v>
      </c>
      <c r="K5" s="104">
        <f t="shared" ref="K5" si="2">(H5/I5)/1000</f>
        <v>29.365392195506498</v>
      </c>
      <c r="L5" s="104">
        <f t="shared" ref="L5" si="3">K5*J5</f>
        <v>502.14820654316117</v>
      </c>
      <c r="O5" s="84"/>
      <c r="P5" s="84"/>
      <c r="AA5" s="76"/>
      <c r="AB5" s="114"/>
      <c r="AC5" s="232"/>
      <c r="AD5" s="116"/>
      <c r="AE5" s="117"/>
      <c r="AI5" s="63"/>
      <c r="AJ5" s="105" t="s">
        <v>220</v>
      </c>
      <c r="AK5" s="106" t="s">
        <v>227</v>
      </c>
      <c r="AL5" s="98">
        <v>10</v>
      </c>
      <c r="AM5" s="177">
        <f t="shared" ref="AM5:AM13" si="4">$AO$1</f>
        <v>2.5254237288135588</v>
      </c>
      <c r="AN5" s="109">
        <v>1</v>
      </c>
      <c r="AO5" s="103">
        <f t="shared" ref="AO5:AO13" si="5">AL5*AM5</f>
        <v>25.254237288135588</v>
      </c>
      <c r="AP5" s="102">
        <f t="shared" ref="AP5:AP13" si="6">AO5*AN5</f>
        <v>25.254237288135588</v>
      </c>
      <c r="AQ5" s="272"/>
      <c r="AR5" s="1017"/>
      <c r="AS5" s="156"/>
      <c r="AT5" s="1018"/>
    </row>
    <row r="6" spans="1:46" ht="14.25" customHeight="1" x14ac:dyDescent="0.25">
      <c r="A6" s="1471"/>
      <c r="B6" s="374" t="s">
        <v>189</v>
      </c>
      <c r="C6" s="106" t="s">
        <v>160</v>
      </c>
      <c r="D6" s="107">
        <v>400</v>
      </c>
      <c r="E6" s="177">
        <f>$I$1</f>
        <v>4.5612244897959231</v>
      </c>
      <c r="F6" s="109">
        <v>0.95</v>
      </c>
      <c r="G6" s="101">
        <f t="shared" si="0"/>
        <v>1824.4897959183693</v>
      </c>
      <c r="H6" s="102">
        <f t="shared" si="1"/>
        <v>1733.2653061224507</v>
      </c>
      <c r="I6" s="65">
        <f>VLOOKUP(B6,All_Ingredients!$A$1:$F$156,6,FALSE())</f>
        <v>1</v>
      </c>
      <c r="J6" s="101">
        <f>VLOOKUP(B6,All_Ingredients!$A$1:$J$156,10,FALSE())</f>
        <v>17.480211081794195</v>
      </c>
      <c r="K6" s="104">
        <f t="shared" ref="K6:K17" si="7">(H6/I6)/1000</f>
        <v>1.7332653061224508</v>
      </c>
      <c r="L6" s="104">
        <f t="shared" ref="L6:L17" si="8">K6*J6</f>
        <v>30.297843411771073</v>
      </c>
      <c r="AI6" s="63" t="s">
        <v>55</v>
      </c>
      <c r="AJ6" s="299" t="s">
        <v>54</v>
      </c>
      <c r="AK6" s="310" t="s">
        <v>14</v>
      </c>
      <c r="AL6" s="98">
        <v>100</v>
      </c>
      <c r="AM6" s="177">
        <f t="shared" si="4"/>
        <v>2.5254237288135588</v>
      </c>
      <c r="AN6" s="109">
        <v>1</v>
      </c>
      <c r="AO6" s="103">
        <f t="shared" si="5"/>
        <v>252.54237288135587</v>
      </c>
      <c r="AP6" s="102">
        <f t="shared" si="6"/>
        <v>252.54237288135587</v>
      </c>
      <c r="AQ6" s="1018">
        <f>VLOOKUP(AJ6,Marination_Ordering!$A:$J,6,FALSE)</f>
        <v>0.87</v>
      </c>
      <c r="AR6" s="1018">
        <f>VLOOKUP(AJ6,Marination_Ordering!$A:$J,10,FALSE)</f>
        <v>7</v>
      </c>
      <c r="AS6" s="156">
        <f>AP6/AQ6</f>
        <v>290.27858951879983</v>
      </c>
      <c r="AT6" s="1018">
        <f>AR6*(AS6/1000)</f>
        <v>2.0319501266315987</v>
      </c>
    </row>
    <row r="7" spans="1:46" ht="14.25" customHeight="1" x14ac:dyDescent="0.25">
      <c r="A7" s="1471"/>
      <c r="B7" s="374" t="s">
        <v>192</v>
      </c>
      <c r="C7" s="106" t="s">
        <v>160</v>
      </c>
      <c r="D7" s="107">
        <v>35</v>
      </c>
      <c r="E7" s="177">
        <f t="shared" ref="E7:E20" si="9">$I$1</f>
        <v>4.5612244897959231</v>
      </c>
      <c r="F7" s="109">
        <v>0.95</v>
      </c>
      <c r="G7" s="101">
        <f t="shared" si="0"/>
        <v>159.64285714285731</v>
      </c>
      <c r="H7" s="102">
        <f t="shared" si="1"/>
        <v>151.66071428571445</v>
      </c>
      <c r="I7" s="65">
        <f>VLOOKUP(B7,All_Ingredients!$A$1:$F$156,6,FALSE())</f>
        <v>1</v>
      </c>
      <c r="J7" s="101">
        <f>VLOOKUP(B7,All_Ingredients!$A$1:$J$156,10,FALSE())</f>
        <v>58.685446009389672</v>
      </c>
      <c r="K7" s="104">
        <f t="shared" si="7"/>
        <v>0.15166071428571445</v>
      </c>
      <c r="L7" s="104">
        <f t="shared" si="8"/>
        <v>8.9002766599597685</v>
      </c>
      <c r="AI7" s="63" t="s">
        <v>13</v>
      </c>
      <c r="AJ7" s="299" t="s">
        <v>727</v>
      </c>
      <c r="AK7" s="310" t="s">
        <v>14</v>
      </c>
      <c r="AL7" s="98">
        <v>200</v>
      </c>
      <c r="AM7" s="177">
        <f t="shared" si="4"/>
        <v>2.5254237288135588</v>
      </c>
      <c r="AN7" s="109">
        <v>1</v>
      </c>
      <c r="AO7" s="103">
        <f t="shared" si="5"/>
        <v>505.08474576271175</v>
      </c>
      <c r="AP7" s="102">
        <f t="shared" si="6"/>
        <v>505.08474576271175</v>
      </c>
      <c r="AQ7" s="1018">
        <f>VLOOKUP(AJ7,Marination_Ordering!$A:$J,6,FALSE)</f>
        <v>1</v>
      </c>
      <c r="AR7" s="1018">
        <f>VLOOKUP(AJ7,Marination_Ordering!$A:$J,10,FALSE)</f>
        <v>10.5</v>
      </c>
      <c r="AS7" s="156">
        <f t="shared" ref="AS7:AS9" si="10">AP7/AQ7</f>
        <v>505.08474576271175</v>
      </c>
      <c r="AT7" s="1018">
        <f t="shared" ref="AT7:AT9" si="11">AR7*(AS7/1000)</f>
        <v>5.3033898305084737</v>
      </c>
    </row>
    <row r="8" spans="1:46" ht="14.25" customHeight="1" x14ac:dyDescent="0.25">
      <c r="A8" s="1471"/>
      <c r="B8" s="374" t="s">
        <v>110</v>
      </c>
      <c r="C8" s="106" t="s">
        <v>14</v>
      </c>
      <c r="D8" s="107">
        <v>10</v>
      </c>
      <c r="E8" s="177">
        <f t="shared" si="9"/>
        <v>4.5612244897959231</v>
      </c>
      <c r="F8" s="109">
        <v>1</v>
      </c>
      <c r="G8" s="101">
        <f t="shared" si="0"/>
        <v>45.612244897959229</v>
      </c>
      <c r="H8" s="102">
        <f t="shared" si="1"/>
        <v>45.612244897959229</v>
      </c>
      <c r="I8" s="65">
        <f>VLOOKUP(B8,All_Ingredients!$A$1:$F$156,6,FALSE())</f>
        <v>1</v>
      </c>
      <c r="J8" s="101">
        <f>VLOOKUP(B8,All_Ingredients!$A$1:$J$156,10,FALSE())</f>
        <v>64.243759177679877</v>
      </c>
      <c r="K8" s="104">
        <f t="shared" si="7"/>
        <v>4.5612244897959231E-2</v>
      </c>
      <c r="L8" s="104">
        <f t="shared" si="8"/>
        <v>2.9303020767778505</v>
      </c>
      <c r="AI8" s="63" t="s">
        <v>204</v>
      </c>
      <c r="AJ8" s="299" t="s">
        <v>212</v>
      </c>
      <c r="AK8" s="310" t="s">
        <v>160</v>
      </c>
      <c r="AL8" s="98">
        <v>350</v>
      </c>
      <c r="AM8" s="177">
        <f t="shared" si="4"/>
        <v>2.5254237288135588</v>
      </c>
      <c r="AN8" s="109">
        <v>1</v>
      </c>
      <c r="AO8" s="103">
        <f t="shared" si="5"/>
        <v>883.89830508474563</v>
      </c>
      <c r="AP8" s="102">
        <f t="shared" si="6"/>
        <v>883.89830508474563</v>
      </c>
      <c r="AQ8" s="1018">
        <f>VLOOKUP(AJ8,Marination_Ordering!$A:$J,6,FALSE)</f>
        <v>1</v>
      </c>
      <c r="AR8" s="1018">
        <f>VLOOKUP(AJ8,Marination_Ordering!$A:$J,10,FALSE)</f>
        <v>5</v>
      </c>
      <c r="AS8" s="156">
        <f t="shared" si="10"/>
        <v>883.89830508474563</v>
      </c>
      <c r="AT8" s="1018">
        <f t="shared" si="11"/>
        <v>4.4194915254237284</v>
      </c>
    </row>
    <row r="9" spans="1:46" ht="14.25" customHeight="1" x14ac:dyDescent="0.25">
      <c r="A9" s="1471"/>
      <c r="B9" s="374" t="s">
        <v>149</v>
      </c>
      <c r="C9" s="106" t="s">
        <v>14</v>
      </c>
      <c r="D9" s="107">
        <v>10</v>
      </c>
      <c r="E9" s="177">
        <f t="shared" si="9"/>
        <v>4.5612244897959231</v>
      </c>
      <c r="F9" s="109">
        <v>1</v>
      </c>
      <c r="G9" s="101">
        <f t="shared" si="0"/>
        <v>45.612244897959229</v>
      </c>
      <c r="H9" s="102">
        <f t="shared" si="1"/>
        <v>45.612244897959229</v>
      </c>
      <c r="I9" s="65">
        <f>VLOOKUP(B9,All_Ingredients!$A$1:$F$156,6,FALSE())</f>
        <v>1</v>
      </c>
      <c r="J9" s="101">
        <f>VLOOKUP(B9,All_Ingredients!$A$1:$J$156,10,FALSE())</f>
        <v>10</v>
      </c>
      <c r="K9" s="104">
        <f t="shared" si="7"/>
        <v>4.5612244897959231E-2</v>
      </c>
      <c r="L9" s="104">
        <f t="shared" si="8"/>
        <v>0.45612244897959231</v>
      </c>
      <c r="AI9" s="63" t="s">
        <v>204</v>
      </c>
      <c r="AJ9" s="299" t="s">
        <v>208</v>
      </c>
      <c r="AK9" s="106" t="s">
        <v>160</v>
      </c>
      <c r="AL9" s="201">
        <v>50</v>
      </c>
      <c r="AM9" s="177">
        <f t="shared" si="4"/>
        <v>2.5254237288135588</v>
      </c>
      <c r="AN9" s="109">
        <v>1</v>
      </c>
      <c r="AO9" s="103">
        <f t="shared" si="5"/>
        <v>126.27118644067794</v>
      </c>
      <c r="AP9" s="102">
        <f t="shared" si="6"/>
        <v>126.27118644067794</v>
      </c>
      <c r="AQ9" s="1018">
        <f>VLOOKUP(AJ9,Marination_Ordering!$A:$J,6,FALSE)</f>
        <v>1</v>
      </c>
      <c r="AR9" s="1018">
        <f>VLOOKUP(AJ9,Marination_Ordering!$A:$J,10,FALSE)</f>
        <v>2.1621621621621623</v>
      </c>
      <c r="AS9" s="156">
        <f t="shared" si="10"/>
        <v>126.27118644067794</v>
      </c>
      <c r="AT9" s="1018">
        <f t="shared" si="11"/>
        <v>0.27301878149335773</v>
      </c>
    </row>
    <row r="10" spans="1:46" ht="14.25" customHeight="1" x14ac:dyDescent="0.25">
      <c r="A10" s="1471"/>
      <c r="B10" s="374" t="s">
        <v>105</v>
      </c>
      <c r="C10" s="106" t="s">
        <v>14</v>
      </c>
      <c r="D10" s="107">
        <v>10</v>
      </c>
      <c r="E10" s="177">
        <f t="shared" si="9"/>
        <v>4.5612244897959231</v>
      </c>
      <c r="F10" s="109">
        <v>0.75</v>
      </c>
      <c r="G10" s="101">
        <f t="shared" si="0"/>
        <v>45.612244897959229</v>
      </c>
      <c r="H10" s="102">
        <f t="shared" si="1"/>
        <v>34.209183673469425</v>
      </c>
      <c r="I10" s="65">
        <f>VLOOKUP(B10,All_Ingredients!$A$1:$F$156,6,FALSE())</f>
        <v>1</v>
      </c>
      <c r="J10" s="101">
        <f>VLOOKUP(B10,All_Ingredients!$A$1:$J$156,10,FALSE())</f>
        <v>15</v>
      </c>
      <c r="K10" s="104">
        <f t="shared" si="7"/>
        <v>3.4209183673469423E-2</v>
      </c>
      <c r="L10" s="104">
        <f t="shared" si="8"/>
        <v>0.51313775510204129</v>
      </c>
      <c r="AI10" s="63" t="s">
        <v>94</v>
      </c>
      <c r="AJ10" s="299" t="s">
        <v>93</v>
      </c>
      <c r="AK10" s="310" t="s">
        <v>14</v>
      </c>
      <c r="AL10" s="98">
        <v>2</v>
      </c>
      <c r="AM10" s="177">
        <f t="shared" si="4"/>
        <v>2.5254237288135588</v>
      </c>
      <c r="AN10" s="109">
        <v>1</v>
      </c>
      <c r="AO10" s="103">
        <f t="shared" si="5"/>
        <v>5.0508474576271176</v>
      </c>
      <c r="AP10" s="102">
        <f t="shared" si="6"/>
        <v>5.0508474576271176</v>
      </c>
      <c r="AQ10" s="1018">
        <f>VLOOKUP(AJ10,Marination_Ordering!$A:$J,6,FALSE)</f>
        <v>1</v>
      </c>
      <c r="AR10" s="1018">
        <f>VLOOKUP(AJ10,Marination_Ordering!$A:$J,10,FALSE)</f>
        <v>0.74</v>
      </c>
      <c r="AS10" s="156">
        <f t="shared" ref="AS10:AS13" si="12">AP10/AQ10</f>
        <v>5.0508474576271176</v>
      </c>
      <c r="AT10" s="1018">
        <f t="shared" ref="AT10:AT13" si="13">AR10*(AS10/1000)</f>
        <v>3.7376271186440667E-3</v>
      </c>
    </row>
    <row r="11" spans="1:46" ht="14.25" customHeight="1" x14ac:dyDescent="0.25">
      <c r="A11" s="1471"/>
      <c r="B11" s="374" t="s">
        <v>99</v>
      </c>
      <c r="C11" s="106" t="s">
        <v>14</v>
      </c>
      <c r="D11" s="107">
        <v>6</v>
      </c>
      <c r="E11" s="177">
        <f t="shared" si="9"/>
        <v>4.5612244897959231</v>
      </c>
      <c r="F11" s="109">
        <v>1</v>
      </c>
      <c r="G11" s="101">
        <f t="shared" si="0"/>
        <v>27.36734693877554</v>
      </c>
      <c r="H11" s="102">
        <f t="shared" si="1"/>
        <v>27.36734693877554</v>
      </c>
      <c r="I11" s="65">
        <f>VLOOKUP(B11,All_Ingredients!$A$1:$F$156,6,FALSE())</f>
        <v>1</v>
      </c>
      <c r="J11" s="101">
        <f>VLOOKUP(B11,All_Ingredients!$A$1:$J$156,10,FALSE())</f>
        <v>31</v>
      </c>
      <c r="K11" s="104">
        <f t="shared" si="7"/>
        <v>2.7367346938775541E-2</v>
      </c>
      <c r="L11" s="104">
        <f t="shared" si="8"/>
        <v>0.84838775510204179</v>
      </c>
      <c r="AI11" s="63" t="s">
        <v>94</v>
      </c>
      <c r="AJ11" s="299" t="s">
        <v>99</v>
      </c>
      <c r="AK11" s="310" t="s">
        <v>14</v>
      </c>
      <c r="AL11" s="98">
        <v>2</v>
      </c>
      <c r="AM11" s="177">
        <f t="shared" si="4"/>
        <v>2.5254237288135588</v>
      </c>
      <c r="AN11" s="109">
        <v>1</v>
      </c>
      <c r="AO11" s="103">
        <f t="shared" si="5"/>
        <v>5.0508474576271176</v>
      </c>
      <c r="AP11" s="102">
        <f t="shared" si="6"/>
        <v>5.0508474576271176</v>
      </c>
      <c r="AQ11" s="1018">
        <f>VLOOKUP(AJ11,Marination_Ordering!$A:$J,6,FALSE)</f>
        <v>1</v>
      </c>
      <c r="AR11" s="1018">
        <f>VLOOKUP(AJ11,Marination_Ordering!$A:$J,10,FALSE)</f>
        <v>31</v>
      </c>
      <c r="AS11" s="156">
        <f t="shared" si="12"/>
        <v>5.0508474576271176</v>
      </c>
      <c r="AT11" s="1018">
        <f t="shared" si="13"/>
        <v>0.15657627118644063</v>
      </c>
    </row>
    <row r="12" spans="1:46" ht="14.25" customHeight="1" x14ac:dyDescent="0.25">
      <c r="A12" s="1471"/>
      <c r="B12" s="65" t="s">
        <v>93</v>
      </c>
      <c r="C12" s="106" t="s">
        <v>14</v>
      </c>
      <c r="D12" s="107">
        <v>11</v>
      </c>
      <c r="E12" s="177">
        <f t="shared" si="9"/>
        <v>4.5612244897959231</v>
      </c>
      <c r="F12" s="109">
        <v>0.75</v>
      </c>
      <c r="G12" s="101">
        <f t="shared" si="0"/>
        <v>50.173469387755155</v>
      </c>
      <c r="H12" s="102">
        <f t="shared" si="1"/>
        <v>37.630102040816368</v>
      </c>
      <c r="I12" s="65">
        <f>VLOOKUP(B12,All_Ingredients!$A$1:$F$156,6,FALSE())</f>
        <v>1</v>
      </c>
      <c r="J12" s="101">
        <f>VLOOKUP(B12,All_Ingredients!$A$1:$J$156,10,FALSE())</f>
        <v>0.74</v>
      </c>
      <c r="K12" s="104">
        <f t="shared" si="7"/>
        <v>3.763010204081637E-2</v>
      </c>
      <c r="L12" s="104">
        <f t="shared" si="8"/>
        <v>2.7846275510204112E-2</v>
      </c>
      <c r="AI12" s="63" t="s">
        <v>94</v>
      </c>
      <c r="AJ12" s="299" t="s">
        <v>110</v>
      </c>
      <c r="AK12" s="310" t="s">
        <v>14</v>
      </c>
      <c r="AL12" s="98">
        <v>7</v>
      </c>
      <c r="AM12" s="177">
        <f t="shared" si="4"/>
        <v>2.5254237288135588</v>
      </c>
      <c r="AN12" s="109">
        <v>1</v>
      </c>
      <c r="AO12" s="103">
        <f t="shared" si="5"/>
        <v>17.677966101694913</v>
      </c>
      <c r="AP12" s="102">
        <f t="shared" si="6"/>
        <v>17.677966101694913</v>
      </c>
      <c r="AQ12" s="1018">
        <f>VLOOKUP(AJ12,Marination_Ordering!$A:$J,6,FALSE)</f>
        <v>1</v>
      </c>
      <c r="AR12" s="1018">
        <f>VLOOKUP(AJ12,Marination_Ordering!$A:$J,10,FALSE)</f>
        <v>64.243759177679877</v>
      </c>
      <c r="AS12" s="156">
        <f t="shared" si="12"/>
        <v>17.677966101694913</v>
      </c>
      <c r="AT12" s="1018">
        <f t="shared" si="13"/>
        <v>1.1356989969884763</v>
      </c>
    </row>
    <row r="13" spans="1:46" ht="14.25" customHeight="1" x14ac:dyDescent="0.25">
      <c r="A13" s="1471"/>
      <c r="B13" s="65" t="s">
        <v>212</v>
      </c>
      <c r="C13" s="106" t="s">
        <v>160</v>
      </c>
      <c r="D13" s="107">
        <v>60</v>
      </c>
      <c r="E13" s="177">
        <f t="shared" si="9"/>
        <v>4.5612244897959231</v>
      </c>
      <c r="F13" s="109">
        <v>1</v>
      </c>
      <c r="G13" s="101">
        <f t="shared" si="0"/>
        <v>273.6734693877554</v>
      </c>
      <c r="H13" s="102">
        <f t="shared" si="1"/>
        <v>273.6734693877554</v>
      </c>
      <c r="I13" s="65">
        <f>VLOOKUP(B13,All_Ingredients!$A$1:$F$156,6,FALSE())</f>
        <v>1</v>
      </c>
      <c r="J13" s="101">
        <f>VLOOKUP(B13,All_Ingredients!$A$1:$J$156,10,FALSE())</f>
        <v>5</v>
      </c>
      <c r="K13" s="104">
        <f t="shared" si="7"/>
        <v>0.27367346938775539</v>
      </c>
      <c r="L13" s="104">
        <f t="shared" si="8"/>
        <v>1.3683673469387769</v>
      </c>
      <c r="AI13" s="63" t="s">
        <v>190</v>
      </c>
      <c r="AJ13" s="299" t="s">
        <v>189</v>
      </c>
      <c r="AK13" s="310" t="s">
        <v>160</v>
      </c>
      <c r="AL13" s="107">
        <v>3</v>
      </c>
      <c r="AM13" s="177">
        <f t="shared" si="4"/>
        <v>2.5254237288135588</v>
      </c>
      <c r="AN13" s="109">
        <v>1</v>
      </c>
      <c r="AO13" s="103">
        <f t="shared" si="5"/>
        <v>7.5762711864406764</v>
      </c>
      <c r="AP13" s="102">
        <f t="shared" si="6"/>
        <v>7.5762711864406764</v>
      </c>
      <c r="AQ13" s="1018">
        <f>VLOOKUP(AJ13,Marination_Ordering!$A:$J,6,FALSE)</f>
        <v>1</v>
      </c>
      <c r="AR13" s="1018">
        <f>VLOOKUP(AJ13,Marination_Ordering!$A:$J,10,FALSE)</f>
        <v>17.480211081794195</v>
      </c>
      <c r="AS13" s="156">
        <f t="shared" si="12"/>
        <v>7.5762711864406764</v>
      </c>
      <c r="AT13" s="1018">
        <f t="shared" si="13"/>
        <v>0.13243481955189837</v>
      </c>
    </row>
    <row r="14" spans="1:46" ht="14.25" customHeight="1" x14ac:dyDescent="0.25">
      <c r="A14" s="1471"/>
      <c r="B14" s="65" t="s">
        <v>183</v>
      </c>
      <c r="C14" s="106" t="s">
        <v>14</v>
      </c>
      <c r="D14" s="107">
        <v>35</v>
      </c>
      <c r="E14" s="177">
        <f t="shared" si="9"/>
        <v>4.5612244897959231</v>
      </c>
      <c r="F14" s="109">
        <v>1</v>
      </c>
      <c r="G14" s="101">
        <f t="shared" si="0"/>
        <v>159.64285714285731</v>
      </c>
      <c r="H14" s="102">
        <f t="shared" si="1"/>
        <v>159.64285714285731</v>
      </c>
      <c r="I14" s="65">
        <f>VLOOKUP(B14,All_Ingredients!$A$1:$F$156,6,FALSE())</f>
        <v>1</v>
      </c>
      <c r="J14" s="101">
        <f>VLOOKUP(B14,All_Ingredients!$A$1:$J$156,10,FALSE())</f>
        <v>17</v>
      </c>
      <c r="K14" s="104">
        <f t="shared" si="7"/>
        <v>0.15964285714285731</v>
      </c>
      <c r="L14" s="104">
        <f t="shared" si="8"/>
        <v>2.7139285714285744</v>
      </c>
    </row>
    <row r="15" spans="1:46" ht="14.25" customHeight="1" x14ac:dyDescent="0.25">
      <c r="A15" s="1471"/>
      <c r="B15" s="65" t="s">
        <v>203</v>
      </c>
      <c r="C15" s="106" t="s">
        <v>160</v>
      </c>
      <c r="D15" s="107">
        <v>500</v>
      </c>
      <c r="E15" s="177">
        <f t="shared" si="9"/>
        <v>4.5612244897959231</v>
      </c>
      <c r="F15" s="109">
        <v>1</v>
      </c>
      <c r="G15" s="101">
        <f t="shared" si="0"/>
        <v>2280.6122448979618</v>
      </c>
      <c r="H15" s="102">
        <f t="shared" si="1"/>
        <v>2280.6122448979618</v>
      </c>
      <c r="I15" s="65">
        <f>VLOOKUP(B15,All_Ingredients!$A$1:$F$156,6,FALSE())</f>
        <v>1</v>
      </c>
      <c r="J15" s="101">
        <f>VLOOKUP(B15,All_Ingredients!$A$1:$J$156,10,FALSE())</f>
        <v>0</v>
      </c>
      <c r="K15" s="104">
        <f t="shared" si="7"/>
        <v>2.280612244897962</v>
      </c>
      <c r="L15" s="104">
        <f t="shared" si="8"/>
        <v>0</v>
      </c>
    </row>
    <row r="16" spans="1:46" ht="14.25" customHeight="1" x14ac:dyDescent="0.25">
      <c r="A16" s="1471"/>
      <c r="B16" s="65" t="s">
        <v>187</v>
      </c>
      <c r="C16" s="106" t="s">
        <v>14</v>
      </c>
      <c r="D16" s="107">
        <v>40</v>
      </c>
      <c r="E16" s="177">
        <f t="shared" si="9"/>
        <v>4.5612244897959231</v>
      </c>
      <c r="F16" s="109">
        <v>1</v>
      </c>
      <c r="G16" s="101">
        <f t="shared" si="0"/>
        <v>182.44897959183692</v>
      </c>
      <c r="H16" s="102">
        <f t="shared" si="1"/>
        <v>182.44897959183692</v>
      </c>
      <c r="I16" s="65">
        <f>VLOOKUP(B16,All_Ingredients!$A$1:$F$156,6,FALSE())</f>
        <v>0.9</v>
      </c>
      <c r="J16" s="101">
        <f>VLOOKUP(B16,All_Ingredients!$A$1:$J$156,10,FALSE())</f>
        <v>2.3199999999999998</v>
      </c>
      <c r="K16" s="104">
        <f t="shared" si="7"/>
        <v>0.20272108843537434</v>
      </c>
      <c r="L16" s="104">
        <f t="shared" si="8"/>
        <v>0.47031292517006845</v>
      </c>
    </row>
    <row r="17" spans="1:31" ht="14.25" customHeight="1" x14ac:dyDescent="0.25">
      <c r="A17" s="1471"/>
      <c r="B17" s="65" t="s">
        <v>198</v>
      </c>
      <c r="C17" s="906" t="s">
        <v>160</v>
      </c>
      <c r="D17" s="107">
        <v>40</v>
      </c>
      <c r="E17" s="177">
        <f t="shared" si="9"/>
        <v>4.5612244897959231</v>
      </c>
      <c r="F17" s="109">
        <v>1</v>
      </c>
      <c r="G17" s="101">
        <f t="shared" si="0"/>
        <v>182.44897959183692</v>
      </c>
      <c r="H17" s="102">
        <f t="shared" si="1"/>
        <v>182.44897959183692</v>
      </c>
      <c r="I17" s="65">
        <f>VLOOKUP(B17,All_Ingredients!$A$1:$F$156,6,FALSE())</f>
        <v>1</v>
      </c>
      <c r="J17" s="101">
        <f>VLOOKUP(B17,All_Ingredients!$A$1:$J$156,10,FALSE())</f>
        <v>3.25</v>
      </c>
      <c r="K17" s="104">
        <f t="shared" si="7"/>
        <v>0.18244897959183692</v>
      </c>
      <c r="L17" s="104">
        <f t="shared" si="8"/>
        <v>0.59295918367347</v>
      </c>
    </row>
    <row r="18" spans="1:31" x14ac:dyDescent="0.25">
      <c r="A18" s="1472" t="s">
        <v>929</v>
      </c>
      <c r="B18" s="563" t="s">
        <v>28</v>
      </c>
      <c r="C18" s="564" t="s">
        <v>14</v>
      </c>
      <c r="D18" s="565">
        <v>140</v>
      </c>
      <c r="E18" s="566">
        <f t="shared" si="9"/>
        <v>4.5612244897959231</v>
      </c>
      <c r="F18" s="567">
        <v>1</v>
      </c>
      <c r="G18" s="568">
        <f>D18*E18</f>
        <v>638.57142857142924</v>
      </c>
      <c r="H18" s="569">
        <f>G18*F18</f>
        <v>638.57142857142924</v>
      </c>
    </row>
    <row r="19" spans="1:31" ht="14.25" customHeight="1" x14ac:dyDescent="0.25">
      <c r="A19" s="1472" t="s">
        <v>929</v>
      </c>
      <c r="B19" s="563" t="s">
        <v>30</v>
      </c>
      <c r="C19" s="564" t="s">
        <v>14</v>
      </c>
      <c r="D19" s="565">
        <v>140</v>
      </c>
      <c r="E19" s="566">
        <f t="shared" si="9"/>
        <v>4.5612244897959231</v>
      </c>
      <c r="F19" s="567">
        <v>1</v>
      </c>
      <c r="G19" s="568">
        <f>D19*E19</f>
        <v>638.57142857142924</v>
      </c>
      <c r="H19" s="569">
        <f>G19*F19</f>
        <v>638.57142857142924</v>
      </c>
      <c r="L19" s="274"/>
      <c r="R19" s="375" t="s">
        <v>361</v>
      </c>
    </row>
    <row r="20" spans="1:31" ht="14.25" customHeight="1" x14ac:dyDescent="0.25">
      <c r="A20" s="1472" t="s">
        <v>929</v>
      </c>
      <c r="B20" s="563" t="s">
        <v>32</v>
      </c>
      <c r="C20" s="564" t="s">
        <v>14</v>
      </c>
      <c r="D20" s="565">
        <v>140</v>
      </c>
      <c r="E20" s="566">
        <f t="shared" si="9"/>
        <v>4.5612244897959231</v>
      </c>
      <c r="F20" s="567">
        <v>1</v>
      </c>
      <c r="G20" s="568">
        <f>D20*E20</f>
        <v>638.57142857142924</v>
      </c>
      <c r="H20" s="569">
        <f>G20*F20</f>
        <v>638.57142857142924</v>
      </c>
      <c r="L20" s="274"/>
      <c r="R20" s="375" t="s">
        <v>362</v>
      </c>
    </row>
    <row r="21" spans="1:31" ht="14.25" customHeight="1" x14ac:dyDescent="0.25">
      <c r="A21" s="1472"/>
      <c r="L21" s="274"/>
    </row>
    <row r="22" spans="1:31" ht="14.25" customHeight="1" x14ac:dyDescent="0.25">
      <c r="A22" s="1472"/>
      <c r="L22" s="274"/>
    </row>
    <row r="23" spans="1:31" ht="14.25" customHeight="1" x14ac:dyDescent="0.25">
      <c r="A23" s="1472"/>
      <c r="L23" s="274"/>
    </row>
    <row r="24" spans="1:31" ht="14.25" customHeight="1" x14ac:dyDescent="0.25">
      <c r="A24" s="1472"/>
      <c r="L24" s="274"/>
      <c r="Z24" s="1073"/>
    </row>
    <row r="25" spans="1:31" ht="18.75" customHeight="1" x14ac:dyDescent="0.25">
      <c r="A25" s="1472"/>
      <c r="L25" s="274"/>
      <c r="R25" s="1640" t="s">
        <v>363</v>
      </c>
      <c r="S25" s="1633"/>
      <c r="T25" s="1633"/>
      <c r="U25" s="1633"/>
      <c r="V25" s="997"/>
      <c r="Z25" s="122" t="s">
        <v>252</v>
      </c>
      <c r="AA25" s="123">
        <v>1</v>
      </c>
      <c r="AB25" s="122" t="s">
        <v>249</v>
      </c>
      <c r="AC25" s="124">
        <f>(AA25*AE30)+(AA30*(AB28/R1))</f>
        <v>2.9123956104739484E-2</v>
      </c>
    </row>
    <row r="26" spans="1:31" ht="14.25" customHeight="1" x14ac:dyDescent="0.25">
      <c r="A26" s="1472"/>
      <c r="L26" s="274"/>
      <c r="R26" s="1654" t="s">
        <v>297</v>
      </c>
      <c r="S26" s="1633"/>
      <c r="T26" s="1633"/>
      <c r="U26" s="1633"/>
      <c r="V26" s="997"/>
    </row>
    <row r="27" spans="1:31" ht="14.25" customHeight="1" thickBot="1" x14ac:dyDescent="0.3">
      <c r="A27" s="1472"/>
      <c r="L27" s="274"/>
      <c r="R27" s="126" t="s">
        <v>254</v>
      </c>
      <c r="S27" s="127" t="s">
        <v>255</v>
      </c>
      <c r="T27" s="127" t="s">
        <v>256</v>
      </c>
      <c r="U27" s="127" t="s">
        <v>262</v>
      </c>
      <c r="V27" s="127" t="s">
        <v>772</v>
      </c>
      <c r="W27" s="127" t="s">
        <v>779</v>
      </c>
      <c r="Z27" s="122" t="s">
        <v>258</v>
      </c>
      <c r="AA27" s="1031" t="s">
        <v>312</v>
      </c>
      <c r="AB27" s="128" t="s">
        <v>259</v>
      </c>
      <c r="AC27" s="128" t="s">
        <v>260</v>
      </c>
      <c r="AD27" s="1032" t="s">
        <v>779</v>
      </c>
      <c r="AE27" s="128" t="s">
        <v>262</v>
      </c>
    </row>
    <row r="28" spans="1:31" ht="14.25" customHeight="1" thickBot="1" x14ac:dyDescent="0.3">
      <c r="A28" s="1472"/>
      <c r="R28" s="129" t="s">
        <v>263</v>
      </c>
      <c r="S28" s="1215">
        <f>U28*S40</f>
        <v>14515.384615384612</v>
      </c>
      <c r="T28" s="1215">
        <f>U28*U40</f>
        <v>4354.6153846153893</v>
      </c>
      <c r="U28" s="1186">
        <f>$Z$1</f>
        <v>18870</v>
      </c>
      <c r="V28" s="130">
        <f>SUM(AP5:AP13)</f>
        <v>1828.4067796610163</v>
      </c>
      <c r="W28" s="130">
        <f>SUM(I37:I38)</f>
        <v>0</v>
      </c>
      <c r="Z28" s="132"/>
      <c r="AA28" s="1034"/>
      <c r="AB28" s="1046">
        <f>AA25*$S$40</f>
        <v>0.76923076923076905</v>
      </c>
      <c r="AC28" s="1046">
        <f>AA25*$U$40</f>
        <v>0.230769230769231</v>
      </c>
      <c r="AD28" s="1034"/>
      <c r="AE28" s="135">
        <f>SUM(AB28:AC28)</f>
        <v>1</v>
      </c>
    </row>
    <row r="29" spans="1:31" ht="14.25" customHeight="1" thickBot="1" x14ac:dyDescent="0.3">
      <c r="A29" s="1472"/>
      <c r="R29" s="129" t="s">
        <v>264</v>
      </c>
      <c r="S29" s="1218"/>
      <c r="T29" s="130"/>
      <c r="U29" s="1215">
        <f>T29</f>
        <v>0</v>
      </c>
      <c r="V29" s="130"/>
      <c r="W29" s="130"/>
      <c r="Z29" s="132"/>
      <c r="AA29" s="1038"/>
      <c r="AB29" s="137">
        <f>AB28/$AE$28</f>
        <v>0.76923076923076905</v>
      </c>
      <c r="AC29" s="137">
        <f>AC28/$AE$28</f>
        <v>0.230769230769231</v>
      </c>
      <c r="AD29" s="1038"/>
      <c r="AE29" s="137">
        <f>AE28/$AE$28</f>
        <v>1</v>
      </c>
    </row>
    <row r="30" spans="1:31" ht="14.25" customHeight="1" thickBot="1" x14ac:dyDescent="0.3">
      <c r="A30" s="1472"/>
      <c r="R30" s="129" t="s">
        <v>265</v>
      </c>
      <c r="S30" s="1225">
        <f>U30*S40</f>
        <v>384.61538461538453</v>
      </c>
      <c r="T30" s="1225">
        <f>U30*U40</f>
        <v>115.3846153846155</v>
      </c>
      <c r="U30" s="1186">
        <f>$AB$1</f>
        <v>500</v>
      </c>
      <c r="V30" s="989"/>
      <c r="W30" s="989"/>
      <c r="Z30" s="122" t="s">
        <v>266</v>
      </c>
      <c r="AA30" s="1042">
        <f>V35/(S32/R1)</f>
        <v>5.3283327567466747E-4</v>
      </c>
      <c r="AB30" s="138">
        <f>S35/(S32)</f>
        <v>3.3701221915648408E-2</v>
      </c>
      <c r="AC30" s="139">
        <f>T35/T32</f>
        <v>1.0856045912022359E-2</v>
      </c>
      <c r="AD30" s="1040">
        <f>W35/(U32)</f>
        <v>0</v>
      </c>
      <c r="AE30" s="1129">
        <f>SUMPRODUCT(AB30:AC30,AB29:AC29)+AD30</f>
        <v>2.8429258222503934E-2</v>
      </c>
    </row>
    <row r="31" spans="1:31" ht="14.25" customHeight="1" thickBot="1" x14ac:dyDescent="0.3">
      <c r="A31" s="1472"/>
      <c r="R31" s="129" t="s">
        <v>267</v>
      </c>
      <c r="S31" s="136"/>
      <c r="T31" s="130"/>
      <c r="U31" s="130"/>
      <c r="V31" s="130"/>
      <c r="W31" s="130"/>
    </row>
    <row r="32" spans="1:31" ht="14.25" customHeight="1" thickBot="1" x14ac:dyDescent="0.3">
      <c r="A32" s="1472"/>
      <c r="R32" s="141" t="s">
        <v>257</v>
      </c>
      <c r="S32" s="130">
        <f>SUM(S28:S30)</f>
        <v>14899.999999999996</v>
      </c>
      <c r="T32" s="130">
        <f>SUM(T28:T30)</f>
        <v>4470.0000000000045</v>
      </c>
      <c r="U32" s="130">
        <f>SUM(U28:U30)</f>
        <v>19370</v>
      </c>
      <c r="V32" s="130"/>
      <c r="W32" s="130">
        <f>SUM(W28:W30)</f>
        <v>0</v>
      </c>
    </row>
    <row r="33" spans="1:23" ht="14.25" customHeight="1" thickBot="1" x14ac:dyDescent="0.3">
      <c r="A33" s="1472"/>
      <c r="B33" s="84"/>
      <c r="E33" s="84"/>
      <c r="F33" s="84"/>
      <c r="R33" s="142" t="s">
        <v>268</v>
      </c>
      <c r="S33" s="136"/>
      <c r="T33" s="136"/>
      <c r="U33" s="136"/>
      <c r="V33" s="136"/>
      <c r="W33" s="136"/>
    </row>
    <row r="34" spans="1:23" ht="14.25" customHeight="1" thickBot="1" x14ac:dyDescent="0.3">
      <c r="A34" s="1472"/>
      <c r="B34" s="84"/>
      <c r="E34" s="84"/>
      <c r="F34" s="84"/>
      <c r="R34" s="143" t="s">
        <v>269</v>
      </c>
      <c r="S34" s="136"/>
      <c r="T34" s="130"/>
      <c r="U34" s="136"/>
      <c r="V34" s="136"/>
      <c r="W34" s="136"/>
    </row>
    <row r="35" spans="1:23" ht="14.25" customHeight="1" thickBot="1" x14ac:dyDescent="0.3">
      <c r="A35" s="1472"/>
      <c r="B35" s="84"/>
      <c r="E35" s="84"/>
      <c r="F35" s="84"/>
      <c r="R35" s="144" t="s">
        <v>249</v>
      </c>
      <c r="S35" s="990">
        <f>$L$5</f>
        <v>502.14820654316117</v>
      </c>
      <c r="T35" s="990">
        <f>SUM(L6:L16)</f>
        <v>48.526525226739992</v>
      </c>
      <c r="U35" s="1049">
        <f>S35+T35+V35</f>
        <v>564.13102974880383</v>
      </c>
      <c r="V35" s="990">
        <f>SUM(AT6:AT13)</f>
        <v>13.456297978902617</v>
      </c>
      <c r="W35" s="1049">
        <f>SUM(M37:M38)</f>
        <v>0</v>
      </c>
    </row>
    <row r="36" spans="1:23" ht="14.25" customHeight="1" x14ac:dyDescent="0.25">
      <c r="A36" s="1472"/>
      <c r="B36" s="84"/>
      <c r="E36" s="84"/>
      <c r="F36" s="84"/>
    </row>
    <row r="37" spans="1:23" ht="18" customHeight="1" x14ac:dyDescent="0.25">
      <c r="A37" s="1472"/>
    </row>
    <row r="38" spans="1:23" x14ac:dyDescent="0.25">
      <c r="A38" s="1472"/>
    </row>
    <row r="39" spans="1:23" x14ac:dyDescent="0.25">
      <c r="A39" s="1472"/>
    </row>
    <row r="40" spans="1:23" ht="20.25" customHeight="1" x14ac:dyDescent="0.25">
      <c r="A40" s="1472"/>
      <c r="R40" s="146" t="s">
        <v>270</v>
      </c>
      <c r="S40" s="147">
        <v>0.76923076923076905</v>
      </c>
      <c r="T40" s="146" t="s">
        <v>271</v>
      </c>
      <c r="U40" s="148">
        <v>0.230769230769231</v>
      </c>
      <c r="V40" s="149">
        <f>S40+U40</f>
        <v>1</v>
      </c>
    </row>
    <row r="41" spans="1:23" ht="14.25" customHeight="1" x14ac:dyDescent="0.25">
      <c r="A41" s="1472"/>
      <c r="U41" s="150"/>
    </row>
    <row r="42" spans="1:23" ht="14.25" customHeight="1"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43334</v>
      </c>
      <c r="R44" s="154">
        <f>D51</f>
        <v>10000</v>
      </c>
      <c r="S44" s="155">
        <v>1</v>
      </c>
      <c r="T44" s="155">
        <v>0</v>
      </c>
      <c r="U44" s="220">
        <f>R44*S44</f>
        <v>10000</v>
      </c>
      <c r="V44" s="157">
        <f>R44*T44</f>
        <v>0</v>
      </c>
      <c r="W44" s="237">
        <f>Q44-U44</f>
        <v>33334</v>
      </c>
    </row>
    <row r="45" spans="1:23" x14ac:dyDescent="0.25">
      <c r="A45" s="1472"/>
    </row>
    <row r="46" spans="1:23" ht="14.25" customHeight="1" x14ac:dyDescent="0.25">
      <c r="A46" s="1472"/>
    </row>
    <row r="47" spans="1:23" ht="14.25" customHeight="1" x14ac:dyDescent="0.25">
      <c r="A47" s="1472"/>
    </row>
    <row r="48" spans="1:23" ht="14.25" customHeight="1" x14ac:dyDescent="0.25">
      <c r="A48" s="1472"/>
    </row>
    <row r="49" spans="1:10" ht="14.25" customHeight="1" x14ac:dyDescent="0.25">
      <c r="A49" s="1472"/>
    </row>
    <row r="50" spans="1:10" ht="14.25" customHeight="1" x14ac:dyDescent="0.25">
      <c r="A50" s="1472"/>
      <c r="B50" s="253"/>
      <c r="C50" s="126" t="s">
        <v>233</v>
      </c>
      <c r="D50" s="126" t="s">
        <v>279</v>
      </c>
      <c r="E50" s="371"/>
      <c r="F50" s="84"/>
      <c r="G50" s="126" t="s">
        <v>280</v>
      </c>
      <c r="H50" s="126" t="s">
        <v>233</v>
      </c>
      <c r="I50" s="126" t="s">
        <v>281</v>
      </c>
      <c r="J50" s="126" t="s">
        <v>282</v>
      </c>
    </row>
    <row r="51" spans="1:10" ht="14.25" customHeight="1" x14ac:dyDescent="0.25">
      <c r="A51" s="1472"/>
      <c r="B51" s="161" t="s">
        <v>283</v>
      </c>
      <c r="C51" s="162">
        <f>10/$K$1</f>
        <v>10.204081632653061</v>
      </c>
      <c r="D51" s="163">
        <f>$C$1*10</f>
        <v>10000</v>
      </c>
      <c r="E51" s="164"/>
      <c r="F51" s="84"/>
      <c r="G51" s="161" t="s">
        <v>283</v>
      </c>
      <c r="H51" s="254">
        <f>I51/$D$5</f>
        <v>10</v>
      </c>
      <c r="I51" s="162">
        <f>J51/$R$1</f>
        <v>56498.305084745763</v>
      </c>
      <c r="J51" s="162">
        <f>$W$44</f>
        <v>33334</v>
      </c>
    </row>
    <row r="52" spans="1:10" x14ac:dyDescent="0.25">
      <c r="A52" s="1472"/>
      <c r="B52" s="209" t="s">
        <v>262</v>
      </c>
      <c r="C52" s="210">
        <f>$I$1</f>
        <v>4.5612244897959231</v>
      </c>
      <c r="D52" s="211">
        <f>$E$1</f>
        <v>4470.0000000000045</v>
      </c>
      <c r="E52" s="84"/>
      <c r="F52" s="84"/>
      <c r="G52" s="129" t="s">
        <v>262</v>
      </c>
      <c r="H52" s="190">
        <f>I52/$D$5</f>
        <v>4.4699106017879631</v>
      </c>
      <c r="I52" s="157">
        <f>J52/$R$1</f>
        <v>25254.237288135588</v>
      </c>
      <c r="J52" s="165">
        <f>$S$32</f>
        <v>14899.999999999996</v>
      </c>
    </row>
    <row r="53" spans="1:10" x14ac:dyDescent="0.25">
      <c r="A53" s="1472"/>
      <c r="B53" s="209" t="s">
        <v>284</v>
      </c>
      <c r="C53" s="212">
        <f>MIN(C52, C51)</f>
        <v>4.5612244897959231</v>
      </c>
      <c r="D53" s="211">
        <f>(C53*$K$1)*$C$1</f>
        <v>4470.0000000000045</v>
      </c>
      <c r="E53" s="84"/>
      <c r="F53" s="84"/>
      <c r="G53" s="129" t="s">
        <v>284</v>
      </c>
      <c r="H53" s="168">
        <f>MIN(H52,H51)</f>
        <v>4.4699106017879631</v>
      </c>
      <c r="I53" s="157">
        <f>J53/$R$1</f>
        <v>25254.237288135588</v>
      </c>
      <c r="J53" s="157">
        <f>MIN(J52,J51)</f>
        <v>14899.999999999996</v>
      </c>
    </row>
    <row r="54" spans="1:10"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36" t="str">
        <f>"  اسياخ الدجاج الباربكيو  1 / " &amp; COUNTIF($C$53:$C$55, "&gt;0")</f>
        <v xml:space="preserve">  اسياخ الدجاج الباربكيو  1 / 1</v>
      </c>
      <c r="C62" s="1637"/>
      <c r="D62" s="1637"/>
      <c r="E62" s="1637"/>
      <c r="F62" s="1637"/>
      <c r="G62" s="1637"/>
      <c r="H62" s="1637"/>
    </row>
    <row r="63" spans="1:10" ht="18" customHeight="1" x14ac:dyDescent="0.25">
      <c r="A63" s="1473"/>
      <c r="B63" s="1687" t="str">
        <f>" BBQ Chicken Skewers 1  / " &amp; COUNTIF($C$53:$C$55, "&gt;0")</f>
        <v xml:space="preserve"> BBQ Chicken Skewers 1  / 1</v>
      </c>
      <c r="C63" s="1635"/>
      <c r="D63" s="1635"/>
      <c r="E63" s="1635"/>
      <c r="F63" s="1635"/>
      <c r="G63" s="1635"/>
      <c r="H63" s="1635"/>
    </row>
    <row r="64" spans="1:10" ht="45" customHeight="1" x14ac:dyDescent="0.2">
      <c r="A64" s="1457"/>
      <c r="B64" s="75" t="s">
        <v>241</v>
      </c>
      <c r="C64" s="90" t="s">
        <v>242</v>
      </c>
      <c r="D64" s="75" t="s">
        <v>231</v>
      </c>
      <c r="E64" s="91" t="s">
        <v>234</v>
      </c>
      <c r="F64" s="91" t="s">
        <v>243</v>
      </c>
      <c r="G64" s="75" t="s">
        <v>244</v>
      </c>
      <c r="H64" s="92" t="s">
        <v>245</v>
      </c>
    </row>
    <row r="65" spans="1:10" ht="14.25" customHeight="1" x14ac:dyDescent="0.25">
      <c r="A65" s="1471"/>
      <c r="B65" s="65" t="str">
        <f t="shared" ref="B65:D77" si="14">B5</f>
        <v>Chicken - دجاج</v>
      </c>
      <c r="C65" s="65" t="str">
        <f t="shared" si="14"/>
        <v>gm</v>
      </c>
      <c r="D65" s="101">
        <f>D5</f>
        <v>5649.8305084745762</v>
      </c>
      <c r="E65" s="108">
        <f>H53</f>
        <v>4.4699106017879631</v>
      </c>
      <c r="F65" s="109">
        <f t="shared" ref="F65:F77" si="15">F5</f>
        <v>1</v>
      </c>
      <c r="G65" s="101">
        <f t="shared" ref="G65:G77" si="16">D65*E65</f>
        <v>25254.237288135588</v>
      </c>
      <c r="H65" s="102">
        <f t="shared" ref="H65:H77" si="17">G65*F65</f>
        <v>25254.237288135588</v>
      </c>
    </row>
    <row r="66" spans="1:10" ht="14.25" customHeight="1" x14ac:dyDescent="0.25">
      <c r="A66" s="1471"/>
      <c r="B66" s="65" t="str">
        <f t="shared" si="14"/>
        <v>BBQ Sauce - صوص باربيكيو</v>
      </c>
      <c r="C66" s="65" t="str">
        <f t="shared" si="14"/>
        <v>ml</v>
      </c>
      <c r="D66" s="65">
        <f t="shared" si="14"/>
        <v>400</v>
      </c>
      <c r="E66" s="108">
        <f t="shared" ref="E66:E80" si="18">$C$53</f>
        <v>4.5612244897959231</v>
      </c>
      <c r="F66" s="109">
        <f t="shared" si="15"/>
        <v>0.95</v>
      </c>
      <c r="G66" s="101">
        <f t="shared" si="16"/>
        <v>1824.4897959183693</v>
      </c>
      <c r="H66" s="102">
        <f t="shared" si="17"/>
        <v>1733.2653061224507</v>
      </c>
    </row>
    <row r="67" spans="1:10" ht="14.25" customHeight="1" x14ac:dyDescent="0.25">
      <c r="A67" s="1471"/>
      <c r="B67" s="65" t="str">
        <f t="shared" si="14"/>
        <v>Sriracha Sauce - صوص سريراتشا</v>
      </c>
      <c r="C67" s="65" t="str">
        <f t="shared" si="14"/>
        <v>ml</v>
      </c>
      <c r="D67" s="65">
        <f t="shared" si="14"/>
        <v>35</v>
      </c>
      <c r="E67" s="108">
        <f t="shared" si="18"/>
        <v>4.5612244897959231</v>
      </c>
      <c r="F67" s="109">
        <f t="shared" si="15"/>
        <v>0.95</v>
      </c>
      <c r="G67" s="101">
        <f t="shared" si="16"/>
        <v>159.64285714285731</v>
      </c>
      <c r="H67" s="102">
        <f t="shared" si="17"/>
        <v>151.66071428571445</v>
      </c>
    </row>
    <row r="68" spans="1:10" ht="14.25" customHeight="1" x14ac:dyDescent="0.25">
      <c r="A68" s="1471"/>
      <c r="B68" s="65" t="str">
        <f t="shared" si="14"/>
        <v>Paprika Powder - بابريكا مطحون</v>
      </c>
      <c r="C68" s="65" t="str">
        <f t="shared" si="14"/>
        <v>gm</v>
      </c>
      <c r="D68" s="65">
        <f t="shared" si="14"/>
        <v>10</v>
      </c>
      <c r="E68" s="108">
        <f t="shared" si="18"/>
        <v>4.5612244897959231</v>
      </c>
      <c r="F68" s="109">
        <f t="shared" si="15"/>
        <v>1</v>
      </c>
      <c r="G68" s="101">
        <f t="shared" si="16"/>
        <v>45.612244897959229</v>
      </c>
      <c r="H68" s="102">
        <f t="shared" si="17"/>
        <v>45.612244897959229</v>
      </c>
    </row>
    <row r="69" spans="1:10" ht="14.25" customHeight="1" x14ac:dyDescent="0.25">
      <c r="A69" s="1471"/>
      <c r="B69" s="65" t="str">
        <f t="shared" si="14"/>
        <v>Garlic Powder - ثوم بودرة</v>
      </c>
      <c r="C69" s="65" t="str">
        <f t="shared" si="14"/>
        <v>gm</v>
      </c>
      <c r="D69" s="65">
        <f t="shared" si="14"/>
        <v>10</v>
      </c>
      <c r="E69" s="108">
        <f t="shared" si="18"/>
        <v>4.5612244897959231</v>
      </c>
      <c r="F69" s="109">
        <f t="shared" si="15"/>
        <v>1</v>
      </c>
      <c r="G69" s="101">
        <f t="shared" si="16"/>
        <v>45.612244897959229</v>
      </c>
      <c r="H69" s="102">
        <f t="shared" si="17"/>
        <v>45.612244897959229</v>
      </c>
    </row>
    <row r="70" spans="1:10" ht="14.25" customHeight="1" x14ac:dyDescent="0.25">
      <c r="A70" s="1471"/>
      <c r="B70" s="65" t="str">
        <f t="shared" si="14"/>
        <v>Cumin Powder - كمون مطحون</v>
      </c>
      <c r="C70" s="65" t="str">
        <f t="shared" si="14"/>
        <v>gm</v>
      </c>
      <c r="D70" s="65">
        <f t="shared" si="14"/>
        <v>10</v>
      </c>
      <c r="E70" s="108">
        <f t="shared" si="18"/>
        <v>4.5612244897959231</v>
      </c>
      <c r="F70" s="109">
        <f t="shared" si="15"/>
        <v>0.75</v>
      </c>
      <c r="G70" s="101">
        <f t="shared" si="16"/>
        <v>45.612244897959229</v>
      </c>
      <c r="H70" s="102">
        <f t="shared" si="17"/>
        <v>34.209183673469425</v>
      </c>
    </row>
    <row r="71" spans="1:10" ht="14.25" customHeight="1" x14ac:dyDescent="0.25">
      <c r="A71" s="1471"/>
      <c r="B71" s="65" t="str">
        <f t="shared" si="14"/>
        <v>Black Pepper Powder - فلفل أسود مطحون</v>
      </c>
      <c r="C71" s="65" t="str">
        <f t="shared" si="14"/>
        <v>gm</v>
      </c>
      <c r="D71" s="65">
        <f t="shared" si="14"/>
        <v>6</v>
      </c>
      <c r="E71" s="108">
        <f t="shared" si="18"/>
        <v>4.5612244897959231</v>
      </c>
      <c r="F71" s="109">
        <f t="shared" si="15"/>
        <v>1</v>
      </c>
      <c r="G71" s="101">
        <f t="shared" si="16"/>
        <v>27.36734693877554</v>
      </c>
      <c r="H71" s="102">
        <f t="shared" si="17"/>
        <v>27.36734693877554</v>
      </c>
    </row>
    <row r="72" spans="1:10" ht="14.25" customHeight="1" x14ac:dyDescent="0.25">
      <c r="A72" s="1471"/>
      <c r="B72" s="65" t="str">
        <f t="shared" si="14"/>
        <v>Salt - ملح</v>
      </c>
      <c r="C72" s="65" t="str">
        <f t="shared" si="14"/>
        <v>gm</v>
      </c>
      <c r="D72" s="65">
        <f t="shared" si="14"/>
        <v>11</v>
      </c>
      <c r="E72" s="108">
        <f t="shared" si="18"/>
        <v>4.5612244897959231</v>
      </c>
      <c r="F72" s="109">
        <f t="shared" si="15"/>
        <v>0.75</v>
      </c>
      <c r="G72" s="101">
        <f t="shared" si="16"/>
        <v>50.173469387755155</v>
      </c>
      <c r="H72" s="102">
        <f t="shared" si="17"/>
        <v>37.630102040816368</v>
      </c>
    </row>
    <row r="73" spans="1:10" ht="14.25" customHeight="1" x14ac:dyDescent="0.25">
      <c r="A73" s="1471"/>
      <c r="B73" s="65" t="str">
        <f t="shared" si="14"/>
        <v>Lemon Juice - عصير ليمون</v>
      </c>
      <c r="C73" s="65" t="str">
        <f t="shared" si="14"/>
        <v>ml</v>
      </c>
      <c r="D73" s="65">
        <f t="shared" si="14"/>
        <v>60</v>
      </c>
      <c r="E73" s="108">
        <f t="shared" si="18"/>
        <v>4.5612244897959231</v>
      </c>
      <c r="F73" s="109">
        <f t="shared" si="15"/>
        <v>1</v>
      </c>
      <c r="G73" s="101">
        <f t="shared" si="16"/>
        <v>273.6734693877554</v>
      </c>
      <c r="H73" s="102">
        <f t="shared" si="17"/>
        <v>273.6734693877554</v>
      </c>
    </row>
    <row r="74" spans="1:10" ht="14.25" customHeight="1" x14ac:dyDescent="0.25">
      <c r="A74" s="1471"/>
      <c r="B74" s="65" t="str">
        <f t="shared" si="14"/>
        <v>Honey - عسل</v>
      </c>
      <c r="C74" s="65" t="str">
        <f t="shared" si="14"/>
        <v>gm</v>
      </c>
      <c r="D74" s="65">
        <f t="shared" si="14"/>
        <v>35</v>
      </c>
      <c r="E74" s="108">
        <f t="shared" si="18"/>
        <v>4.5612244897959231</v>
      </c>
      <c r="F74" s="109">
        <f t="shared" si="15"/>
        <v>1</v>
      </c>
      <c r="G74" s="101">
        <f t="shared" si="16"/>
        <v>159.64285714285731</v>
      </c>
      <c r="H74" s="102">
        <f t="shared" si="17"/>
        <v>159.64285714285731</v>
      </c>
    </row>
    <row r="75" spans="1:10" ht="14.25" customHeight="1" x14ac:dyDescent="0.25">
      <c r="A75" s="1471"/>
      <c r="B75" s="65" t="str">
        <f t="shared" si="14"/>
        <v>Water - ماء</v>
      </c>
      <c r="C75" s="65" t="str">
        <f t="shared" si="14"/>
        <v>ml</v>
      </c>
      <c r="D75" s="65">
        <f t="shared" si="14"/>
        <v>500</v>
      </c>
      <c r="E75" s="108">
        <f t="shared" si="18"/>
        <v>4.5612244897959231</v>
      </c>
      <c r="F75" s="109">
        <f t="shared" si="15"/>
        <v>1</v>
      </c>
      <c r="G75" s="101">
        <f t="shared" si="16"/>
        <v>2280.6122448979618</v>
      </c>
      <c r="H75" s="102">
        <f t="shared" si="17"/>
        <v>2280.6122448979618</v>
      </c>
    </row>
    <row r="76" spans="1:10" ht="14.25" customHeight="1" x14ac:dyDescent="0.25">
      <c r="A76" s="1471"/>
      <c r="B76" s="65" t="str">
        <f t="shared" si="14"/>
        <v>Corn Starch - نشا ذرة</v>
      </c>
      <c r="C76" s="65" t="str">
        <f t="shared" si="14"/>
        <v>gm</v>
      </c>
      <c r="D76" s="65">
        <f t="shared" si="14"/>
        <v>40</v>
      </c>
      <c r="E76" s="108">
        <f t="shared" si="18"/>
        <v>4.5612244897959231</v>
      </c>
      <c r="F76" s="109">
        <f t="shared" si="15"/>
        <v>1</v>
      </c>
      <c r="G76" s="101">
        <f t="shared" si="16"/>
        <v>182.44897959183692</v>
      </c>
      <c r="H76" s="102">
        <f t="shared" si="17"/>
        <v>182.44897959183692</v>
      </c>
    </row>
    <row r="77" spans="1:10" ht="14.25" customHeight="1" x14ac:dyDescent="0.25">
      <c r="A77" s="1471"/>
      <c r="B77" s="65" t="str">
        <f t="shared" si="14"/>
        <v>Tomato Ketchup - كاتشب طماطم</v>
      </c>
      <c r="C77" s="65" t="str">
        <f t="shared" si="14"/>
        <v>ml</v>
      </c>
      <c r="D77" s="65">
        <f t="shared" si="14"/>
        <v>40</v>
      </c>
      <c r="E77" s="108">
        <f t="shared" si="18"/>
        <v>4.5612244897959231</v>
      </c>
      <c r="F77" s="109">
        <f t="shared" si="15"/>
        <v>1</v>
      </c>
      <c r="G77" s="101">
        <f t="shared" si="16"/>
        <v>182.44897959183692</v>
      </c>
      <c r="H77" s="102">
        <f t="shared" si="17"/>
        <v>182.44897959183692</v>
      </c>
    </row>
    <row r="78" spans="1:10" ht="20.25" customHeight="1" x14ac:dyDescent="0.3">
      <c r="A78" s="1498" t="s">
        <v>929</v>
      </c>
      <c r="B78" s="714" t="str">
        <f t="shared" ref="B78:D80" si="19">B18</f>
        <v xml:space="preserve">Red Bell Pepper - فلفل أحمر </v>
      </c>
      <c r="C78" s="714" t="str">
        <f t="shared" si="19"/>
        <v>gm</v>
      </c>
      <c r="D78" s="714">
        <f t="shared" si="19"/>
        <v>140</v>
      </c>
      <c r="E78" s="715">
        <f t="shared" si="18"/>
        <v>4.5612244897959231</v>
      </c>
      <c r="F78" s="716">
        <f>F18</f>
        <v>1</v>
      </c>
      <c r="G78" s="568">
        <f>D78*E78</f>
        <v>638.57142857142924</v>
      </c>
      <c r="H78" s="569">
        <f>G78*F78</f>
        <v>638.57142857142924</v>
      </c>
      <c r="I78" s="184"/>
      <c r="J78" s="183"/>
    </row>
    <row r="79" spans="1:10" x14ac:dyDescent="0.25">
      <c r="A79" s="1472" t="s">
        <v>929</v>
      </c>
      <c r="B79" s="714" t="str">
        <f t="shared" si="19"/>
        <v xml:space="preserve">Yellow Bell Pepper - فلفل أصفر </v>
      </c>
      <c r="C79" s="714" t="str">
        <f t="shared" si="19"/>
        <v>gm</v>
      </c>
      <c r="D79" s="714">
        <f t="shared" si="19"/>
        <v>140</v>
      </c>
      <c r="E79" s="715">
        <f t="shared" si="18"/>
        <v>4.5612244897959231</v>
      </c>
      <c r="F79" s="716">
        <f>F19</f>
        <v>1</v>
      </c>
      <c r="G79" s="568">
        <f>D79*E79</f>
        <v>638.57142857142924</v>
      </c>
      <c r="H79" s="569">
        <f>G79*F79</f>
        <v>638.57142857142924</v>
      </c>
    </row>
    <row r="80" spans="1:10" x14ac:dyDescent="0.25">
      <c r="A80" s="1472" t="s">
        <v>929</v>
      </c>
      <c r="B80" s="714" t="str">
        <f t="shared" si="19"/>
        <v>Green Bell Pepper - فلفل أخضر رومى</v>
      </c>
      <c r="C80" s="714" t="str">
        <f t="shared" si="19"/>
        <v>gm</v>
      </c>
      <c r="D80" s="714">
        <f t="shared" si="19"/>
        <v>140</v>
      </c>
      <c r="E80" s="715">
        <f t="shared" si="18"/>
        <v>4.5612244897959231</v>
      </c>
      <c r="F80" s="716">
        <f>F20</f>
        <v>1</v>
      </c>
      <c r="G80" s="568">
        <f>D80*E80</f>
        <v>638.57142857142924</v>
      </c>
      <c r="H80" s="569">
        <f>G80*F80</f>
        <v>638.57142857142924</v>
      </c>
    </row>
    <row r="81" spans="1:8" ht="18" x14ac:dyDescent="0.25">
      <c r="A81" s="1458"/>
      <c r="B81" s="178" t="s">
        <v>287</v>
      </c>
      <c r="C81" s="180" t="s">
        <v>273</v>
      </c>
      <c r="E81" s="180" t="s">
        <v>288</v>
      </c>
      <c r="G81" s="804" t="s">
        <v>264</v>
      </c>
      <c r="H81" s="804" t="s">
        <v>673</v>
      </c>
    </row>
    <row r="82" spans="1:8" ht="20.25" x14ac:dyDescent="0.3">
      <c r="A82" s="1458"/>
      <c r="B82" s="179">
        <f>$J$53</f>
        <v>14899.999999999996</v>
      </c>
      <c r="C82" s="179">
        <f>E82+G82</f>
        <v>4470.0000000000045</v>
      </c>
      <c r="D82" s="839"/>
      <c r="E82" s="179">
        <f>$D$53*$S$44</f>
        <v>4470.0000000000045</v>
      </c>
      <c r="F82" s="843"/>
      <c r="G82" s="179">
        <f>$D$53*$T$44</f>
        <v>0</v>
      </c>
      <c r="H82" s="179">
        <f>B82+E82</f>
        <v>19370</v>
      </c>
    </row>
    <row r="83" spans="1:8" x14ac:dyDescent="0.25">
      <c r="A83" s="1472"/>
    </row>
    <row r="84" spans="1:8" x14ac:dyDescent="0.25">
      <c r="A84" s="1472"/>
    </row>
    <row r="85" spans="1:8" x14ac:dyDescent="0.25">
      <c r="A85" s="1472"/>
    </row>
    <row r="86" spans="1:8" x14ac:dyDescent="0.25">
      <c r="A86" s="1472"/>
    </row>
    <row r="87" spans="1:8" x14ac:dyDescent="0.25">
      <c r="A87" s="1472"/>
    </row>
    <row r="88" spans="1:8" x14ac:dyDescent="0.25">
      <c r="A88" s="1472"/>
    </row>
    <row r="89" spans="1:8" x14ac:dyDescent="0.25">
      <c r="A89" s="1472"/>
    </row>
    <row r="90" spans="1:8" x14ac:dyDescent="0.25">
      <c r="A90" s="1472"/>
    </row>
    <row r="91" spans="1:8" x14ac:dyDescent="0.25">
      <c r="A91" s="1472"/>
    </row>
    <row r="92" spans="1:8" x14ac:dyDescent="0.25">
      <c r="A92" s="1472"/>
    </row>
    <row r="93" spans="1:8" x14ac:dyDescent="0.25">
      <c r="A93" s="1472"/>
    </row>
    <row r="94" spans="1:8" x14ac:dyDescent="0.25">
      <c r="A94" s="1472"/>
    </row>
    <row r="95" spans="1:8" x14ac:dyDescent="0.25">
      <c r="A95" s="1472"/>
    </row>
    <row r="96" spans="1:8" x14ac:dyDescent="0.25">
      <c r="A96" s="1472"/>
    </row>
    <row r="97" spans="1:1" x14ac:dyDescent="0.25">
      <c r="A97" s="1472"/>
    </row>
    <row r="98" spans="1:1" x14ac:dyDescent="0.25">
      <c r="A98" s="1472"/>
    </row>
    <row r="99" spans="1:1" x14ac:dyDescent="0.25">
      <c r="A99" s="1472"/>
    </row>
    <row r="100" spans="1:1" x14ac:dyDescent="0.25">
      <c r="A100" s="1472"/>
    </row>
    <row r="101" spans="1:1" x14ac:dyDescent="0.25">
      <c r="A101" s="1472"/>
    </row>
    <row r="102" spans="1:1" x14ac:dyDescent="0.25">
      <c r="A102" s="1472"/>
    </row>
    <row r="103" spans="1:1" x14ac:dyDescent="0.25">
      <c r="A103" s="1472"/>
    </row>
    <row r="104" spans="1:1" x14ac:dyDescent="0.25">
      <c r="A104" s="1472"/>
    </row>
    <row r="105" spans="1:1" x14ac:dyDescent="0.25">
      <c r="A105" s="1472"/>
    </row>
    <row r="106" spans="1:1" x14ac:dyDescent="0.25">
      <c r="A106" s="1472"/>
    </row>
    <row r="107" spans="1:1" x14ac:dyDescent="0.25">
      <c r="A107" s="1472"/>
    </row>
    <row r="108" spans="1:1" x14ac:dyDescent="0.25">
      <c r="A108" s="1472"/>
    </row>
    <row r="109" spans="1:1" x14ac:dyDescent="0.25">
      <c r="A109" s="1472"/>
    </row>
    <row r="110" spans="1:1" x14ac:dyDescent="0.25">
      <c r="A110" s="1472"/>
    </row>
    <row r="111" spans="1:1" x14ac:dyDescent="0.25">
      <c r="A111" s="1472"/>
    </row>
    <row r="112" spans="1:1"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7">
    <mergeCell ref="AK2:AM2"/>
    <mergeCell ref="B63:H63"/>
    <mergeCell ref="AE2:AG3"/>
    <mergeCell ref="F2:G3"/>
    <mergeCell ref="R26:U26"/>
    <mergeCell ref="B62:H62"/>
    <mergeCell ref="R25:U25"/>
  </mergeCells>
  <printOptions horizontalCentered="1"/>
  <pageMargins left="0.4" right="0.4" top="1" bottom="0.5" header="0.3" footer="0.511811023622047"/>
  <pageSetup paperSize="9" scale="48" orientation="landscape"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FFD74-C870-46D6-B0AD-01D3EC5211D5}">
  <sheetPr codeName="Sheet90">
    <tabColor rgb="FF2E75B6"/>
    <pageSetUpPr fitToPage="1"/>
  </sheetPr>
  <dimension ref="A1:AG174"/>
  <sheetViews>
    <sheetView topLeftCell="A2" zoomScale="85" zoomScaleNormal="85" workbookViewId="0">
      <selection activeCell="A39" sqref="A39"/>
    </sheetView>
  </sheetViews>
  <sheetFormatPr defaultColWidth="12.5" defaultRowHeight="15" x14ac:dyDescent="0.25"/>
  <cols>
    <col min="1" max="1" width="12.5" style="1" customWidth="1"/>
    <col min="2" max="2" width="34.875" customWidth="1"/>
    <col min="3" max="3" width="16.75" customWidth="1"/>
    <col min="4" max="4" width="18.375" customWidth="1"/>
    <col min="5" max="5" width="15.625" customWidth="1"/>
    <col min="6" max="6" width="17.125" customWidth="1"/>
    <col min="7" max="7" width="17.25" customWidth="1"/>
    <col min="8" max="8" width="30.5" customWidth="1"/>
    <col min="10" max="10" width="14.125" customWidth="1"/>
    <col min="12" max="12" width="8.375" customWidth="1"/>
    <col min="13" max="14" width="4.125" customWidth="1"/>
    <col min="15" max="15" width="8.625" customWidth="1"/>
    <col min="16" max="16" width="7.5" customWidth="1"/>
    <col min="18" max="18" width="30.5" customWidth="1"/>
    <col min="26" max="26" width="9.375" bestFit="1" customWidth="1"/>
    <col min="27" max="27" width="21.375" customWidth="1"/>
    <col min="28" max="28" width="11.625" bestFit="1" customWidth="1"/>
    <col min="29" max="29" width="13.125" bestFit="1" customWidth="1"/>
  </cols>
  <sheetData>
    <row r="1" spans="1:33" ht="39" customHeight="1" x14ac:dyDescent="0.25">
      <c r="B1" s="64" t="s">
        <v>231</v>
      </c>
      <c r="C1" s="65">
        <v>1000</v>
      </c>
      <c r="D1" s="66" t="s">
        <v>232</v>
      </c>
      <c r="E1" s="99">
        <f>T32</f>
        <v>9852.6153846153884</v>
      </c>
      <c r="F1" s="64" t="s">
        <v>233</v>
      </c>
      <c r="G1" s="103">
        <f>E1/C1</f>
        <v>9.8526153846153885</v>
      </c>
      <c r="H1" s="64" t="s">
        <v>234</v>
      </c>
      <c r="I1" s="259">
        <f>G1/K1</f>
        <v>10.053689167974886</v>
      </c>
      <c r="J1" s="70" t="s">
        <v>235</v>
      </c>
      <c r="K1" s="65">
        <f>9.8/10</f>
        <v>0.98000000000000009</v>
      </c>
      <c r="L1" s="84"/>
      <c r="M1" s="73"/>
      <c r="N1" s="74"/>
      <c r="O1" s="75" t="s">
        <v>236</v>
      </c>
      <c r="P1" s="76" t="s">
        <v>289</v>
      </c>
      <c r="Q1" s="77" t="s">
        <v>238</v>
      </c>
      <c r="R1" s="76">
        <v>0.57999999999999996</v>
      </c>
      <c r="Y1" s="75" t="s">
        <v>453</v>
      </c>
      <c r="Z1" s="766">
        <v>14620</v>
      </c>
      <c r="AA1" s="75" t="s">
        <v>556</v>
      </c>
      <c r="AB1" s="766">
        <v>1000</v>
      </c>
      <c r="AC1" s="75" t="s">
        <v>546</v>
      </c>
      <c r="AD1" s="766">
        <v>99</v>
      </c>
      <c r="AE1" s="228"/>
      <c r="AF1" s="230"/>
      <c r="AG1" s="76"/>
    </row>
    <row r="2" spans="1:33" ht="14.25" customHeight="1" x14ac:dyDescent="0.25">
      <c r="A2" s="242"/>
      <c r="B2" s="1645" t="s">
        <v>869</v>
      </c>
      <c r="C2" s="1653"/>
      <c r="D2" s="1653"/>
      <c r="E2" s="1653"/>
      <c r="F2" s="1653"/>
      <c r="G2" s="1653"/>
      <c r="H2" s="1653"/>
      <c r="I2" s="1653"/>
      <c r="J2" s="1653"/>
      <c r="K2" s="1653"/>
      <c r="L2" s="270"/>
      <c r="M2" s="84"/>
      <c r="N2" s="84"/>
      <c r="O2" s="84"/>
      <c r="P2" s="84"/>
      <c r="Q2" s="84"/>
      <c r="R2" s="84"/>
    </row>
    <row r="3" spans="1:33" ht="14.25" customHeight="1" x14ac:dyDescent="0.25">
      <c r="A3" s="242"/>
      <c r="B3" s="1633"/>
      <c r="C3" s="1633"/>
      <c r="D3" s="1633"/>
      <c r="E3" s="1633"/>
      <c r="F3" s="1633"/>
      <c r="G3" s="1633"/>
      <c r="H3" s="1633"/>
      <c r="I3" s="1633"/>
      <c r="J3" s="1633"/>
      <c r="K3" s="1633"/>
      <c r="L3" s="270"/>
      <c r="M3" s="84"/>
      <c r="N3" s="84"/>
      <c r="O3" s="84"/>
      <c r="P3" s="84"/>
      <c r="Q3" s="84"/>
      <c r="R3" s="84"/>
    </row>
    <row r="4" spans="1:33" ht="40.5" customHeight="1" x14ac:dyDescent="0.2">
      <c r="A4" s="75" t="s">
        <v>903</v>
      </c>
      <c r="B4" s="75" t="s">
        <v>241</v>
      </c>
      <c r="C4" s="90" t="s">
        <v>242</v>
      </c>
      <c r="D4" s="75" t="s">
        <v>231</v>
      </c>
      <c r="E4" s="91" t="s">
        <v>234</v>
      </c>
      <c r="F4" s="91" t="s">
        <v>243</v>
      </c>
      <c r="G4" s="75" t="s">
        <v>244</v>
      </c>
      <c r="H4" s="92" t="s">
        <v>245</v>
      </c>
      <c r="I4" s="75" t="s">
        <v>246</v>
      </c>
      <c r="J4" s="75" t="s">
        <v>247</v>
      </c>
      <c r="K4" s="75" t="s">
        <v>248</v>
      </c>
      <c r="L4" s="75" t="s">
        <v>249</v>
      </c>
      <c r="M4" s="84"/>
      <c r="N4" s="84"/>
      <c r="O4" s="84"/>
      <c r="P4" s="84"/>
      <c r="AA4" s="229"/>
      <c r="AB4" s="231"/>
    </row>
    <row r="5" spans="1:33" ht="14.25" customHeight="1" x14ac:dyDescent="0.2">
      <c r="A5" s="1454"/>
      <c r="B5" s="1364" t="s">
        <v>223</v>
      </c>
      <c r="C5" s="106" t="s">
        <v>14</v>
      </c>
      <c r="D5" s="103">
        <f>I51/10</f>
        <v>2102.6517241379311</v>
      </c>
      <c r="E5" s="99">
        <f>H52</f>
        <v>9.8524069076852179</v>
      </c>
      <c r="F5" s="109">
        <v>1</v>
      </c>
      <c r="G5" s="101">
        <f t="shared" ref="G5:G13" si="0">D5*E5</f>
        <v>20716.180371352784</v>
      </c>
      <c r="H5" s="102">
        <f t="shared" ref="H5:H13" si="1">G5*F5</f>
        <v>20716.180371352784</v>
      </c>
      <c r="I5" s="65">
        <f>VLOOKUP(B5,All_Ingredients!$A$1:$F$156,6,FALSE())</f>
        <v>0.55000000000000004</v>
      </c>
      <c r="J5" s="101">
        <f>VLOOKUP(B5,All_Ingredients!$A$1:$J$156,10,FALSE())</f>
        <v>14.361111111111111</v>
      </c>
      <c r="K5" s="104">
        <f t="shared" ref="K5" si="2">(H5/I5)/1000</f>
        <v>37.665782493368695</v>
      </c>
      <c r="L5" s="104">
        <f t="shared" ref="L5" si="3">K5*J5</f>
        <v>540.92248747421149</v>
      </c>
      <c r="M5" s="84"/>
      <c r="N5" s="84"/>
      <c r="O5" s="84"/>
      <c r="P5" s="84"/>
      <c r="AA5" s="76"/>
      <c r="AB5" s="114"/>
      <c r="AE5" s="117"/>
    </row>
    <row r="6" spans="1:33" ht="14.25" customHeight="1" x14ac:dyDescent="0.25">
      <c r="A6" s="1455"/>
      <c r="B6" s="1364" t="s">
        <v>159</v>
      </c>
      <c r="C6" s="1365" t="s">
        <v>160</v>
      </c>
      <c r="D6" s="101">
        <v>714.28571428571433</v>
      </c>
      <c r="E6" s="201">
        <f t="shared" ref="E6:E13" si="4">$I$1</f>
        <v>10.053689167974886</v>
      </c>
      <c r="F6" s="109">
        <v>1</v>
      </c>
      <c r="G6" s="101">
        <f t="shared" si="0"/>
        <v>7181.2065485534904</v>
      </c>
      <c r="H6" s="102">
        <f t="shared" si="1"/>
        <v>7181.2065485534904</v>
      </c>
      <c r="I6" s="65">
        <f>VLOOKUP(B6,All_Ingredients!$A$1:$F$156,6,FALSE())</f>
        <v>1</v>
      </c>
      <c r="J6" s="101">
        <f>VLOOKUP(B6,All_Ingredients!$A$1:$J$156,10,FALSE())</f>
        <v>4.2033333333333331</v>
      </c>
      <c r="K6" s="104">
        <f t="shared" ref="K6:K10" si="5">(H6/I6)/1000</f>
        <v>7.1812065485534902</v>
      </c>
      <c r="L6" s="104">
        <f t="shared" ref="L6:L10" si="6">K6*J6</f>
        <v>30.185004859086501</v>
      </c>
    </row>
    <row r="7" spans="1:33" ht="14.25" customHeight="1" x14ac:dyDescent="0.25">
      <c r="A7" s="1455"/>
      <c r="B7" s="1364" t="s">
        <v>166</v>
      </c>
      <c r="C7" s="1365" t="s">
        <v>160</v>
      </c>
      <c r="D7" s="101">
        <v>714.28571428571433</v>
      </c>
      <c r="E7" s="201">
        <f t="shared" si="4"/>
        <v>10.053689167974886</v>
      </c>
      <c r="F7" s="109">
        <v>1</v>
      </c>
      <c r="G7" s="101">
        <f t="shared" si="0"/>
        <v>7181.2065485534904</v>
      </c>
      <c r="H7" s="102">
        <f t="shared" si="1"/>
        <v>7181.2065485534904</v>
      </c>
      <c r="I7" s="65">
        <f>VLOOKUP(B7,All_Ingredients!$A$1:$F$156,6,FALSE())</f>
        <v>1</v>
      </c>
      <c r="J7" s="101">
        <f>VLOOKUP(B7,All_Ingredients!$A$1:$J$156,10,FALSE())</f>
        <v>12.666666666666666</v>
      </c>
      <c r="K7" s="104">
        <f t="shared" si="5"/>
        <v>7.1812065485534902</v>
      </c>
      <c r="L7" s="104">
        <f t="shared" si="6"/>
        <v>90.961949615010866</v>
      </c>
    </row>
    <row r="8" spans="1:33" ht="14.25" customHeight="1" x14ac:dyDescent="0.25">
      <c r="A8" s="1455"/>
      <c r="B8" s="1364" t="s">
        <v>754</v>
      </c>
      <c r="C8" s="106" t="s">
        <v>14</v>
      </c>
      <c r="D8" s="101">
        <v>228.57142857142858</v>
      </c>
      <c r="E8" s="201">
        <f t="shared" si="4"/>
        <v>10.053689167974886</v>
      </c>
      <c r="F8" s="109">
        <v>1</v>
      </c>
      <c r="G8" s="101">
        <f t="shared" si="0"/>
        <v>2297.9860955371169</v>
      </c>
      <c r="H8" s="102">
        <f t="shared" si="1"/>
        <v>2297.9860955371169</v>
      </c>
      <c r="I8" s="65">
        <f>VLOOKUP(B8,All_Ingredients!$A$1:$F$156,6,FALSE())</f>
        <v>1</v>
      </c>
      <c r="J8" s="101">
        <f>VLOOKUP(B8,All_Ingredients!$A$1:$J$156,10,FALSE())</f>
        <v>22</v>
      </c>
      <c r="K8" s="104">
        <f t="shared" si="5"/>
        <v>2.2979860955371167</v>
      </c>
      <c r="L8" s="104">
        <f t="shared" si="6"/>
        <v>50.55569410181657</v>
      </c>
    </row>
    <row r="9" spans="1:33" ht="14.25" customHeight="1" x14ac:dyDescent="0.25">
      <c r="A9" s="1455"/>
      <c r="B9" s="1364" t="s">
        <v>12</v>
      </c>
      <c r="C9" s="106" t="s">
        <v>14</v>
      </c>
      <c r="D9" s="101">
        <v>71.428571428571431</v>
      </c>
      <c r="E9" s="201">
        <f t="shared" si="4"/>
        <v>10.053689167974886</v>
      </c>
      <c r="F9" s="109">
        <v>1</v>
      </c>
      <c r="G9" s="101">
        <f t="shared" si="0"/>
        <v>718.12065485534902</v>
      </c>
      <c r="H9" s="102">
        <f t="shared" si="1"/>
        <v>718.12065485534902</v>
      </c>
      <c r="I9" s="65">
        <f>VLOOKUP(B9,All_Ingredients!$A$1:$F$156,6,FALSE())</f>
        <v>0.9</v>
      </c>
      <c r="J9" s="101">
        <f>VLOOKUP(B9,All_Ingredients!$A$1:$J$156,10,FALSE())</f>
        <v>3</v>
      </c>
      <c r="K9" s="104">
        <f t="shared" si="5"/>
        <v>0.79791183872816551</v>
      </c>
      <c r="L9" s="104">
        <f t="shared" si="6"/>
        <v>2.3937355161844964</v>
      </c>
    </row>
    <row r="10" spans="1:33" ht="14.25" customHeight="1" x14ac:dyDescent="0.25">
      <c r="A10" s="1455"/>
      <c r="B10" s="1364" t="s">
        <v>99</v>
      </c>
      <c r="C10" s="106" t="s">
        <v>14</v>
      </c>
      <c r="D10" s="101">
        <v>7.1428571428571432</v>
      </c>
      <c r="E10" s="201">
        <f t="shared" si="4"/>
        <v>10.053689167974886</v>
      </c>
      <c r="F10" s="109">
        <v>0.75</v>
      </c>
      <c r="G10" s="101">
        <f t="shared" si="0"/>
        <v>71.812065485534902</v>
      </c>
      <c r="H10" s="102">
        <f t="shared" si="1"/>
        <v>53.859049114151176</v>
      </c>
      <c r="I10" s="65">
        <f>VLOOKUP(B10,All_Ingredients!$A$1:$F$156,6,FALSE())</f>
        <v>1</v>
      </c>
      <c r="J10" s="101">
        <f>VLOOKUP(B10,All_Ingredients!$A$1:$J$156,10,FALSE())</f>
        <v>31</v>
      </c>
      <c r="K10" s="104">
        <f t="shared" si="5"/>
        <v>5.3859049114151174E-2</v>
      </c>
      <c r="L10" s="104">
        <f t="shared" si="6"/>
        <v>1.6696305225386865</v>
      </c>
    </row>
    <row r="11" spans="1:33" ht="14.25" customHeight="1" x14ac:dyDescent="0.25">
      <c r="A11" s="1455"/>
      <c r="B11" s="1364" t="s">
        <v>139</v>
      </c>
      <c r="C11" s="106" t="s">
        <v>14</v>
      </c>
      <c r="D11" s="101">
        <v>7.1428571428571432</v>
      </c>
      <c r="E11" s="201">
        <f t="shared" si="4"/>
        <v>10.053689167974886</v>
      </c>
      <c r="F11" s="109">
        <v>0.75</v>
      </c>
      <c r="G11" s="101">
        <f t="shared" si="0"/>
        <v>71.812065485534902</v>
      </c>
      <c r="H11" s="102">
        <f t="shared" si="1"/>
        <v>53.859049114151176</v>
      </c>
      <c r="I11" s="65">
        <f>VLOOKUP(B11,All_Ingredients!$A$1:$F$156,6,FALSE())</f>
        <v>1</v>
      </c>
      <c r="J11" s="101">
        <f>VLOOKUP(B11,All_Ingredients!$A$1:$J$156,10,FALSE())</f>
        <v>15.277777777777779</v>
      </c>
      <c r="K11" s="104">
        <f t="shared" ref="K11:K13" si="7">(H11/I11)/1000</f>
        <v>5.3859049114151174E-2</v>
      </c>
      <c r="L11" s="104">
        <f t="shared" ref="L11:L13" si="8">K11*J11</f>
        <v>0.82284658368842079</v>
      </c>
    </row>
    <row r="12" spans="1:33" ht="14.25" customHeight="1" x14ac:dyDescent="0.25">
      <c r="A12" s="1455"/>
      <c r="B12" s="1364" t="s">
        <v>200</v>
      </c>
      <c r="C12" s="106" t="s">
        <v>14</v>
      </c>
      <c r="D12" s="101">
        <v>71.428571428571431</v>
      </c>
      <c r="E12" s="201">
        <f t="shared" si="4"/>
        <v>10.053689167974886</v>
      </c>
      <c r="F12" s="109">
        <v>0.75</v>
      </c>
      <c r="G12" s="101">
        <f t="shared" si="0"/>
        <v>718.12065485534902</v>
      </c>
      <c r="H12" s="102">
        <f t="shared" si="1"/>
        <v>538.59049114151173</v>
      </c>
      <c r="I12" s="65">
        <f>VLOOKUP(B12,All_Ingredients!$A$1:$F$156,6,FALSE())</f>
        <v>1</v>
      </c>
      <c r="J12" s="101">
        <f>VLOOKUP(B12,All_Ingredients!$A$1:$J$156,10,FALSE())</f>
        <v>63.333333333333336</v>
      </c>
      <c r="K12" s="104">
        <f t="shared" si="7"/>
        <v>0.5385904911415117</v>
      </c>
      <c r="L12" s="104">
        <f t="shared" si="8"/>
        <v>34.110731105629078</v>
      </c>
    </row>
    <row r="13" spans="1:33" ht="14.25" customHeight="1" x14ac:dyDescent="0.25">
      <c r="A13" s="1484"/>
      <c r="B13" s="1366" t="s">
        <v>152</v>
      </c>
      <c r="C13" s="389" t="s">
        <v>14</v>
      </c>
      <c r="D13" s="422">
        <v>35.714285714285715</v>
      </c>
      <c r="E13" s="507">
        <f t="shared" si="4"/>
        <v>10.053689167974886</v>
      </c>
      <c r="F13" s="415">
        <v>0.75</v>
      </c>
      <c r="G13" s="422">
        <f t="shared" si="0"/>
        <v>359.06032742767451</v>
      </c>
      <c r="H13" s="417">
        <f t="shared" si="1"/>
        <v>269.29524557075587</v>
      </c>
      <c r="I13" s="65">
        <f>VLOOKUP(B13,All_Ingredients!$A$1:$F$156,6,FALSE())</f>
        <v>1</v>
      </c>
      <c r="J13" s="101">
        <f>VLOOKUP(B13,All_Ingredients!$A$1:$J$156,10,FALSE())</f>
        <v>30</v>
      </c>
      <c r="K13" s="104">
        <f t="shared" si="7"/>
        <v>0.26929524557075585</v>
      </c>
      <c r="L13" s="104">
        <f t="shared" si="8"/>
        <v>8.0788573671226747</v>
      </c>
    </row>
    <row r="14" spans="1:33" ht="14.25" customHeight="1" x14ac:dyDescent="0.25">
      <c r="A14" s="1485"/>
      <c r="B14" s="1357"/>
      <c r="C14" s="333"/>
      <c r="D14" s="334"/>
      <c r="E14" s="1367"/>
      <c r="F14" s="336"/>
      <c r="G14" s="438"/>
      <c r="H14" s="338"/>
      <c r="I14" s="392"/>
      <c r="J14" s="438"/>
      <c r="K14" s="439"/>
      <c r="L14" s="439"/>
    </row>
    <row r="15" spans="1:33" ht="14.25" customHeight="1" x14ac:dyDescent="0.25">
      <c r="A15" s="62"/>
      <c r="C15" s="114"/>
      <c r="D15" s="232"/>
      <c r="E15" s="203"/>
      <c r="F15" s="117"/>
      <c r="G15" s="118"/>
      <c r="H15" s="119"/>
      <c r="I15" s="76"/>
      <c r="J15" s="118"/>
      <c r="K15" s="112"/>
      <c r="L15" s="112"/>
    </row>
    <row r="16" spans="1:33" ht="14.25" customHeight="1" x14ac:dyDescent="0.25">
      <c r="A16" s="62"/>
      <c r="C16" s="114"/>
      <c r="D16" s="232"/>
      <c r="E16" s="203"/>
      <c r="F16" s="117"/>
      <c r="G16" s="118"/>
      <c r="H16" s="119"/>
      <c r="I16" s="76"/>
      <c r="J16" s="118"/>
      <c r="K16" s="112"/>
      <c r="L16" s="112"/>
    </row>
    <row r="17" spans="1:31" ht="14.25" customHeight="1" x14ac:dyDescent="0.25">
      <c r="A17" s="62"/>
      <c r="C17" s="114"/>
      <c r="D17" s="232"/>
      <c r="E17" s="203"/>
      <c r="F17" s="117"/>
      <c r="G17" s="118"/>
      <c r="H17" s="119"/>
      <c r="I17" s="76"/>
      <c r="J17" s="118"/>
      <c r="K17" s="112"/>
      <c r="L17" s="112"/>
    </row>
    <row r="18" spans="1:31" ht="14.25" customHeight="1" x14ac:dyDescent="0.25">
      <c r="A18" s="62"/>
      <c r="C18" s="114"/>
      <c r="D18" s="232"/>
      <c r="E18" s="203"/>
      <c r="F18" s="117"/>
      <c r="G18" s="118"/>
      <c r="H18" s="119"/>
      <c r="I18" s="76"/>
      <c r="J18" s="118"/>
      <c r="K18" s="112"/>
      <c r="L18" s="112"/>
    </row>
    <row r="19" spans="1:31" ht="14.25" customHeight="1" x14ac:dyDescent="0.25">
      <c r="A19" s="62"/>
      <c r="C19" s="114"/>
      <c r="D19" s="232"/>
      <c r="E19" s="203"/>
      <c r="F19" s="117"/>
      <c r="G19" s="118"/>
      <c r="H19" s="119"/>
      <c r="I19" s="76"/>
      <c r="J19" s="118"/>
      <c r="K19" s="112"/>
      <c r="L19" s="112"/>
    </row>
    <row r="20" spans="1:31" ht="14.25" customHeight="1" x14ac:dyDescent="0.25">
      <c r="A20" s="62"/>
      <c r="B20" s="84"/>
      <c r="E20" s="84"/>
      <c r="F20" s="84"/>
      <c r="L20" s="189"/>
    </row>
    <row r="21" spans="1:31" ht="14.25" customHeight="1" x14ac:dyDescent="0.25">
      <c r="A21" s="62"/>
      <c r="B21" s="84"/>
      <c r="E21" s="164"/>
      <c r="F21" s="84"/>
      <c r="L21" s="189"/>
    </row>
    <row r="22" spans="1:31" ht="14.25" customHeight="1" x14ac:dyDescent="0.25">
      <c r="A22" s="62"/>
      <c r="L22" s="189"/>
    </row>
    <row r="23" spans="1:31" ht="14.25" customHeight="1" x14ac:dyDescent="0.25">
      <c r="A23" s="62"/>
      <c r="L23" s="189"/>
    </row>
    <row r="24" spans="1:31" ht="14.25" customHeight="1" x14ac:dyDescent="0.25">
      <c r="A24" s="62"/>
      <c r="L24" s="189"/>
      <c r="R24" s="5"/>
      <c r="Z24" s="1124"/>
    </row>
    <row r="25" spans="1:31" ht="14.25" customHeight="1" x14ac:dyDescent="0.25">
      <c r="A25" s="62"/>
      <c r="L25" s="189"/>
      <c r="R25" s="1640" t="s">
        <v>869</v>
      </c>
      <c r="S25" s="1633"/>
      <c r="T25" s="1633"/>
      <c r="U25" s="1633"/>
      <c r="V25" s="1368"/>
      <c r="Z25" s="122" t="s">
        <v>252</v>
      </c>
      <c r="AA25" s="123">
        <v>1</v>
      </c>
      <c r="AB25" s="122" t="s">
        <v>249</v>
      </c>
      <c r="AC25" s="1075">
        <f>(AA25*(1.4))*AE30</f>
        <v>4.868773728399859E-2</v>
      </c>
      <c r="AD25" s="14"/>
    </row>
    <row r="26" spans="1:31" ht="14.25" customHeight="1" x14ac:dyDescent="0.25">
      <c r="A26" s="62"/>
      <c r="L26" s="189"/>
      <c r="R26" s="1654" t="s">
        <v>305</v>
      </c>
      <c r="S26" s="1633"/>
      <c r="T26" s="1633"/>
      <c r="U26" s="1633"/>
      <c r="V26" s="1368"/>
      <c r="Z26" s="14"/>
      <c r="AA26" s="14"/>
      <c r="AB26" s="14"/>
      <c r="AC26" s="14"/>
      <c r="AD26" s="14"/>
    </row>
    <row r="27" spans="1:31" ht="14.25" customHeight="1" thickBot="1" x14ac:dyDescent="0.3">
      <c r="A27" s="62"/>
      <c r="R27" s="126" t="s">
        <v>254</v>
      </c>
      <c r="S27" s="127" t="s">
        <v>306</v>
      </c>
      <c r="T27" s="127" t="s">
        <v>256</v>
      </c>
      <c r="U27" s="127" t="s">
        <v>262</v>
      </c>
      <c r="V27" s="127" t="s">
        <v>779</v>
      </c>
      <c r="Z27" s="122" t="s">
        <v>258</v>
      </c>
      <c r="AA27" s="128" t="s">
        <v>259</v>
      </c>
      <c r="AB27" s="128" t="s">
        <v>260</v>
      </c>
      <c r="AC27" s="128" t="s">
        <v>261</v>
      </c>
      <c r="AD27" s="1032" t="s">
        <v>779</v>
      </c>
      <c r="AE27" s="128" t="s">
        <v>262</v>
      </c>
    </row>
    <row r="28" spans="1:31" ht="14.25" customHeight="1" thickBot="1" x14ac:dyDescent="0.3">
      <c r="A28" s="62"/>
      <c r="B28" s="84"/>
      <c r="E28" s="84"/>
      <c r="F28" s="84"/>
      <c r="R28" s="129" t="s">
        <v>263</v>
      </c>
      <c r="S28" s="1236">
        <f>U28*S40</f>
        <v>11246.153846153844</v>
      </c>
      <c r="T28" s="1236">
        <f>U28*U40</f>
        <v>3373.8461538461574</v>
      </c>
      <c r="U28" s="1597">
        <f>$Z$1</f>
        <v>14620</v>
      </c>
      <c r="V28" s="130">
        <f>SUM(H37:H38)</f>
        <v>105.93</v>
      </c>
      <c r="Z28" s="132"/>
      <c r="AA28" s="133">
        <f>AA25*$S$40</f>
        <v>0.76923076923076905</v>
      </c>
      <c r="AB28" s="133">
        <f>AA25*$U$40</f>
        <v>0.230769230769231</v>
      </c>
      <c r="AC28" s="134">
        <f>AA25*(0.4)</f>
        <v>0.4</v>
      </c>
      <c r="AD28" s="1034"/>
      <c r="AE28" s="135">
        <f>SUM(AA28:AC28)</f>
        <v>1.4</v>
      </c>
    </row>
    <row r="29" spans="1:31" ht="14.25" customHeight="1" thickBot="1" x14ac:dyDescent="0.3">
      <c r="A29" s="62"/>
      <c r="B29" s="84"/>
      <c r="E29" s="84"/>
      <c r="F29" s="84"/>
      <c r="R29" s="129" t="s">
        <v>264</v>
      </c>
      <c r="S29" s="1598"/>
      <c r="T29" s="130">
        <f>U28*0.4</f>
        <v>5848</v>
      </c>
      <c r="U29" s="1236">
        <f>T29</f>
        <v>5848</v>
      </c>
      <c r="V29" s="130"/>
      <c r="Z29" s="132"/>
      <c r="AA29" s="137">
        <f>AA28/$AE$28</f>
        <v>0.54945054945054939</v>
      </c>
      <c r="AB29" s="137">
        <f>AB28/$AE$28</f>
        <v>0.16483516483516503</v>
      </c>
      <c r="AC29" s="137">
        <f>AC28/$AE$28</f>
        <v>0.28571428571428575</v>
      </c>
      <c r="AD29" s="1038"/>
      <c r="AE29" s="137">
        <f>AE28/$AE$28</f>
        <v>1</v>
      </c>
    </row>
    <row r="30" spans="1:31" ht="14.25" customHeight="1" thickBot="1" x14ac:dyDescent="0.3">
      <c r="A30" s="62"/>
      <c r="R30" s="129" t="s">
        <v>265</v>
      </c>
      <c r="S30" s="1599">
        <f>U30*S40</f>
        <v>769.23076923076906</v>
      </c>
      <c r="T30" s="1600">
        <f>(U30*U40)+(U30*0.4)</f>
        <v>630.76923076923094</v>
      </c>
      <c r="U30" s="1601">
        <f>$AB$1</f>
        <v>1000</v>
      </c>
      <c r="V30" s="989"/>
      <c r="Z30" s="122" t="s">
        <v>266</v>
      </c>
      <c r="AA30" s="138">
        <f>S35/(S32)</f>
        <v>4.5019157088122604E-2</v>
      </c>
      <c r="AB30" s="139">
        <f>T35/T32</f>
        <v>2.2205114188532556E-2</v>
      </c>
      <c r="AC30" s="139">
        <f>T35/T32</f>
        <v>2.2205114188532556E-2</v>
      </c>
      <c r="AD30" s="1127">
        <f>V35/(U32)</f>
        <v>3.6652607955424854E-5</v>
      </c>
      <c r="AE30" s="1047">
        <f>SUMPRODUCT(AA30:AC30,AA29:AC29)+(AD30)</f>
        <v>3.477695520285614E-2</v>
      </c>
    </row>
    <row r="31" spans="1:31" ht="15.75" thickBot="1" x14ac:dyDescent="0.3">
      <c r="A31" s="62"/>
      <c r="R31" s="129" t="s">
        <v>267</v>
      </c>
      <c r="S31" s="136"/>
      <c r="T31" s="130"/>
      <c r="U31" s="130"/>
      <c r="V31" s="130"/>
    </row>
    <row r="32" spans="1:31" ht="20.25" customHeight="1" thickBot="1" x14ac:dyDescent="0.3">
      <c r="A32" s="62"/>
      <c r="M32" s="371"/>
      <c r="N32" s="371"/>
      <c r="R32" s="141" t="s">
        <v>257</v>
      </c>
      <c r="S32" s="130">
        <f>SUM(S28:S30)</f>
        <v>12015.384615384613</v>
      </c>
      <c r="T32" s="1063">
        <f>SUM(T28:T30)</f>
        <v>9852.6153846153884</v>
      </c>
      <c r="U32" s="130">
        <f>SUM(U28:U29)+S30+T30</f>
        <v>21868</v>
      </c>
      <c r="V32" s="130">
        <f>SUM(V28:V30)</f>
        <v>105.93</v>
      </c>
    </row>
    <row r="33" spans="1:23" ht="14.25" customHeight="1" thickBot="1" x14ac:dyDescent="0.3">
      <c r="A33" s="62"/>
      <c r="R33" s="142" t="s">
        <v>268</v>
      </c>
      <c r="S33" s="136"/>
      <c r="T33" s="136">
        <f>F75+F91</f>
        <v>0</v>
      </c>
      <c r="U33" s="136"/>
      <c r="V33" s="136"/>
    </row>
    <row r="34" spans="1:23" ht="14.25" customHeight="1" thickBot="1" x14ac:dyDescent="0.3">
      <c r="A34" s="62"/>
      <c r="E34" s="84"/>
      <c r="F34" s="84"/>
      <c r="R34" s="143" t="s">
        <v>269</v>
      </c>
      <c r="S34" s="136"/>
      <c r="T34" s="130">
        <f>T33-(T28+T29)</f>
        <v>-9221.8461538461579</v>
      </c>
      <c r="U34" s="136"/>
      <c r="V34" s="136"/>
    </row>
    <row r="35" spans="1:23" ht="14.25" customHeight="1" thickBot="1" x14ac:dyDescent="0.3">
      <c r="A35" s="62"/>
      <c r="B35" s="1689" t="s">
        <v>870</v>
      </c>
      <c r="C35" s="1690"/>
      <c r="D35" s="1690"/>
      <c r="E35" s="1690"/>
      <c r="F35" s="1691"/>
      <c r="G35" s="803"/>
      <c r="H35" s="803"/>
      <c r="I35" s="803"/>
      <c r="J35" s="803"/>
      <c r="K35" s="803"/>
      <c r="L35" s="803"/>
      <c r="R35" s="144" t="s">
        <v>249</v>
      </c>
      <c r="S35" s="990">
        <f>$L$5</f>
        <v>540.92248747421149</v>
      </c>
      <c r="T35" s="1128">
        <f>SUM(L6:L19)</f>
        <v>218.77844967107731</v>
      </c>
      <c r="U35" s="1078">
        <f>S35+T35+V35</f>
        <v>760.50245637605803</v>
      </c>
      <c r="V35" s="1049">
        <f>SUM(L37:L38)</f>
        <v>0.80151923076923071</v>
      </c>
    </row>
    <row r="36" spans="1:23" ht="47.25"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62"/>
      <c r="B37" s="772" t="s">
        <v>686</v>
      </c>
      <c r="C37" s="773" t="s">
        <v>14</v>
      </c>
      <c r="D37" s="774">
        <v>7.0000000000000007E-2</v>
      </c>
      <c r="E37" s="772">
        <f>$AD$1</f>
        <v>99</v>
      </c>
      <c r="F37" s="772">
        <f>D37*E37</f>
        <v>6.9300000000000006</v>
      </c>
      <c r="H37" s="772">
        <f>F37</f>
        <v>6.9300000000000006</v>
      </c>
      <c r="I37" s="772">
        <f>VLOOKUP(B37,All_Ingredients!$A$1:$F$156,6,FALSE())</f>
        <v>0.65</v>
      </c>
      <c r="J37" s="772">
        <f>VLOOKUP(B37,All_Ingredients!$A$1:$J$156,10,FALSE())</f>
        <v>45</v>
      </c>
      <c r="K37" s="772">
        <f t="shared" ref="K37" si="9">(H37/I37)/1000</f>
        <v>1.0661538461538462E-2</v>
      </c>
      <c r="L37" s="772">
        <f t="shared" ref="L37" si="10">K37*J37</f>
        <v>0.47976923076923078</v>
      </c>
    </row>
    <row r="38" spans="1:23" x14ac:dyDescent="0.25">
      <c r="A38" s="1472" t="s">
        <v>966</v>
      </c>
      <c r="B38" s="772" t="s">
        <v>19</v>
      </c>
      <c r="C38" s="773" t="s">
        <v>14</v>
      </c>
      <c r="D38" s="774">
        <v>1</v>
      </c>
      <c r="E38" s="772">
        <f>$AD$1</f>
        <v>99</v>
      </c>
      <c r="F38" s="772">
        <f>D38*E38</f>
        <v>99</v>
      </c>
      <c r="H38" s="772">
        <f>F38</f>
        <v>99</v>
      </c>
      <c r="I38" s="772">
        <f>VLOOKUP(B38,All_Ingredients!$A$1:$F$156,6,FALSE())</f>
        <v>0.8</v>
      </c>
      <c r="J38" s="772">
        <f>VLOOKUP(B38,All_Ingredients!$A$1:$J$156,10,FALSE())</f>
        <v>2.6</v>
      </c>
      <c r="K38" s="772">
        <f t="shared" ref="K38" si="11">(H38/I38)/1000</f>
        <v>0.12375</v>
      </c>
      <c r="L38" s="772">
        <f t="shared" ref="L38" si="12">K38*J38</f>
        <v>0.32174999999999998</v>
      </c>
    </row>
    <row r="39" spans="1:23" x14ac:dyDescent="0.25">
      <c r="A39" s="62"/>
    </row>
    <row r="40" spans="1:23" ht="15" customHeight="1" x14ac:dyDescent="0.25">
      <c r="A40" s="62"/>
      <c r="Q40" s="14"/>
      <c r="R40" s="146" t="s">
        <v>270</v>
      </c>
      <c r="S40" s="147">
        <v>0.76923076923076905</v>
      </c>
      <c r="T40" s="146" t="s">
        <v>271</v>
      </c>
      <c r="U40" s="148">
        <v>0.230769230769231</v>
      </c>
      <c r="V40" s="149">
        <f>S40+U40</f>
        <v>1</v>
      </c>
      <c r="W40" s="14"/>
    </row>
    <row r="41" spans="1:23" ht="14.25" customHeight="1" x14ac:dyDescent="0.25">
      <c r="A41" s="62"/>
      <c r="Q41" s="14"/>
      <c r="R41" s="14"/>
      <c r="S41" s="14"/>
      <c r="T41" s="14"/>
      <c r="V41" s="14"/>
      <c r="W41" s="14"/>
    </row>
    <row r="42" spans="1:23" ht="14.25" customHeight="1" x14ac:dyDescent="0.25">
      <c r="A42" s="62"/>
      <c r="Q42" s="14"/>
      <c r="R42" s="14"/>
      <c r="S42" s="14"/>
      <c r="T42" s="150"/>
      <c r="U42" s="14"/>
      <c r="V42" s="14"/>
      <c r="W42" s="14"/>
    </row>
    <row r="43" spans="1:23" ht="14.25" customHeight="1" x14ac:dyDescent="0.25">
      <c r="A43" s="62"/>
      <c r="Q43" s="151" t="s">
        <v>272</v>
      </c>
      <c r="R43" s="151" t="s">
        <v>273</v>
      </c>
      <c r="S43" s="151" t="s">
        <v>274</v>
      </c>
      <c r="T43" s="151" t="s">
        <v>275</v>
      </c>
      <c r="U43" s="151" t="s">
        <v>276</v>
      </c>
      <c r="V43" s="151" t="s">
        <v>277</v>
      </c>
      <c r="W43" s="235" t="s">
        <v>278</v>
      </c>
    </row>
    <row r="44" spans="1:23" ht="14.25" customHeight="1" x14ac:dyDescent="0.25">
      <c r="A44" s="62"/>
      <c r="Q44" s="153">
        <v>15854</v>
      </c>
      <c r="R44" s="154">
        <f>D51</f>
        <v>10000</v>
      </c>
      <c r="S44" s="155">
        <v>0.36586200000000002</v>
      </c>
      <c r="T44" s="155">
        <v>0.63415999999999995</v>
      </c>
      <c r="U44" s="220">
        <f>R44*S44</f>
        <v>3658.6200000000003</v>
      </c>
      <c r="V44" s="157">
        <f>R44*T44</f>
        <v>6341.5999999999995</v>
      </c>
      <c r="W44" s="237">
        <f>Q44-U44</f>
        <v>12195.38</v>
      </c>
    </row>
    <row r="45" spans="1:23" x14ac:dyDescent="0.25">
      <c r="A45" s="62"/>
    </row>
    <row r="46" spans="1:23" x14ac:dyDescent="0.25">
      <c r="A46" s="62"/>
    </row>
    <row r="47" spans="1:23" x14ac:dyDescent="0.25">
      <c r="A47" s="62"/>
    </row>
    <row r="48" spans="1:23" x14ac:dyDescent="0.25">
      <c r="A48" s="62"/>
    </row>
    <row r="49" spans="1:10" x14ac:dyDescent="0.25">
      <c r="A49" s="62"/>
    </row>
    <row r="50" spans="1:10" x14ac:dyDescent="0.25">
      <c r="A50" s="62"/>
      <c r="B50" s="126"/>
      <c r="C50" s="126" t="s">
        <v>233</v>
      </c>
      <c r="D50" s="126" t="s">
        <v>279</v>
      </c>
      <c r="E50" s="371"/>
      <c r="F50" s="84"/>
      <c r="G50" s="126" t="s">
        <v>280</v>
      </c>
      <c r="H50" s="126" t="s">
        <v>233</v>
      </c>
      <c r="I50" s="126" t="s">
        <v>281</v>
      </c>
      <c r="J50" s="126" t="s">
        <v>282</v>
      </c>
    </row>
    <row r="51" spans="1:10" ht="18" customHeight="1" x14ac:dyDescent="0.25">
      <c r="A51" s="62"/>
      <c r="B51" s="161" t="s">
        <v>283</v>
      </c>
      <c r="C51" s="162">
        <f>10/$K$1</f>
        <v>10.204081632653061</v>
      </c>
      <c r="D51" s="163">
        <f>$C$1*10</f>
        <v>10000</v>
      </c>
      <c r="E51" s="164"/>
      <c r="F51" s="84"/>
      <c r="G51" s="161" t="s">
        <v>283</v>
      </c>
      <c r="H51" s="254">
        <f>I51/$D$5</f>
        <v>10</v>
      </c>
      <c r="I51" s="162">
        <f>J51/$R$1</f>
        <v>21026.517241379312</v>
      </c>
      <c r="J51" s="162">
        <f>$W$44</f>
        <v>12195.38</v>
      </c>
    </row>
    <row r="52" spans="1:10" ht="19.5" customHeight="1" x14ac:dyDescent="0.25">
      <c r="A52" s="62"/>
      <c r="B52" s="209" t="s">
        <v>262</v>
      </c>
      <c r="C52" s="210">
        <f>$I$1</f>
        <v>10.053689167974886</v>
      </c>
      <c r="D52" s="211">
        <f>$E$1</f>
        <v>9852.6153846153884</v>
      </c>
      <c r="E52" s="84"/>
      <c r="F52" s="84"/>
      <c r="G52" s="129" t="s">
        <v>262</v>
      </c>
      <c r="H52" s="190">
        <f>I52/$D$5</f>
        <v>9.8524069076852179</v>
      </c>
      <c r="I52" s="157">
        <f>J52/$R$1</f>
        <v>20716.180371352784</v>
      </c>
      <c r="J52" s="165">
        <f>$S$32</f>
        <v>12015.384615384613</v>
      </c>
    </row>
    <row r="53" spans="1:10" x14ac:dyDescent="0.25">
      <c r="A53" s="62"/>
      <c r="B53" s="209" t="s">
        <v>284</v>
      </c>
      <c r="C53" s="212">
        <f>MIN(C52, C51)</f>
        <v>10.053689167974886</v>
      </c>
      <c r="D53" s="211">
        <f>(C53*$K$1)*$C$1</f>
        <v>9852.6153846153884</v>
      </c>
      <c r="E53" s="84"/>
      <c r="F53" s="84"/>
      <c r="G53" s="129" t="s">
        <v>284</v>
      </c>
      <c r="H53" s="168">
        <f>MIN(H52,H51)</f>
        <v>9.8524069076852179</v>
      </c>
      <c r="I53" s="157">
        <f>J53/$R$1</f>
        <v>20716.180371352784</v>
      </c>
      <c r="J53" s="157">
        <f>MIN(J52,J51)</f>
        <v>12015.384615384613</v>
      </c>
    </row>
    <row r="54" spans="1:10" x14ac:dyDescent="0.25">
      <c r="A54" s="6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62"/>
    </row>
    <row r="57" spans="1:10" x14ac:dyDescent="0.25">
      <c r="A57" s="62"/>
    </row>
    <row r="58" spans="1:10" x14ac:dyDescent="0.25">
      <c r="A58" s="62"/>
    </row>
    <row r="59" spans="1:10" x14ac:dyDescent="0.25">
      <c r="A59" s="62"/>
    </row>
    <row r="60" spans="1:10" x14ac:dyDescent="0.25">
      <c r="A60" s="62"/>
    </row>
    <row r="61" spans="1:10" x14ac:dyDescent="0.25">
      <c r="A61" s="62"/>
    </row>
    <row r="62" spans="1:10" ht="18" customHeight="1" x14ac:dyDescent="0.25">
      <c r="A62" s="1456"/>
      <c r="B62" s="1636" t="str">
        <f>"  شرائح اللحم مع المشروم  1 / " &amp; COUNTIF($C$53:$C$55, "&gt;0")</f>
        <v xml:space="preserve">  شرائح اللحم مع المشروم  1 / 1</v>
      </c>
      <c r="C62" s="1637"/>
      <c r="D62" s="1637"/>
      <c r="E62" s="1637"/>
      <c r="F62" s="1637"/>
      <c r="G62" s="1637"/>
      <c r="H62" s="1637"/>
    </row>
    <row r="63" spans="1:10" ht="18" customHeight="1" x14ac:dyDescent="0.25">
      <c r="A63" s="1456"/>
      <c r="B63" s="1687" t="str">
        <f>"  Meat Steak muchroom sauce 1  / " &amp; COUNTIF($C$53:$C$55, "&gt;0")</f>
        <v xml:space="preserve">  Meat Steak muchroom sauce 1  / 1</v>
      </c>
      <c r="C63" s="1635"/>
      <c r="D63" s="1635"/>
      <c r="E63" s="1635"/>
      <c r="F63" s="1635"/>
      <c r="G63" s="1635"/>
      <c r="H63" s="1635"/>
    </row>
    <row r="64" spans="1:10" ht="44.25" customHeight="1" x14ac:dyDescent="0.2">
      <c r="A64" s="1457"/>
      <c r="B64" s="75" t="s">
        <v>241</v>
      </c>
      <c r="C64" s="90" t="s">
        <v>242</v>
      </c>
      <c r="D64" s="75" t="s">
        <v>231</v>
      </c>
      <c r="E64" s="91" t="s">
        <v>234</v>
      </c>
      <c r="F64" s="91" t="s">
        <v>243</v>
      </c>
      <c r="G64" s="75" t="s">
        <v>244</v>
      </c>
      <c r="H64" s="92" t="s">
        <v>245</v>
      </c>
    </row>
    <row r="65" spans="1:8" ht="14.25" customHeight="1" x14ac:dyDescent="0.25">
      <c r="A65" s="1455"/>
      <c r="B65" s="299" t="str">
        <f t="shared" ref="B65:D73" si="13">B5</f>
        <v>Indian Meat Alana  - لحم هندى ألانا</v>
      </c>
      <c r="C65" s="299" t="str">
        <f t="shared" si="13"/>
        <v>gm</v>
      </c>
      <c r="D65" s="454">
        <f t="shared" si="13"/>
        <v>2102.6517241379311</v>
      </c>
      <c r="E65" s="258">
        <f>H53</f>
        <v>9.8524069076852179</v>
      </c>
      <c r="F65" s="109">
        <f t="shared" ref="F65:F73" si="14">F5</f>
        <v>1</v>
      </c>
      <c r="G65" s="101">
        <f t="shared" ref="G65:G73" si="15">D65*E65</f>
        <v>20716.180371352784</v>
      </c>
      <c r="H65" s="102">
        <f t="shared" ref="H65:H73" si="16">G65*F65</f>
        <v>20716.180371352784</v>
      </c>
    </row>
    <row r="66" spans="1:8" ht="14.25" customHeight="1" x14ac:dyDescent="0.25">
      <c r="A66" s="1455"/>
      <c r="B66" s="299" t="str">
        <f t="shared" si="13"/>
        <v>Milk - حليب</v>
      </c>
      <c r="C66" s="299" t="str">
        <f t="shared" si="13"/>
        <v>ml</v>
      </c>
      <c r="D66" s="454">
        <f t="shared" si="13"/>
        <v>714.28571428571433</v>
      </c>
      <c r="E66" s="258">
        <f>$C$53</f>
        <v>10.053689167974886</v>
      </c>
      <c r="F66" s="109">
        <f t="shared" si="14"/>
        <v>1</v>
      </c>
      <c r="G66" s="101">
        <f t="shared" si="15"/>
        <v>7181.2065485534904</v>
      </c>
      <c r="H66" s="102">
        <f t="shared" si="16"/>
        <v>7181.2065485534904</v>
      </c>
    </row>
    <row r="67" spans="1:8" ht="14.25" customHeight="1" x14ac:dyDescent="0.25">
      <c r="A67" s="1455"/>
      <c r="B67" s="299" t="str">
        <f t="shared" si="13"/>
        <v>Cooking Cream - كريمة طبخ</v>
      </c>
      <c r="C67" s="299" t="str">
        <f t="shared" si="13"/>
        <v>ml</v>
      </c>
      <c r="D67" s="454">
        <f t="shared" si="13"/>
        <v>714.28571428571433</v>
      </c>
      <c r="E67" s="258">
        <f t="shared" ref="E67:E73" si="17">$C$53</f>
        <v>10.053689167974886</v>
      </c>
      <c r="F67" s="109">
        <f t="shared" si="14"/>
        <v>1</v>
      </c>
      <c r="G67" s="101">
        <f t="shared" si="15"/>
        <v>7181.2065485534904</v>
      </c>
      <c r="H67" s="102">
        <f t="shared" si="16"/>
        <v>7181.2065485534904</v>
      </c>
    </row>
    <row r="68" spans="1:8" ht="14.25" customHeight="1" x14ac:dyDescent="0.25">
      <c r="A68" s="1455"/>
      <c r="B68" s="299" t="str">
        <f t="shared" si="13"/>
        <v>Mushroom - مشروم ابيض</v>
      </c>
      <c r="C68" s="299" t="str">
        <f t="shared" si="13"/>
        <v>gm</v>
      </c>
      <c r="D68" s="454">
        <f t="shared" si="13"/>
        <v>228.57142857142858</v>
      </c>
      <c r="E68" s="258">
        <f t="shared" si="17"/>
        <v>10.053689167974886</v>
      </c>
      <c r="F68" s="109">
        <f t="shared" si="14"/>
        <v>1</v>
      </c>
      <c r="G68" s="101">
        <f t="shared" si="15"/>
        <v>2297.9860955371169</v>
      </c>
      <c r="H68" s="102">
        <f t="shared" si="16"/>
        <v>2297.9860955371169</v>
      </c>
    </row>
    <row r="69" spans="1:8" ht="14.25" customHeight="1" x14ac:dyDescent="0.25">
      <c r="A69" s="1455"/>
      <c r="B69" s="299" t="str">
        <f t="shared" si="13"/>
        <v>Onion - بصل</v>
      </c>
      <c r="C69" s="299" t="str">
        <f t="shared" si="13"/>
        <v>gm</v>
      </c>
      <c r="D69" s="454">
        <f t="shared" si="13"/>
        <v>71.428571428571431</v>
      </c>
      <c r="E69" s="258">
        <f t="shared" si="17"/>
        <v>10.053689167974886</v>
      </c>
      <c r="F69" s="109">
        <f t="shared" si="14"/>
        <v>1</v>
      </c>
      <c r="G69" s="101">
        <f t="shared" si="15"/>
        <v>718.12065485534902</v>
      </c>
      <c r="H69" s="102">
        <f t="shared" si="16"/>
        <v>718.12065485534902</v>
      </c>
    </row>
    <row r="70" spans="1:8" ht="14.25" customHeight="1" x14ac:dyDescent="0.25">
      <c r="A70" s="1455"/>
      <c r="B70" s="299" t="str">
        <f t="shared" si="13"/>
        <v>Black Pepper Powder - فلفل أسود مطحون</v>
      </c>
      <c r="C70" s="299" t="str">
        <f t="shared" si="13"/>
        <v>gm</v>
      </c>
      <c r="D70" s="454">
        <f t="shared" si="13"/>
        <v>7.1428571428571432</v>
      </c>
      <c r="E70" s="258">
        <f t="shared" si="17"/>
        <v>10.053689167974886</v>
      </c>
      <c r="F70" s="109">
        <f t="shared" si="14"/>
        <v>0.75</v>
      </c>
      <c r="G70" s="101">
        <f t="shared" si="15"/>
        <v>71.812065485534902</v>
      </c>
      <c r="H70" s="102">
        <f t="shared" si="16"/>
        <v>53.859049114151176</v>
      </c>
    </row>
    <row r="71" spans="1:8" ht="14.25" customHeight="1" x14ac:dyDescent="0.25">
      <c r="A71" s="1455"/>
      <c r="B71" s="299" t="str">
        <f t="shared" si="13"/>
        <v>Maggi Cubes - مكعبات ماجي</v>
      </c>
      <c r="C71" s="299" t="str">
        <f t="shared" si="13"/>
        <v>gm</v>
      </c>
      <c r="D71" s="454">
        <f t="shared" si="13"/>
        <v>7.1428571428571432</v>
      </c>
      <c r="E71" s="258">
        <f t="shared" si="17"/>
        <v>10.053689167974886</v>
      </c>
      <c r="F71" s="109">
        <f t="shared" si="14"/>
        <v>0.75</v>
      </c>
      <c r="G71" s="101">
        <f t="shared" si="15"/>
        <v>71.812065485534902</v>
      </c>
      <c r="H71" s="102">
        <f t="shared" si="16"/>
        <v>53.859049114151176</v>
      </c>
    </row>
    <row r="72" spans="1:8" ht="14.25" customHeight="1" x14ac:dyDescent="0.25">
      <c r="A72" s="1455"/>
      <c r="B72" s="299" t="str">
        <f t="shared" si="13"/>
        <v>Demi Glaze Sauce - صوص ديمي غلاز</v>
      </c>
      <c r="C72" s="299" t="str">
        <f t="shared" si="13"/>
        <v>gm</v>
      </c>
      <c r="D72" s="454">
        <f t="shared" si="13"/>
        <v>71.428571428571431</v>
      </c>
      <c r="E72" s="258">
        <f t="shared" si="17"/>
        <v>10.053689167974886</v>
      </c>
      <c r="F72" s="109">
        <f t="shared" si="14"/>
        <v>0.75</v>
      </c>
      <c r="G72" s="101">
        <f t="shared" si="15"/>
        <v>718.12065485534902</v>
      </c>
      <c r="H72" s="102">
        <f t="shared" si="16"/>
        <v>538.59049114151173</v>
      </c>
    </row>
    <row r="73" spans="1:8" ht="14.25" customHeight="1" x14ac:dyDescent="0.25">
      <c r="A73" s="1455"/>
      <c r="B73" s="299" t="str">
        <f t="shared" si="13"/>
        <v>Butter - زبدة</v>
      </c>
      <c r="C73" s="299" t="str">
        <f t="shared" si="13"/>
        <v>gm</v>
      </c>
      <c r="D73" s="454">
        <f t="shared" si="13"/>
        <v>35.714285714285715</v>
      </c>
      <c r="E73" s="258">
        <f t="shared" si="17"/>
        <v>10.053689167974886</v>
      </c>
      <c r="F73" s="109">
        <f t="shared" si="14"/>
        <v>0.75</v>
      </c>
      <c r="G73" s="101">
        <f t="shared" si="15"/>
        <v>359.06032742767451</v>
      </c>
      <c r="H73" s="102">
        <f t="shared" si="16"/>
        <v>269.29524557075587</v>
      </c>
    </row>
    <row r="74" spans="1:8" ht="14.25" customHeight="1" x14ac:dyDescent="0.25">
      <c r="A74" s="1458"/>
      <c r="B74" s="178" t="s">
        <v>287</v>
      </c>
      <c r="C74" s="180" t="s">
        <v>273</v>
      </c>
      <c r="D74" s="14"/>
      <c r="E74" s="180" t="s">
        <v>288</v>
      </c>
      <c r="F74" s="14"/>
      <c r="G74" s="804" t="s">
        <v>264</v>
      </c>
      <c r="H74" s="804" t="s">
        <v>673</v>
      </c>
    </row>
    <row r="75" spans="1:8" ht="21.75" customHeight="1" x14ac:dyDescent="0.3">
      <c r="A75" s="1458"/>
      <c r="B75" s="179">
        <f>$J$53</f>
        <v>12015.384615384613</v>
      </c>
      <c r="C75" s="179">
        <f>E75+G75</f>
        <v>9852.8321421538494</v>
      </c>
      <c r="D75" s="839"/>
      <c r="E75" s="179">
        <f>$D$53*$S$44</f>
        <v>3604.6975698461556</v>
      </c>
      <c r="F75" s="843"/>
      <c r="G75" s="179">
        <f>$D$53*$T$44</f>
        <v>6248.1345723076938</v>
      </c>
      <c r="H75" s="179">
        <f>B75+E75</f>
        <v>15620.082185230769</v>
      </c>
    </row>
    <row r="76" spans="1:8" ht="14.25" customHeight="1" x14ac:dyDescent="0.25">
      <c r="A76" s="62"/>
      <c r="B76" s="84"/>
      <c r="E76" s="84"/>
      <c r="F76" s="84"/>
    </row>
    <row r="77" spans="1:8" ht="14.25" customHeight="1" x14ac:dyDescent="0.25">
      <c r="A77" s="62"/>
      <c r="B77" s="84"/>
      <c r="E77" s="84"/>
      <c r="F77" s="84"/>
    </row>
    <row r="78" spans="1:8" ht="14.25" customHeight="1" x14ac:dyDescent="0.25">
      <c r="A78" s="1456"/>
      <c r="B78" s="1636" t="str">
        <f>"  شرائح اللحم مع المشروم  2 / " &amp; COUNTIF($C$53:$C$55, "&gt;0")</f>
        <v xml:space="preserve">  شرائح اللحم مع المشروم  2 / 1</v>
      </c>
      <c r="C78" s="1637"/>
      <c r="D78" s="1637"/>
      <c r="E78" s="1637"/>
      <c r="F78" s="1637"/>
      <c r="G78" s="1637"/>
      <c r="H78" s="1637"/>
    </row>
    <row r="79" spans="1:8" ht="14.25" customHeight="1" x14ac:dyDescent="0.25">
      <c r="A79" s="1456"/>
      <c r="B79" s="1687" t="str">
        <f>"  Meat Steak muchroom sauce 2  / " &amp; COUNTIF($C$53:$C$55, "&gt;0")</f>
        <v xml:space="preserve">  Meat Steak muchroom sauce 2  / 1</v>
      </c>
      <c r="C79" s="1635"/>
      <c r="D79" s="1635"/>
      <c r="E79" s="1635"/>
      <c r="F79" s="1635"/>
      <c r="G79" s="1635"/>
      <c r="H79" s="1635"/>
    </row>
    <row r="80" spans="1:8" ht="38.25" x14ac:dyDescent="0.2">
      <c r="A80" s="1457"/>
      <c r="B80" s="75" t="s">
        <v>241</v>
      </c>
      <c r="C80" s="90" t="s">
        <v>242</v>
      </c>
      <c r="D80" s="75" t="s">
        <v>231</v>
      </c>
      <c r="E80" s="91" t="s">
        <v>234</v>
      </c>
      <c r="F80" s="91" t="s">
        <v>243</v>
      </c>
      <c r="G80" s="75" t="s">
        <v>244</v>
      </c>
      <c r="H80" s="92" t="s">
        <v>245</v>
      </c>
    </row>
    <row r="81" spans="1:8" ht="22.5" customHeight="1" x14ac:dyDescent="0.25">
      <c r="A81" s="1455"/>
      <c r="B81" s="105" t="str">
        <f t="shared" ref="B81:D89" si="18">B5</f>
        <v>Indian Meat Alana  - لحم هندى ألانا</v>
      </c>
      <c r="C81" s="105" t="str">
        <f t="shared" si="18"/>
        <v>gm</v>
      </c>
      <c r="D81" s="256">
        <f t="shared" si="18"/>
        <v>2102.6517241379311</v>
      </c>
      <c r="E81" s="201">
        <f>H54</f>
        <v>0</v>
      </c>
      <c r="F81" s="109">
        <f t="shared" ref="F81:F89" si="19">F5</f>
        <v>1</v>
      </c>
      <c r="G81" s="101">
        <f t="shared" ref="G81:G89" si="20">D81*E81</f>
        <v>0</v>
      </c>
      <c r="H81" s="102">
        <f t="shared" ref="H81:H89" si="21">G81*F81</f>
        <v>0</v>
      </c>
    </row>
    <row r="82" spans="1:8" ht="14.25" customHeight="1" x14ac:dyDescent="0.25">
      <c r="A82" s="1455"/>
      <c r="B82" s="105" t="str">
        <f t="shared" si="18"/>
        <v>Milk - حليب</v>
      </c>
      <c r="C82" s="105" t="str">
        <f t="shared" si="18"/>
        <v>ml</v>
      </c>
      <c r="D82" s="256">
        <f t="shared" si="18"/>
        <v>714.28571428571433</v>
      </c>
      <c r="E82" s="201">
        <f t="shared" ref="E82:E89" si="22">$C$54</f>
        <v>0</v>
      </c>
      <c r="F82" s="109">
        <f t="shared" si="19"/>
        <v>1</v>
      </c>
      <c r="G82" s="101">
        <f t="shared" si="20"/>
        <v>0</v>
      </c>
      <c r="H82" s="102">
        <f t="shared" si="21"/>
        <v>0</v>
      </c>
    </row>
    <row r="83" spans="1:8" ht="14.25" customHeight="1" x14ac:dyDescent="0.25">
      <c r="A83" s="1455"/>
      <c r="B83" s="105" t="str">
        <f t="shared" si="18"/>
        <v>Cooking Cream - كريمة طبخ</v>
      </c>
      <c r="C83" s="105" t="str">
        <f t="shared" si="18"/>
        <v>ml</v>
      </c>
      <c r="D83" s="256">
        <f t="shared" si="18"/>
        <v>714.28571428571433</v>
      </c>
      <c r="E83" s="201">
        <f t="shared" si="22"/>
        <v>0</v>
      </c>
      <c r="F83" s="109">
        <f t="shared" si="19"/>
        <v>1</v>
      </c>
      <c r="G83" s="101">
        <f t="shared" si="20"/>
        <v>0</v>
      </c>
      <c r="H83" s="102">
        <f t="shared" si="21"/>
        <v>0</v>
      </c>
    </row>
    <row r="84" spans="1:8" ht="18" customHeight="1" x14ac:dyDescent="0.25">
      <c r="A84" s="1455"/>
      <c r="B84" s="105" t="str">
        <f t="shared" si="18"/>
        <v>Mushroom - مشروم ابيض</v>
      </c>
      <c r="C84" s="105" t="str">
        <f t="shared" si="18"/>
        <v>gm</v>
      </c>
      <c r="D84" s="256">
        <f t="shared" si="18"/>
        <v>228.57142857142858</v>
      </c>
      <c r="E84" s="201">
        <f t="shared" si="22"/>
        <v>0</v>
      </c>
      <c r="F84" s="109">
        <f t="shared" si="19"/>
        <v>1</v>
      </c>
      <c r="G84" s="101">
        <f t="shared" si="20"/>
        <v>0</v>
      </c>
      <c r="H84" s="102">
        <f t="shared" si="21"/>
        <v>0</v>
      </c>
    </row>
    <row r="85" spans="1:8" ht="18" customHeight="1" x14ac:dyDescent="0.25">
      <c r="A85" s="1455"/>
      <c r="B85" s="105" t="str">
        <f t="shared" si="18"/>
        <v>Onion - بصل</v>
      </c>
      <c r="C85" s="105" t="str">
        <f t="shared" si="18"/>
        <v>gm</v>
      </c>
      <c r="D85" s="256">
        <f t="shared" si="18"/>
        <v>71.428571428571431</v>
      </c>
      <c r="E85" s="201">
        <f t="shared" si="22"/>
        <v>0</v>
      </c>
      <c r="F85" s="109">
        <f t="shared" si="19"/>
        <v>1</v>
      </c>
      <c r="G85" s="101">
        <f t="shared" si="20"/>
        <v>0</v>
      </c>
      <c r="H85" s="102">
        <f t="shared" si="21"/>
        <v>0</v>
      </c>
    </row>
    <row r="86" spans="1:8" x14ac:dyDescent="0.25">
      <c r="A86" s="1455"/>
      <c r="B86" s="105" t="str">
        <f t="shared" si="18"/>
        <v>Black Pepper Powder - فلفل أسود مطحون</v>
      </c>
      <c r="C86" s="105" t="str">
        <f t="shared" si="18"/>
        <v>gm</v>
      </c>
      <c r="D86" s="256">
        <f t="shared" si="18"/>
        <v>7.1428571428571432</v>
      </c>
      <c r="E86" s="201">
        <f t="shared" si="22"/>
        <v>0</v>
      </c>
      <c r="F86" s="109">
        <f t="shared" si="19"/>
        <v>0.75</v>
      </c>
      <c r="G86" s="101">
        <f t="shared" si="20"/>
        <v>0</v>
      </c>
      <c r="H86" s="102">
        <f t="shared" si="21"/>
        <v>0</v>
      </c>
    </row>
    <row r="87" spans="1:8" ht="14.25" customHeight="1" x14ac:dyDescent="0.25">
      <c r="A87" s="1455"/>
      <c r="B87" s="105" t="str">
        <f t="shared" si="18"/>
        <v>Maggi Cubes - مكعبات ماجي</v>
      </c>
      <c r="C87" s="105" t="str">
        <f t="shared" si="18"/>
        <v>gm</v>
      </c>
      <c r="D87" s="256">
        <f t="shared" si="18"/>
        <v>7.1428571428571432</v>
      </c>
      <c r="E87" s="201">
        <f t="shared" si="22"/>
        <v>0</v>
      </c>
      <c r="F87" s="109">
        <f t="shared" si="19"/>
        <v>0.75</v>
      </c>
      <c r="G87" s="101">
        <f t="shared" si="20"/>
        <v>0</v>
      </c>
      <c r="H87" s="102">
        <f t="shared" si="21"/>
        <v>0</v>
      </c>
    </row>
    <row r="88" spans="1:8" ht="14.25" customHeight="1" x14ac:dyDescent="0.25">
      <c r="A88" s="1455"/>
      <c r="B88" s="105" t="str">
        <f t="shared" si="18"/>
        <v>Demi Glaze Sauce - صوص ديمي غلاز</v>
      </c>
      <c r="C88" s="105" t="str">
        <f t="shared" si="18"/>
        <v>gm</v>
      </c>
      <c r="D88" s="256">
        <f t="shared" si="18"/>
        <v>71.428571428571431</v>
      </c>
      <c r="E88" s="201">
        <f t="shared" si="22"/>
        <v>0</v>
      </c>
      <c r="F88" s="109">
        <f t="shared" si="19"/>
        <v>0.75</v>
      </c>
      <c r="G88" s="101">
        <f t="shared" si="20"/>
        <v>0</v>
      </c>
      <c r="H88" s="102">
        <f t="shared" si="21"/>
        <v>0</v>
      </c>
    </row>
    <row r="89" spans="1:8" ht="14.25" customHeight="1" x14ac:dyDescent="0.25">
      <c r="A89" s="1455"/>
      <c r="B89" s="105" t="str">
        <f t="shared" si="18"/>
        <v>Butter - زبدة</v>
      </c>
      <c r="C89" s="105" t="str">
        <f t="shared" si="18"/>
        <v>gm</v>
      </c>
      <c r="D89" s="256">
        <f t="shared" si="18"/>
        <v>35.714285714285715</v>
      </c>
      <c r="E89" s="201">
        <f t="shared" si="22"/>
        <v>0</v>
      </c>
      <c r="F89" s="109">
        <f t="shared" si="19"/>
        <v>0.75</v>
      </c>
      <c r="G89" s="101">
        <f t="shared" si="20"/>
        <v>0</v>
      </c>
      <c r="H89" s="102">
        <f t="shared" si="21"/>
        <v>0</v>
      </c>
    </row>
    <row r="90" spans="1:8" ht="14.25" customHeight="1" x14ac:dyDescent="0.25">
      <c r="A90" s="1458"/>
      <c r="B90" s="178" t="s">
        <v>287</v>
      </c>
      <c r="C90" s="180" t="s">
        <v>273</v>
      </c>
      <c r="D90" s="14"/>
      <c r="E90" s="180" t="s">
        <v>288</v>
      </c>
      <c r="F90" s="14"/>
      <c r="G90" s="804" t="s">
        <v>264</v>
      </c>
      <c r="H90" s="804" t="s">
        <v>673</v>
      </c>
    </row>
    <row r="91" spans="1:8" ht="26.25" customHeight="1" x14ac:dyDescent="0.3">
      <c r="A91" s="1458"/>
      <c r="B91" s="179">
        <f>$J$54</f>
        <v>0</v>
      </c>
      <c r="C91" s="179">
        <f>E91+G91</f>
        <v>0</v>
      </c>
      <c r="D91" s="839"/>
      <c r="E91" s="179">
        <f>$D$54*$S$44</f>
        <v>0</v>
      </c>
      <c r="F91" s="843"/>
      <c r="G91" s="179">
        <f>$D$54*$T$44</f>
        <v>0</v>
      </c>
      <c r="H91" s="179">
        <f>B91+E91</f>
        <v>0</v>
      </c>
    </row>
    <row r="92" spans="1:8" ht="14.25" customHeight="1" x14ac:dyDescent="0.25">
      <c r="A92" s="62"/>
    </row>
    <row r="93" spans="1:8" ht="14.25" customHeight="1" x14ac:dyDescent="0.25">
      <c r="A93" s="1479"/>
      <c r="B93" s="1636" t="str">
        <f>"  شرائح اللحم مع المشروم  3 / " &amp; COUNTIF($C$53:$C$55, "&gt;0")</f>
        <v xml:space="preserve">  شرائح اللحم مع المشروم  3 / 1</v>
      </c>
      <c r="C93" s="1637"/>
      <c r="D93" s="1637"/>
      <c r="E93" s="1637"/>
      <c r="F93" s="1637"/>
      <c r="G93" s="1637"/>
      <c r="H93" s="1637"/>
    </row>
    <row r="94" spans="1:8" ht="14.25" customHeight="1" x14ac:dyDescent="0.25">
      <c r="A94" s="1479"/>
      <c r="B94" s="1687" t="str">
        <f>"  Meat Steak muchroom sauce 3  / " &amp; COUNTIF($C$53:$C$55, "&gt;0")</f>
        <v xml:space="preserve">  Meat Steak muchroom sauce 3  / 1</v>
      </c>
      <c r="C94" s="1635"/>
      <c r="D94" s="1635"/>
      <c r="E94" s="1635"/>
      <c r="F94" s="1635"/>
      <c r="G94" s="1635"/>
      <c r="H94" s="1635"/>
    </row>
    <row r="95" spans="1:8" ht="38.25" x14ac:dyDescent="0.2">
      <c r="A95" s="1457"/>
      <c r="B95" s="75" t="s">
        <v>241</v>
      </c>
      <c r="C95" s="90" t="s">
        <v>242</v>
      </c>
      <c r="D95" s="75" t="s">
        <v>231</v>
      </c>
      <c r="E95" s="91" t="s">
        <v>234</v>
      </c>
      <c r="F95" s="91" t="s">
        <v>243</v>
      </c>
      <c r="G95" s="75" t="s">
        <v>244</v>
      </c>
      <c r="H95" s="92" t="s">
        <v>245</v>
      </c>
    </row>
    <row r="96" spans="1:8" ht="14.25" customHeight="1" x14ac:dyDescent="0.25">
      <c r="A96" s="1455"/>
      <c r="B96" s="105" t="str">
        <f t="shared" ref="B96:D104" si="23">B5</f>
        <v>Indian Meat Alana  - لحم هندى ألانا</v>
      </c>
      <c r="C96" s="105" t="str">
        <f t="shared" si="23"/>
        <v>gm</v>
      </c>
      <c r="D96" s="256">
        <f t="shared" si="23"/>
        <v>2102.6517241379311</v>
      </c>
      <c r="E96" s="201">
        <f>H55</f>
        <v>0</v>
      </c>
      <c r="F96" s="109">
        <f t="shared" ref="F96:F104" si="24">F5</f>
        <v>1</v>
      </c>
      <c r="G96" s="101">
        <f t="shared" ref="G96:G104" si="25">D96*E96</f>
        <v>0</v>
      </c>
      <c r="H96" s="102">
        <f t="shared" ref="H96:H104" si="26">G96*F96</f>
        <v>0</v>
      </c>
    </row>
    <row r="97" spans="1:8" ht="14.25" customHeight="1" x14ac:dyDescent="0.25">
      <c r="A97" s="1455"/>
      <c r="B97" s="105" t="str">
        <f t="shared" si="23"/>
        <v>Milk - حليب</v>
      </c>
      <c r="C97" s="105" t="str">
        <f t="shared" si="23"/>
        <v>ml</v>
      </c>
      <c r="D97" s="256">
        <f t="shared" si="23"/>
        <v>714.28571428571433</v>
      </c>
      <c r="E97" s="201">
        <f t="shared" ref="E97:E104" si="27">$C$55</f>
        <v>0</v>
      </c>
      <c r="F97" s="109">
        <f t="shared" si="24"/>
        <v>1</v>
      </c>
      <c r="G97" s="101">
        <f t="shared" si="25"/>
        <v>0</v>
      </c>
      <c r="H97" s="102">
        <f t="shared" si="26"/>
        <v>0</v>
      </c>
    </row>
    <row r="98" spans="1:8" ht="14.25" customHeight="1" x14ac:dyDescent="0.25">
      <c r="A98" s="1455"/>
      <c r="B98" s="105" t="str">
        <f t="shared" si="23"/>
        <v>Cooking Cream - كريمة طبخ</v>
      </c>
      <c r="C98" s="105" t="str">
        <f t="shared" si="23"/>
        <v>ml</v>
      </c>
      <c r="D98" s="256">
        <f t="shared" si="23"/>
        <v>714.28571428571433</v>
      </c>
      <c r="E98" s="201">
        <f t="shared" si="27"/>
        <v>0</v>
      </c>
      <c r="F98" s="109">
        <f t="shared" si="24"/>
        <v>1</v>
      </c>
      <c r="G98" s="101">
        <f t="shared" si="25"/>
        <v>0</v>
      </c>
      <c r="H98" s="102">
        <f t="shared" si="26"/>
        <v>0</v>
      </c>
    </row>
    <row r="99" spans="1:8" ht="14.25" customHeight="1" x14ac:dyDescent="0.25">
      <c r="A99" s="1455"/>
      <c r="B99" s="105" t="str">
        <f t="shared" si="23"/>
        <v>Mushroom - مشروم ابيض</v>
      </c>
      <c r="C99" s="105" t="str">
        <f t="shared" si="23"/>
        <v>gm</v>
      </c>
      <c r="D99" s="256">
        <f t="shared" si="23"/>
        <v>228.57142857142858</v>
      </c>
      <c r="E99" s="201">
        <f t="shared" si="27"/>
        <v>0</v>
      </c>
      <c r="F99" s="109">
        <f t="shared" si="24"/>
        <v>1</v>
      </c>
      <c r="G99" s="101">
        <f t="shared" si="25"/>
        <v>0</v>
      </c>
      <c r="H99" s="102">
        <f t="shared" si="26"/>
        <v>0</v>
      </c>
    </row>
    <row r="100" spans="1:8" ht="14.25" customHeight="1" x14ac:dyDescent="0.25">
      <c r="A100" s="1455"/>
      <c r="B100" s="105" t="str">
        <f t="shared" si="23"/>
        <v>Onion - بصل</v>
      </c>
      <c r="C100" s="105" t="str">
        <f t="shared" si="23"/>
        <v>gm</v>
      </c>
      <c r="D100" s="256">
        <f t="shared" si="23"/>
        <v>71.428571428571431</v>
      </c>
      <c r="E100" s="201">
        <f t="shared" si="27"/>
        <v>0</v>
      </c>
      <c r="F100" s="109">
        <f t="shared" si="24"/>
        <v>1</v>
      </c>
      <c r="G100" s="101">
        <f t="shared" si="25"/>
        <v>0</v>
      </c>
      <c r="H100" s="102">
        <f t="shared" si="26"/>
        <v>0</v>
      </c>
    </row>
    <row r="101" spans="1:8" ht="14.25" customHeight="1" x14ac:dyDescent="0.25">
      <c r="A101" s="1455"/>
      <c r="B101" s="105" t="str">
        <f t="shared" si="23"/>
        <v>Black Pepper Powder - فلفل أسود مطحون</v>
      </c>
      <c r="C101" s="105" t="str">
        <f t="shared" si="23"/>
        <v>gm</v>
      </c>
      <c r="D101" s="256">
        <f t="shared" si="23"/>
        <v>7.1428571428571432</v>
      </c>
      <c r="E101" s="201">
        <f t="shared" si="27"/>
        <v>0</v>
      </c>
      <c r="F101" s="109">
        <f t="shared" si="24"/>
        <v>0.75</v>
      </c>
      <c r="G101" s="101">
        <f t="shared" si="25"/>
        <v>0</v>
      </c>
      <c r="H101" s="102">
        <f t="shared" si="26"/>
        <v>0</v>
      </c>
    </row>
    <row r="102" spans="1:8" ht="20.25" customHeight="1" x14ac:dyDescent="0.25">
      <c r="A102" s="1455"/>
      <c r="B102" s="105" t="str">
        <f t="shared" si="23"/>
        <v>Maggi Cubes - مكعبات ماجي</v>
      </c>
      <c r="C102" s="105" t="str">
        <f t="shared" si="23"/>
        <v>gm</v>
      </c>
      <c r="D102" s="256">
        <f t="shared" si="23"/>
        <v>7.1428571428571432</v>
      </c>
      <c r="E102" s="201">
        <f t="shared" si="27"/>
        <v>0</v>
      </c>
      <c r="F102" s="109">
        <f t="shared" si="24"/>
        <v>0.75</v>
      </c>
      <c r="G102" s="101">
        <f t="shared" si="25"/>
        <v>0</v>
      </c>
      <c r="H102" s="102">
        <f t="shared" si="26"/>
        <v>0</v>
      </c>
    </row>
    <row r="103" spans="1:8" x14ac:dyDescent="0.25">
      <c r="A103" s="1455"/>
      <c r="B103" s="105" t="str">
        <f t="shared" si="23"/>
        <v>Demi Glaze Sauce - صوص ديمي غلاز</v>
      </c>
      <c r="C103" s="105" t="str">
        <f t="shared" si="23"/>
        <v>gm</v>
      </c>
      <c r="D103" s="256">
        <f t="shared" si="23"/>
        <v>71.428571428571431</v>
      </c>
      <c r="E103" s="201">
        <f t="shared" si="27"/>
        <v>0</v>
      </c>
      <c r="F103" s="109">
        <f t="shared" si="24"/>
        <v>0.75</v>
      </c>
      <c r="G103" s="101">
        <f t="shared" si="25"/>
        <v>0</v>
      </c>
      <c r="H103" s="102">
        <f t="shared" si="26"/>
        <v>0</v>
      </c>
    </row>
    <row r="104" spans="1:8" x14ac:dyDescent="0.25">
      <c r="A104" s="1455"/>
      <c r="B104" s="105" t="str">
        <f t="shared" si="23"/>
        <v>Butter - زبدة</v>
      </c>
      <c r="C104" s="105" t="str">
        <f t="shared" si="23"/>
        <v>gm</v>
      </c>
      <c r="D104" s="256">
        <f t="shared" si="23"/>
        <v>35.714285714285715</v>
      </c>
      <c r="E104" s="201">
        <f t="shared" si="27"/>
        <v>0</v>
      </c>
      <c r="F104" s="109">
        <f t="shared" si="24"/>
        <v>0.75</v>
      </c>
      <c r="G104" s="101">
        <f t="shared" si="25"/>
        <v>0</v>
      </c>
      <c r="H104" s="102">
        <f t="shared" si="26"/>
        <v>0</v>
      </c>
    </row>
    <row r="105" spans="1:8" ht="18" customHeight="1" x14ac:dyDescent="0.25">
      <c r="A105" s="1472"/>
      <c r="B105" s="178" t="s">
        <v>287</v>
      </c>
      <c r="C105" s="180" t="s">
        <v>273</v>
      </c>
      <c r="D105" s="14"/>
      <c r="E105" s="180" t="s">
        <v>288</v>
      </c>
      <c r="F105" s="14"/>
      <c r="G105" s="804" t="s">
        <v>264</v>
      </c>
      <c r="H105" s="804" t="s">
        <v>673</v>
      </c>
    </row>
    <row r="106" spans="1:8" ht="22.5" customHeight="1" x14ac:dyDescent="0.3">
      <c r="A106" s="1472"/>
      <c r="B106" s="179">
        <f>$J$55</f>
        <v>0</v>
      </c>
      <c r="C106" s="179">
        <f>E106+G106</f>
        <v>0</v>
      </c>
      <c r="D106" s="850"/>
      <c r="E106" s="179">
        <f>$D$55*$S$44</f>
        <v>0</v>
      </c>
      <c r="F106" s="850"/>
      <c r="G106" s="179">
        <f>$D$55*$T$44</f>
        <v>0</v>
      </c>
      <c r="H106" s="179">
        <f>B106+E106</f>
        <v>0</v>
      </c>
    </row>
    <row r="107" spans="1:8" ht="40.5" customHeight="1" x14ac:dyDescent="0.25">
      <c r="A107" s="62"/>
    </row>
    <row r="108" spans="1:8" ht="14.25" customHeight="1" x14ac:dyDescent="0.25">
      <c r="A108" s="62"/>
    </row>
    <row r="109" spans="1:8" ht="14.25" customHeight="1" x14ac:dyDescent="0.25">
      <c r="A109" s="62"/>
    </row>
    <row r="110" spans="1:8" ht="14.25" customHeight="1" x14ac:dyDescent="0.25">
      <c r="A110" s="62"/>
    </row>
    <row r="111" spans="1:8" ht="14.25" customHeight="1" x14ac:dyDescent="0.25">
      <c r="A111" s="62"/>
    </row>
    <row r="112" spans="1:8" ht="14.25" customHeight="1" x14ac:dyDescent="0.25">
      <c r="A112" s="62"/>
    </row>
    <row r="113" spans="1:10" ht="14.25" customHeight="1" x14ac:dyDescent="0.25">
      <c r="A113" s="62"/>
    </row>
    <row r="114" spans="1:10" ht="14.25" customHeight="1" x14ac:dyDescent="0.25">
      <c r="A114" s="62"/>
    </row>
    <row r="115" spans="1:10" ht="14.25" customHeight="1" x14ac:dyDescent="0.25">
      <c r="A115" s="62"/>
    </row>
    <row r="116" spans="1:10" ht="14.25" customHeight="1" x14ac:dyDescent="0.25">
      <c r="A116" s="62"/>
    </row>
    <row r="117" spans="1:10" ht="14.25" customHeight="1" x14ac:dyDescent="0.25">
      <c r="A117" s="62"/>
    </row>
    <row r="118" spans="1:10" ht="14.25" customHeight="1" x14ac:dyDescent="0.25">
      <c r="A118" s="62"/>
    </row>
    <row r="119" spans="1:10" ht="14.25" customHeight="1" x14ac:dyDescent="0.25">
      <c r="A119" s="62"/>
    </row>
    <row r="120" spans="1:10" ht="20.25" customHeight="1" x14ac:dyDescent="0.3">
      <c r="A120" s="62"/>
      <c r="I120" s="184"/>
      <c r="J120" s="183"/>
    </row>
    <row r="121" spans="1:10" ht="14.25" customHeight="1" x14ac:dyDescent="0.25">
      <c r="A121" s="62"/>
    </row>
    <row r="122" spans="1:10" ht="14.25" customHeight="1" x14ac:dyDescent="0.25">
      <c r="A122" s="62"/>
    </row>
    <row r="123" spans="1:10" ht="20.25" customHeight="1" x14ac:dyDescent="0.25">
      <c r="A123" s="62"/>
    </row>
    <row r="124" spans="1:10" x14ac:dyDescent="0.25">
      <c r="A124" s="62"/>
    </row>
    <row r="125" spans="1:10" x14ac:dyDescent="0.25">
      <c r="A125" s="62"/>
    </row>
    <row r="126" spans="1:10" x14ac:dyDescent="0.25">
      <c r="A126" s="62"/>
    </row>
    <row r="127" spans="1:10" x14ac:dyDescent="0.25">
      <c r="A127" s="62"/>
    </row>
    <row r="128" spans="1:10"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0">
    <mergeCell ref="B78:H78"/>
    <mergeCell ref="B79:H79"/>
    <mergeCell ref="B93:H93"/>
    <mergeCell ref="B94:H94"/>
    <mergeCell ref="B2:K3"/>
    <mergeCell ref="R25:U25"/>
    <mergeCell ref="R26:U26"/>
    <mergeCell ref="B35:F35"/>
    <mergeCell ref="B62:H62"/>
    <mergeCell ref="B63:H63"/>
  </mergeCells>
  <printOptions horizontalCentered="1"/>
  <pageMargins left="0.5" right="0.5" top="1" bottom="0.5" header="0.3" footer="0.511811023622047"/>
  <pageSetup paperSize="9" scale="36"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DC368-CB14-46DB-98DA-13CC5C8DC2A8}">
  <sheetPr codeName="Sheet91">
    <tabColor theme="8" tint="-0.249977111117893"/>
    <pageSetUpPr fitToPage="1"/>
  </sheetPr>
  <dimension ref="A1:AT973"/>
  <sheetViews>
    <sheetView topLeftCell="AE1" zoomScale="115" zoomScaleNormal="115" workbookViewId="0">
      <selection activeCell="AM1" sqref="AM1"/>
    </sheetView>
  </sheetViews>
  <sheetFormatPr defaultColWidth="12.5" defaultRowHeight="12.75" x14ac:dyDescent="0.2"/>
  <cols>
    <col min="1" max="1" width="12.5" style="14" customWidth="1"/>
    <col min="2" max="2" width="38.375" style="228"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75" style="14" customWidth="1"/>
    <col min="15" max="15" width="16.75" style="14" customWidth="1"/>
    <col min="16" max="18" width="12.5" style="14" customWidth="1"/>
    <col min="19" max="19" width="15.875" style="14" customWidth="1"/>
    <col min="20" max="26" width="12.5" style="14" customWidth="1"/>
    <col min="27" max="27" width="11.125" style="14" bestFit="1" customWidth="1"/>
    <col min="28" max="28" width="11.875" style="14" bestFit="1" customWidth="1"/>
    <col min="29" max="29" width="13.375" style="14" bestFit="1" customWidth="1"/>
    <col min="30" max="30" width="12.375" style="14" bestFit="1" customWidth="1"/>
    <col min="31" max="31" width="8.375" style="14" customWidth="1"/>
    <col min="32" max="32" width="7.625" style="14" customWidth="1"/>
    <col min="33" max="35" width="2.875" style="14" customWidth="1"/>
    <col min="36" max="36" width="38.375" style="14" customWidth="1"/>
    <col min="37" max="37" width="12.5" style="14" customWidth="1"/>
    <col min="38" max="41" width="12.5" style="14"/>
    <col min="42" max="42" width="18.375" style="14" customWidth="1"/>
    <col min="43" max="16384" width="12.5" style="14"/>
  </cols>
  <sheetData>
    <row r="1" spans="1:46" ht="28.5" customHeight="1" x14ac:dyDescent="0.2">
      <c r="B1" s="64" t="s">
        <v>331</v>
      </c>
      <c r="C1" s="65">
        <v>1</v>
      </c>
      <c r="D1" s="66" t="s">
        <v>232</v>
      </c>
      <c r="E1" s="99">
        <f>U32</f>
        <v>158</v>
      </c>
      <c r="F1" s="64" t="s">
        <v>233</v>
      </c>
      <c r="G1" s="99">
        <f>E1/C1</f>
        <v>158</v>
      </c>
      <c r="H1" s="64" t="s">
        <v>234</v>
      </c>
      <c r="I1" s="99"/>
      <c r="J1" s="302" t="s">
        <v>235</v>
      </c>
      <c r="K1" s="303">
        <v>1</v>
      </c>
      <c r="L1" s="84"/>
      <c r="M1" s="84"/>
      <c r="N1" s="84"/>
      <c r="O1" s="75" t="s">
        <v>236</v>
      </c>
      <c r="P1" s="76" t="s">
        <v>933</v>
      </c>
      <c r="Q1" s="77" t="s">
        <v>238</v>
      </c>
      <c r="R1" s="76">
        <v>0.89</v>
      </c>
      <c r="S1" s="77" t="s">
        <v>333</v>
      </c>
      <c r="T1" s="304">
        <v>100</v>
      </c>
      <c r="U1" s="84"/>
      <c r="V1" s="84"/>
      <c r="Y1" s="75" t="s">
        <v>453</v>
      </c>
      <c r="Z1" s="766">
        <v>153</v>
      </c>
      <c r="AA1" s="75" t="s">
        <v>556</v>
      </c>
      <c r="AB1" s="766">
        <v>5</v>
      </c>
      <c r="AC1" s="75" t="s">
        <v>546</v>
      </c>
      <c r="AD1" s="766">
        <v>153</v>
      </c>
      <c r="AE1" s="75" t="s">
        <v>538</v>
      </c>
      <c r="AF1" s="766">
        <f>Z1+AB1</f>
        <v>158</v>
      </c>
      <c r="AJ1" s="78" t="s">
        <v>250</v>
      </c>
      <c r="AK1" s="78">
        <v>10000</v>
      </c>
      <c r="AL1" s="561" t="s">
        <v>485</v>
      </c>
      <c r="AM1" s="562">
        <f>$S$32*80</f>
        <v>12640</v>
      </c>
      <c r="AN1" s="78" t="s">
        <v>239</v>
      </c>
      <c r="AO1" s="305">
        <f>((S32*80)/$R$1)/$AK$1</f>
        <v>1.4202247191011237</v>
      </c>
      <c r="AP1" s="79"/>
    </row>
    <row r="2" spans="1:46" ht="12.75" customHeight="1" x14ac:dyDescent="0.2">
      <c r="A2" s="306"/>
      <c r="B2" s="1644" t="s">
        <v>871</v>
      </c>
      <c r="C2" s="1644"/>
      <c r="D2" s="1644"/>
      <c r="E2" s="1644"/>
      <c r="F2" s="1644"/>
      <c r="G2" s="1644"/>
      <c r="H2" s="1644"/>
      <c r="I2" s="580"/>
      <c r="J2" s="580"/>
      <c r="K2" s="580"/>
      <c r="L2" s="270"/>
      <c r="M2" s="84"/>
      <c r="N2" s="84"/>
      <c r="O2" s="84"/>
      <c r="P2" s="84"/>
      <c r="Q2" s="84"/>
      <c r="R2" s="84"/>
      <c r="S2" s="84"/>
      <c r="T2" s="84"/>
      <c r="U2" s="84"/>
      <c r="AJ2" s="85"/>
      <c r="AK2" s="1631" t="s">
        <v>871</v>
      </c>
      <c r="AL2" s="1631"/>
      <c r="AM2" s="1631"/>
      <c r="AN2" s="86"/>
      <c r="AO2" s="85"/>
      <c r="AP2" s="85"/>
    </row>
    <row r="3" spans="1:46" ht="12.75" customHeight="1" x14ac:dyDescent="0.2">
      <c r="A3" s="306"/>
      <c r="B3" s="1645"/>
      <c r="C3" s="1645"/>
      <c r="D3" s="1645"/>
      <c r="E3" s="1645"/>
      <c r="F3" s="1645"/>
      <c r="G3" s="1645"/>
      <c r="H3" s="1645"/>
      <c r="I3" s="581"/>
      <c r="J3" s="581"/>
      <c r="K3" s="581"/>
      <c r="L3" s="270"/>
      <c r="M3" s="84"/>
      <c r="N3" s="84"/>
      <c r="O3" s="84"/>
      <c r="P3" s="84"/>
      <c r="Q3" s="84"/>
      <c r="R3" s="84"/>
      <c r="S3" s="84"/>
      <c r="T3" s="84"/>
      <c r="U3" s="84"/>
      <c r="AJ3" s="88"/>
      <c r="AK3" s="88"/>
      <c r="AL3" s="1670"/>
      <c r="AM3" s="1670"/>
      <c r="AN3" s="89"/>
      <c r="AO3" s="88"/>
      <c r="AP3" s="88"/>
    </row>
    <row r="4" spans="1:46" ht="69"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347"/>
      <c r="N4" s="84"/>
      <c r="O4" s="84"/>
      <c r="P4" s="84"/>
      <c r="Q4" s="84"/>
      <c r="R4" s="84"/>
      <c r="S4" s="84"/>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260"/>
      <c r="B5" s="106" t="s">
        <v>487</v>
      </c>
      <c r="C5" s="1261" t="s">
        <v>14</v>
      </c>
      <c r="D5" s="245">
        <v>120</v>
      </c>
      <c r="E5" s="98">
        <f>$G$1</f>
        <v>158</v>
      </c>
      <c r="F5" s="109">
        <v>1</v>
      </c>
      <c r="G5" s="101">
        <f>D5*E5</f>
        <v>18960</v>
      </c>
      <c r="H5" s="102">
        <f>G5*F5</f>
        <v>18960</v>
      </c>
      <c r="I5" s="65">
        <f>VLOOKUP(B5,All_Ingredients!$A$1:$F$156,6,FALSE())</f>
        <v>0.97</v>
      </c>
      <c r="J5" s="101">
        <f>VLOOKUP(B5,All_Ingredients!$A$1:$J$156,10,FALSE())</f>
        <v>37.82</v>
      </c>
      <c r="K5" s="104">
        <f t="shared" ref="K5" si="0">(H5/I5)/1000</f>
        <v>19.546391752577321</v>
      </c>
      <c r="L5" s="104">
        <f t="shared" ref="L5" si="1">K5*J5</f>
        <v>739.24453608247427</v>
      </c>
      <c r="M5" s="112"/>
      <c r="AJ5" s="299" t="s">
        <v>487</v>
      </c>
      <c r="AK5" s="106" t="s">
        <v>227</v>
      </c>
      <c r="AL5" s="1262">
        <v>10</v>
      </c>
      <c r="AM5" s="1263">
        <f t="shared" ref="AM5:AM13" si="2">$AO$1</f>
        <v>1.4202247191011237</v>
      </c>
      <c r="AN5" s="109">
        <v>1</v>
      </c>
      <c r="AO5" s="103">
        <f t="shared" ref="AO5:AO13" si="3">AL5*AM5</f>
        <v>14.202247191011237</v>
      </c>
      <c r="AP5" s="102">
        <f t="shared" ref="AP5:AP13" si="4">AO5*AN5</f>
        <v>14.202247191011237</v>
      </c>
      <c r="AQ5" s="272"/>
      <c r="AR5" s="1017"/>
      <c r="AS5" s="156"/>
      <c r="AT5" s="1018"/>
    </row>
    <row r="6" spans="1:46" ht="14.25" customHeight="1" x14ac:dyDescent="0.25">
      <c r="A6" s="1602" t="s">
        <v>927</v>
      </c>
      <c r="B6" s="106" t="s">
        <v>992</v>
      </c>
      <c r="C6" s="1261" t="s">
        <v>14</v>
      </c>
      <c r="D6" s="1262">
        <v>10</v>
      </c>
      <c r="E6" s="98">
        <f>$G$1</f>
        <v>158</v>
      </c>
      <c r="F6" s="109">
        <v>1</v>
      </c>
      <c r="G6" s="101">
        <f>D6*E6</f>
        <v>1580</v>
      </c>
      <c r="H6" s="102">
        <f>G6*F6</f>
        <v>1580</v>
      </c>
      <c r="I6" s="65">
        <f>VLOOKUP(B6,All_Ingredients!$A$1:$F$156,6,FALSE())</f>
        <v>0.5</v>
      </c>
      <c r="J6" s="101">
        <f>VLOOKUP(B6,All_Ingredients!$A$1:$J$156,10,FALSE())</f>
        <v>8.5</v>
      </c>
      <c r="K6" s="104">
        <f t="shared" ref="K6:K9" si="5">(H6/I6)/1000</f>
        <v>3.16</v>
      </c>
      <c r="L6" s="104">
        <f t="shared" ref="L6:L9" si="6">K6*J6</f>
        <v>26.86</v>
      </c>
      <c r="M6" s="112"/>
      <c r="AJ6" s="299" t="s">
        <v>12</v>
      </c>
      <c r="AK6" s="106" t="s">
        <v>14</v>
      </c>
      <c r="AL6" s="1262">
        <v>800</v>
      </c>
      <c r="AM6" s="1263">
        <f t="shared" si="2"/>
        <v>1.4202247191011237</v>
      </c>
      <c r="AN6" s="109">
        <v>1</v>
      </c>
      <c r="AO6" s="103">
        <f t="shared" si="3"/>
        <v>1136.1797752808989</v>
      </c>
      <c r="AP6" s="102">
        <f t="shared" si="4"/>
        <v>1136.1797752808989</v>
      </c>
      <c r="AQ6" s="1018">
        <f>VLOOKUP(AJ6,Marination_Ordering!$A:$J,6,FALSE)</f>
        <v>0.9</v>
      </c>
      <c r="AR6" s="1018">
        <f>VLOOKUP(AJ6,Marination_Ordering!$A:$J,10,FALSE)</f>
        <v>3</v>
      </c>
      <c r="AS6" s="156">
        <f>AP6/AQ6</f>
        <v>1262.4219725343321</v>
      </c>
      <c r="AT6" s="1018">
        <f>AR6*(AS6/1000)</f>
        <v>3.7872659176029968</v>
      </c>
    </row>
    <row r="7" spans="1:46" ht="14.25" customHeight="1" x14ac:dyDescent="0.2">
      <c r="A7" s="1461"/>
      <c r="B7" s="106" t="s">
        <v>805</v>
      </c>
      <c r="C7" s="106" t="s">
        <v>230</v>
      </c>
      <c r="D7" s="1262">
        <v>1</v>
      </c>
      <c r="E7" s="98">
        <f>$Z$1+$AB$1</f>
        <v>158</v>
      </c>
      <c r="F7" s="109">
        <v>1</v>
      </c>
      <c r="G7" s="103">
        <f>D7*($Z$1+$AB$1)</f>
        <v>158</v>
      </c>
      <c r="H7" s="102">
        <f>G7*F7</f>
        <v>158</v>
      </c>
      <c r="I7" s="65">
        <f>VLOOKUP(B7,All_Ingredients!$A$1:$F$156,6,FALSE())</f>
        <v>1</v>
      </c>
      <c r="J7" s="101">
        <f>VLOOKUP(B7,All_Ingredients!$A$1:$J$156,10,FALSE())</f>
        <v>0.6</v>
      </c>
      <c r="K7" s="104">
        <f t="shared" si="5"/>
        <v>0.158</v>
      </c>
      <c r="L7" s="104">
        <f t="shared" si="6"/>
        <v>9.4799999999999995E-2</v>
      </c>
      <c r="M7" s="112"/>
      <c r="AJ7" s="299" t="s">
        <v>99</v>
      </c>
      <c r="AK7" s="106" t="s">
        <v>14</v>
      </c>
      <c r="AL7" s="1262">
        <v>30</v>
      </c>
      <c r="AM7" s="1263">
        <f t="shared" si="2"/>
        <v>1.4202247191011237</v>
      </c>
      <c r="AN7" s="109">
        <v>1</v>
      </c>
      <c r="AO7" s="103">
        <f t="shared" si="3"/>
        <v>42.606741573033709</v>
      </c>
      <c r="AP7" s="102">
        <f t="shared" si="4"/>
        <v>42.606741573033709</v>
      </c>
      <c r="AQ7" s="1018">
        <f>VLOOKUP(AJ7,Marination_Ordering!$A:$J,6,FALSE)</f>
        <v>1</v>
      </c>
      <c r="AR7" s="1018">
        <f>VLOOKUP(AJ7,Marination_Ordering!$A:$J,10,FALSE)</f>
        <v>31</v>
      </c>
      <c r="AS7" s="156">
        <f t="shared" ref="AS7:AS13" si="7">AP7/AQ7</f>
        <v>42.606741573033709</v>
      </c>
      <c r="AT7" s="1018">
        <f t="shared" ref="AT7:AT13" si="8">AR7*(AS7/1000)</f>
        <v>1.3208089887640448</v>
      </c>
    </row>
    <row r="8" spans="1:46" ht="14.25" customHeight="1" x14ac:dyDescent="0.2">
      <c r="A8" s="1461" t="s">
        <v>921</v>
      </c>
      <c r="B8" s="106" t="s">
        <v>845</v>
      </c>
      <c r="C8" s="1261" t="s">
        <v>14</v>
      </c>
      <c r="D8" s="1262">
        <v>25</v>
      </c>
      <c r="E8" s="98">
        <f t="shared" ref="E8:E9" si="9">$G$1</f>
        <v>158</v>
      </c>
      <c r="F8" s="109">
        <v>1</v>
      </c>
      <c r="G8" s="103">
        <f t="shared" ref="G8:G9" si="10">D8*($Z$1+$AB$1)</f>
        <v>3950</v>
      </c>
      <c r="H8" s="102">
        <f t="shared" ref="H8:H9" si="11">G8*F8</f>
        <v>3950</v>
      </c>
      <c r="I8" s="65">
        <f>VLOOKUP(B8,All_Ingredients!$A$1:$F$156,6,FALSE())</f>
        <v>0.66</v>
      </c>
      <c r="J8" s="101">
        <f>VLOOKUP(B8,All_Ingredients!$A$1:$J$156,10,FALSE())</f>
        <v>3.5</v>
      </c>
      <c r="K8" s="104">
        <f t="shared" si="5"/>
        <v>5.9848484848484853</v>
      </c>
      <c r="L8" s="104">
        <f t="shared" si="6"/>
        <v>20.946969696969699</v>
      </c>
      <c r="M8" s="112"/>
      <c r="AJ8" s="299" t="s">
        <v>202</v>
      </c>
      <c r="AK8" s="106" t="s">
        <v>14</v>
      </c>
      <c r="AL8" s="1262">
        <v>400</v>
      </c>
      <c r="AM8" s="1263">
        <f t="shared" si="2"/>
        <v>1.4202247191011237</v>
      </c>
      <c r="AN8" s="109">
        <v>1</v>
      </c>
      <c r="AO8" s="103">
        <f t="shared" si="3"/>
        <v>568.08988764044943</v>
      </c>
      <c r="AP8" s="102">
        <f t="shared" si="4"/>
        <v>568.08988764044943</v>
      </c>
      <c r="AQ8" s="1018">
        <f>VLOOKUP(AJ8,Marination_Ordering!$A:$J,6,FALSE)</f>
        <v>1</v>
      </c>
      <c r="AR8" s="1018">
        <f>VLOOKUP(AJ8,Marination_Ordering!$A:$J,10,FALSE)</f>
        <v>11.243386243386244</v>
      </c>
      <c r="AS8" s="156">
        <f t="shared" si="7"/>
        <v>568.08988764044943</v>
      </c>
      <c r="AT8" s="1018">
        <f t="shared" si="8"/>
        <v>6.3872540277034657</v>
      </c>
    </row>
    <row r="9" spans="1:46" ht="14.25" customHeight="1" x14ac:dyDescent="0.2">
      <c r="A9" s="1461"/>
      <c r="B9" s="106" t="s">
        <v>836</v>
      </c>
      <c r="C9" s="106" t="s">
        <v>230</v>
      </c>
      <c r="D9" s="1262">
        <v>1</v>
      </c>
      <c r="E9" s="98">
        <f t="shared" si="9"/>
        <v>158</v>
      </c>
      <c r="F9" s="109">
        <v>1</v>
      </c>
      <c r="G9" s="103">
        <f t="shared" si="10"/>
        <v>158</v>
      </c>
      <c r="H9" s="102">
        <f t="shared" si="11"/>
        <v>158</v>
      </c>
      <c r="I9" s="65">
        <f>VLOOKUP(B9,All_Ingredients!$A$1:$F$156,6,FALSE())</f>
        <v>1</v>
      </c>
      <c r="J9" s="101">
        <f>VLOOKUP(B9,All_Ingredients!$A$1:$J$156,10,FALSE())</f>
        <v>0.58333333333333337</v>
      </c>
      <c r="K9" s="104">
        <f t="shared" si="5"/>
        <v>0.158</v>
      </c>
      <c r="L9" s="104">
        <f t="shared" si="6"/>
        <v>9.2166666666666675E-2</v>
      </c>
      <c r="M9" s="112"/>
      <c r="AJ9" s="299" t="s">
        <v>229</v>
      </c>
      <c r="AK9" s="106" t="s">
        <v>364</v>
      </c>
      <c r="AL9" s="1262">
        <v>12</v>
      </c>
      <c r="AM9" s="1263">
        <f t="shared" si="2"/>
        <v>1.4202247191011237</v>
      </c>
      <c r="AN9" s="109">
        <v>1</v>
      </c>
      <c r="AO9" s="103">
        <f t="shared" si="3"/>
        <v>17.042696629213484</v>
      </c>
      <c r="AP9" s="102">
        <f t="shared" si="4"/>
        <v>17.042696629213484</v>
      </c>
      <c r="AQ9" s="1018">
        <f>VLOOKUP(AJ9,Marination_Ordering!$A:$J,6,FALSE)</f>
        <v>1</v>
      </c>
      <c r="AR9" s="1018">
        <f>VLOOKUP(AJ9,Marination_Ordering!$A:$J,10,FALSE)</f>
        <v>0.43333333333333335</v>
      </c>
      <c r="AS9" s="156">
        <f t="shared" si="7"/>
        <v>17.042696629213484</v>
      </c>
      <c r="AT9" s="1018">
        <f t="shared" si="8"/>
        <v>7.3851685393258428E-3</v>
      </c>
    </row>
    <row r="10" spans="1:46" ht="14.25" customHeight="1" x14ac:dyDescent="0.2">
      <c r="A10" s="1461"/>
      <c r="B10" s="114"/>
      <c r="C10" s="325"/>
      <c r="D10" s="309"/>
      <c r="E10" s="309"/>
      <c r="F10" s="117"/>
      <c r="G10" s="118"/>
      <c r="H10" s="119"/>
      <c r="I10" s="76"/>
      <c r="J10" s="118"/>
      <c r="K10" s="112"/>
      <c r="L10" s="112"/>
      <c r="M10" s="112"/>
      <c r="AJ10" s="299" t="s">
        <v>93</v>
      </c>
      <c r="AK10" s="106" t="s">
        <v>14</v>
      </c>
      <c r="AL10" s="1262">
        <v>25</v>
      </c>
      <c r="AM10" s="1263">
        <f t="shared" si="2"/>
        <v>1.4202247191011237</v>
      </c>
      <c r="AN10" s="109">
        <v>1</v>
      </c>
      <c r="AO10" s="103">
        <f t="shared" si="3"/>
        <v>35.50561797752809</v>
      </c>
      <c r="AP10" s="102">
        <f t="shared" si="4"/>
        <v>35.50561797752809</v>
      </c>
      <c r="AQ10" s="1018">
        <f>VLOOKUP(AJ10,Marination_Ordering!$A:$J,6,FALSE)</f>
        <v>1</v>
      </c>
      <c r="AR10" s="1018">
        <f>VLOOKUP(AJ10,Marination_Ordering!$A:$J,10,FALSE)</f>
        <v>0.74</v>
      </c>
      <c r="AS10" s="156">
        <f t="shared" si="7"/>
        <v>35.50561797752809</v>
      </c>
      <c r="AT10" s="1018">
        <f t="shared" si="8"/>
        <v>2.6274157303370786E-2</v>
      </c>
    </row>
    <row r="11" spans="1:46" ht="14.25" customHeight="1" x14ac:dyDescent="0.2">
      <c r="A11" s="1461"/>
      <c r="B11" s="114"/>
      <c r="C11" s="325"/>
      <c r="D11" s="309"/>
      <c r="E11" s="309"/>
      <c r="F11" s="117"/>
      <c r="G11" s="118"/>
      <c r="H11" s="119"/>
      <c r="I11" s="76"/>
      <c r="J11" s="118"/>
      <c r="K11" s="112"/>
      <c r="L11" s="112"/>
      <c r="M11" s="112"/>
      <c r="AJ11" s="299" t="s">
        <v>188</v>
      </c>
      <c r="AK11" s="106" t="s">
        <v>14</v>
      </c>
      <c r="AL11" s="1262">
        <v>1200</v>
      </c>
      <c r="AM11" s="1263">
        <f t="shared" si="2"/>
        <v>1.4202247191011237</v>
      </c>
      <c r="AN11" s="109">
        <v>1</v>
      </c>
      <c r="AO11" s="103">
        <f t="shared" si="3"/>
        <v>1704.2696629213485</v>
      </c>
      <c r="AP11" s="102">
        <f t="shared" si="4"/>
        <v>1704.2696629213485</v>
      </c>
      <c r="AQ11" s="1018">
        <f>VLOOKUP(AJ11,Marination_Ordering!$A:$J,6,FALSE)</f>
        <v>1</v>
      </c>
      <c r="AR11" s="1018">
        <f>VLOOKUP(AJ11,Marination_Ordering!$A:$J,10,FALSE)</f>
        <v>8.5</v>
      </c>
      <c r="AS11" s="156">
        <f t="shared" si="7"/>
        <v>1704.2696629213485</v>
      </c>
      <c r="AT11" s="1018">
        <f t="shared" si="8"/>
        <v>14.486292134831462</v>
      </c>
    </row>
    <row r="12" spans="1:46" ht="14.25" customHeight="1" x14ac:dyDescent="0.2">
      <c r="A12" s="1461"/>
      <c r="B12" s="114"/>
      <c r="C12" s="325"/>
      <c r="D12" s="309"/>
      <c r="E12" s="309"/>
      <c r="F12" s="117"/>
      <c r="G12" s="118"/>
      <c r="H12" s="119"/>
      <c r="I12" s="76"/>
      <c r="J12" s="118"/>
      <c r="K12" s="112"/>
      <c r="L12" s="112"/>
      <c r="M12" s="112"/>
      <c r="AJ12" s="299" t="s">
        <v>189</v>
      </c>
      <c r="AK12" s="106" t="s">
        <v>14</v>
      </c>
      <c r="AL12" s="1262">
        <v>1000</v>
      </c>
      <c r="AM12" s="1263">
        <f t="shared" si="2"/>
        <v>1.4202247191011237</v>
      </c>
      <c r="AN12" s="109">
        <v>1</v>
      </c>
      <c r="AO12" s="103">
        <f t="shared" si="3"/>
        <v>1420.2247191011236</v>
      </c>
      <c r="AP12" s="102">
        <f t="shared" si="4"/>
        <v>1420.2247191011236</v>
      </c>
      <c r="AQ12" s="1018">
        <f>VLOOKUP(AJ12,Marination_Ordering!$A:$J,6,FALSE)</f>
        <v>1</v>
      </c>
      <c r="AR12" s="1018">
        <f>VLOOKUP(AJ12,Marination_Ordering!$A:$J,10,FALSE)</f>
        <v>17.480211081794195</v>
      </c>
      <c r="AS12" s="156">
        <f t="shared" si="7"/>
        <v>1420.2247191011236</v>
      </c>
      <c r="AT12" s="1018">
        <f t="shared" si="8"/>
        <v>24.82582787346951</v>
      </c>
    </row>
    <row r="13" spans="1:46" ht="14.25" customHeight="1" x14ac:dyDescent="0.2">
      <c r="A13" s="1461"/>
      <c r="B13" s="114"/>
      <c r="C13" s="325"/>
      <c r="D13" s="309"/>
      <c r="E13" s="309"/>
      <c r="F13" s="117"/>
      <c r="G13" s="118"/>
      <c r="H13" s="119"/>
      <c r="I13" s="76"/>
      <c r="J13" s="118"/>
      <c r="K13" s="112"/>
      <c r="L13" s="112"/>
      <c r="M13" s="112"/>
      <c r="AJ13" s="299" t="s">
        <v>149</v>
      </c>
      <c r="AK13" s="106" t="s">
        <v>14</v>
      </c>
      <c r="AL13" s="1262">
        <v>200</v>
      </c>
      <c r="AM13" s="1263">
        <f t="shared" si="2"/>
        <v>1.4202247191011237</v>
      </c>
      <c r="AN13" s="109">
        <v>1</v>
      </c>
      <c r="AO13" s="103">
        <f t="shared" si="3"/>
        <v>284.04494382022472</v>
      </c>
      <c r="AP13" s="102">
        <f t="shared" si="4"/>
        <v>284.04494382022472</v>
      </c>
      <c r="AQ13" s="1018">
        <f>VLOOKUP(AJ13,Marination_Ordering!$A:$J,6,FALSE)</f>
        <v>1</v>
      </c>
      <c r="AR13" s="1018">
        <f>VLOOKUP(AJ13,Marination_Ordering!$A:$J,10,FALSE)</f>
        <v>10</v>
      </c>
      <c r="AS13" s="156">
        <f t="shared" si="7"/>
        <v>284.04494382022472</v>
      </c>
      <c r="AT13" s="1018">
        <f t="shared" si="8"/>
        <v>2.8404494382022474</v>
      </c>
    </row>
    <row r="14" spans="1:46" ht="14.25" customHeight="1" x14ac:dyDescent="0.2">
      <c r="A14" s="1461"/>
      <c r="B14" s="114"/>
      <c r="C14" s="325"/>
      <c r="D14" s="309"/>
      <c r="E14" s="309"/>
      <c r="F14" s="117"/>
      <c r="G14" s="118"/>
      <c r="H14" s="119"/>
      <c r="I14" s="76"/>
      <c r="J14" s="118"/>
      <c r="K14" s="112"/>
      <c r="L14" s="112"/>
      <c r="M14" s="112"/>
      <c r="AJ14" s="325"/>
      <c r="AK14" s="114"/>
      <c r="AL14" s="309"/>
      <c r="AM14" s="273"/>
      <c r="AN14" s="117"/>
      <c r="AO14" s="121"/>
      <c r="AP14" s="119"/>
      <c r="AQ14" s="991"/>
      <c r="AR14" s="991"/>
      <c r="AS14" s="514"/>
      <c r="AT14" s="991"/>
    </row>
    <row r="15" spans="1:46" ht="14.25" customHeight="1" x14ac:dyDescent="0.2">
      <c r="A15" s="1461"/>
      <c r="B15" s="114"/>
      <c r="C15" s="325"/>
      <c r="D15" s="309"/>
      <c r="E15" s="309"/>
      <c r="F15" s="117"/>
      <c r="G15" s="118"/>
      <c r="H15" s="119"/>
      <c r="I15" s="76"/>
      <c r="J15" s="118"/>
      <c r="K15" s="112"/>
      <c r="L15" s="112"/>
      <c r="M15" s="112"/>
      <c r="AJ15" s="325"/>
      <c r="AK15" s="114"/>
      <c r="AL15" s="309"/>
      <c r="AM15" s="273"/>
      <c r="AN15" s="117"/>
      <c r="AO15" s="121"/>
      <c r="AP15" s="119"/>
      <c r="AQ15" s="991"/>
      <c r="AR15" s="991"/>
      <c r="AS15" s="514"/>
      <c r="AT15" s="991"/>
    </row>
    <row r="16" spans="1:46" ht="14.25" customHeight="1" x14ac:dyDescent="0.2">
      <c r="A16" s="1461"/>
      <c r="B16" s="114"/>
      <c r="C16" s="325"/>
      <c r="D16" s="309"/>
      <c r="E16" s="309"/>
      <c r="F16" s="117"/>
      <c r="G16" s="118"/>
      <c r="H16" s="119"/>
      <c r="I16" s="76"/>
      <c r="J16" s="118"/>
      <c r="K16" s="112"/>
      <c r="L16" s="112"/>
      <c r="M16" s="112"/>
      <c r="AJ16" s="325"/>
      <c r="AK16" s="114"/>
      <c r="AL16" s="309"/>
      <c r="AM16" s="273"/>
      <c r="AN16" s="117"/>
      <c r="AO16" s="121"/>
      <c r="AP16" s="119"/>
      <c r="AQ16" s="991"/>
      <c r="AR16" s="991"/>
      <c r="AS16" s="514"/>
      <c r="AT16" s="991"/>
    </row>
    <row r="17" spans="1:46" ht="14.25" customHeight="1" x14ac:dyDescent="0.2">
      <c r="A17" s="1461"/>
      <c r="B17" s="1507"/>
      <c r="C17" s="376"/>
      <c r="D17" s="309"/>
      <c r="E17" s="309"/>
      <c r="F17" s="117"/>
      <c r="G17" s="118"/>
      <c r="H17" s="119"/>
      <c r="I17" s="76"/>
      <c r="J17" s="118"/>
      <c r="K17" s="112"/>
      <c r="L17" s="112"/>
      <c r="M17" s="112"/>
      <c r="AJ17" s="325"/>
      <c r="AK17" s="114"/>
      <c r="AL17" s="309"/>
      <c r="AM17" s="273"/>
      <c r="AN17" s="117"/>
      <c r="AO17" s="121"/>
      <c r="AP17" s="119"/>
      <c r="AQ17" s="993"/>
      <c r="AR17" s="991"/>
      <c r="AS17" s="514"/>
      <c r="AT17" s="991"/>
    </row>
    <row r="18" spans="1:46" ht="14.25" customHeight="1" x14ac:dyDescent="0.2">
      <c r="A18" s="1461"/>
      <c r="B18" s="114"/>
      <c r="C18" s="325"/>
      <c r="D18" s="309"/>
      <c r="E18" s="309"/>
      <c r="F18" s="117"/>
      <c r="G18" s="118"/>
      <c r="H18" s="119"/>
      <c r="I18" s="76"/>
      <c r="J18" s="118"/>
      <c r="K18" s="112"/>
      <c r="L18" s="112"/>
      <c r="M18" s="118"/>
      <c r="N18" s="112"/>
      <c r="O18" s="112"/>
      <c r="AQ18" s="1511"/>
    </row>
    <row r="19" spans="1:46" ht="14.25" customHeight="1" x14ac:dyDescent="0.2">
      <c r="A19" s="1461"/>
      <c r="B19" s="188"/>
      <c r="C19" s="11"/>
      <c r="D19" s="313"/>
      <c r="E19" s="84"/>
      <c r="F19" s="84"/>
      <c r="K19" s="120"/>
      <c r="L19" s="76"/>
      <c r="M19" s="118"/>
      <c r="N19" s="112"/>
      <c r="O19" s="112"/>
    </row>
    <row r="20" spans="1:46" ht="14.25" customHeight="1" x14ac:dyDescent="0.2">
      <c r="A20" s="1461"/>
      <c r="B20" s="188"/>
      <c r="C20" s="312"/>
      <c r="D20" s="313"/>
      <c r="E20" s="84"/>
      <c r="F20" s="84"/>
      <c r="K20" s="120"/>
      <c r="L20" s="76"/>
      <c r="M20" s="118"/>
      <c r="N20" s="112"/>
      <c r="O20" s="112"/>
    </row>
    <row r="21" spans="1:46" ht="12.75" customHeight="1" x14ac:dyDescent="0.2">
      <c r="A21" s="1461"/>
      <c r="B21" s="188"/>
      <c r="C21" s="312"/>
      <c r="D21" s="313"/>
      <c r="E21" s="84"/>
      <c r="F21" s="84"/>
      <c r="K21" s="120"/>
      <c r="L21" s="76"/>
      <c r="M21" s="118"/>
      <c r="N21" s="112"/>
      <c r="O21" s="112"/>
    </row>
    <row r="22" spans="1:46" ht="12.75" customHeight="1" x14ac:dyDescent="0.2">
      <c r="A22" s="1461"/>
      <c r="B22" s="76"/>
      <c r="E22" s="84"/>
      <c r="F22" s="84"/>
      <c r="K22" s="120"/>
      <c r="L22" s="76"/>
      <c r="M22" s="118"/>
      <c r="N22" s="112"/>
      <c r="O22" s="112"/>
    </row>
    <row r="23" spans="1:46" ht="12.75" customHeight="1" x14ac:dyDescent="0.2">
      <c r="A23" s="1461"/>
      <c r="B23" s="76"/>
      <c r="E23" s="84"/>
      <c r="F23" s="84"/>
      <c r="K23" s="120"/>
      <c r="L23" s="76"/>
    </row>
    <row r="24" spans="1:46" ht="12.75" customHeight="1" x14ac:dyDescent="0.2">
      <c r="A24" s="1461"/>
      <c r="Z24" s="1073"/>
    </row>
    <row r="25" spans="1:46" ht="12.75" customHeight="1" x14ac:dyDescent="0.2">
      <c r="A25" s="1461"/>
      <c r="R25" s="1662" t="s">
        <v>871</v>
      </c>
      <c r="S25" s="1633"/>
      <c r="T25" s="1633"/>
      <c r="U25" s="1633"/>
      <c r="V25" s="997"/>
      <c r="Z25" s="122" t="s">
        <v>252</v>
      </c>
      <c r="AA25" s="123">
        <v>1</v>
      </c>
      <c r="AB25" s="122" t="s">
        <v>249</v>
      </c>
      <c r="AC25" s="124">
        <f>AE30*AA25</f>
        <v>5.1891195809423465</v>
      </c>
    </row>
    <row r="26" spans="1:46" ht="12.75" customHeight="1" x14ac:dyDescent="0.2">
      <c r="A26" s="1461"/>
      <c r="R26" s="1646" t="s">
        <v>291</v>
      </c>
      <c r="S26" s="1655"/>
      <c r="T26" s="1655"/>
      <c r="U26" s="1655"/>
      <c r="V26" s="997"/>
    </row>
    <row r="27" spans="1:46" ht="14.25" customHeight="1" thickBot="1" x14ac:dyDescent="0.25">
      <c r="A27" s="1461"/>
      <c r="R27" s="126" t="s">
        <v>254</v>
      </c>
      <c r="S27" s="126" t="s">
        <v>298</v>
      </c>
      <c r="T27" s="126" t="s">
        <v>256</v>
      </c>
      <c r="U27" s="126" t="s">
        <v>262</v>
      </c>
      <c r="V27" s="127" t="s">
        <v>772</v>
      </c>
      <c r="W27" s="127" t="s">
        <v>795</v>
      </c>
      <c r="X27" s="127" t="s">
        <v>794</v>
      </c>
      <c r="Z27" s="122" t="s">
        <v>258</v>
      </c>
      <c r="AA27" s="128" t="s">
        <v>772</v>
      </c>
      <c r="AB27" s="128" t="s">
        <v>259</v>
      </c>
      <c r="AC27" s="128" t="s">
        <v>783</v>
      </c>
      <c r="AD27" s="128" t="s">
        <v>780</v>
      </c>
      <c r="AE27" s="128" t="s">
        <v>262</v>
      </c>
    </row>
    <row r="28" spans="1:46" ht="14.25" customHeight="1" thickBot="1" x14ac:dyDescent="0.25">
      <c r="A28" s="1461"/>
      <c r="M28" s="314"/>
      <c r="R28" s="126" t="s">
        <v>263</v>
      </c>
      <c r="S28" s="1206">
        <f>$Z$1</f>
        <v>153</v>
      </c>
      <c r="T28" s="1216"/>
      <c r="U28" s="1216">
        <f>S28</f>
        <v>153</v>
      </c>
      <c r="V28" s="130">
        <f>SUM(AP5:AP13)</f>
        <v>5222.1662921348325</v>
      </c>
      <c r="W28" s="130">
        <f>SUM(L6)</f>
        <v>26.86</v>
      </c>
      <c r="X28" s="130">
        <f>K13</f>
        <v>0</v>
      </c>
      <c r="Z28" s="132"/>
      <c r="AA28" s="1051"/>
      <c r="AB28" s="133">
        <f>AA25*$S$40</f>
        <v>1</v>
      </c>
      <c r="AC28" s="1051"/>
      <c r="AD28" s="1051"/>
      <c r="AE28" s="135">
        <f>SUM(AB28:AB28)</f>
        <v>1</v>
      </c>
    </row>
    <row r="29" spans="1:46" ht="14.25" customHeight="1" thickBot="1" x14ac:dyDescent="0.25">
      <c r="A29" s="1461"/>
      <c r="R29" s="126" t="s">
        <v>264</v>
      </c>
      <c r="S29" s="1224"/>
      <c r="T29" s="315"/>
      <c r="U29" s="1216">
        <f>T29</f>
        <v>0</v>
      </c>
      <c r="V29" s="130"/>
      <c r="W29" s="130"/>
      <c r="X29" s="130"/>
      <c r="Z29" s="132"/>
      <c r="AA29" s="1051"/>
      <c r="AB29" s="137">
        <f>AB28/$AE$28</f>
        <v>1</v>
      </c>
      <c r="AC29" s="1051"/>
      <c r="AD29" s="1051"/>
      <c r="AE29" s="137">
        <f>AE28/$AE$28</f>
        <v>1</v>
      </c>
    </row>
    <row r="30" spans="1:46" ht="14.25" customHeight="1" thickBot="1" x14ac:dyDescent="0.25">
      <c r="A30" s="1461"/>
      <c r="R30" s="126" t="s">
        <v>265</v>
      </c>
      <c r="S30" s="1207">
        <f>$AB$1</f>
        <v>5</v>
      </c>
      <c r="T30" s="1216"/>
      <c r="U30" s="1216"/>
      <c r="V30" s="989"/>
      <c r="W30" s="989"/>
      <c r="X30" s="989"/>
      <c r="Z30" s="122" t="s">
        <v>266</v>
      </c>
      <c r="AA30" s="991">
        <f>V35/$AF$1</f>
        <v>0.33975669434440775</v>
      </c>
      <c r="AB30" s="138">
        <f>S35/(AF1)</f>
        <v>4.678762886597938</v>
      </c>
      <c r="AC30" s="991">
        <f>W35/AF1</f>
        <v>0.16999999999999998</v>
      </c>
      <c r="AD30" s="991">
        <f>X35/$AF$1</f>
        <v>5.9999999999999995E-4</v>
      </c>
      <c r="AE30" s="1048">
        <f>AB30+AD30+AC30+AA30</f>
        <v>5.1891195809423465</v>
      </c>
    </row>
    <row r="31" spans="1:46" ht="14.25" customHeight="1" thickBot="1" x14ac:dyDescent="0.25">
      <c r="A31" s="1461"/>
      <c r="R31" s="126" t="s">
        <v>267</v>
      </c>
      <c r="S31" s="271" t="s">
        <v>310</v>
      </c>
      <c r="T31" s="315"/>
      <c r="U31" s="315"/>
      <c r="V31" s="130"/>
      <c r="W31" s="130"/>
      <c r="X31" s="130"/>
    </row>
    <row r="32" spans="1:46" ht="14.25" customHeight="1" thickBot="1" x14ac:dyDescent="0.3">
      <c r="A32" s="1461"/>
      <c r="R32" s="127" t="s">
        <v>257</v>
      </c>
      <c r="S32" s="1116">
        <f>S28+S30</f>
        <v>158</v>
      </c>
      <c r="T32" s="316">
        <f>SUM(T28:T30)</f>
        <v>0</v>
      </c>
      <c r="U32" s="316">
        <f>T32+S32</f>
        <v>158</v>
      </c>
      <c r="V32" s="130"/>
      <c r="W32" s="130"/>
      <c r="X32" s="130"/>
    </row>
    <row r="33" spans="1:24" ht="14.25" customHeight="1" thickBot="1" x14ac:dyDescent="0.3">
      <c r="A33" s="1461"/>
      <c r="R33" s="317" t="s">
        <v>254</v>
      </c>
      <c r="S33" s="318"/>
      <c r="T33" s="318">
        <f>F40+F59</f>
        <v>0</v>
      </c>
      <c r="U33" s="319"/>
      <c r="V33" s="136"/>
      <c r="W33" s="136"/>
      <c r="X33" s="136"/>
    </row>
    <row r="34" spans="1:24" ht="14.25" customHeight="1" thickBot="1" x14ac:dyDescent="0.25">
      <c r="A34" s="1461"/>
      <c r="R34" s="159" t="s">
        <v>269</v>
      </c>
      <c r="S34" s="320"/>
      <c r="T34" s="321">
        <f>T33-(T28+T29)</f>
        <v>0</v>
      </c>
      <c r="U34" s="320"/>
      <c r="V34" s="136"/>
      <c r="W34" s="136"/>
      <c r="X34" s="136"/>
    </row>
    <row r="35" spans="1:24" ht="12.75" customHeight="1" thickBot="1" x14ac:dyDescent="0.25">
      <c r="A35" s="1461"/>
      <c r="R35" s="144" t="s">
        <v>249</v>
      </c>
      <c r="S35" s="990">
        <f>L5</f>
        <v>739.24453608247427</v>
      </c>
      <c r="T35" s="990">
        <f>SUM(O6:O19)</f>
        <v>0</v>
      </c>
      <c r="U35" s="1049">
        <f>S35+T35+V35+W35+X35</f>
        <v>819.88089378889072</v>
      </c>
      <c r="V35" s="990">
        <f>SUM(AT6:AT13)</f>
        <v>53.68155770641642</v>
      </c>
      <c r="W35" s="990">
        <f>L6</f>
        <v>26.86</v>
      </c>
      <c r="X35" s="990">
        <f>L7</f>
        <v>9.4799999999999995E-2</v>
      </c>
    </row>
    <row r="36" spans="1:24" ht="12.75" customHeight="1" x14ac:dyDescent="0.2">
      <c r="A36" s="1461"/>
    </row>
    <row r="37" spans="1:24" ht="12.75" customHeight="1" x14ac:dyDescent="0.2">
      <c r="A37" s="1461"/>
    </row>
    <row r="38" spans="1:24" ht="12.75" customHeight="1" x14ac:dyDescent="0.2">
      <c r="A38" s="1461"/>
    </row>
    <row r="39" spans="1:24" ht="12.75" customHeight="1" x14ac:dyDescent="0.2">
      <c r="A39" s="1461"/>
      <c r="B39" s="76"/>
      <c r="E39" s="84"/>
      <c r="F39" s="84"/>
    </row>
    <row r="40" spans="1:24" ht="46.5" customHeight="1" x14ac:dyDescent="0.2">
      <c r="A40" s="1461"/>
      <c r="B40" s="76"/>
      <c r="C40" s="84"/>
      <c r="D40" s="322"/>
      <c r="E40" s="84"/>
      <c r="F40" s="84"/>
      <c r="G40" s="84"/>
      <c r="H40" s="84"/>
      <c r="I40" s="84"/>
      <c r="J40" s="84"/>
      <c r="R40" s="146" t="s">
        <v>270</v>
      </c>
      <c r="S40" s="147">
        <v>1</v>
      </c>
      <c r="T40" s="146" t="s">
        <v>271</v>
      </c>
      <c r="U40" s="148">
        <v>0</v>
      </c>
      <c r="V40" s="149">
        <f>S40+U40</f>
        <v>1</v>
      </c>
    </row>
    <row r="41" spans="1:24" ht="18" customHeight="1" x14ac:dyDescent="0.2">
      <c r="A41" s="1461"/>
      <c r="B41" s="76"/>
      <c r="C41" s="84"/>
      <c r="D41" s="84"/>
      <c r="E41" s="84"/>
      <c r="F41" s="84"/>
      <c r="G41" s="84"/>
      <c r="H41" s="84"/>
      <c r="I41" s="84"/>
      <c r="J41" s="84"/>
      <c r="U41" s="150"/>
    </row>
    <row r="42" spans="1:24" ht="18" customHeight="1" x14ac:dyDescent="0.2">
      <c r="A42" s="1461"/>
      <c r="B42" s="1671"/>
      <c r="C42" s="1655"/>
      <c r="D42" s="1655"/>
      <c r="E42" s="1655"/>
      <c r="F42" s="1655"/>
      <c r="G42" s="1655"/>
      <c r="H42" s="1655"/>
      <c r="I42" s="1655"/>
      <c r="J42" s="1655"/>
    </row>
    <row r="43" spans="1:24" ht="12.75" customHeight="1" x14ac:dyDescent="0.2">
      <c r="A43" s="1461"/>
      <c r="B43" s="1660"/>
      <c r="C43" s="1655"/>
      <c r="D43" s="1655"/>
      <c r="E43" s="1655"/>
      <c r="F43" s="1655"/>
      <c r="G43" s="1655"/>
      <c r="H43" s="1655"/>
      <c r="I43" s="1655"/>
      <c r="J43" s="1655"/>
      <c r="Q43" s="151" t="s">
        <v>272</v>
      </c>
      <c r="R43" s="151" t="s">
        <v>273</v>
      </c>
      <c r="S43" s="151" t="s">
        <v>274</v>
      </c>
      <c r="T43" s="151" t="s">
        <v>275</v>
      </c>
      <c r="U43" s="151" t="s">
        <v>276</v>
      </c>
      <c r="V43" s="151" t="s">
        <v>277</v>
      </c>
      <c r="W43" s="151" t="s">
        <v>278</v>
      </c>
    </row>
    <row r="44" spans="1:24" ht="14.25" customHeight="1" x14ac:dyDescent="0.2">
      <c r="A44" s="1461"/>
      <c r="B44" s="323"/>
      <c r="C44" s="324"/>
      <c r="D44" s="323"/>
      <c r="E44" s="323"/>
      <c r="F44" s="323"/>
      <c r="G44" s="323"/>
      <c r="H44" s="323"/>
      <c r="I44" s="323"/>
      <c r="J44" s="323"/>
      <c r="Q44" s="153">
        <v>18841</v>
      </c>
      <c r="R44" s="154">
        <f>E51</f>
        <v>0</v>
      </c>
      <c r="S44" s="155">
        <v>0</v>
      </c>
      <c r="T44" s="155">
        <v>0</v>
      </c>
      <c r="U44" s="220">
        <f>R44*S44</f>
        <v>0</v>
      </c>
      <c r="V44" s="157">
        <f>R44*T44</f>
        <v>0</v>
      </c>
      <c r="W44" s="157">
        <f>Q44-U44</f>
        <v>18841</v>
      </c>
    </row>
    <row r="45" spans="1:24" ht="14.25" customHeight="1" x14ac:dyDescent="0.2">
      <c r="A45" s="1461"/>
      <c r="B45" s="114"/>
      <c r="C45" s="325"/>
      <c r="D45" s="309"/>
      <c r="E45" s="309"/>
      <c r="F45" s="117"/>
      <c r="G45" s="118"/>
      <c r="H45" s="119"/>
      <c r="I45" s="76"/>
      <c r="J45" s="120"/>
    </row>
    <row r="46" spans="1:24" ht="14.25" customHeight="1" x14ac:dyDescent="0.2">
      <c r="A46" s="1461"/>
      <c r="B46" s="114"/>
      <c r="C46" s="325"/>
      <c r="D46" s="309"/>
      <c r="E46" s="309"/>
      <c r="F46" s="117"/>
      <c r="G46" s="118"/>
      <c r="H46" s="119"/>
      <c r="I46" s="76"/>
      <c r="J46" s="120"/>
    </row>
    <row r="47" spans="1:24" ht="14.25" customHeight="1" x14ac:dyDescent="0.2">
      <c r="A47" s="1461"/>
      <c r="B47" s="114"/>
      <c r="C47" s="325"/>
      <c r="D47" s="309"/>
      <c r="E47" s="309"/>
      <c r="F47" s="117"/>
      <c r="G47" s="118"/>
      <c r="H47" s="119"/>
      <c r="I47" s="76"/>
      <c r="J47" s="120"/>
    </row>
    <row r="48" spans="1:24" ht="14.25" customHeight="1" x14ac:dyDescent="0.2">
      <c r="A48" s="1461"/>
      <c r="B48" s="114"/>
      <c r="C48" s="325"/>
      <c r="D48" s="309"/>
      <c r="E48" s="309"/>
      <c r="F48" s="117"/>
      <c r="G48" s="118"/>
      <c r="H48" s="119"/>
      <c r="I48" s="76"/>
      <c r="J48" s="120"/>
    </row>
    <row r="49" spans="1:14" ht="14.25" customHeight="1" x14ac:dyDescent="0.2">
      <c r="A49" s="1461"/>
      <c r="B49" s="114"/>
      <c r="C49" s="325"/>
      <c r="D49" s="309"/>
      <c r="E49" s="309"/>
      <c r="F49" s="117"/>
      <c r="G49" s="118"/>
      <c r="H49" s="119"/>
      <c r="I49" s="76"/>
      <c r="J49" s="120"/>
    </row>
    <row r="50" spans="1:14" ht="14.25" customHeight="1" x14ac:dyDescent="0.2">
      <c r="A50" s="1461"/>
      <c r="B50" s="1508"/>
      <c r="C50" s="159" t="s">
        <v>233</v>
      </c>
      <c r="D50" s="159" t="s">
        <v>279</v>
      </c>
      <c r="E50" s="84"/>
      <c r="F50" s="84"/>
      <c r="G50" s="126" t="s">
        <v>280</v>
      </c>
      <c r="H50" s="126" t="s">
        <v>233</v>
      </c>
      <c r="I50" s="159" t="s">
        <v>281</v>
      </c>
      <c r="J50" s="159" t="s">
        <v>282</v>
      </c>
    </row>
    <row r="51" spans="1:14" ht="14.25" customHeight="1" x14ac:dyDescent="0.2">
      <c r="A51" s="1461"/>
      <c r="B51" s="1509" t="s">
        <v>283</v>
      </c>
      <c r="C51" s="162">
        <f>10/$K$1</f>
        <v>10</v>
      </c>
      <c r="D51" s="163">
        <f>$C$1*10</f>
        <v>10</v>
      </c>
      <c r="E51" s="164"/>
      <c r="F51" s="84"/>
      <c r="G51" s="161" t="s">
        <v>283</v>
      </c>
      <c r="H51" s="254">
        <f>I51/$D$5</f>
        <v>176.41385767790263</v>
      </c>
      <c r="I51" s="162">
        <f>J51/$R$1</f>
        <v>21169.662921348314</v>
      </c>
      <c r="J51" s="162">
        <f>$W$44</f>
        <v>18841</v>
      </c>
    </row>
    <row r="52" spans="1:14" ht="14.25" customHeight="1" x14ac:dyDescent="0.2">
      <c r="A52" s="1461"/>
      <c r="B52" s="397" t="s">
        <v>262</v>
      </c>
      <c r="C52" s="210">
        <f>$I$1</f>
        <v>0</v>
      </c>
      <c r="D52" s="211">
        <f>$E$1</f>
        <v>158</v>
      </c>
      <c r="E52" s="84"/>
      <c r="F52" s="84"/>
      <c r="G52" s="129" t="s">
        <v>262</v>
      </c>
      <c r="H52" s="97">
        <f>I52/$D$5</f>
        <v>118.35205992509364</v>
      </c>
      <c r="I52" s="157">
        <f>J52/$R$1</f>
        <v>14202.247191011236</v>
      </c>
      <c r="J52" s="165">
        <f>$U$32*$T$1*0.8</f>
        <v>12640</v>
      </c>
    </row>
    <row r="53" spans="1:14" ht="14.25" customHeight="1" x14ac:dyDescent="0.2">
      <c r="A53" s="1461"/>
      <c r="B53" s="397" t="s">
        <v>284</v>
      </c>
      <c r="C53" s="212">
        <f>MIN(C52, C51)</f>
        <v>0</v>
      </c>
      <c r="D53" s="211">
        <f>(C53*$K$1)*$C$1</f>
        <v>0</v>
      </c>
      <c r="E53" s="84"/>
      <c r="F53" s="84"/>
      <c r="G53" s="129" t="s">
        <v>284</v>
      </c>
      <c r="H53" s="168">
        <f>MIN(H52,H51)</f>
        <v>118.35205992509364</v>
      </c>
      <c r="I53" s="157">
        <f>J53/$R$1</f>
        <v>14202.247191011236</v>
      </c>
      <c r="J53" s="157">
        <f>MIN(J52,J51)</f>
        <v>12640</v>
      </c>
    </row>
    <row r="54" spans="1:14" ht="14.25" customHeight="1" x14ac:dyDescent="0.2">
      <c r="A54" s="1461"/>
      <c r="B54" s="397" t="s">
        <v>285</v>
      </c>
      <c r="C54" s="212">
        <f>MIN(MAX(C52-C53,0),C51)</f>
        <v>0</v>
      </c>
      <c r="D54" s="211">
        <f>(C54*$K$1)*$C$1</f>
        <v>0</v>
      </c>
      <c r="E54" s="84"/>
      <c r="F54" s="84"/>
      <c r="G54" s="129" t="s">
        <v>285</v>
      </c>
      <c r="H54" s="168">
        <f>MIN(MAX(H52-H53),H51)</f>
        <v>0</v>
      </c>
      <c r="I54" s="157">
        <f>J54/$R$1</f>
        <v>0</v>
      </c>
      <c r="J54" s="157">
        <f>MIN(MAX(J52-J53),J51)</f>
        <v>0</v>
      </c>
    </row>
    <row r="55" spans="1:14" ht="14.25" customHeight="1" x14ac:dyDescent="0.2">
      <c r="A55" s="1461"/>
      <c r="B55" s="397" t="s">
        <v>286</v>
      </c>
      <c r="C55" s="212">
        <f>MIN(MAX(C52-C53-C54,0),C51)</f>
        <v>0</v>
      </c>
      <c r="D55" s="211">
        <f>(C55*$K$1)*$C$1</f>
        <v>0</v>
      </c>
      <c r="E55" s="84"/>
      <c r="F55" s="84"/>
      <c r="G55" s="126" t="s">
        <v>286</v>
      </c>
      <c r="H55" s="168">
        <f>MIN(MAX(H52-H53-H54),H51)</f>
        <v>0</v>
      </c>
      <c r="I55" s="157">
        <f>J55/$R$1</f>
        <v>0</v>
      </c>
      <c r="J55" s="157">
        <f>MIN(MAX(J52-J53-J54),J51)</f>
        <v>0</v>
      </c>
    </row>
    <row r="56" spans="1:14" ht="14.25" customHeight="1" x14ac:dyDescent="0.2">
      <c r="A56" s="1461"/>
    </row>
    <row r="57" spans="1:14" ht="18" customHeight="1" x14ac:dyDescent="0.2">
      <c r="A57" s="1461"/>
    </row>
    <row r="58" spans="1:14" ht="12.75" customHeight="1" x14ac:dyDescent="0.2">
      <c r="A58" s="1461"/>
      <c r="B58" s="1660"/>
      <c r="C58" s="1655"/>
      <c r="D58" s="1655"/>
      <c r="E58" s="1655"/>
      <c r="F58" s="1655"/>
      <c r="G58" s="1655"/>
      <c r="H58" s="1655"/>
      <c r="I58" s="1655"/>
      <c r="J58" s="1655"/>
    </row>
    <row r="59" spans="1:14" ht="14.25" customHeight="1" x14ac:dyDescent="0.2">
      <c r="A59" s="1461"/>
      <c r="B59" s="323"/>
      <c r="C59" s="324"/>
      <c r="D59" s="323"/>
      <c r="E59" s="323"/>
      <c r="F59" s="323"/>
      <c r="G59" s="323"/>
      <c r="H59" s="323"/>
      <c r="I59" s="323"/>
      <c r="J59" s="323"/>
    </row>
    <row r="60" spans="1:14" ht="14.25" customHeight="1" x14ac:dyDescent="0.2">
      <c r="A60" s="1461"/>
      <c r="B60" s="114"/>
      <c r="C60" s="325"/>
      <c r="D60" s="325"/>
      <c r="E60" s="309"/>
      <c r="F60" s="117"/>
      <c r="G60" s="118"/>
      <c r="H60" s="119"/>
      <c r="I60" s="76"/>
      <c r="J60" s="120"/>
    </row>
    <row r="61" spans="1:14" ht="14.25" customHeight="1" x14ac:dyDescent="0.2">
      <c r="A61" s="1461"/>
      <c r="B61" s="114"/>
      <c r="C61" s="325"/>
      <c r="D61" s="325"/>
      <c r="E61" s="309"/>
      <c r="F61" s="117"/>
      <c r="G61" s="118"/>
      <c r="H61" s="119"/>
      <c r="I61" s="76"/>
      <c r="J61" s="120"/>
    </row>
    <row r="62" spans="1:14" ht="18" customHeight="1" x14ac:dyDescent="0.2">
      <c r="A62" s="1464"/>
      <c r="B62" s="1642"/>
      <c r="C62" s="1656"/>
      <c r="D62" s="1656"/>
      <c r="E62" s="1656"/>
      <c r="F62" s="1656"/>
      <c r="G62" s="1656"/>
      <c r="H62" s="1656"/>
    </row>
    <row r="63" spans="1:14" ht="14.25" x14ac:dyDescent="0.2">
      <c r="A63" s="1464"/>
      <c r="B63" s="1636" t="s">
        <v>871</v>
      </c>
      <c r="C63" s="1637"/>
      <c r="D63" s="1637"/>
      <c r="E63" s="1637"/>
      <c r="F63" s="1637"/>
      <c r="G63" s="1637"/>
      <c r="H63" s="1637"/>
    </row>
    <row r="64" spans="1:14" ht="39" customHeight="1" x14ac:dyDescent="0.2">
      <c r="A64" s="1457"/>
      <c r="B64" s="221" t="s">
        <v>241</v>
      </c>
      <c r="C64" s="222" t="s">
        <v>242</v>
      </c>
      <c r="D64" s="223" t="s">
        <v>231</v>
      </c>
      <c r="E64" s="197" t="s">
        <v>234</v>
      </c>
      <c r="F64" s="197" t="s">
        <v>243</v>
      </c>
      <c r="G64" s="223" t="s">
        <v>244</v>
      </c>
      <c r="H64" s="197" t="s">
        <v>245</v>
      </c>
      <c r="M64" s="112"/>
      <c r="N64" s="112"/>
    </row>
    <row r="65" spans="1:12" ht="14.25" customHeight="1" x14ac:dyDescent="0.2">
      <c r="A65" s="1260"/>
      <c r="B65" s="106" t="str">
        <f t="shared" ref="B65:D69" si="12">B5</f>
        <v>Top Side - توب سايد مفروم</v>
      </c>
      <c r="C65" s="20" t="str">
        <f t="shared" si="12"/>
        <v>gm</v>
      </c>
      <c r="D65" s="717">
        <f t="shared" si="12"/>
        <v>120</v>
      </c>
      <c r="E65" s="98">
        <f>$D$52</f>
        <v>158</v>
      </c>
      <c r="F65" s="109">
        <f>F5</f>
        <v>1</v>
      </c>
      <c r="G65" s="103">
        <f>D65*E65</f>
        <v>18960</v>
      </c>
      <c r="H65" s="102">
        <f>G65*F65</f>
        <v>18960</v>
      </c>
      <c r="I65" s="76"/>
      <c r="J65" s="118"/>
      <c r="K65" s="76"/>
      <c r="L65" s="118"/>
    </row>
    <row r="66" spans="1:12" ht="14.25" customHeight="1" x14ac:dyDescent="0.2">
      <c r="A66" s="1461"/>
      <c r="B66" s="106" t="str">
        <f t="shared" si="12"/>
        <v>Iceberg Lettuce - خس مدور أمريكى</v>
      </c>
      <c r="C66" s="20" t="str">
        <f t="shared" si="12"/>
        <v>gm</v>
      </c>
      <c r="D66" s="717">
        <f t="shared" si="12"/>
        <v>10</v>
      </c>
      <c r="E66" s="98">
        <f t="shared" ref="E66:E69" si="13">$D$52</f>
        <v>158</v>
      </c>
      <c r="F66" s="109">
        <f t="shared" ref="F66:F69" si="14">F6</f>
        <v>1</v>
      </c>
      <c r="G66" s="103">
        <f t="shared" ref="G66:G69" si="15">D66*E66</f>
        <v>1580</v>
      </c>
      <c r="H66" s="102">
        <f t="shared" ref="H66:H69" si="16">G66*F66</f>
        <v>1580</v>
      </c>
    </row>
    <row r="67" spans="1:12" ht="14.25" customHeight="1" x14ac:dyDescent="0.2">
      <c r="A67" s="1461"/>
      <c r="B67" s="106" t="str">
        <f t="shared" si="12"/>
        <v>Whole Wheat Burger Buns 70gm - خبز برجر بني</v>
      </c>
      <c r="C67" s="20" t="str">
        <f t="shared" si="12"/>
        <v>Piece</v>
      </c>
      <c r="D67" s="717">
        <f t="shared" si="12"/>
        <v>1</v>
      </c>
      <c r="E67" s="98">
        <f t="shared" si="13"/>
        <v>158</v>
      </c>
      <c r="F67" s="109">
        <f t="shared" si="14"/>
        <v>1</v>
      </c>
      <c r="G67" s="103">
        <f t="shared" si="15"/>
        <v>158</v>
      </c>
      <c r="H67" s="102">
        <f t="shared" si="16"/>
        <v>158</v>
      </c>
    </row>
    <row r="68" spans="1:12" ht="15" x14ac:dyDescent="0.25">
      <c r="A68" s="1458"/>
      <c r="B68" s="106" t="str">
        <f t="shared" si="12"/>
        <v>Sliced tomato - طماطم شرائح</v>
      </c>
      <c r="C68" s="20" t="str">
        <f t="shared" si="12"/>
        <v>gm</v>
      </c>
      <c r="D68" s="717">
        <f t="shared" si="12"/>
        <v>25</v>
      </c>
      <c r="E68" s="98">
        <f t="shared" si="13"/>
        <v>158</v>
      </c>
      <c r="F68" s="109">
        <f t="shared" si="14"/>
        <v>1</v>
      </c>
      <c r="G68" s="103">
        <f t="shared" si="15"/>
        <v>3950</v>
      </c>
      <c r="H68" s="102">
        <f t="shared" si="16"/>
        <v>3950</v>
      </c>
    </row>
    <row r="69" spans="1:12" ht="21" customHeight="1" x14ac:dyDescent="0.25">
      <c r="A69" s="1458"/>
      <c r="B69" s="106" t="str">
        <f t="shared" si="12"/>
        <v>Sliced cheese - جبنة شرائح</v>
      </c>
      <c r="C69" s="20" t="str">
        <f t="shared" si="12"/>
        <v>Piece</v>
      </c>
      <c r="D69" s="717">
        <f t="shared" si="12"/>
        <v>1</v>
      </c>
      <c r="E69" s="98">
        <f t="shared" si="13"/>
        <v>158</v>
      </c>
      <c r="F69" s="109">
        <f t="shared" si="14"/>
        <v>1</v>
      </c>
      <c r="G69" s="103">
        <f t="shared" si="15"/>
        <v>158</v>
      </c>
      <c r="H69" s="102">
        <f t="shared" si="16"/>
        <v>158</v>
      </c>
    </row>
    <row r="70" spans="1:12" ht="20.25" customHeight="1" x14ac:dyDescent="0.2">
      <c r="A70" s="1461"/>
      <c r="B70" s="178" t="s">
        <v>287</v>
      </c>
      <c r="C70" s="851" t="s">
        <v>273</v>
      </c>
      <c r="D70" s="850"/>
      <c r="E70" s="851" t="s">
        <v>288</v>
      </c>
      <c r="F70" s="850"/>
      <c r="G70" s="852" t="s">
        <v>264</v>
      </c>
      <c r="H70" s="852" t="s">
        <v>673</v>
      </c>
    </row>
    <row r="71" spans="1:12" ht="26.25" customHeight="1" x14ac:dyDescent="0.3">
      <c r="A71" s="1461"/>
      <c r="B71" s="1510">
        <f>$J$53</f>
        <v>12640</v>
      </c>
      <c r="C71" s="179">
        <f>E71+G71</f>
        <v>0</v>
      </c>
      <c r="D71" s="839"/>
      <c r="E71" s="179">
        <f>$C$53*$S$44</f>
        <v>0</v>
      </c>
      <c r="F71" s="843"/>
      <c r="G71" s="179">
        <f>$D$53*$T$44</f>
        <v>0</v>
      </c>
      <c r="H71" s="179">
        <f>B71+E71</f>
        <v>12640</v>
      </c>
    </row>
    <row r="72" spans="1:12" ht="14.25" customHeight="1" x14ac:dyDescent="0.2">
      <c r="A72" s="1461"/>
      <c r="E72" s="84"/>
      <c r="F72" s="84"/>
    </row>
    <row r="73" spans="1:12" ht="14.25" customHeight="1" x14ac:dyDescent="0.2">
      <c r="A73" s="1461"/>
      <c r="B73" s="76"/>
      <c r="E73" s="84"/>
      <c r="F73" s="84"/>
    </row>
    <row r="74" spans="1:12" ht="12.75" customHeight="1" x14ac:dyDescent="0.2">
      <c r="A74" s="1461"/>
      <c r="B74" s="76"/>
      <c r="E74" s="84"/>
      <c r="F74" s="84"/>
    </row>
    <row r="75" spans="1:12" x14ac:dyDescent="0.2">
      <c r="A75" s="1461"/>
      <c r="B75" s="76"/>
      <c r="E75" s="84"/>
      <c r="F75" s="84"/>
    </row>
    <row r="76" spans="1:12" ht="12.75" customHeight="1" x14ac:dyDescent="0.2">
      <c r="A76" s="1461"/>
      <c r="B76" s="76"/>
    </row>
    <row r="77" spans="1:12" ht="12.75" customHeight="1" x14ac:dyDescent="0.2">
      <c r="A77" s="1461"/>
    </row>
    <row r="78" spans="1:12" ht="12.75" customHeight="1" x14ac:dyDescent="0.2">
      <c r="A78" s="1461"/>
      <c r="E78" s="84"/>
      <c r="F78" s="84"/>
    </row>
    <row r="79" spans="1:12" ht="12.75" customHeight="1" x14ac:dyDescent="0.2">
      <c r="A79" s="1461"/>
      <c r="E79" s="84"/>
      <c r="F79" s="84"/>
    </row>
    <row r="80" spans="1:12" ht="12.75" customHeight="1" x14ac:dyDescent="0.2">
      <c r="A80" s="1461"/>
      <c r="B80" s="76"/>
      <c r="E80" s="84"/>
      <c r="F80" s="84"/>
    </row>
    <row r="81" spans="1:6" ht="12.75" customHeight="1" x14ac:dyDescent="0.2">
      <c r="A81" s="1461"/>
      <c r="B81" s="76"/>
      <c r="E81" s="84"/>
      <c r="F81" s="84"/>
    </row>
    <row r="82" spans="1:6" ht="12.75" customHeight="1" x14ac:dyDescent="0.2">
      <c r="A82" s="1461"/>
      <c r="B82" s="76"/>
      <c r="E82" s="84"/>
      <c r="F82" s="84"/>
    </row>
    <row r="83" spans="1:6" ht="12.75" customHeight="1" x14ac:dyDescent="0.2">
      <c r="A83" s="1461"/>
      <c r="B83" s="76"/>
      <c r="E83" s="84"/>
      <c r="F83" s="84"/>
    </row>
    <row r="84" spans="1:6" ht="12.75" customHeight="1" x14ac:dyDescent="0.2">
      <c r="A84" s="1461"/>
      <c r="B84" s="76"/>
      <c r="E84" s="84"/>
      <c r="F84" s="84"/>
    </row>
    <row r="85" spans="1:6" ht="12.75" customHeight="1" x14ac:dyDescent="0.2">
      <c r="A85" s="1461"/>
      <c r="B85" s="76"/>
      <c r="E85" s="84"/>
      <c r="F85" s="84"/>
    </row>
    <row r="86" spans="1:6" ht="12.75" customHeight="1" x14ac:dyDescent="0.2">
      <c r="A86" s="1461"/>
      <c r="B86" s="76"/>
      <c r="E86" s="84"/>
      <c r="F86" s="84"/>
    </row>
    <row r="87" spans="1:6" ht="12.75" customHeight="1" x14ac:dyDescent="0.2">
      <c r="A87" s="1461"/>
      <c r="B87" s="76"/>
      <c r="E87" s="84"/>
      <c r="F87" s="84"/>
    </row>
    <row r="88" spans="1:6" ht="12.75" customHeight="1" x14ac:dyDescent="0.2">
      <c r="A88" s="1461"/>
      <c r="B88" s="76"/>
      <c r="E88" s="84"/>
      <c r="F88" s="84"/>
    </row>
    <row r="89" spans="1:6" ht="12.75" customHeight="1" x14ac:dyDescent="0.2">
      <c r="A89" s="1461"/>
      <c r="B89" s="76"/>
      <c r="E89" s="84"/>
      <c r="F89" s="84"/>
    </row>
    <row r="90" spans="1:6" ht="12.75" customHeight="1" x14ac:dyDescent="0.2">
      <c r="A90" s="1461"/>
      <c r="B90" s="76"/>
      <c r="E90" s="84"/>
      <c r="F90" s="84"/>
    </row>
    <row r="91" spans="1:6" ht="12.75" customHeight="1" x14ac:dyDescent="0.2">
      <c r="A91" s="1461"/>
      <c r="B91" s="76"/>
      <c r="E91" s="84"/>
      <c r="F91" s="84"/>
    </row>
    <row r="92" spans="1:6" ht="12.75" customHeight="1" x14ac:dyDescent="0.2">
      <c r="A92" s="1461"/>
      <c r="B92" s="76"/>
      <c r="E92" s="84"/>
      <c r="F92" s="84"/>
    </row>
    <row r="93" spans="1:6" ht="12.75" customHeight="1" x14ac:dyDescent="0.2">
      <c r="A93" s="1461"/>
      <c r="B93" s="76"/>
      <c r="E93" s="84"/>
      <c r="F93" s="84"/>
    </row>
    <row r="94" spans="1:6" ht="12.75" customHeight="1" x14ac:dyDescent="0.2">
      <c r="A94" s="1461"/>
      <c r="B94" s="76"/>
      <c r="E94" s="84"/>
      <c r="F94" s="84"/>
    </row>
    <row r="95" spans="1:6" ht="12.75" customHeight="1" x14ac:dyDescent="0.2">
      <c r="A95" s="1461"/>
      <c r="B95" s="76"/>
      <c r="E95" s="84"/>
      <c r="F95" s="84"/>
    </row>
    <row r="96" spans="1:6" ht="12.75" customHeight="1" x14ac:dyDescent="0.2">
      <c r="A96" s="1461"/>
      <c r="B96" s="76"/>
      <c r="E96" s="84"/>
      <c r="F96" s="84"/>
    </row>
    <row r="97" spans="1:6" ht="12.75" customHeight="1" x14ac:dyDescent="0.2">
      <c r="A97" s="1461"/>
      <c r="B97" s="76"/>
      <c r="E97" s="84"/>
      <c r="F97" s="84"/>
    </row>
    <row r="98" spans="1:6" ht="12.75" customHeight="1" x14ac:dyDescent="0.2">
      <c r="A98" s="1461"/>
      <c r="B98" s="76"/>
      <c r="E98" s="84"/>
      <c r="F98" s="84"/>
    </row>
    <row r="99" spans="1:6" ht="12.75" customHeight="1" x14ac:dyDescent="0.2">
      <c r="A99" s="1461"/>
      <c r="B99" s="76"/>
      <c r="E99" s="84"/>
      <c r="F99" s="84"/>
    </row>
    <row r="100" spans="1:6" ht="12.75" customHeight="1" x14ac:dyDescent="0.2">
      <c r="A100" s="1461"/>
      <c r="B100" s="76"/>
      <c r="E100" s="84"/>
      <c r="F100" s="84"/>
    </row>
    <row r="101" spans="1:6" ht="12.75" customHeight="1" x14ac:dyDescent="0.2">
      <c r="A101" s="1461"/>
      <c r="B101" s="76"/>
      <c r="E101" s="84"/>
      <c r="F101" s="84"/>
    </row>
    <row r="102" spans="1:6" ht="12.75" customHeight="1" x14ac:dyDescent="0.2">
      <c r="A102" s="1461"/>
      <c r="B102" s="76"/>
      <c r="E102" s="84"/>
      <c r="F102" s="84"/>
    </row>
    <row r="103" spans="1:6" ht="12.75" customHeight="1" x14ac:dyDescent="0.2">
      <c r="A103" s="1461"/>
      <c r="B103" s="76"/>
      <c r="E103" s="84"/>
      <c r="F103" s="84"/>
    </row>
    <row r="104" spans="1:6" ht="12.75" customHeight="1" x14ac:dyDescent="0.2">
      <c r="A104" s="1461"/>
      <c r="B104" s="76"/>
      <c r="E104" s="84"/>
      <c r="F104" s="84"/>
    </row>
    <row r="105" spans="1:6" ht="12.75" customHeight="1" x14ac:dyDescent="0.2">
      <c r="A105" s="1461"/>
      <c r="B105" s="76"/>
      <c r="E105" s="84"/>
      <c r="F105" s="84"/>
    </row>
    <row r="106" spans="1:6" ht="12.75" customHeight="1" x14ac:dyDescent="0.2">
      <c r="A106" s="1461"/>
      <c r="B106" s="76"/>
      <c r="E106" s="84"/>
      <c r="F106" s="84"/>
    </row>
    <row r="107" spans="1:6" ht="12.75" customHeight="1" x14ac:dyDescent="0.2">
      <c r="A107" s="1461"/>
      <c r="B107" s="76"/>
      <c r="E107" s="84"/>
      <c r="F107" s="84"/>
    </row>
    <row r="108" spans="1:6" ht="12.75" customHeight="1" x14ac:dyDescent="0.2">
      <c r="A108" s="1461"/>
      <c r="B108" s="76"/>
      <c r="E108" s="84"/>
      <c r="F108" s="84"/>
    </row>
    <row r="109" spans="1:6" ht="12.75" customHeight="1" x14ac:dyDescent="0.2">
      <c r="A109" s="1461"/>
      <c r="B109" s="76"/>
      <c r="E109" s="84"/>
      <c r="F109" s="84"/>
    </row>
    <row r="110" spans="1:6" ht="12.75" customHeight="1" x14ac:dyDescent="0.2">
      <c r="A110" s="1461"/>
      <c r="B110" s="76"/>
      <c r="E110" s="84"/>
      <c r="F110" s="84"/>
    </row>
    <row r="111" spans="1:6" ht="12.75" customHeight="1" x14ac:dyDescent="0.2">
      <c r="A111" s="1461"/>
      <c r="B111" s="76"/>
      <c r="E111" s="84"/>
      <c r="F111" s="84"/>
    </row>
    <row r="112" spans="1:6" ht="12.75" customHeight="1" x14ac:dyDescent="0.2">
      <c r="A112" s="1461"/>
      <c r="B112" s="76"/>
      <c r="E112" s="84"/>
      <c r="F112" s="84"/>
    </row>
    <row r="113" spans="1:6" ht="12.75" customHeight="1" x14ac:dyDescent="0.2">
      <c r="A113" s="1461"/>
      <c r="B113" s="76"/>
      <c r="E113" s="84"/>
      <c r="F113" s="84"/>
    </row>
    <row r="114" spans="1:6" ht="12.75" customHeight="1" x14ac:dyDescent="0.2">
      <c r="A114" s="1461"/>
      <c r="B114" s="76"/>
      <c r="E114" s="84"/>
      <c r="F114" s="84"/>
    </row>
    <row r="115" spans="1:6" ht="12.75" customHeight="1" x14ac:dyDescent="0.2">
      <c r="A115" s="1461"/>
      <c r="B115" s="76"/>
      <c r="E115" s="84"/>
      <c r="F115" s="84"/>
    </row>
    <row r="116" spans="1:6" ht="12.75" customHeight="1" x14ac:dyDescent="0.2">
      <c r="A116" s="1461"/>
      <c r="B116" s="76"/>
      <c r="E116" s="84"/>
      <c r="F116" s="84"/>
    </row>
    <row r="117" spans="1:6" ht="12.75" customHeight="1" x14ac:dyDescent="0.2">
      <c r="A117" s="1461"/>
      <c r="B117" s="76"/>
      <c r="E117" s="84"/>
      <c r="F117" s="84"/>
    </row>
    <row r="118" spans="1:6" ht="12.75" customHeight="1" x14ac:dyDescent="0.2">
      <c r="A118" s="1461"/>
      <c r="B118" s="76"/>
      <c r="E118" s="84"/>
      <c r="F118" s="84"/>
    </row>
    <row r="119" spans="1:6" ht="12.75" customHeight="1" x14ac:dyDescent="0.2">
      <c r="A119" s="1461"/>
      <c r="B119" s="76"/>
      <c r="E119" s="84"/>
      <c r="F119" s="84"/>
    </row>
    <row r="120" spans="1:6" ht="12.75" customHeight="1" x14ac:dyDescent="0.2">
      <c r="A120" s="1461"/>
      <c r="B120" s="76"/>
      <c r="E120" s="84"/>
      <c r="F120" s="84"/>
    </row>
    <row r="121" spans="1:6" ht="12.75" customHeight="1" x14ac:dyDescent="0.2">
      <c r="A121" s="1461"/>
      <c r="B121" s="76"/>
      <c r="E121" s="84"/>
      <c r="F121" s="84"/>
    </row>
    <row r="122" spans="1:6" ht="12.75" customHeight="1" x14ac:dyDescent="0.2">
      <c r="A122" s="1461"/>
      <c r="B122" s="76"/>
      <c r="E122" s="84"/>
      <c r="F122" s="84"/>
    </row>
    <row r="123" spans="1:6" ht="12.75" customHeight="1" x14ac:dyDescent="0.2">
      <c r="A123" s="1461"/>
      <c r="B123" s="76"/>
      <c r="E123" s="84"/>
      <c r="F123" s="84"/>
    </row>
    <row r="124" spans="1:6" ht="12.75" customHeight="1" x14ac:dyDescent="0.2">
      <c r="A124" s="1461"/>
      <c r="B124" s="76"/>
      <c r="E124" s="84"/>
      <c r="F124" s="84"/>
    </row>
    <row r="125" spans="1:6" ht="12.75" customHeight="1" x14ac:dyDescent="0.2">
      <c r="A125" s="1461"/>
      <c r="B125" s="76"/>
      <c r="E125" s="84"/>
      <c r="F125" s="84"/>
    </row>
    <row r="126" spans="1:6" ht="12.75" customHeight="1" x14ac:dyDescent="0.2">
      <c r="A126" s="1461"/>
      <c r="B126" s="76"/>
      <c r="E126" s="84"/>
      <c r="F126" s="84"/>
    </row>
    <row r="127" spans="1:6" ht="12.75" customHeight="1" x14ac:dyDescent="0.2">
      <c r="A127" s="1461"/>
      <c r="B127" s="76"/>
      <c r="E127" s="84"/>
      <c r="F127" s="84"/>
    </row>
    <row r="128" spans="1:6" ht="12.75" customHeight="1" x14ac:dyDescent="0.2">
      <c r="A128" s="1461"/>
      <c r="B128" s="76"/>
      <c r="E128" s="84"/>
      <c r="F128" s="84"/>
    </row>
    <row r="129" spans="1:6" ht="12.75" customHeight="1" x14ac:dyDescent="0.2">
      <c r="A129" s="1461"/>
      <c r="B129" s="76"/>
      <c r="E129" s="84"/>
      <c r="F129" s="84"/>
    </row>
    <row r="130" spans="1:6" ht="12.75" customHeight="1" x14ac:dyDescent="0.2">
      <c r="A130" s="1461"/>
      <c r="B130" s="76"/>
      <c r="E130" s="84"/>
      <c r="F130" s="84"/>
    </row>
    <row r="131" spans="1:6" ht="12.75" customHeight="1" x14ac:dyDescent="0.2">
      <c r="A131" s="1461"/>
      <c r="B131" s="76"/>
      <c r="E131" s="84"/>
      <c r="F131" s="84"/>
    </row>
    <row r="132" spans="1:6" ht="12.75" customHeight="1" x14ac:dyDescent="0.2">
      <c r="A132" s="1461"/>
      <c r="B132" s="76"/>
      <c r="E132" s="84"/>
      <c r="F132" s="84"/>
    </row>
    <row r="133" spans="1:6" ht="12.75" customHeight="1" x14ac:dyDescent="0.2">
      <c r="A133" s="1461"/>
      <c r="B133" s="76"/>
      <c r="E133" s="84"/>
      <c r="F133" s="84"/>
    </row>
    <row r="134" spans="1:6" ht="12.75" customHeight="1" x14ac:dyDescent="0.2">
      <c r="A134" s="1461"/>
      <c r="B134" s="76"/>
      <c r="E134" s="84"/>
      <c r="F134" s="84"/>
    </row>
    <row r="135" spans="1:6" ht="12.75" customHeight="1" x14ac:dyDescent="0.2">
      <c r="A135" s="1461"/>
      <c r="B135" s="76"/>
      <c r="E135" s="84"/>
      <c r="F135" s="84"/>
    </row>
    <row r="136" spans="1:6" ht="12.75" customHeight="1" x14ac:dyDescent="0.2">
      <c r="A136" s="1461"/>
      <c r="B136" s="76"/>
      <c r="E136" s="84"/>
      <c r="F136" s="84"/>
    </row>
    <row r="137" spans="1:6" ht="12.75" customHeight="1" x14ac:dyDescent="0.2">
      <c r="A137" s="1461"/>
      <c r="B137" s="76"/>
      <c r="E137" s="84"/>
      <c r="F137" s="84"/>
    </row>
    <row r="138" spans="1:6" ht="12.75" customHeight="1" x14ac:dyDescent="0.2">
      <c r="A138" s="1461"/>
      <c r="B138" s="76"/>
      <c r="E138" s="84"/>
      <c r="F138" s="84"/>
    </row>
    <row r="139" spans="1:6" ht="12.75" customHeight="1" x14ac:dyDescent="0.2">
      <c r="A139" s="1461"/>
      <c r="B139" s="76"/>
      <c r="E139" s="84"/>
      <c r="F139" s="84"/>
    </row>
    <row r="140" spans="1:6" ht="12.75" customHeight="1" x14ac:dyDescent="0.2">
      <c r="A140" s="1461"/>
      <c r="B140" s="76"/>
      <c r="E140" s="84"/>
      <c r="F140" s="84"/>
    </row>
    <row r="141" spans="1:6" ht="12.75" customHeight="1" x14ac:dyDescent="0.2">
      <c r="A141" s="1461"/>
      <c r="B141" s="76"/>
      <c r="E141" s="84"/>
      <c r="F141" s="84"/>
    </row>
    <row r="142" spans="1:6" ht="12.75" customHeight="1" x14ac:dyDescent="0.2">
      <c r="A142" s="1461"/>
      <c r="B142" s="76"/>
      <c r="E142" s="84"/>
      <c r="F142" s="84"/>
    </row>
    <row r="143" spans="1:6" ht="12.75" customHeight="1" x14ac:dyDescent="0.2">
      <c r="A143" s="1461"/>
      <c r="B143" s="76"/>
      <c r="E143" s="84"/>
      <c r="F143" s="84"/>
    </row>
    <row r="144" spans="1:6" ht="12.75" customHeight="1" x14ac:dyDescent="0.2">
      <c r="A144" s="1461"/>
      <c r="B144" s="76"/>
      <c r="E144" s="84"/>
      <c r="F144" s="84"/>
    </row>
    <row r="145" spans="1:6" ht="12.75" customHeight="1" x14ac:dyDescent="0.2">
      <c r="A145" s="1461"/>
      <c r="B145" s="76"/>
      <c r="E145" s="84"/>
      <c r="F145" s="84"/>
    </row>
    <row r="146" spans="1:6" ht="12.75" customHeight="1" x14ac:dyDescent="0.2">
      <c r="A146" s="1461"/>
      <c r="B146" s="76"/>
      <c r="E146" s="84"/>
      <c r="F146" s="84"/>
    </row>
    <row r="147" spans="1:6" ht="12.75" customHeight="1" x14ac:dyDescent="0.2">
      <c r="A147" s="1461"/>
      <c r="B147" s="76"/>
      <c r="E147" s="84"/>
      <c r="F147" s="84"/>
    </row>
    <row r="148" spans="1:6" ht="12.75" customHeight="1" x14ac:dyDescent="0.2">
      <c r="A148" s="1461"/>
      <c r="B148" s="76"/>
      <c r="E148" s="84"/>
      <c r="F148" s="84"/>
    </row>
    <row r="149" spans="1:6" ht="12.75" customHeight="1" x14ac:dyDescent="0.2">
      <c r="A149" s="1461"/>
      <c r="B149" s="76"/>
      <c r="E149" s="84"/>
      <c r="F149" s="84"/>
    </row>
    <row r="150" spans="1:6" ht="12.75" customHeight="1" x14ac:dyDescent="0.2">
      <c r="A150" s="1461"/>
      <c r="B150" s="76"/>
      <c r="E150" s="84"/>
      <c r="F150" s="84"/>
    </row>
    <row r="151" spans="1:6" ht="12.75" customHeight="1" x14ac:dyDescent="0.2">
      <c r="A151" s="1461"/>
      <c r="B151" s="76"/>
      <c r="E151" s="84"/>
      <c r="F151" s="84"/>
    </row>
    <row r="152" spans="1:6" ht="12.75" customHeight="1" x14ac:dyDescent="0.2">
      <c r="A152" s="1461"/>
      <c r="B152" s="76"/>
      <c r="E152" s="84"/>
      <c r="F152" s="84"/>
    </row>
    <row r="153" spans="1:6" ht="12.75" customHeight="1" x14ac:dyDescent="0.2">
      <c r="A153" s="1461"/>
      <c r="B153" s="76"/>
      <c r="E153" s="84"/>
      <c r="F153" s="84"/>
    </row>
    <row r="154" spans="1:6" ht="12.75" customHeight="1" x14ac:dyDescent="0.2">
      <c r="A154" s="1461"/>
      <c r="B154" s="76"/>
      <c r="E154" s="84"/>
      <c r="F154" s="84"/>
    </row>
    <row r="155" spans="1:6" ht="12.75" customHeight="1" x14ac:dyDescent="0.2">
      <c r="A155" s="1461"/>
      <c r="B155" s="76"/>
      <c r="E155" s="84"/>
      <c r="F155" s="84"/>
    </row>
    <row r="156" spans="1:6" ht="12.75" customHeight="1" x14ac:dyDescent="0.2">
      <c r="A156" s="1461"/>
      <c r="B156" s="76"/>
      <c r="E156" s="84"/>
      <c r="F156" s="84"/>
    </row>
    <row r="157" spans="1:6" ht="12.75" customHeight="1" x14ac:dyDescent="0.2">
      <c r="A157" s="1461"/>
      <c r="B157" s="76"/>
      <c r="E157" s="84"/>
      <c r="F157" s="84"/>
    </row>
    <row r="158" spans="1:6" ht="12.75" customHeight="1" x14ac:dyDescent="0.2">
      <c r="A158" s="1461"/>
      <c r="B158" s="76"/>
      <c r="E158" s="84"/>
      <c r="F158" s="84"/>
    </row>
    <row r="159" spans="1:6" ht="12.75" customHeight="1" x14ac:dyDescent="0.2">
      <c r="A159" s="1461"/>
      <c r="B159" s="76"/>
      <c r="E159" s="84"/>
      <c r="F159" s="84"/>
    </row>
    <row r="160" spans="1:6" ht="12.75" customHeight="1" x14ac:dyDescent="0.2">
      <c r="A160" s="1461"/>
      <c r="B160" s="76"/>
      <c r="E160" s="84"/>
      <c r="F160" s="84"/>
    </row>
    <row r="161" spans="1:6" ht="12.75" customHeight="1" x14ac:dyDescent="0.2">
      <c r="A161" s="1461"/>
      <c r="B161" s="76"/>
      <c r="E161" s="84"/>
      <c r="F161" s="84"/>
    </row>
    <row r="162" spans="1:6" ht="12.75" customHeight="1" x14ac:dyDescent="0.2">
      <c r="A162" s="1461"/>
      <c r="B162" s="76"/>
      <c r="E162" s="84"/>
      <c r="F162" s="84"/>
    </row>
    <row r="163" spans="1:6" ht="12.75" customHeight="1" x14ac:dyDescent="0.2">
      <c r="A163" s="1461"/>
      <c r="B163" s="76"/>
      <c r="E163" s="84"/>
      <c r="F163" s="84"/>
    </row>
    <row r="164" spans="1:6" ht="12.75" customHeight="1" x14ac:dyDescent="0.2">
      <c r="A164" s="1461"/>
      <c r="B164" s="76"/>
      <c r="E164" s="84"/>
      <c r="F164" s="84"/>
    </row>
    <row r="165" spans="1:6" ht="12.75" customHeight="1" x14ac:dyDescent="0.2">
      <c r="A165" s="1461"/>
      <c r="B165" s="76"/>
      <c r="E165" s="84"/>
      <c r="F165" s="84"/>
    </row>
    <row r="166" spans="1:6" ht="12.75" customHeight="1" x14ac:dyDescent="0.2">
      <c r="A166" s="1461"/>
      <c r="B166" s="76"/>
      <c r="E166" s="84"/>
      <c r="F166" s="84"/>
    </row>
    <row r="167" spans="1:6" ht="12.75" customHeight="1" x14ac:dyDescent="0.2">
      <c r="A167" s="1461"/>
      <c r="B167" s="76"/>
      <c r="E167" s="84"/>
      <c r="F167" s="84"/>
    </row>
    <row r="168" spans="1:6" ht="12.75" customHeight="1" x14ac:dyDescent="0.2">
      <c r="A168" s="1461"/>
      <c r="B168" s="76"/>
      <c r="E168" s="84"/>
      <c r="F168" s="84"/>
    </row>
    <row r="169" spans="1:6" ht="12.75" customHeight="1" x14ac:dyDescent="0.2">
      <c r="A169" s="1461"/>
      <c r="B169" s="76"/>
      <c r="E169" s="84"/>
      <c r="F169" s="84"/>
    </row>
    <row r="170" spans="1:6" ht="12.75" customHeight="1" x14ac:dyDescent="0.2">
      <c r="A170" s="1461"/>
      <c r="B170" s="76"/>
      <c r="E170" s="84"/>
      <c r="F170" s="84"/>
    </row>
    <row r="171" spans="1:6" ht="12.75" customHeight="1" x14ac:dyDescent="0.2">
      <c r="A171" s="1461"/>
      <c r="B171" s="76"/>
      <c r="E171" s="84"/>
      <c r="F171" s="84"/>
    </row>
    <row r="172" spans="1:6" ht="12.75" customHeight="1" x14ac:dyDescent="0.2">
      <c r="A172" s="1461"/>
      <c r="B172" s="76"/>
      <c r="E172" s="84"/>
      <c r="F172" s="84"/>
    </row>
    <row r="173" spans="1:6" ht="12.75" customHeight="1" x14ac:dyDescent="0.2">
      <c r="A173" s="1461"/>
      <c r="B173" s="76"/>
      <c r="E173" s="84"/>
      <c r="F173" s="84"/>
    </row>
    <row r="174" spans="1:6" ht="12.75" customHeight="1" x14ac:dyDescent="0.2">
      <c r="A174" s="1461"/>
      <c r="B174" s="76"/>
      <c r="E174" s="84"/>
      <c r="F174" s="84"/>
    </row>
    <row r="175" spans="1:6" ht="12.75" customHeight="1" x14ac:dyDescent="0.2">
      <c r="B175" s="76"/>
      <c r="E175" s="84"/>
      <c r="F175" s="84"/>
    </row>
    <row r="176" spans="1:6" ht="12.75" customHeight="1" x14ac:dyDescent="0.2">
      <c r="B176" s="76"/>
      <c r="E176" s="84"/>
      <c r="F176" s="84"/>
    </row>
    <row r="177" spans="2:6" ht="12.75" customHeight="1" x14ac:dyDescent="0.2">
      <c r="B177" s="76"/>
      <c r="E177" s="84"/>
      <c r="F177" s="84"/>
    </row>
    <row r="178" spans="2:6" ht="12.75" customHeight="1" x14ac:dyDescent="0.2">
      <c r="B178" s="76"/>
      <c r="E178" s="84"/>
      <c r="F178" s="84"/>
    </row>
    <row r="179" spans="2:6" ht="12.75" customHeight="1" x14ac:dyDescent="0.2">
      <c r="B179" s="76"/>
      <c r="E179" s="84"/>
      <c r="F179" s="84"/>
    </row>
    <row r="180" spans="2:6" ht="12.75" customHeight="1" x14ac:dyDescent="0.2">
      <c r="B180" s="76"/>
      <c r="E180" s="84"/>
      <c r="F180" s="84"/>
    </row>
    <row r="181" spans="2:6" ht="12.75" customHeight="1" x14ac:dyDescent="0.2">
      <c r="B181" s="76"/>
      <c r="E181" s="84"/>
      <c r="F181" s="84"/>
    </row>
    <row r="182" spans="2:6" ht="12.75" customHeight="1" x14ac:dyDescent="0.2">
      <c r="B182" s="76"/>
      <c r="E182" s="84"/>
      <c r="F182" s="84"/>
    </row>
    <row r="183" spans="2:6" ht="12.75" customHeight="1" x14ac:dyDescent="0.2">
      <c r="B183" s="76"/>
      <c r="E183" s="84"/>
      <c r="F183" s="84"/>
    </row>
    <row r="184" spans="2:6" ht="12.75" customHeight="1" x14ac:dyDescent="0.2">
      <c r="B184" s="76"/>
      <c r="E184" s="84"/>
      <c r="F184" s="84"/>
    </row>
    <row r="185" spans="2:6" ht="12.75" customHeight="1" x14ac:dyDescent="0.2">
      <c r="B185" s="76"/>
      <c r="E185" s="84"/>
      <c r="F185" s="84"/>
    </row>
    <row r="186" spans="2:6" ht="12.75" customHeight="1" x14ac:dyDescent="0.2">
      <c r="B186" s="76"/>
      <c r="E186" s="84"/>
      <c r="F186" s="84"/>
    </row>
    <row r="187" spans="2:6" ht="12.75" customHeight="1" x14ac:dyDescent="0.2">
      <c r="B187" s="76"/>
      <c r="E187" s="84"/>
      <c r="F187" s="84"/>
    </row>
    <row r="188" spans="2:6" ht="12.75" customHeight="1" x14ac:dyDescent="0.2">
      <c r="B188" s="76"/>
      <c r="E188" s="84"/>
      <c r="F188" s="84"/>
    </row>
    <row r="189" spans="2:6" ht="12.75" customHeight="1" x14ac:dyDescent="0.2">
      <c r="B189" s="76"/>
      <c r="E189" s="84"/>
      <c r="F189" s="84"/>
    </row>
    <row r="190" spans="2:6" ht="12.75" customHeight="1" x14ac:dyDescent="0.2">
      <c r="B190" s="76"/>
      <c r="E190" s="84"/>
      <c r="F190" s="84"/>
    </row>
    <row r="191" spans="2:6" ht="12.75" customHeight="1" x14ac:dyDescent="0.2">
      <c r="B191" s="76"/>
      <c r="E191" s="84"/>
      <c r="F191" s="84"/>
    </row>
    <row r="192" spans="2:6" ht="12.75" customHeight="1" x14ac:dyDescent="0.2">
      <c r="B192" s="76"/>
      <c r="E192" s="84"/>
      <c r="F192" s="84"/>
    </row>
    <row r="193" spans="2:6" ht="12.75" customHeight="1" x14ac:dyDescent="0.2">
      <c r="B193" s="76"/>
      <c r="E193" s="84"/>
      <c r="F193" s="84"/>
    </row>
    <row r="194" spans="2:6" ht="12.75" customHeight="1" x14ac:dyDescent="0.2">
      <c r="B194" s="76"/>
      <c r="E194" s="84"/>
      <c r="F194" s="84"/>
    </row>
    <row r="195" spans="2:6" ht="12.75" customHeight="1" x14ac:dyDescent="0.2">
      <c r="B195" s="76"/>
      <c r="E195" s="84"/>
      <c r="F195" s="84"/>
    </row>
    <row r="196" spans="2:6" ht="12.75" customHeight="1" x14ac:dyDescent="0.2">
      <c r="B196" s="76"/>
      <c r="E196" s="84"/>
      <c r="F196" s="84"/>
    </row>
    <row r="197" spans="2:6" ht="12.75" customHeight="1" x14ac:dyDescent="0.2">
      <c r="B197" s="76"/>
      <c r="E197" s="84"/>
      <c r="F197" s="84"/>
    </row>
    <row r="198" spans="2:6" ht="12.75" customHeight="1" x14ac:dyDescent="0.2">
      <c r="B198" s="76"/>
      <c r="E198" s="84"/>
      <c r="F198" s="84"/>
    </row>
    <row r="199" spans="2:6" ht="12.75" customHeight="1" x14ac:dyDescent="0.2">
      <c r="B199" s="76"/>
      <c r="E199" s="84"/>
      <c r="F199" s="84"/>
    </row>
    <row r="200" spans="2:6" ht="12.75" customHeight="1" x14ac:dyDescent="0.2">
      <c r="B200" s="76"/>
      <c r="E200" s="84"/>
      <c r="F200" s="84"/>
    </row>
    <row r="201" spans="2:6" ht="12.75" customHeight="1" x14ac:dyDescent="0.2">
      <c r="B201" s="76"/>
      <c r="E201" s="84"/>
      <c r="F201" s="84"/>
    </row>
    <row r="202" spans="2:6" ht="12.75" customHeight="1" x14ac:dyDescent="0.2">
      <c r="B202" s="76"/>
      <c r="E202" s="84"/>
      <c r="F202" s="84"/>
    </row>
    <row r="203" spans="2:6" ht="12.75" customHeight="1" x14ac:dyDescent="0.2">
      <c r="B203" s="76"/>
      <c r="E203" s="84"/>
      <c r="F203" s="84"/>
    </row>
    <row r="204" spans="2:6" ht="12.75" customHeight="1" x14ac:dyDescent="0.2">
      <c r="B204" s="76"/>
      <c r="E204" s="84"/>
      <c r="F204" s="84"/>
    </row>
    <row r="205" spans="2:6" ht="12.75" customHeight="1" x14ac:dyDescent="0.2">
      <c r="B205" s="76"/>
      <c r="E205" s="84"/>
      <c r="F205" s="84"/>
    </row>
    <row r="206" spans="2:6" ht="12.75" customHeight="1" x14ac:dyDescent="0.2">
      <c r="B206" s="76"/>
      <c r="E206" s="84"/>
      <c r="F206" s="84"/>
    </row>
    <row r="207" spans="2:6" ht="12.75" customHeight="1" x14ac:dyDescent="0.2">
      <c r="B207" s="76"/>
      <c r="E207" s="84"/>
      <c r="F207" s="84"/>
    </row>
    <row r="208" spans="2:6" ht="12.75" customHeight="1" x14ac:dyDescent="0.2">
      <c r="B208" s="76"/>
      <c r="E208" s="84"/>
      <c r="F208" s="84"/>
    </row>
    <row r="209" spans="2:6" ht="12.75" customHeight="1" x14ac:dyDescent="0.2">
      <c r="B209" s="76"/>
      <c r="E209" s="84"/>
      <c r="F209" s="84"/>
    </row>
    <row r="210" spans="2:6" ht="12.75" customHeight="1" x14ac:dyDescent="0.2">
      <c r="B210" s="76"/>
      <c r="E210" s="84"/>
      <c r="F210" s="84"/>
    </row>
    <row r="211" spans="2:6" ht="12.75" customHeight="1" x14ac:dyDescent="0.2">
      <c r="B211" s="76"/>
      <c r="E211" s="84"/>
      <c r="F211" s="84"/>
    </row>
    <row r="212" spans="2:6" ht="12.75" customHeight="1" x14ac:dyDescent="0.2">
      <c r="B212" s="76"/>
      <c r="E212" s="84"/>
      <c r="F212" s="84"/>
    </row>
    <row r="213" spans="2:6" ht="12.75" customHeight="1" x14ac:dyDescent="0.2">
      <c r="B213" s="76"/>
      <c r="E213" s="84"/>
      <c r="F213" s="84"/>
    </row>
    <row r="214" spans="2:6" ht="12.75" customHeight="1" x14ac:dyDescent="0.2">
      <c r="B214" s="76"/>
      <c r="E214" s="84"/>
      <c r="F214" s="84"/>
    </row>
    <row r="215" spans="2:6" ht="12.75" customHeight="1" x14ac:dyDescent="0.2">
      <c r="B215" s="76"/>
      <c r="E215" s="84"/>
      <c r="F215" s="84"/>
    </row>
    <row r="216" spans="2:6" ht="12.75" customHeight="1" x14ac:dyDescent="0.2">
      <c r="B216" s="76"/>
      <c r="E216" s="84"/>
      <c r="F216" s="84"/>
    </row>
    <row r="217" spans="2:6" ht="12.75" customHeight="1" x14ac:dyDescent="0.2">
      <c r="B217" s="76"/>
      <c r="E217" s="84"/>
      <c r="F217" s="84"/>
    </row>
    <row r="218" spans="2:6" ht="12.75" customHeight="1" x14ac:dyDescent="0.2">
      <c r="B218" s="76"/>
      <c r="E218" s="84"/>
      <c r="F218" s="84"/>
    </row>
    <row r="219" spans="2:6" ht="12.75" customHeight="1" x14ac:dyDescent="0.2">
      <c r="B219" s="76"/>
      <c r="E219" s="84"/>
      <c r="F219" s="84"/>
    </row>
    <row r="220" spans="2:6" ht="12.75" customHeight="1" x14ac:dyDescent="0.2">
      <c r="B220" s="76"/>
      <c r="E220" s="84"/>
      <c r="F220" s="84"/>
    </row>
    <row r="221" spans="2:6" ht="12.75" customHeight="1" x14ac:dyDescent="0.2">
      <c r="B221" s="76"/>
      <c r="E221" s="84"/>
      <c r="F221" s="84"/>
    </row>
    <row r="222" spans="2:6" ht="12.75" customHeight="1" x14ac:dyDescent="0.2">
      <c r="B222" s="76"/>
      <c r="E222" s="84"/>
      <c r="F222" s="84"/>
    </row>
    <row r="223" spans="2:6" ht="12.75" customHeight="1" x14ac:dyDescent="0.2">
      <c r="B223" s="76"/>
      <c r="E223" s="84"/>
      <c r="F223" s="84"/>
    </row>
    <row r="224" spans="2:6" ht="12.75" customHeight="1" x14ac:dyDescent="0.2">
      <c r="B224" s="76"/>
      <c r="E224" s="84"/>
      <c r="F224" s="84"/>
    </row>
    <row r="225" spans="2:6" ht="12.75" customHeight="1" x14ac:dyDescent="0.2">
      <c r="B225" s="76"/>
      <c r="E225" s="84"/>
      <c r="F225" s="84"/>
    </row>
    <row r="226" spans="2:6" ht="12.75" customHeight="1" x14ac:dyDescent="0.2">
      <c r="B226" s="76"/>
      <c r="E226" s="84"/>
      <c r="F226" s="84"/>
    </row>
    <row r="227" spans="2:6" ht="12.75" customHeight="1" x14ac:dyDescent="0.2">
      <c r="B227" s="76"/>
      <c r="E227" s="84"/>
      <c r="F227" s="84"/>
    </row>
    <row r="228" spans="2:6" ht="12.75" customHeight="1" x14ac:dyDescent="0.2">
      <c r="B228" s="76"/>
      <c r="E228" s="84"/>
      <c r="F228" s="84"/>
    </row>
    <row r="229" spans="2:6" ht="12.75" customHeight="1" x14ac:dyDescent="0.2">
      <c r="B229" s="76"/>
      <c r="E229" s="84"/>
      <c r="F229" s="84"/>
    </row>
    <row r="230" spans="2:6" ht="12.75" customHeight="1" x14ac:dyDescent="0.2">
      <c r="B230" s="76"/>
      <c r="E230" s="84"/>
      <c r="F230" s="84"/>
    </row>
    <row r="231" spans="2:6" ht="12.75" customHeight="1" x14ac:dyDescent="0.2">
      <c r="B231" s="76"/>
      <c r="E231" s="84"/>
      <c r="F231" s="84"/>
    </row>
    <row r="232" spans="2:6" ht="12.75" customHeight="1" x14ac:dyDescent="0.2">
      <c r="B232" s="76"/>
      <c r="E232" s="84"/>
      <c r="F232" s="84"/>
    </row>
    <row r="233" spans="2:6" ht="12.75" customHeight="1" x14ac:dyDescent="0.2">
      <c r="B233" s="76"/>
      <c r="E233" s="84"/>
      <c r="F233" s="84"/>
    </row>
    <row r="234" spans="2:6" ht="12.75" customHeight="1" x14ac:dyDescent="0.2">
      <c r="B234" s="76"/>
      <c r="E234" s="84"/>
      <c r="F234" s="84"/>
    </row>
    <row r="235" spans="2:6" ht="12.75" customHeight="1" x14ac:dyDescent="0.2">
      <c r="B235" s="76"/>
      <c r="E235" s="84"/>
      <c r="F235" s="84"/>
    </row>
    <row r="236" spans="2:6" ht="12.75" customHeight="1" x14ac:dyDescent="0.2">
      <c r="B236" s="76"/>
      <c r="E236" s="84"/>
      <c r="F236" s="84"/>
    </row>
    <row r="237" spans="2:6" ht="12.75" customHeight="1" x14ac:dyDescent="0.2">
      <c r="B237" s="76"/>
      <c r="E237" s="84"/>
      <c r="F237" s="84"/>
    </row>
    <row r="238" spans="2:6" ht="12.75" customHeight="1" x14ac:dyDescent="0.2">
      <c r="B238" s="76"/>
      <c r="E238" s="84"/>
      <c r="F238" s="84"/>
    </row>
    <row r="239" spans="2:6" ht="12.75" customHeight="1" x14ac:dyDescent="0.2">
      <c r="B239" s="76"/>
      <c r="E239" s="84"/>
      <c r="F239" s="84"/>
    </row>
    <row r="240" spans="2:6" ht="12.75" customHeight="1" x14ac:dyDescent="0.2">
      <c r="B240" s="76"/>
      <c r="E240" s="84"/>
      <c r="F240" s="84"/>
    </row>
    <row r="241" spans="2:6" ht="12.75" customHeight="1" x14ac:dyDescent="0.2">
      <c r="B241" s="76"/>
      <c r="E241" s="84"/>
      <c r="F241" s="84"/>
    </row>
    <row r="242" spans="2:6" ht="12.75" customHeight="1" x14ac:dyDescent="0.2">
      <c r="B242" s="76"/>
      <c r="E242" s="84"/>
      <c r="F242" s="84"/>
    </row>
    <row r="243" spans="2:6" ht="12.75" customHeight="1" x14ac:dyDescent="0.2">
      <c r="B243" s="76"/>
      <c r="E243" s="84"/>
      <c r="F243" s="84"/>
    </row>
    <row r="244" spans="2:6" ht="12.75" customHeight="1" x14ac:dyDescent="0.2">
      <c r="B244" s="76"/>
      <c r="E244" s="84"/>
      <c r="F244" s="84"/>
    </row>
    <row r="245" spans="2:6" ht="12.75" customHeight="1" x14ac:dyDescent="0.2">
      <c r="B245" s="76"/>
      <c r="E245" s="84"/>
      <c r="F245" s="84"/>
    </row>
    <row r="246" spans="2:6" ht="12.75" customHeight="1" x14ac:dyDescent="0.2">
      <c r="B246" s="76"/>
      <c r="E246" s="84"/>
      <c r="F246" s="84"/>
    </row>
    <row r="247" spans="2:6" ht="12.75" customHeight="1" x14ac:dyDescent="0.2">
      <c r="B247" s="76"/>
      <c r="E247" s="84"/>
      <c r="F247" s="84"/>
    </row>
    <row r="248" spans="2:6" ht="12.75" customHeight="1" x14ac:dyDescent="0.2">
      <c r="B248" s="76"/>
      <c r="E248" s="84"/>
      <c r="F248" s="84"/>
    </row>
    <row r="249" spans="2:6" ht="12.75" customHeight="1" x14ac:dyDescent="0.2">
      <c r="B249" s="76"/>
      <c r="E249" s="84"/>
      <c r="F249" s="84"/>
    </row>
    <row r="250" spans="2:6" ht="12.75" customHeight="1" x14ac:dyDescent="0.2">
      <c r="B250" s="76"/>
      <c r="E250" s="84"/>
      <c r="F250" s="84"/>
    </row>
    <row r="251" spans="2:6" ht="12.75" customHeight="1" x14ac:dyDescent="0.2">
      <c r="B251" s="76"/>
      <c r="E251" s="84"/>
      <c r="F251" s="84"/>
    </row>
    <row r="252" spans="2:6" ht="12.75" customHeight="1" x14ac:dyDescent="0.2">
      <c r="B252" s="76"/>
      <c r="E252" s="84"/>
      <c r="F252" s="84"/>
    </row>
    <row r="253" spans="2:6" ht="12.75" customHeight="1" x14ac:dyDescent="0.2">
      <c r="B253" s="76"/>
      <c r="E253" s="84"/>
      <c r="F253" s="84"/>
    </row>
    <row r="254" spans="2:6" ht="12.75" customHeight="1" x14ac:dyDescent="0.2">
      <c r="B254" s="76"/>
      <c r="E254" s="84"/>
      <c r="F254" s="84"/>
    </row>
    <row r="255" spans="2:6" ht="12.75" customHeight="1" x14ac:dyDescent="0.2">
      <c r="B255" s="76"/>
      <c r="E255" s="84"/>
      <c r="F255" s="84"/>
    </row>
    <row r="256" spans="2:6" ht="12.75" customHeight="1" x14ac:dyDescent="0.2">
      <c r="B256" s="76"/>
      <c r="E256" s="84"/>
      <c r="F256" s="84"/>
    </row>
    <row r="257" spans="2:6" ht="12.75" customHeight="1" x14ac:dyDescent="0.2">
      <c r="B257" s="76"/>
      <c r="E257" s="84"/>
      <c r="F257" s="84"/>
    </row>
    <row r="258" spans="2:6" ht="12.75" customHeight="1" x14ac:dyDescent="0.2">
      <c r="B258" s="76"/>
      <c r="E258" s="84"/>
      <c r="F258" s="84"/>
    </row>
    <row r="259" spans="2:6" ht="12.75" customHeight="1" x14ac:dyDescent="0.2">
      <c r="B259" s="76"/>
      <c r="E259" s="84"/>
      <c r="F259" s="84"/>
    </row>
    <row r="260" spans="2:6" ht="12.75" customHeight="1" x14ac:dyDescent="0.2">
      <c r="B260" s="76"/>
      <c r="E260" s="84"/>
      <c r="F260" s="84"/>
    </row>
    <row r="261" spans="2:6" ht="12.75" customHeight="1" x14ac:dyDescent="0.2">
      <c r="B261" s="76"/>
      <c r="E261" s="84"/>
      <c r="F261" s="84"/>
    </row>
    <row r="262" spans="2:6" ht="12.75" customHeight="1" x14ac:dyDescent="0.2">
      <c r="B262" s="76"/>
      <c r="E262" s="84"/>
      <c r="F262" s="84"/>
    </row>
    <row r="263" spans="2:6" ht="12.75" customHeight="1" x14ac:dyDescent="0.2">
      <c r="B263" s="76"/>
      <c r="E263" s="84"/>
      <c r="F263" s="84"/>
    </row>
    <row r="264" spans="2:6" ht="12.75" customHeight="1" x14ac:dyDescent="0.2">
      <c r="B264" s="76"/>
      <c r="E264" s="84"/>
      <c r="F264" s="84"/>
    </row>
    <row r="265" spans="2:6" ht="12.75" customHeight="1" x14ac:dyDescent="0.2">
      <c r="B265" s="76"/>
      <c r="E265" s="84"/>
      <c r="F265" s="84"/>
    </row>
    <row r="266" spans="2:6" ht="12.75" customHeight="1" x14ac:dyDescent="0.2">
      <c r="B266" s="76"/>
      <c r="E266" s="84"/>
      <c r="F266" s="84"/>
    </row>
    <row r="267" spans="2:6" ht="12.75" customHeight="1" x14ac:dyDescent="0.2">
      <c r="B267" s="76"/>
      <c r="E267" s="84"/>
      <c r="F267" s="84"/>
    </row>
    <row r="268" spans="2:6" ht="12.75" customHeight="1" x14ac:dyDescent="0.2">
      <c r="B268" s="76"/>
      <c r="E268" s="84"/>
      <c r="F268" s="84"/>
    </row>
    <row r="269" spans="2:6" ht="12.75" customHeight="1" x14ac:dyDescent="0.2">
      <c r="B269" s="76"/>
      <c r="E269" s="84"/>
      <c r="F269" s="84"/>
    </row>
    <row r="270" spans="2:6" ht="12.75" customHeight="1" x14ac:dyDescent="0.2">
      <c r="B270" s="76"/>
      <c r="E270" s="84"/>
      <c r="F270" s="84"/>
    </row>
    <row r="271" spans="2:6" ht="12.75" customHeight="1" x14ac:dyDescent="0.2">
      <c r="B271" s="76"/>
      <c r="E271" s="84"/>
      <c r="F271" s="84"/>
    </row>
    <row r="272" spans="2:6" ht="12.75" customHeight="1" x14ac:dyDescent="0.2">
      <c r="B272" s="76"/>
      <c r="E272" s="84"/>
      <c r="F272" s="84"/>
    </row>
    <row r="273" spans="2:6" ht="12.75" customHeight="1" x14ac:dyDescent="0.2">
      <c r="B273" s="76"/>
      <c r="E273" s="84"/>
      <c r="F273" s="84"/>
    </row>
    <row r="274" spans="2:6" ht="12.75" customHeight="1" x14ac:dyDescent="0.2">
      <c r="B274" s="76"/>
      <c r="E274" s="84"/>
      <c r="F274" s="84"/>
    </row>
    <row r="275" spans="2:6" ht="12.75" customHeight="1" x14ac:dyDescent="0.2">
      <c r="B275" s="76"/>
      <c r="E275" s="84"/>
      <c r="F275" s="84"/>
    </row>
    <row r="276" spans="2:6" ht="12.75" customHeight="1" x14ac:dyDescent="0.2">
      <c r="B276" s="76"/>
      <c r="E276" s="84"/>
      <c r="F276" s="84"/>
    </row>
    <row r="277" spans="2:6" ht="12.75" customHeight="1" x14ac:dyDescent="0.2">
      <c r="B277" s="76"/>
      <c r="E277" s="84"/>
      <c r="F277" s="84"/>
    </row>
    <row r="278" spans="2:6" ht="12.75" customHeight="1" x14ac:dyDescent="0.2">
      <c r="B278" s="76"/>
      <c r="E278" s="84"/>
      <c r="F278" s="84"/>
    </row>
    <row r="279" spans="2:6" ht="12.75" customHeight="1" x14ac:dyDescent="0.2">
      <c r="B279" s="76"/>
      <c r="E279" s="84"/>
      <c r="F279" s="84"/>
    </row>
    <row r="280" spans="2:6" ht="12.75" customHeight="1" x14ac:dyDescent="0.2">
      <c r="B280" s="76"/>
      <c r="E280" s="84"/>
      <c r="F280" s="84"/>
    </row>
    <row r="281" spans="2:6" ht="12.75" customHeight="1" x14ac:dyDescent="0.2">
      <c r="B281" s="76"/>
      <c r="E281" s="84"/>
      <c r="F281" s="84"/>
    </row>
    <row r="282" spans="2:6" ht="12.75" customHeight="1" x14ac:dyDescent="0.2">
      <c r="B282" s="76"/>
      <c r="E282" s="84"/>
      <c r="F282" s="84"/>
    </row>
    <row r="283" spans="2:6" ht="12.75" customHeight="1" x14ac:dyDescent="0.2">
      <c r="B283" s="76"/>
      <c r="E283" s="84"/>
      <c r="F283" s="84"/>
    </row>
    <row r="284" spans="2:6" ht="12.75" customHeight="1" x14ac:dyDescent="0.2">
      <c r="B284" s="76"/>
      <c r="E284" s="84"/>
      <c r="F284" s="84"/>
    </row>
    <row r="285" spans="2:6" ht="12.75" customHeight="1" x14ac:dyDescent="0.2">
      <c r="B285" s="76"/>
      <c r="E285" s="84"/>
      <c r="F285" s="84"/>
    </row>
    <row r="286" spans="2:6" ht="12.75" customHeight="1" x14ac:dyDescent="0.2">
      <c r="B286" s="76"/>
      <c r="E286" s="84"/>
      <c r="F286" s="84"/>
    </row>
    <row r="287" spans="2:6" ht="12.75" customHeight="1" x14ac:dyDescent="0.2">
      <c r="B287" s="76"/>
      <c r="E287" s="84"/>
      <c r="F287" s="84"/>
    </row>
    <row r="288" spans="2:6" ht="12.75" customHeight="1" x14ac:dyDescent="0.2">
      <c r="B288" s="76"/>
      <c r="E288" s="84"/>
      <c r="F288" s="84"/>
    </row>
    <row r="289" spans="2:6" ht="12.75" customHeight="1" x14ac:dyDescent="0.2">
      <c r="B289" s="76"/>
      <c r="E289" s="84"/>
      <c r="F289" s="84"/>
    </row>
    <row r="290" spans="2:6" ht="12.75" customHeight="1" x14ac:dyDescent="0.2">
      <c r="B290" s="76"/>
      <c r="E290" s="84"/>
      <c r="F290" s="84"/>
    </row>
    <row r="291" spans="2:6" ht="12.75" customHeight="1" x14ac:dyDescent="0.2">
      <c r="B291" s="76"/>
      <c r="E291" s="84"/>
      <c r="F291" s="84"/>
    </row>
    <row r="292" spans="2:6" ht="12.75" customHeight="1" x14ac:dyDescent="0.2">
      <c r="B292" s="76"/>
      <c r="E292" s="84"/>
      <c r="F292" s="84"/>
    </row>
    <row r="293" spans="2:6" ht="12.75" customHeight="1" x14ac:dyDescent="0.2">
      <c r="B293" s="76"/>
      <c r="E293" s="84"/>
      <c r="F293" s="84"/>
    </row>
    <row r="294" spans="2:6" ht="12.75" customHeight="1" x14ac:dyDescent="0.2">
      <c r="B294" s="76"/>
      <c r="E294" s="84"/>
      <c r="F294" s="84"/>
    </row>
    <row r="295" spans="2:6" ht="12.75" customHeight="1" x14ac:dyDescent="0.2">
      <c r="B295" s="76"/>
      <c r="E295" s="84"/>
      <c r="F295" s="84"/>
    </row>
    <row r="296" spans="2:6" ht="12.75" customHeight="1" x14ac:dyDescent="0.2">
      <c r="B296" s="76"/>
      <c r="E296" s="84"/>
      <c r="F296" s="84"/>
    </row>
    <row r="297" spans="2:6" ht="12.75" customHeight="1" x14ac:dyDescent="0.2">
      <c r="B297" s="76"/>
      <c r="E297" s="84"/>
      <c r="F297" s="84"/>
    </row>
    <row r="298" spans="2:6" ht="12.75" customHeight="1" x14ac:dyDescent="0.2">
      <c r="B298" s="76"/>
      <c r="E298" s="84"/>
      <c r="F298" s="84"/>
    </row>
    <row r="299" spans="2:6" ht="12.75" customHeight="1" x14ac:dyDescent="0.2">
      <c r="B299" s="76"/>
      <c r="E299" s="84"/>
      <c r="F299" s="84"/>
    </row>
    <row r="300" spans="2:6" ht="12.75" customHeight="1" x14ac:dyDescent="0.2">
      <c r="B300" s="76"/>
      <c r="E300" s="84"/>
      <c r="F300" s="84"/>
    </row>
    <row r="301" spans="2:6" ht="12.75" customHeight="1" x14ac:dyDescent="0.2">
      <c r="B301" s="76"/>
      <c r="E301" s="84"/>
      <c r="F301" s="84"/>
    </row>
    <row r="302" spans="2:6" ht="12.75" customHeight="1" x14ac:dyDescent="0.2">
      <c r="B302" s="76"/>
      <c r="E302" s="84"/>
      <c r="F302" s="84"/>
    </row>
    <row r="303" spans="2:6" ht="12.75" customHeight="1" x14ac:dyDescent="0.2">
      <c r="B303" s="76"/>
      <c r="E303" s="84"/>
      <c r="F303" s="84"/>
    </row>
    <row r="304" spans="2:6" ht="12.75" customHeight="1" x14ac:dyDescent="0.2">
      <c r="B304" s="76"/>
      <c r="E304" s="84"/>
      <c r="F304" s="84"/>
    </row>
    <row r="305" spans="2:6" ht="12.75" customHeight="1" x14ac:dyDescent="0.2">
      <c r="B305" s="76"/>
      <c r="E305" s="84"/>
      <c r="F305" s="84"/>
    </row>
    <row r="306" spans="2:6" ht="12.75" customHeight="1" x14ac:dyDescent="0.2">
      <c r="B306" s="76"/>
      <c r="E306" s="84"/>
      <c r="F306" s="84"/>
    </row>
    <row r="307" spans="2:6" ht="12.75" customHeight="1" x14ac:dyDescent="0.2">
      <c r="B307" s="76"/>
      <c r="E307" s="84"/>
      <c r="F307" s="84"/>
    </row>
    <row r="308" spans="2:6" ht="12.75" customHeight="1" x14ac:dyDescent="0.2">
      <c r="B308" s="76"/>
      <c r="E308" s="84"/>
      <c r="F308" s="84"/>
    </row>
    <row r="309" spans="2:6" ht="12.75" customHeight="1" x14ac:dyDescent="0.2">
      <c r="B309" s="76"/>
      <c r="E309" s="84"/>
      <c r="F309" s="84"/>
    </row>
    <row r="310" spans="2:6" ht="12.75" customHeight="1" x14ac:dyDescent="0.2">
      <c r="B310" s="76"/>
      <c r="E310" s="84"/>
      <c r="F310" s="84"/>
    </row>
    <row r="311" spans="2:6" ht="12.75" customHeight="1" x14ac:dyDescent="0.2">
      <c r="B311" s="76"/>
      <c r="E311" s="84"/>
      <c r="F311" s="84"/>
    </row>
    <row r="312" spans="2:6" ht="12.75" customHeight="1" x14ac:dyDescent="0.2">
      <c r="B312" s="76"/>
      <c r="E312" s="84"/>
      <c r="F312" s="84"/>
    </row>
    <row r="313" spans="2:6" ht="12.75" customHeight="1" x14ac:dyDescent="0.2">
      <c r="B313" s="76"/>
      <c r="E313" s="84"/>
      <c r="F313" s="84"/>
    </row>
    <row r="314" spans="2:6" ht="12.75" customHeight="1" x14ac:dyDescent="0.2">
      <c r="B314" s="76"/>
      <c r="E314" s="84"/>
      <c r="F314" s="84"/>
    </row>
    <row r="315" spans="2:6" ht="12.75" customHeight="1" x14ac:dyDescent="0.2">
      <c r="B315" s="76"/>
      <c r="E315" s="84"/>
      <c r="F315" s="84"/>
    </row>
    <row r="316" spans="2:6" ht="12.75" customHeight="1" x14ac:dyDescent="0.2">
      <c r="B316" s="76"/>
      <c r="E316" s="84"/>
      <c r="F316" s="84"/>
    </row>
    <row r="317" spans="2:6" ht="12.75" customHeight="1" x14ac:dyDescent="0.2">
      <c r="B317" s="76"/>
      <c r="E317" s="84"/>
      <c r="F317" s="84"/>
    </row>
    <row r="318" spans="2:6" ht="12.75" customHeight="1" x14ac:dyDescent="0.2">
      <c r="B318" s="76"/>
      <c r="E318" s="84"/>
      <c r="F318" s="84"/>
    </row>
    <row r="319" spans="2:6" ht="12.75" customHeight="1" x14ac:dyDescent="0.2">
      <c r="B319" s="76"/>
      <c r="E319" s="84"/>
      <c r="F319" s="84"/>
    </row>
    <row r="320" spans="2:6" ht="12.75" customHeight="1" x14ac:dyDescent="0.2">
      <c r="B320" s="76"/>
      <c r="E320" s="84"/>
      <c r="F320" s="84"/>
    </row>
    <row r="321" spans="2:6" ht="12.75" customHeight="1" x14ac:dyDescent="0.2">
      <c r="B321" s="76"/>
      <c r="E321" s="84"/>
      <c r="F321" s="84"/>
    </row>
    <row r="322" spans="2:6" ht="12.75" customHeight="1" x14ac:dyDescent="0.2">
      <c r="B322" s="76"/>
      <c r="E322" s="84"/>
      <c r="F322" s="84"/>
    </row>
    <row r="323" spans="2:6" ht="12.75" customHeight="1" x14ac:dyDescent="0.2">
      <c r="B323" s="76"/>
      <c r="E323" s="84"/>
      <c r="F323" s="84"/>
    </row>
    <row r="324" spans="2:6" ht="12.75" customHeight="1" x14ac:dyDescent="0.2">
      <c r="B324" s="76"/>
      <c r="E324" s="84"/>
      <c r="F324" s="84"/>
    </row>
    <row r="325" spans="2:6" ht="12.75" customHeight="1" x14ac:dyDescent="0.2">
      <c r="B325" s="76"/>
      <c r="E325" s="84"/>
      <c r="F325" s="84"/>
    </row>
    <row r="326" spans="2:6" ht="12.75" customHeight="1" x14ac:dyDescent="0.2">
      <c r="B326" s="76"/>
      <c r="E326" s="84"/>
      <c r="F326" s="84"/>
    </row>
    <row r="327" spans="2:6" ht="12.75" customHeight="1" x14ac:dyDescent="0.2">
      <c r="B327" s="76"/>
      <c r="E327" s="84"/>
      <c r="F327" s="84"/>
    </row>
    <row r="328" spans="2:6" ht="12.75" customHeight="1" x14ac:dyDescent="0.2">
      <c r="B328" s="76"/>
      <c r="E328" s="84"/>
      <c r="F328" s="84"/>
    </row>
    <row r="329" spans="2:6" ht="12.75" customHeight="1" x14ac:dyDescent="0.2">
      <c r="B329" s="76"/>
      <c r="E329" s="84"/>
      <c r="F329" s="84"/>
    </row>
    <row r="330" spans="2:6" ht="12.75" customHeight="1" x14ac:dyDescent="0.2">
      <c r="B330" s="76"/>
      <c r="E330" s="84"/>
      <c r="F330" s="84"/>
    </row>
    <row r="331" spans="2:6" ht="12.75" customHeight="1" x14ac:dyDescent="0.2">
      <c r="B331" s="76"/>
      <c r="E331" s="84"/>
      <c r="F331" s="84"/>
    </row>
    <row r="332" spans="2:6" ht="12.75" customHeight="1" x14ac:dyDescent="0.2">
      <c r="B332" s="76"/>
      <c r="E332" s="84"/>
      <c r="F332" s="84"/>
    </row>
    <row r="333" spans="2:6" ht="12.75" customHeight="1" x14ac:dyDescent="0.2">
      <c r="B333" s="76"/>
      <c r="E333" s="84"/>
      <c r="F333" s="84"/>
    </row>
    <row r="334" spans="2:6" ht="12.75" customHeight="1" x14ac:dyDescent="0.2">
      <c r="B334" s="76"/>
      <c r="E334" s="84"/>
      <c r="F334" s="84"/>
    </row>
    <row r="335" spans="2:6" ht="12.75" customHeight="1" x14ac:dyDescent="0.2">
      <c r="B335" s="76"/>
      <c r="E335" s="84"/>
      <c r="F335" s="84"/>
    </row>
    <row r="336" spans="2:6" ht="12.75" customHeight="1" x14ac:dyDescent="0.2">
      <c r="B336" s="76"/>
      <c r="E336" s="84"/>
      <c r="F336" s="84"/>
    </row>
    <row r="337" spans="2:6" ht="12.75" customHeight="1" x14ac:dyDescent="0.2">
      <c r="B337" s="76"/>
      <c r="E337" s="84"/>
      <c r="F337" s="84"/>
    </row>
    <row r="338" spans="2:6" ht="12.75" customHeight="1" x14ac:dyDescent="0.2">
      <c r="B338" s="76"/>
      <c r="E338" s="84"/>
      <c r="F338" s="84"/>
    </row>
    <row r="339" spans="2:6" ht="12.75" customHeight="1" x14ac:dyDescent="0.2">
      <c r="B339" s="76"/>
      <c r="E339" s="84"/>
      <c r="F339" s="84"/>
    </row>
    <row r="340" spans="2:6" ht="12.75" customHeight="1" x14ac:dyDescent="0.2">
      <c r="B340" s="76"/>
      <c r="E340" s="84"/>
      <c r="F340" s="84"/>
    </row>
    <row r="341" spans="2:6" ht="12.75" customHeight="1" x14ac:dyDescent="0.2">
      <c r="B341" s="76"/>
      <c r="E341" s="84"/>
      <c r="F341" s="84"/>
    </row>
    <row r="342" spans="2:6" ht="12.75" customHeight="1" x14ac:dyDescent="0.2">
      <c r="B342" s="76"/>
      <c r="E342" s="84"/>
      <c r="F342" s="84"/>
    </row>
    <row r="343" spans="2:6" ht="12.75" customHeight="1" x14ac:dyDescent="0.2">
      <c r="B343" s="76"/>
      <c r="E343" s="84"/>
      <c r="F343" s="84"/>
    </row>
    <row r="344" spans="2:6" ht="12.75" customHeight="1" x14ac:dyDescent="0.2">
      <c r="B344" s="76"/>
      <c r="E344" s="84"/>
      <c r="F344" s="84"/>
    </row>
    <row r="345" spans="2:6" ht="12.75" customHeight="1" x14ac:dyDescent="0.2">
      <c r="B345" s="76"/>
      <c r="E345" s="84"/>
      <c r="F345" s="84"/>
    </row>
    <row r="346" spans="2:6" ht="12.75" customHeight="1" x14ac:dyDescent="0.2">
      <c r="B346" s="76"/>
      <c r="E346" s="84"/>
      <c r="F346" s="84"/>
    </row>
    <row r="347" spans="2:6" ht="12.75" customHeight="1" x14ac:dyDescent="0.2">
      <c r="B347" s="76"/>
      <c r="E347" s="84"/>
      <c r="F347" s="84"/>
    </row>
    <row r="348" spans="2:6" ht="12.75" customHeight="1" x14ac:dyDescent="0.2">
      <c r="B348" s="76"/>
      <c r="E348" s="84"/>
      <c r="F348" s="84"/>
    </row>
    <row r="349" spans="2:6" ht="12.75" customHeight="1" x14ac:dyDescent="0.2">
      <c r="B349" s="76"/>
      <c r="E349" s="84"/>
      <c r="F349" s="84"/>
    </row>
    <row r="350" spans="2:6" ht="12.75" customHeight="1" x14ac:dyDescent="0.2">
      <c r="B350" s="76"/>
      <c r="E350" s="84"/>
      <c r="F350" s="84"/>
    </row>
    <row r="351" spans="2:6" ht="12.75" customHeight="1" x14ac:dyDescent="0.2">
      <c r="B351" s="76"/>
      <c r="E351" s="84"/>
      <c r="F351" s="84"/>
    </row>
    <row r="352" spans="2:6" ht="12.75" customHeight="1" x14ac:dyDescent="0.2">
      <c r="B352" s="76"/>
      <c r="E352" s="84"/>
      <c r="F352" s="84"/>
    </row>
    <row r="353" spans="2:6" ht="12.75" customHeight="1" x14ac:dyDescent="0.2">
      <c r="B353" s="76"/>
      <c r="E353" s="84"/>
      <c r="F353" s="84"/>
    </row>
    <row r="354" spans="2:6" ht="12.75" customHeight="1" x14ac:dyDescent="0.2">
      <c r="B354" s="76"/>
      <c r="E354" s="84"/>
      <c r="F354" s="84"/>
    </row>
    <row r="355" spans="2:6" ht="12.75" customHeight="1" x14ac:dyDescent="0.2">
      <c r="B355" s="76"/>
      <c r="E355" s="84"/>
      <c r="F355" s="84"/>
    </row>
    <row r="356" spans="2:6" ht="12.75" customHeight="1" x14ac:dyDescent="0.2">
      <c r="B356" s="76"/>
      <c r="E356" s="84"/>
      <c r="F356" s="84"/>
    </row>
    <row r="357" spans="2:6" ht="12.75" customHeight="1" x14ac:dyDescent="0.2">
      <c r="B357" s="76"/>
      <c r="E357" s="84"/>
      <c r="F357" s="84"/>
    </row>
    <row r="358" spans="2:6" ht="12.75" customHeight="1" x14ac:dyDescent="0.2">
      <c r="B358" s="76"/>
      <c r="E358" s="84"/>
      <c r="F358" s="84"/>
    </row>
    <row r="359" spans="2:6" ht="12.75" customHeight="1" x14ac:dyDescent="0.2">
      <c r="B359" s="76"/>
      <c r="E359" s="84"/>
      <c r="F359" s="84"/>
    </row>
    <row r="360" spans="2:6" ht="12.75" customHeight="1" x14ac:dyDescent="0.2">
      <c r="B360" s="76"/>
      <c r="E360" s="84"/>
      <c r="F360" s="84"/>
    </row>
    <row r="361" spans="2:6" ht="12.75" customHeight="1" x14ac:dyDescent="0.2">
      <c r="B361" s="76"/>
      <c r="E361" s="84"/>
      <c r="F361" s="84"/>
    </row>
    <row r="362" spans="2:6" ht="12.75" customHeight="1" x14ac:dyDescent="0.2">
      <c r="B362" s="76"/>
      <c r="E362" s="84"/>
      <c r="F362" s="84"/>
    </row>
    <row r="363" spans="2:6" ht="12.75" customHeight="1" x14ac:dyDescent="0.2">
      <c r="B363" s="76"/>
      <c r="E363" s="84"/>
      <c r="F363" s="84"/>
    </row>
    <row r="364" spans="2:6" ht="12.75" customHeight="1" x14ac:dyDescent="0.2">
      <c r="B364" s="76"/>
      <c r="E364" s="84"/>
      <c r="F364" s="84"/>
    </row>
    <row r="365" spans="2:6" ht="12.75" customHeight="1" x14ac:dyDescent="0.2">
      <c r="B365" s="76"/>
      <c r="E365" s="84"/>
      <c r="F365" s="84"/>
    </row>
    <row r="366" spans="2:6" ht="12.75" customHeight="1" x14ac:dyDescent="0.2">
      <c r="B366" s="76"/>
      <c r="E366" s="84"/>
      <c r="F366" s="84"/>
    </row>
    <row r="367" spans="2:6" ht="12.75" customHeight="1" x14ac:dyDescent="0.2">
      <c r="B367" s="76"/>
      <c r="E367" s="84"/>
      <c r="F367" s="84"/>
    </row>
    <row r="368" spans="2:6" ht="12.75" customHeight="1" x14ac:dyDescent="0.2">
      <c r="B368" s="76"/>
      <c r="E368" s="84"/>
      <c r="F368" s="84"/>
    </row>
    <row r="369" spans="2:6" ht="12.75" customHeight="1" x14ac:dyDescent="0.2">
      <c r="B369" s="76"/>
      <c r="E369" s="84"/>
      <c r="F369" s="84"/>
    </row>
    <row r="370" spans="2:6" ht="12.75" customHeight="1" x14ac:dyDescent="0.2">
      <c r="B370" s="76"/>
      <c r="E370" s="84"/>
      <c r="F370" s="84"/>
    </row>
    <row r="371" spans="2:6" ht="12.75" customHeight="1" x14ac:dyDescent="0.2">
      <c r="B371" s="76"/>
      <c r="E371" s="84"/>
      <c r="F371" s="84"/>
    </row>
    <row r="372" spans="2:6" ht="12.75" customHeight="1" x14ac:dyDescent="0.2">
      <c r="B372" s="76"/>
      <c r="E372" s="84"/>
      <c r="F372" s="84"/>
    </row>
    <row r="373" spans="2:6" ht="12.75" customHeight="1" x14ac:dyDescent="0.2">
      <c r="B373" s="76"/>
      <c r="E373" s="84"/>
      <c r="F373" s="84"/>
    </row>
    <row r="374" spans="2:6" ht="12.75" customHeight="1" x14ac:dyDescent="0.2">
      <c r="B374" s="76"/>
      <c r="E374" s="84"/>
      <c r="F374" s="84"/>
    </row>
    <row r="375" spans="2:6" ht="12.75" customHeight="1" x14ac:dyDescent="0.2">
      <c r="B375" s="76"/>
      <c r="E375" s="84"/>
      <c r="F375" s="84"/>
    </row>
    <row r="376" spans="2:6" ht="12.75" customHeight="1" x14ac:dyDescent="0.2">
      <c r="B376" s="76"/>
      <c r="E376" s="84"/>
      <c r="F376" s="84"/>
    </row>
    <row r="377" spans="2:6" ht="12.75" customHeight="1" x14ac:dyDescent="0.2">
      <c r="B377" s="76"/>
      <c r="E377" s="84"/>
      <c r="F377" s="84"/>
    </row>
    <row r="378" spans="2:6" ht="12.75" customHeight="1" x14ac:dyDescent="0.2">
      <c r="B378" s="76"/>
      <c r="E378" s="84"/>
      <c r="F378" s="84"/>
    </row>
    <row r="379" spans="2:6" ht="12.75" customHeight="1" x14ac:dyDescent="0.2">
      <c r="B379" s="76"/>
      <c r="E379" s="84"/>
      <c r="F379" s="84"/>
    </row>
    <row r="380" spans="2:6" ht="12.75" customHeight="1" x14ac:dyDescent="0.2">
      <c r="B380" s="76"/>
      <c r="E380" s="84"/>
      <c r="F380" s="84"/>
    </row>
    <row r="381" spans="2:6" ht="12.75" customHeight="1" x14ac:dyDescent="0.2">
      <c r="B381" s="76"/>
      <c r="E381" s="84"/>
      <c r="F381" s="84"/>
    </row>
    <row r="382" spans="2:6" ht="12.75" customHeight="1" x14ac:dyDescent="0.2">
      <c r="B382" s="76"/>
      <c r="E382" s="84"/>
      <c r="F382" s="84"/>
    </row>
    <row r="383" spans="2:6" ht="12.75" customHeight="1" x14ac:dyDescent="0.2">
      <c r="B383" s="76"/>
      <c r="E383" s="84"/>
      <c r="F383" s="84"/>
    </row>
    <row r="384" spans="2:6" ht="12.75" customHeight="1" x14ac:dyDescent="0.2">
      <c r="B384" s="76"/>
      <c r="E384" s="84"/>
      <c r="F384" s="84"/>
    </row>
    <row r="385" spans="2:6" ht="12.75" customHeight="1" x14ac:dyDescent="0.2">
      <c r="B385" s="76"/>
      <c r="E385" s="84"/>
      <c r="F385" s="84"/>
    </row>
    <row r="386" spans="2:6" ht="12.75" customHeight="1" x14ac:dyDescent="0.2">
      <c r="B386" s="76"/>
      <c r="E386" s="84"/>
      <c r="F386" s="84"/>
    </row>
    <row r="387" spans="2:6" ht="12.75" customHeight="1" x14ac:dyDescent="0.2">
      <c r="B387" s="76"/>
      <c r="E387" s="84"/>
      <c r="F387" s="84"/>
    </row>
    <row r="388" spans="2:6" ht="12.75" customHeight="1" x14ac:dyDescent="0.2">
      <c r="B388" s="76"/>
      <c r="E388" s="84"/>
      <c r="F388" s="84"/>
    </row>
    <row r="389" spans="2:6" ht="12.75" customHeight="1" x14ac:dyDescent="0.2">
      <c r="B389" s="76"/>
      <c r="E389" s="84"/>
      <c r="F389" s="84"/>
    </row>
    <row r="390" spans="2:6" ht="12.75" customHeight="1" x14ac:dyDescent="0.2">
      <c r="B390" s="76"/>
      <c r="E390" s="84"/>
      <c r="F390" s="84"/>
    </row>
    <row r="391" spans="2:6" ht="12.75" customHeight="1" x14ac:dyDescent="0.2">
      <c r="B391" s="76"/>
      <c r="E391" s="84"/>
      <c r="F391" s="84"/>
    </row>
    <row r="392" spans="2:6" ht="12.75" customHeight="1" x14ac:dyDescent="0.2">
      <c r="B392" s="76"/>
      <c r="E392" s="84"/>
      <c r="F392" s="84"/>
    </row>
    <row r="393" spans="2:6" ht="12.75" customHeight="1" x14ac:dyDescent="0.2">
      <c r="B393" s="76"/>
      <c r="E393" s="84"/>
      <c r="F393" s="84"/>
    </row>
    <row r="394" spans="2:6" ht="12.75" customHeight="1" x14ac:dyDescent="0.2">
      <c r="B394" s="76"/>
      <c r="E394" s="84"/>
      <c r="F394" s="84"/>
    </row>
    <row r="395" spans="2:6" ht="12.75" customHeight="1" x14ac:dyDescent="0.2">
      <c r="B395" s="76"/>
      <c r="E395" s="84"/>
      <c r="F395" s="84"/>
    </row>
    <row r="396" spans="2:6" ht="12.75" customHeight="1" x14ac:dyDescent="0.2">
      <c r="B396" s="76"/>
      <c r="E396" s="84"/>
      <c r="F396" s="84"/>
    </row>
    <row r="397" spans="2:6" ht="12.75" customHeight="1" x14ac:dyDescent="0.2">
      <c r="B397" s="76"/>
      <c r="E397" s="84"/>
      <c r="F397" s="84"/>
    </row>
    <row r="398" spans="2:6" ht="12.75" customHeight="1" x14ac:dyDescent="0.2">
      <c r="B398" s="76"/>
      <c r="E398" s="84"/>
      <c r="F398" s="84"/>
    </row>
    <row r="399" spans="2:6" ht="12.75" customHeight="1" x14ac:dyDescent="0.2">
      <c r="B399" s="76"/>
      <c r="E399" s="84"/>
      <c r="F399" s="84"/>
    </row>
    <row r="400" spans="2:6" ht="12.75" customHeight="1" x14ac:dyDescent="0.2">
      <c r="B400" s="76"/>
      <c r="E400" s="84"/>
      <c r="F400" s="84"/>
    </row>
    <row r="401" spans="2:6" ht="12.75" customHeight="1" x14ac:dyDescent="0.2">
      <c r="B401" s="76"/>
      <c r="E401" s="84"/>
      <c r="F401" s="84"/>
    </row>
    <row r="402" spans="2:6" ht="12.75" customHeight="1" x14ac:dyDescent="0.2">
      <c r="B402" s="76"/>
      <c r="E402" s="84"/>
      <c r="F402" s="84"/>
    </row>
    <row r="403" spans="2:6" ht="12.75" customHeight="1" x14ac:dyDescent="0.2">
      <c r="B403" s="76"/>
      <c r="E403" s="84"/>
      <c r="F403" s="84"/>
    </row>
    <row r="404" spans="2:6" ht="12.75" customHeight="1" x14ac:dyDescent="0.2">
      <c r="B404" s="76"/>
      <c r="E404" s="84"/>
      <c r="F404" s="84"/>
    </row>
    <row r="405" spans="2:6" ht="12.75" customHeight="1" x14ac:dyDescent="0.2">
      <c r="B405" s="76"/>
      <c r="E405" s="84"/>
      <c r="F405" s="84"/>
    </row>
    <row r="406" spans="2:6" ht="12.75" customHeight="1" x14ac:dyDescent="0.2">
      <c r="B406" s="76"/>
      <c r="E406" s="84"/>
      <c r="F406" s="84"/>
    </row>
    <row r="407" spans="2:6" ht="12.75" customHeight="1" x14ac:dyDescent="0.2">
      <c r="B407" s="76"/>
      <c r="E407" s="84"/>
      <c r="F407" s="84"/>
    </row>
    <row r="408" spans="2:6" ht="12.75" customHeight="1" x14ac:dyDescent="0.2">
      <c r="B408" s="76"/>
      <c r="E408" s="84"/>
      <c r="F408" s="84"/>
    </row>
    <row r="409" spans="2:6" ht="12.75" customHeight="1" x14ac:dyDescent="0.2">
      <c r="B409" s="76"/>
      <c r="E409" s="84"/>
      <c r="F409" s="84"/>
    </row>
    <row r="410" spans="2:6" ht="12.75" customHeight="1" x14ac:dyDescent="0.2">
      <c r="B410" s="76"/>
      <c r="E410" s="84"/>
      <c r="F410" s="84"/>
    </row>
    <row r="411" spans="2:6" ht="12.75" customHeight="1" x14ac:dyDescent="0.2">
      <c r="B411" s="76"/>
      <c r="E411" s="84"/>
      <c r="F411" s="84"/>
    </row>
    <row r="412" spans="2:6" ht="12.75" customHeight="1" x14ac:dyDescent="0.2">
      <c r="B412" s="76"/>
      <c r="E412" s="84"/>
      <c r="F412" s="84"/>
    </row>
    <row r="413" spans="2:6" ht="12.75" customHeight="1" x14ac:dyDescent="0.2">
      <c r="B413" s="76"/>
      <c r="E413" s="84"/>
      <c r="F413" s="84"/>
    </row>
    <row r="414" spans="2:6" ht="12.75" customHeight="1" x14ac:dyDescent="0.2">
      <c r="B414" s="76"/>
      <c r="E414" s="84"/>
      <c r="F414" s="84"/>
    </row>
    <row r="415" spans="2:6" ht="12.75" customHeight="1" x14ac:dyDescent="0.2">
      <c r="B415" s="76"/>
      <c r="E415" s="84"/>
      <c r="F415" s="84"/>
    </row>
    <row r="416" spans="2:6" ht="12.75" customHeight="1" x14ac:dyDescent="0.2">
      <c r="B416" s="76"/>
      <c r="E416" s="84"/>
      <c r="F416" s="84"/>
    </row>
    <row r="417" spans="2:6" ht="12.75" customHeight="1" x14ac:dyDescent="0.2">
      <c r="B417" s="76"/>
      <c r="E417" s="84"/>
      <c r="F417" s="84"/>
    </row>
    <row r="418" spans="2:6" ht="12.75" customHeight="1" x14ac:dyDescent="0.2">
      <c r="B418" s="76"/>
      <c r="E418" s="84"/>
      <c r="F418" s="84"/>
    </row>
    <row r="419" spans="2:6" ht="12.75" customHeight="1" x14ac:dyDescent="0.2">
      <c r="B419" s="76"/>
      <c r="E419" s="84"/>
      <c r="F419" s="84"/>
    </row>
    <row r="420" spans="2:6" ht="12.75" customHeight="1" x14ac:dyDescent="0.2">
      <c r="B420" s="76"/>
      <c r="E420" s="84"/>
      <c r="F420" s="84"/>
    </row>
    <row r="421" spans="2:6" ht="12.75" customHeight="1" x14ac:dyDescent="0.2">
      <c r="B421" s="76"/>
      <c r="E421" s="84"/>
      <c r="F421" s="84"/>
    </row>
    <row r="422" spans="2:6" ht="12.75" customHeight="1" x14ac:dyDescent="0.2">
      <c r="B422" s="76"/>
      <c r="E422" s="84"/>
      <c r="F422" s="84"/>
    </row>
    <row r="423" spans="2:6" ht="12.75" customHeight="1" x14ac:dyDescent="0.2">
      <c r="B423" s="76"/>
      <c r="E423" s="84"/>
      <c r="F423" s="84"/>
    </row>
    <row r="424" spans="2:6" ht="12.75" customHeight="1" x14ac:dyDescent="0.2">
      <c r="B424" s="76"/>
      <c r="E424" s="84"/>
      <c r="F424" s="84"/>
    </row>
    <row r="425" spans="2:6" ht="12.75" customHeight="1" x14ac:dyDescent="0.2">
      <c r="B425" s="76"/>
      <c r="E425" s="84"/>
      <c r="F425" s="84"/>
    </row>
    <row r="426" spans="2:6" ht="12.75" customHeight="1" x14ac:dyDescent="0.2">
      <c r="B426" s="76"/>
      <c r="E426" s="84"/>
      <c r="F426" s="84"/>
    </row>
    <row r="427" spans="2:6" ht="12.75" customHeight="1" x14ac:dyDescent="0.2">
      <c r="B427" s="76"/>
      <c r="E427" s="84"/>
      <c r="F427" s="84"/>
    </row>
    <row r="428" spans="2:6" ht="12.75" customHeight="1" x14ac:dyDescent="0.2">
      <c r="B428" s="76"/>
      <c r="E428" s="84"/>
      <c r="F428" s="84"/>
    </row>
    <row r="429" spans="2:6" ht="12.75" customHeight="1" x14ac:dyDescent="0.2">
      <c r="B429" s="76"/>
      <c r="E429" s="84"/>
      <c r="F429" s="84"/>
    </row>
    <row r="430" spans="2:6" ht="12.75" customHeight="1" x14ac:dyDescent="0.2">
      <c r="B430" s="76"/>
      <c r="E430" s="84"/>
      <c r="F430" s="84"/>
    </row>
    <row r="431" spans="2:6" ht="12.75" customHeight="1" x14ac:dyDescent="0.2">
      <c r="B431" s="76"/>
      <c r="E431" s="84"/>
      <c r="F431" s="84"/>
    </row>
    <row r="432" spans="2:6" ht="12.75" customHeight="1" x14ac:dyDescent="0.2">
      <c r="B432" s="76"/>
      <c r="E432" s="84"/>
      <c r="F432" s="84"/>
    </row>
    <row r="433" spans="2:6" ht="12.75" customHeight="1" x14ac:dyDescent="0.2">
      <c r="B433" s="76"/>
      <c r="E433" s="84"/>
      <c r="F433" s="84"/>
    </row>
    <row r="434" spans="2:6" ht="12.75" customHeight="1" x14ac:dyDescent="0.2">
      <c r="B434" s="76"/>
      <c r="E434" s="84"/>
      <c r="F434" s="84"/>
    </row>
    <row r="435" spans="2:6" ht="12.75" customHeight="1" x14ac:dyDescent="0.2">
      <c r="B435" s="76"/>
      <c r="E435" s="84"/>
      <c r="F435" s="84"/>
    </row>
    <row r="436" spans="2:6" ht="12.75" customHeight="1" x14ac:dyDescent="0.2">
      <c r="B436" s="76"/>
      <c r="E436" s="84"/>
      <c r="F436" s="84"/>
    </row>
    <row r="437" spans="2:6" ht="12.75" customHeight="1" x14ac:dyDescent="0.2">
      <c r="B437" s="76"/>
      <c r="E437" s="84"/>
      <c r="F437" s="84"/>
    </row>
    <row r="438" spans="2:6" ht="12.75" customHeight="1" x14ac:dyDescent="0.2">
      <c r="B438" s="76"/>
      <c r="E438" s="84"/>
      <c r="F438" s="84"/>
    </row>
    <row r="439" spans="2:6" ht="12.75" customHeight="1" x14ac:dyDescent="0.2">
      <c r="B439" s="76"/>
      <c r="E439" s="84"/>
      <c r="F439" s="84"/>
    </row>
    <row r="440" spans="2:6" ht="12.75" customHeight="1" x14ac:dyDescent="0.2">
      <c r="B440" s="76"/>
      <c r="E440" s="84"/>
      <c r="F440" s="84"/>
    </row>
    <row r="441" spans="2:6" ht="12.75" customHeight="1" x14ac:dyDescent="0.2">
      <c r="B441" s="76"/>
      <c r="E441" s="84"/>
      <c r="F441" s="84"/>
    </row>
    <row r="442" spans="2:6" ht="12.75" customHeight="1" x14ac:dyDescent="0.2">
      <c r="B442" s="76"/>
      <c r="E442" s="84"/>
      <c r="F442" s="84"/>
    </row>
    <row r="443" spans="2:6" ht="12.75" customHeight="1" x14ac:dyDescent="0.2">
      <c r="B443" s="76"/>
      <c r="E443" s="84"/>
      <c r="F443" s="84"/>
    </row>
    <row r="444" spans="2:6" ht="12.75" customHeight="1" x14ac:dyDescent="0.2">
      <c r="B444" s="76"/>
      <c r="E444" s="84"/>
      <c r="F444" s="84"/>
    </row>
    <row r="445" spans="2:6" ht="12.75" customHeight="1" x14ac:dyDescent="0.2">
      <c r="B445" s="76"/>
      <c r="E445" s="84"/>
      <c r="F445" s="84"/>
    </row>
    <row r="446" spans="2:6" ht="12.75" customHeight="1" x14ac:dyDescent="0.2">
      <c r="B446" s="76"/>
      <c r="E446" s="84"/>
      <c r="F446" s="84"/>
    </row>
    <row r="447" spans="2:6" ht="12.75" customHeight="1" x14ac:dyDescent="0.2">
      <c r="B447" s="76"/>
      <c r="E447" s="84"/>
      <c r="F447" s="84"/>
    </row>
    <row r="448" spans="2:6" ht="12.75" customHeight="1" x14ac:dyDescent="0.2">
      <c r="B448" s="76"/>
      <c r="E448" s="84"/>
      <c r="F448" s="84"/>
    </row>
    <row r="449" spans="2:6" ht="12.75" customHeight="1" x14ac:dyDescent="0.2">
      <c r="B449" s="76"/>
      <c r="E449" s="84"/>
      <c r="F449" s="84"/>
    </row>
    <row r="450" spans="2:6" ht="12.75" customHeight="1" x14ac:dyDescent="0.2">
      <c r="B450" s="76"/>
      <c r="E450" s="84"/>
      <c r="F450" s="84"/>
    </row>
    <row r="451" spans="2:6" ht="12.75" customHeight="1" x14ac:dyDescent="0.2">
      <c r="B451" s="76"/>
      <c r="E451" s="84"/>
      <c r="F451" s="84"/>
    </row>
    <row r="452" spans="2:6" ht="12.75" customHeight="1" x14ac:dyDescent="0.2">
      <c r="B452" s="76"/>
      <c r="E452" s="84"/>
      <c r="F452" s="84"/>
    </row>
    <row r="453" spans="2:6" ht="12.75" customHeight="1" x14ac:dyDescent="0.2">
      <c r="B453" s="76"/>
      <c r="E453" s="84"/>
      <c r="F453" s="84"/>
    </row>
    <row r="454" spans="2:6" ht="12.75" customHeight="1" x14ac:dyDescent="0.2">
      <c r="B454" s="76"/>
      <c r="E454" s="84"/>
      <c r="F454" s="84"/>
    </row>
    <row r="455" spans="2:6" ht="12.75" customHeight="1" x14ac:dyDescent="0.2">
      <c r="B455" s="76"/>
      <c r="E455" s="84"/>
      <c r="F455" s="84"/>
    </row>
    <row r="456" spans="2:6" ht="12.75" customHeight="1" x14ac:dyDescent="0.2">
      <c r="B456" s="76"/>
      <c r="E456" s="84"/>
      <c r="F456" s="84"/>
    </row>
    <row r="457" spans="2:6" ht="12.75" customHeight="1" x14ac:dyDescent="0.2">
      <c r="B457" s="76"/>
      <c r="E457" s="84"/>
      <c r="F457" s="84"/>
    </row>
    <row r="458" spans="2:6" ht="12.75" customHeight="1" x14ac:dyDescent="0.2">
      <c r="B458" s="76"/>
      <c r="E458" s="84"/>
      <c r="F458" s="84"/>
    </row>
    <row r="459" spans="2:6" ht="12.75" customHeight="1" x14ac:dyDescent="0.2">
      <c r="B459" s="76"/>
      <c r="E459" s="84"/>
      <c r="F459" s="84"/>
    </row>
    <row r="460" spans="2:6" ht="12.75" customHeight="1" x14ac:dyDescent="0.2">
      <c r="B460" s="76"/>
      <c r="E460" s="84"/>
      <c r="F460" s="84"/>
    </row>
    <row r="461" spans="2:6" ht="12.75" customHeight="1" x14ac:dyDescent="0.2">
      <c r="B461" s="76"/>
      <c r="E461" s="84"/>
      <c r="F461" s="84"/>
    </row>
    <row r="462" spans="2:6" ht="12.75" customHeight="1" x14ac:dyDescent="0.2">
      <c r="B462" s="76"/>
      <c r="E462" s="84"/>
      <c r="F462" s="84"/>
    </row>
    <row r="463" spans="2:6" ht="12.75" customHeight="1" x14ac:dyDescent="0.2">
      <c r="B463" s="76"/>
      <c r="E463" s="84"/>
      <c r="F463" s="84"/>
    </row>
    <row r="464" spans="2:6" ht="12.75" customHeight="1" x14ac:dyDescent="0.2">
      <c r="B464" s="76"/>
      <c r="E464" s="84"/>
      <c r="F464" s="84"/>
    </row>
    <row r="465" spans="2:6" ht="12.75" customHeight="1" x14ac:dyDescent="0.2">
      <c r="B465" s="76"/>
      <c r="E465" s="84"/>
      <c r="F465" s="84"/>
    </row>
    <row r="466" spans="2:6" ht="12.75" customHeight="1" x14ac:dyDescent="0.2">
      <c r="B466" s="76"/>
      <c r="E466" s="84"/>
      <c r="F466" s="84"/>
    </row>
    <row r="467" spans="2:6" ht="12.75" customHeight="1" x14ac:dyDescent="0.2">
      <c r="B467" s="76"/>
      <c r="E467" s="84"/>
      <c r="F467" s="84"/>
    </row>
    <row r="468" spans="2:6" ht="12.75" customHeight="1" x14ac:dyDescent="0.2">
      <c r="B468" s="76"/>
      <c r="E468" s="84"/>
      <c r="F468" s="84"/>
    </row>
    <row r="469" spans="2:6" ht="12.75" customHeight="1" x14ac:dyDescent="0.2">
      <c r="B469" s="76"/>
      <c r="E469" s="84"/>
      <c r="F469" s="84"/>
    </row>
    <row r="470" spans="2:6" ht="12.75" customHeight="1" x14ac:dyDescent="0.2">
      <c r="B470" s="76"/>
      <c r="E470" s="84"/>
      <c r="F470" s="84"/>
    </row>
    <row r="471" spans="2:6" ht="12.75" customHeight="1" x14ac:dyDescent="0.2">
      <c r="B471" s="76"/>
      <c r="E471" s="84"/>
      <c r="F471" s="84"/>
    </row>
    <row r="472" spans="2:6" ht="12.75" customHeight="1" x14ac:dyDescent="0.2">
      <c r="B472" s="76"/>
      <c r="E472" s="84"/>
      <c r="F472" s="84"/>
    </row>
    <row r="473" spans="2:6" ht="12.75" customHeight="1" x14ac:dyDescent="0.2">
      <c r="B473" s="76"/>
      <c r="E473" s="84"/>
      <c r="F473" s="84"/>
    </row>
    <row r="474" spans="2:6" ht="12.75" customHeight="1" x14ac:dyDescent="0.2">
      <c r="B474" s="76"/>
      <c r="E474" s="84"/>
      <c r="F474" s="84"/>
    </row>
    <row r="475" spans="2:6" ht="12.75" customHeight="1" x14ac:dyDescent="0.2">
      <c r="B475" s="76"/>
      <c r="E475" s="84"/>
      <c r="F475" s="84"/>
    </row>
    <row r="476" spans="2:6" ht="12.75" customHeight="1" x14ac:dyDescent="0.2">
      <c r="B476" s="76"/>
      <c r="E476" s="84"/>
      <c r="F476" s="84"/>
    </row>
    <row r="477" spans="2:6" ht="12.75" customHeight="1" x14ac:dyDescent="0.2">
      <c r="B477" s="76"/>
      <c r="E477" s="84"/>
      <c r="F477" s="84"/>
    </row>
    <row r="478" spans="2:6" ht="12.75" customHeight="1" x14ac:dyDescent="0.2">
      <c r="B478" s="76"/>
      <c r="E478" s="84"/>
      <c r="F478" s="84"/>
    </row>
    <row r="479" spans="2:6" ht="12.75" customHeight="1" x14ac:dyDescent="0.2">
      <c r="B479" s="76"/>
      <c r="E479" s="84"/>
      <c r="F479" s="84"/>
    </row>
    <row r="480" spans="2:6" ht="12.75" customHeight="1" x14ac:dyDescent="0.2">
      <c r="B480" s="76"/>
      <c r="E480" s="84"/>
      <c r="F480" s="84"/>
    </row>
    <row r="481" spans="2:6" ht="12.75" customHeight="1" x14ac:dyDescent="0.2">
      <c r="B481" s="76"/>
      <c r="E481" s="84"/>
      <c r="F481" s="84"/>
    </row>
    <row r="482" spans="2:6" ht="12.75" customHeight="1" x14ac:dyDescent="0.2">
      <c r="B482" s="76"/>
      <c r="E482" s="84"/>
      <c r="F482" s="84"/>
    </row>
    <row r="483" spans="2:6" ht="12.75" customHeight="1" x14ac:dyDescent="0.2">
      <c r="B483" s="76"/>
      <c r="E483" s="84"/>
      <c r="F483" s="84"/>
    </row>
    <row r="484" spans="2:6" ht="12.75" customHeight="1" x14ac:dyDescent="0.2">
      <c r="B484" s="76"/>
      <c r="E484" s="84"/>
      <c r="F484" s="84"/>
    </row>
    <row r="485" spans="2:6" ht="12.75" customHeight="1" x14ac:dyDescent="0.2">
      <c r="B485" s="76"/>
      <c r="E485" s="84"/>
      <c r="F485" s="84"/>
    </row>
    <row r="486" spans="2:6" ht="12.75" customHeight="1" x14ac:dyDescent="0.2">
      <c r="B486" s="76"/>
      <c r="E486" s="84"/>
      <c r="F486" s="84"/>
    </row>
    <row r="487" spans="2:6" ht="12.75" customHeight="1" x14ac:dyDescent="0.2">
      <c r="B487" s="76"/>
      <c r="E487" s="84"/>
      <c r="F487" s="84"/>
    </row>
    <row r="488" spans="2:6" ht="12.75" customHeight="1" x14ac:dyDescent="0.2">
      <c r="B488" s="76"/>
      <c r="E488" s="84"/>
      <c r="F488" s="84"/>
    </row>
    <row r="489" spans="2:6" ht="12.75" customHeight="1" x14ac:dyDescent="0.2">
      <c r="B489" s="76"/>
      <c r="E489" s="84"/>
      <c r="F489" s="84"/>
    </row>
    <row r="490" spans="2:6" ht="12.75" customHeight="1" x14ac:dyDescent="0.2">
      <c r="B490" s="76"/>
      <c r="E490" s="84"/>
      <c r="F490" s="84"/>
    </row>
    <row r="491" spans="2:6" ht="12.75" customHeight="1" x14ac:dyDescent="0.2">
      <c r="B491" s="76"/>
      <c r="E491" s="84"/>
      <c r="F491" s="84"/>
    </row>
    <row r="492" spans="2:6" ht="12.75" customHeight="1" x14ac:dyDescent="0.2">
      <c r="B492" s="76"/>
      <c r="E492" s="84"/>
      <c r="F492" s="84"/>
    </row>
    <row r="493" spans="2:6" ht="12.75" customHeight="1" x14ac:dyDescent="0.2">
      <c r="B493" s="76"/>
      <c r="E493" s="84"/>
      <c r="F493" s="84"/>
    </row>
    <row r="494" spans="2:6" ht="12.75" customHeight="1" x14ac:dyDescent="0.2">
      <c r="B494" s="76"/>
      <c r="E494" s="84"/>
      <c r="F494" s="84"/>
    </row>
    <row r="495" spans="2:6" ht="12.75" customHeight="1" x14ac:dyDescent="0.2">
      <c r="B495" s="76"/>
      <c r="E495" s="84"/>
      <c r="F495" s="84"/>
    </row>
    <row r="496" spans="2:6" ht="12.75" customHeight="1" x14ac:dyDescent="0.2">
      <c r="B496" s="76"/>
      <c r="E496" s="84"/>
      <c r="F496" s="84"/>
    </row>
    <row r="497" spans="2:6" ht="12.75" customHeight="1" x14ac:dyDescent="0.2">
      <c r="B497" s="76"/>
      <c r="E497" s="84"/>
      <c r="F497" s="84"/>
    </row>
    <row r="498" spans="2:6" ht="12.75" customHeight="1" x14ac:dyDescent="0.2">
      <c r="B498" s="76"/>
      <c r="E498" s="84"/>
      <c r="F498" s="84"/>
    </row>
    <row r="499" spans="2:6" ht="12.75" customHeight="1" x14ac:dyDescent="0.2">
      <c r="B499" s="76"/>
      <c r="E499" s="84"/>
      <c r="F499" s="84"/>
    </row>
    <row r="500" spans="2:6" ht="12.75" customHeight="1" x14ac:dyDescent="0.2">
      <c r="B500" s="76"/>
      <c r="E500" s="84"/>
      <c r="F500" s="84"/>
    </row>
    <row r="501" spans="2:6" ht="12.75" customHeight="1" x14ac:dyDescent="0.2">
      <c r="B501" s="76"/>
      <c r="E501" s="84"/>
      <c r="F501" s="84"/>
    </row>
    <row r="502" spans="2:6" ht="12.75" customHeight="1" x14ac:dyDescent="0.2">
      <c r="B502" s="76"/>
      <c r="E502" s="84"/>
      <c r="F502" s="84"/>
    </row>
    <row r="503" spans="2:6" ht="12.75" customHeight="1" x14ac:dyDescent="0.2">
      <c r="B503" s="76"/>
      <c r="E503" s="84"/>
      <c r="F503" s="84"/>
    </row>
    <row r="504" spans="2:6" ht="12.75" customHeight="1" x14ac:dyDescent="0.2">
      <c r="B504" s="76"/>
      <c r="E504" s="84"/>
      <c r="F504" s="84"/>
    </row>
    <row r="505" spans="2:6" ht="12.75" customHeight="1" x14ac:dyDescent="0.2">
      <c r="B505" s="76"/>
      <c r="E505" s="84"/>
      <c r="F505" s="84"/>
    </row>
    <row r="506" spans="2:6" ht="12.75" customHeight="1" x14ac:dyDescent="0.2">
      <c r="B506" s="76"/>
      <c r="E506" s="84"/>
      <c r="F506" s="84"/>
    </row>
    <row r="507" spans="2:6" ht="12.75" customHeight="1" x14ac:dyDescent="0.2">
      <c r="B507" s="76"/>
      <c r="E507" s="84"/>
      <c r="F507" s="84"/>
    </row>
    <row r="508" spans="2:6" ht="12.75" customHeight="1" x14ac:dyDescent="0.2">
      <c r="B508" s="76"/>
      <c r="E508" s="84"/>
      <c r="F508" s="84"/>
    </row>
    <row r="509" spans="2:6" ht="12.75" customHeight="1" x14ac:dyDescent="0.2">
      <c r="B509" s="76"/>
      <c r="E509" s="84"/>
      <c r="F509" s="84"/>
    </row>
    <row r="510" spans="2:6" ht="12.75" customHeight="1" x14ac:dyDescent="0.2">
      <c r="B510" s="76"/>
      <c r="E510" s="84"/>
      <c r="F510" s="84"/>
    </row>
    <row r="511" spans="2:6" ht="12.75" customHeight="1" x14ac:dyDescent="0.2">
      <c r="B511" s="76"/>
      <c r="E511" s="84"/>
      <c r="F511" s="84"/>
    </row>
    <row r="512" spans="2:6" ht="12.75" customHeight="1" x14ac:dyDescent="0.2">
      <c r="B512" s="76"/>
      <c r="E512" s="84"/>
      <c r="F512" s="84"/>
    </row>
    <row r="513" spans="2:6" ht="12.75" customHeight="1" x14ac:dyDescent="0.2">
      <c r="B513" s="76"/>
      <c r="E513" s="84"/>
      <c r="F513" s="84"/>
    </row>
    <row r="514" spans="2:6" ht="12.75" customHeight="1" x14ac:dyDescent="0.2">
      <c r="B514" s="76"/>
      <c r="E514" s="84"/>
      <c r="F514" s="84"/>
    </row>
    <row r="515" spans="2:6" ht="12.75" customHeight="1" x14ac:dyDescent="0.2">
      <c r="B515" s="76"/>
      <c r="E515" s="84"/>
      <c r="F515" s="84"/>
    </row>
    <row r="516" spans="2:6" ht="12.75" customHeight="1" x14ac:dyDescent="0.2">
      <c r="B516" s="76"/>
      <c r="E516" s="84"/>
      <c r="F516" s="84"/>
    </row>
    <row r="517" spans="2:6" ht="12.75" customHeight="1" x14ac:dyDescent="0.2">
      <c r="B517" s="76"/>
      <c r="E517" s="84"/>
      <c r="F517" s="84"/>
    </row>
    <row r="518" spans="2:6" ht="12.75" customHeight="1" x14ac:dyDescent="0.2">
      <c r="B518" s="76"/>
      <c r="E518" s="84"/>
      <c r="F518" s="84"/>
    </row>
    <row r="519" spans="2:6" ht="12.75" customHeight="1" x14ac:dyDescent="0.2">
      <c r="B519" s="76"/>
      <c r="E519" s="84"/>
      <c r="F519" s="84"/>
    </row>
    <row r="520" spans="2:6" ht="12.75" customHeight="1" x14ac:dyDescent="0.2">
      <c r="B520" s="76"/>
      <c r="E520" s="84"/>
      <c r="F520" s="84"/>
    </row>
    <row r="521" spans="2:6" ht="12.75" customHeight="1" x14ac:dyDescent="0.2">
      <c r="B521" s="76"/>
      <c r="E521" s="84"/>
      <c r="F521" s="84"/>
    </row>
    <row r="522" spans="2:6" ht="12.75" customHeight="1" x14ac:dyDescent="0.2">
      <c r="B522" s="76"/>
      <c r="E522" s="84"/>
      <c r="F522" s="84"/>
    </row>
    <row r="523" spans="2:6" ht="12.75" customHeight="1" x14ac:dyDescent="0.2">
      <c r="B523" s="76"/>
      <c r="E523" s="84"/>
      <c r="F523" s="84"/>
    </row>
    <row r="524" spans="2:6" ht="12.75" customHeight="1" x14ac:dyDescent="0.2">
      <c r="B524" s="76"/>
      <c r="E524" s="84"/>
      <c r="F524" s="84"/>
    </row>
    <row r="525" spans="2:6" ht="12.75" customHeight="1" x14ac:dyDescent="0.2">
      <c r="B525" s="76"/>
      <c r="E525" s="84"/>
      <c r="F525" s="84"/>
    </row>
    <row r="526" spans="2:6" ht="12.75" customHeight="1" x14ac:dyDescent="0.2">
      <c r="B526" s="76"/>
      <c r="E526" s="84"/>
      <c r="F526" s="84"/>
    </row>
    <row r="527" spans="2:6" ht="12.75" customHeight="1" x14ac:dyDescent="0.2">
      <c r="B527" s="76"/>
      <c r="E527" s="84"/>
      <c r="F527" s="84"/>
    </row>
    <row r="528" spans="2:6" ht="12.75" customHeight="1" x14ac:dyDescent="0.2">
      <c r="B528" s="76"/>
      <c r="E528" s="84"/>
      <c r="F528" s="84"/>
    </row>
    <row r="529" spans="2:6" ht="12.75" customHeight="1" x14ac:dyDescent="0.2">
      <c r="B529" s="76"/>
      <c r="E529" s="84"/>
      <c r="F529" s="84"/>
    </row>
    <row r="530" spans="2:6" ht="12.75" customHeight="1" x14ac:dyDescent="0.2">
      <c r="B530" s="76"/>
      <c r="E530" s="84"/>
      <c r="F530" s="84"/>
    </row>
    <row r="531" spans="2:6" ht="12.75" customHeight="1" x14ac:dyDescent="0.2">
      <c r="B531" s="76"/>
      <c r="E531" s="84"/>
      <c r="F531" s="84"/>
    </row>
    <row r="532" spans="2:6" ht="12.75" customHeight="1" x14ac:dyDescent="0.2">
      <c r="B532" s="76"/>
      <c r="E532" s="84"/>
      <c r="F532" s="84"/>
    </row>
    <row r="533" spans="2:6" ht="12.75" customHeight="1" x14ac:dyDescent="0.2">
      <c r="B533" s="76"/>
      <c r="E533" s="84"/>
      <c r="F533" s="84"/>
    </row>
    <row r="534" spans="2:6" ht="12.75" customHeight="1" x14ac:dyDescent="0.2">
      <c r="B534" s="76"/>
      <c r="E534" s="84"/>
      <c r="F534" s="84"/>
    </row>
    <row r="535" spans="2:6" ht="12.75" customHeight="1" x14ac:dyDescent="0.2">
      <c r="B535" s="76"/>
      <c r="E535" s="84"/>
      <c r="F535" s="84"/>
    </row>
    <row r="536" spans="2:6" ht="12.75" customHeight="1" x14ac:dyDescent="0.2">
      <c r="B536" s="76"/>
      <c r="E536" s="84"/>
      <c r="F536" s="84"/>
    </row>
    <row r="537" spans="2:6" ht="12.75" customHeight="1" x14ac:dyDescent="0.2">
      <c r="B537" s="76"/>
      <c r="E537" s="84"/>
      <c r="F537" s="84"/>
    </row>
    <row r="538" spans="2:6" ht="12.75" customHeight="1" x14ac:dyDescent="0.2">
      <c r="B538" s="76"/>
      <c r="E538" s="84"/>
      <c r="F538" s="84"/>
    </row>
    <row r="539" spans="2:6" ht="12.75" customHeight="1" x14ac:dyDescent="0.2">
      <c r="B539" s="76"/>
      <c r="E539" s="84"/>
      <c r="F539" s="84"/>
    </row>
    <row r="540" spans="2:6" ht="12.75" customHeight="1" x14ac:dyDescent="0.2">
      <c r="B540" s="76"/>
      <c r="E540" s="84"/>
      <c r="F540" s="84"/>
    </row>
    <row r="541" spans="2:6" ht="12.75" customHeight="1" x14ac:dyDescent="0.2">
      <c r="B541" s="76"/>
      <c r="E541" s="84"/>
      <c r="F541" s="84"/>
    </row>
    <row r="542" spans="2:6" ht="12.75" customHeight="1" x14ac:dyDescent="0.2">
      <c r="B542" s="76"/>
      <c r="E542" s="84"/>
      <c r="F542" s="84"/>
    </row>
    <row r="543" spans="2:6" ht="12.75" customHeight="1" x14ac:dyDescent="0.2">
      <c r="B543" s="76"/>
      <c r="E543" s="84"/>
      <c r="F543" s="84"/>
    </row>
    <row r="544" spans="2:6" ht="12.75" customHeight="1" x14ac:dyDescent="0.2">
      <c r="B544" s="76"/>
      <c r="E544" s="84"/>
      <c r="F544" s="84"/>
    </row>
    <row r="545" spans="2:6" ht="12.75" customHeight="1" x14ac:dyDescent="0.2">
      <c r="B545" s="76"/>
      <c r="E545" s="84"/>
      <c r="F545" s="84"/>
    </row>
    <row r="546" spans="2:6" ht="12.75" customHeight="1" x14ac:dyDescent="0.2">
      <c r="B546" s="76"/>
      <c r="E546" s="84"/>
      <c r="F546" s="84"/>
    </row>
    <row r="547" spans="2:6" ht="12.75" customHeight="1" x14ac:dyDescent="0.2">
      <c r="B547" s="76"/>
      <c r="E547" s="84"/>
      <c r="F547" s="84"/>
    </row>
    <row r="548" spans="2:6" ht="12.75" customHeight="1" x14ac:dyDescent="0.2">
      <c r="B548" s="76"/>
      <c r="E548" s="84"/>
      <c r="F548" s="84"/>
    </row>
    <row r="549" spans="2:6" ht="12.75" customHeight="1" x14ac:dyDescent="0.2">
      <c r="B549" s="76"/>
      <c r="E549" s="84"/>
      <c r="F549" s="84"/>
    </row>
    <row r="550" spans="2:6" ht="12.75" customHeight="1" x14ac:dyDescent="0.2">
      <c r="B550" s="76"/>
      <c r="E550" s="84"/>
      <c r="F550" s="84"/>
    </row>
    <row r="551" spans="2:6" ht="12.75" customHeight="1" x14ac:dyDescent="0.2">
      <c r="B551" s="76"/>
      <c r="E551" s="84"/>
      <c r="F551" s="84"/>
    </row>
    <row r="552" spans="2:6" ht="12.75" customHeight="1" x14ac:dyDescent="0.2">
      <c r="B552" s="76"/>
      <c r="E552" s="84"/>
      <c r="F552" s="84"/>
    </row>
    <row r="553" spans="2:6" ht="12.75" customHeight="1" x14ac:dyDescent="0.2">
      <c r="B553" s="76"/>
      <c r="E553" s="84"/>
      <c r="F553" s="84"/>
    </row>
    <row r="554" spans="2:6" ht="12.75" customHeight="1" x14ac:dyDescent="0.2">
      <c r="B554" s="76"/>
      <c r="E554" s="84"/>
      <c r="F554" s="84"/>
    </row>
    <row r="555" spans="2:6" ht="12.75" customHeight="1" x14ac:dyDescent="0.2">
      <c r="B555" s="76"/>
      <c r="E555" s="84"/>
      <c r="F555" s="84"/>
    </row>
    <row r="556" spans="2:6" ht="12.75" customHeight="1" x14ac:dyDescent="0.2">
      <c r="B556" s="76"/>
      <c r="E556" s="84"/>
      <c r="F556" s="84"/>
    </row>
    <row r="557" spans="2:6" ht="12.75" customHeight="1" x14ac:dyDescent="0.2">
      <c r="B557" s="76"/>
      <c r="E557" s="84"/>
      <c r="F557" s="84"/>
    </row>
    <row r="558" spans="2:6" ht="12.75" customHeight="1" x14ac:dyDescent="0.2">
      <c r="B558" s="76"/>
      <c r="E558" s="84"/>
      <c r="F558" s="84"/>
    </row>
    <row r="559" spans="2:6" ht="12.75" customHeight="1" x14ac:dyDescent="0.2">
      <c r="B559" s="76"/>
      <c r="E559" s="84"/>
      <c r="F559" s="84"/>
    </row>
    <row r="560" spans="2:6" ht="12.75" customHeight="1" x14ac:dyDescent="0.2">
      <c r="B560" s="76"/>
      <c r="E560" s="84"/>
      <c r="F560" s="84"/>
    </row>
    <row r="561" spans="2:6" ht="12.75" customHeight="1" x14ac:dyDescent="0.2">
      <c r="B561" s="76"/>
      <c r="E561" s="84"/>
      <c r="F561" s="84"/>
    </row>
    <row r="562" spans="2:6" ht="12.75" customHeight="1" x14ac:dyDescent="0.2">
      <c r="B562" s="76"/>
      <c r="E562" s="84"/>
      <c r="F562" s="84"/>
    </row>
    <row r="563" spans="2:6" ht="12.75" customHeight="1" x14ac:dyDescent="0.2">
      <c r="B563" s="76"/>
      <c r="E563" s="84"/>
      <c r="F563" s="84"/>
    </row>
    <row r="564" spans="2:6" ht="12.75" customHeight="1" x14ac:dyDescent="0.2">
      <c r="B564" s="76"/>
      <c r="E564" s="84"/>
      <c r="F564" s="84"/>
    </row>
    <row r="565" spans="2:6" ht="12.75" customHeight="1" x14ac:dyDescent="0.2">
      <c r="B565" s="76"/>
      <c r="E565" s="84"/>
      <c r="F565" s="84"/>
    </row>
    <row r="566" spans="2:6" ht="12.75" customHeight="1" x14ac:dyDescent="0.2">
      <c r="B566" s="76"/>
      <c r="E566" s="84"/>
      <c r="F566" s="84"/>
    </row>
    <row r="567" spans="2:6" ht="12.75" customHeight="1" x14ac:dyDescent="0.2">
      <c r="B567" s="76"/>
      <c r="E567" s="84"/>
      <c r="F567" s="84"/>
    </row>
    <row r="568" spans="2:6" ht="12.75" customHeight="1" x14ac:dyDescent="0.2">
      <c r="B568" s="76"/>
      <c r="E568" s="84"/>
      <c r="F568" s="84"/>
    </row>
    <row r="569" spans="2:6" ht="12.75" customHeight="1" x14ac:dyDescent="0.2">
      <c r="B569" s="76"/>
      <c r="E569" s="84"/>
      <c r="F569" s="84"/>
    </row>
    <row r="570" spans="2:6" ht="12.75" customHeight="1" x14ac:dyDescent="0.2">
      <c r="B570" s="76"/>
      <c r="E570" s="84"/>
      <c r="F570" s="84"/>
    </row>
    <row r="571" spans="2:6" ht="12.75" customHeight="1" x14ac:dyDescent="0.2">
      <c r="B571" s="76"/>
      <c r="E571" s="84"/>
      <c r="F571" s="84"/>
    </row>
    <row r="572" spans="2:6" ht="12.75" customHeight="1" x14ac:dyDescent="0.2">
      <c r="B572" s="76"/>
      <c r="E572" s="84"/>
      <c r="F572" s="84"/>
    </row>
    <row r="573" spans="2:6" ht="12.75" customHeight="1" x14ac:dyDescent="0.2">
      <c r="B573" s="76"/>
      <c r="E573" s="84"/>
      <c r="F573" s="84"/>
    </row>
    <row r="574" spans="2:6" ht="12.75" customHeight="1" x14ac:dyDescent="0.2">
      <c r="B574" s="76"/>
      <c r="E574" s="84"/>
      <c r="F574" s="84"/>
    </row>
    <row r="575" spans="2:6" ht="12.75" customHeight="1" x14ac:dyDescent="0.2">
      <c r="B575" s="76"/>
      <c r="E575" s="84"/>
      <c r="F575" s="84"/>
    </row>
    <row r="576" spans="2:6" ht="12.75" customHeight="1" x14ac:dyDescent="0.2">
      <c r="B576" s="76"/>
      <c r="E576" s="84"/>
      <c r="F576" s="84"/>
    </row>
    <row r="577" spans="2:6" ht="12.75" customHeight="1" x14ac:dyDescent="0.2">
      <c r="B577" s="76"/>
      <c r="E577" s="84"/>
      <c r="F577" s="84"/>
    </row>
    <row r="578" spans="2:6" ht="12.75" customHeight="1" x14ac:dyDescent="0.2">
      <c r="B578" s="76"/>
      <c r="E578" s="84"/>
      <c r="F578" s="84"/>
    </row>
    <row r="579" spans="2:6" ht="12.75" customHeight="1" x14ac:dyDescent="0.2">
      <c r="B579" s="76"/>
      <c r="E579" s="84"/>
      <c r="F579" s="84"/>
    </row>
    <row r="580" spans="2:6" ht="12.75" customHeight="1" x14ac:dyDescent="0.2">
      <c r="B580" s="76"/>
      <c r="E580" s="84"/>
      <c r="F580" s="84"/>
    </row>
    <row r="581" spans="2:6" ht="12.75" customHeight="1" x14ac:dyDescent="0.2">
      <c r="B581" s="76"/>
      <c r="E581" s="84"/>
      <c r="F581" s="84"/>
    </row>
    <row r="582" spans="2:6" ht="12.75" customHeight="1" x14ac:dyDescent="0.2">
      <c r="B582" s="76"/>
      <c r="E582" s="84"/>
      <c r="F582" s="84"/>
    </row>
    <row r="583" spans="2:6" ht="12.75" customHeight="1" x14ac:dyDescent="0.2">
      <c r="B583" s="76"/>
      <c r="E583" s="84"/>
      <c r="F583" s="84"/>
    </row>
    <row r="584" spans="2:6" ht="12.75" customHeight="1" x14ac:dyDescent="0.2">
      <c r="B584" s="76"/>
      <c r="E584" s="84"/>
      <c r="F584" s="84"/>
    </row>
    <row r="585" spans="2:6" ht="12.75" customHeight="1" x14ac:dyDescent="0.2">
      <c r="B585" s="76"/>
      <c r="E585" s="84"/>
      <c r="F585" s="84"/>
    </row>
    <row r="586" spans="2:6" ht="12.75" customHeight="1" x14ac:dyDescent="0.2">
      <c r="B586" s="76"/>
      <c r="E586" s="84"/>
      <c r="F586" s="84"/>
    </row>
    <row r="587" spans="2:6" ht="12.75" customHeight="1" x14ac:dyDescent="0.2">
      <c r="B587" s="76"/>
      <c r="E587" s="84"/>
      <c r="F587" s="84"/>
    </row>
    <row r="588" spans="2:6" ht="12.75" customHeight="1" x14ac:dyDescent="0.2">
      <c r="B588" s="76"/>
      <c r="E588" s="84"/>
      <c r="F588" s="84"/>
    </row>
    <row r="589" spans="2:6" ht="12.75" customHeight="1" x14ac:dyDescent="0.2">
      <c r="B589" s="76"/>
      <c r="E589" s="84"/>
      <c r="F589" s="84"/>
    </row>
    <row r="590" spans="2:6" ht="12.75" customHeight="1" x14ac:dyDescent="0.2">
      <c r="B590" s="76"/>
      <c r="E590" s="84"/>
      <c r="F590" s="84"/>
    </row>
    <row r="591" spans="2:6" ht="12.75" customHeight="1" x14ac:dyDescent="0.2">
      <c r="B591" s="76"/>
      <c r="E591" s="84"/>
      <c r="F591" s="84"/>
    </row>
    <row r="592" spans="2:6" ht="12.75" customHeight="1" x14ac:dyDescent="0.2">
      <c r="B592" s="76"/>
      <c r="E592" s="84"/>
      <c r="F592" s="84"/>
    </row>
    <row r="593" spans="2:6" ht="12.75" customHeight="1" x14ac:dyDescent="0.2">
      <c r="B593" s="76"/>
      <c r="E593" s="84"/>
      <c r="F593" s="84"/>
    </row>
    <row r="594" spans="2:6" ht="12.75" customHeight="1" x14ac:dyDescent="0.2">
      <c r="B594" s="76"/>
      <c r="E594" s="84"/>
      <c r="F594" s="84"/>
    </row>
    <row r="595" spans="2:6" ht="12.75" customHeight="1" x14ac:dyDescent="0.2">
      <c r="B595" s="76"/>
      <c r="E595" s="84"/>
      <c r="F595" s="84"/>
    </row>
    <row r="596" spans="2:6" ht="12.75" customHeight="1" x14ac:dyDescent="0.2">
      <c r="B596" s="76"/>
      <c r="E596" s="84"/>
      <c r="F596" s="84"/>
    </row>
    <row r="597" spans="2:6" ht="12.75" customHeight="1" x14ac:dyDescent="0.2">
      <c r="B597" s="76"/>
      <c r="E597" s="84"/>
      <c r="F597" s="84"/>
    </row>
    <row r="598" spans="2:6" ht="12.75" customHeight="1" x14ac:dyDescent="0.2">
      <c r="B598" s="76"/>
      <c r="E598" s="84"/>
      <c r="F598" s="84"/>
    </row>
    <row r="599" spans="2:6" ht="12.75" customHeight="1" x14ac:dyDescent="0.2">
      <c r="B599" s="76"/>
      <c r="E599" s="84"/>
      <c r="F599" s="84"/>
    </row>
    <row r="600" spans="2:6" ht="12.75" customHeight="1" x14ac:dyDescent="0.2">
      <c r="B600" s="76"/>
      <c r="E600" s="84"/>
      <c r="F600" s="84"/>
    </row>
    <row r="601" spans="2:6" ht="12.75" customHeight="1" x14ac:dyDescent="0.2">
      <c r="B601" s="76"/>
      <c r="E601" s="84"/>
      <c r="F601" s="84"/>
    </row>
    <row r="602" spans="2:6" ht="12.75" customHeight="1" x14ac:dyDescent="0.2">
      <c r="B602" s="76"/>
      <c r="E602" s="84"/>
      <c r="F602" s="84"/>
    </row>
    <row r="603" spans="2:6" ht="12.75" customHeight="1" x14ac:dyDescent="0.2">
      <c r="B603" s="76"/>
      <c r="E603" s="84"/>
      <c r="F603" s="84"/>
    </row>
    <row r="604" spans="2:6" ht="12.75" customHeight="1" x14ac:dyDescent="0.2">
      <c r="B604" s="76"/>
      <c r="E604" s="84"/>
      <c r="F604" s="84"/>
    </row>
    <row r="605" spans="2:6" ht="12.75" customHeight="1" x14ac:dyDescent="0.2">
      <c r="B605" s="76"/>
      <c r="E605" s="84"/>
      <c r="F605" s="84"/>
    </row>
    <row r="606" spans="2:6" ht="12.75" customHeight="1" x14ac:dyDescent="0.2">
      <c r="B606" s="76"/>
      <c r="E606" s="84"/>
      <c r="F606" s="84"/>
    </row>
    <row r="607" spans="2:6" ht="12.75" customHeight="1" x14ac:dyDescent="0.2">
      <c r="B607" s="76"/>
      <c r="E607" s="84"/>
      <c r="F607" s="84"/>
    </row>
    <row r="608" spans="2:6" ht="12.75" customHeight="1" x14ac:dyDescent="0.2">
      <c r="B608" s="76"/>
      <c r="E608" s="84"/>
      <c r="F608" s="84"/>
    </row>
    <row r="609" spans="2:6" ht="12.75" customHeight="1" x14ac:dyDescent="0.2">
      <c r="B609" s="76"/>
      <c r="E609" s="84"/>
      <c r="F609" s="84"/>
    </row>
    <row r="610" spans="2:6" ht="12.75" customHeight="1" x14ac:dyDescent="0.2">
      <c r="B610" s="76"/>
      <c r="E610" s="84"/>
      <c r="F610" s="84"/>
    </row>
    <row r="611" spans="2:6" ht="12.75" customHeight="1" x14ac:dyDescent="0.2">
      <c r="B611" s="76"/>
      <c r="E611" s="84"/>
      <c r="F611" s="84"/>
    </row>
    <row r="612" spans="2:6" ht="12.75" customHeight="1" x14ac:dyDescent="0.2">
      <c r="B612" s="76"/>
      <c r="E612" s="84"/>
      <c r="F612" s="84"/>
    </row>
    <row r="613" spans="2:6" ht="12.75" customHeight="1" x14ac:dyDescent="0.2">
      <c r="B613" s="76"/>
      <c r="E613" s="84"/>
      <c r="F613" s="84"/>
    </row>
    <row r="614" spans="2:6" ht="12.75" customHeight="1" x14ac:dyDescent="0.2">
      <c r="B614" s="76"/>
      <c r="E614" s="84"/>
      <c r="F614" s="84"/>
    </row>
    <row r="615" spans="2:6" ht="12.75" customHeight="1" x14ac:dyDescent="0.2">
      <c r="B615" s="76"/>
      <c r="E615" s="84"/>
      <c r="F615" s="84"/>
    </row>
    <row r="616" spans="2:6" ht="12.75" customHeight="1" x14ac:dyDescent="0.2">
      <c r="B616" s="76"/>
      <c r="E616" s="84"/>
      <c r="F616" s="84"/>
    </row>
    <row r="617" spans="2:6" ht="12.75" customHeight="1" x14ac:dyDescent="0.2">
      <c r="B617" s="76"/>
      <c r="E617" s="84"/>
      <c r="F617" s="84"/>
    </row>
    <row r="618" spans="2:6" ht="12.75" customHeight="1" x14ac:dyDescent="0.2">
      <c r="B618" s="76"/>
      <c r="E618" s="84"/>
      <c r="F618" s="84"/>
    </row>
    <row r="619" spans="2:6" ht="12.75" customHeight="1" x14ac:dyDescent="0.2">
      <c r="B619" s="76"/>
      <c r="E619" s="84"/>
      <c r="F619" s="84"/>
    </row>
    <row r="620" spans="2:6" ht="12.75" customHeight="1" x14ac:dyDescent="0.2">
      <c r="B620" s="76"/>
      <c r="E620" s="84"/>
      <c r="F620" s="84"/>
    </row>
    <row r="621" spans="2:6" ht="12.75" customHeight="1" x14ac:dyDescent="0.2">
      <c r="B621" s="76"/>
      <c r="E621" s="84"/>
      <c r="F621" s="84"/>
    </row>
    <row r="622" spans="2:6" ht="12.75" customHeight="1" x14ac:dyDescent="0.2">
      <c r="B622" s="76"/>
      <c r="E622" s="84"/>
      <c r="F622" s="84"/>
    </row>
    <row r="623" spans="2:6" ht="12.75" customHeight="1" x14ac:dyDescent="0.2">
      <c r="B623" s="76"/>
      <c r="E623" s="84"/>
      <c r="F623" s="84"/>
    </row>
    <row r="624" spans="2:6" ht="12.75" customHeight="1" x14ac:dyDescent="0.2">
      <c r="B624" s="76"/>
      <c r="E624" s="84"/>
      <c r="F624" s="84"/>
    </row>
    <row r="625" spans="2:6" ht="12.75" customHeight="1" x14ac:dyDescent="0.2">
      <c r="B625" s="76"/>
      <c r="E625" s="84"/>
      <c r="F625" s="84"/>
    </row>
    <row r="626" spans="2:6" ht="12.75" customHeight="1" x14ac:dyDescent="0.2">
      <c r="B626" s="76"/>
      <c r="E626" s="84"/>
      <c r="F626" s="84"/>
    </row>
    <row r="627" spans="2:6" ht="12.75" customHeight="1" x14ac:dyDescent="0.2">
      <c r="B627" s="76"/>
      <c r="E627" s="84"/>
      <c r="F627" s="84"/>
    </row>
    <row r="628" spans="2:6" ht="12.75" customHeight="1" x14ac:dyDescent="0.2">
      <c r="B628" s="76"/>
      <c r="E628" s="84"/>
      <c r="F628" s="84"/>
    </row>
    <row r="629" spans="2:6" ht="12.75" customHeight="1" x14ac:dyDescent="0.2">
      <c r="B629" s="76"/>
      <c r="E629" s="84"/>
      <c r="F629" s="84"/>
    </row>
    <row r="630" spans="2:6" ht="12.75" customHeight="1" x14ac:dyDescent="0.2">
      <c r="B630" s="76"/>
      <c r="E630" s="84"/>
      <c r="F630" s="84"/>
    </row>
    <row r="631" spans="2:6" ht="12.75" customHeight="1" x14ac:dyDescent="0.2">
      <c r="B631" s="76"/>
      <c r="E631" s="84"/>
      <c r="F631" s="84"/>
    </row>
    <row r="632" spans="2:6" ht="12.75" customHeight="1" x14ac:dyDescent="0.2">
      <c r="B632" s="76"/>
      <c r="E632" s="84"/>
      <c r="F632" s="84"/>
    </row>
    <row r="633" spans="2:6" ht="12.75" customHeight="1" x14ac:dyDescent="0.2">
      <c r="B633" s="76"/>
      <c r="E633" s="84"/>
      <c r="F633" s="84"/>
    </row>
    <row r="634" spans="2:6" ht="12.75" customHeight="1" x14ac:dyDescent="0.2">
      <c r="B634" s="76"/>
      <c r="E634" s="84"/>
      <c r="F634" s="84"/>
    </row>
    <row r="635" spans="2:6" ht="12.75" customHeight="1" x14ac:dyDescent="0.2">
      <c r="B635" s="76"/>
      <c r="E635" s="84"/>
      <c r="F635" s="84"/>
    </row>
    <row r="636" spans="2:6" ht="12.75" customHeight="1" x14ac:dyDescent="0.2">
      <c r="B636" s="76"/>
      <c r="E636" s="84"/>
      <c r="F636" s="84"/>
    </row>
    <row r="637" spans="2:6" ht="12.75" customHeight="1" x14ac:dyDescent="0.2">
      <c r="B637" s="76"/>
      <c r="E637" s="84"/>
      <c r="F637" s="84"/>
    </row>
    <row r="638" spans="2:6" ht="12.75" customHeight="1" x14ac:dyDescent="0.2">
      <c r="B638" s="76"/>
      <c r="E638" s="84"/>
      <c r="F638" s="84"/>
    </row>
    <row r="639" spans="2:6" ht="12.75" customHeight="1" x14ac:dyDescent="0.2">
      <c r="B639" s="76"/>
      <c r="E639" s="84"/>
      <c r="F639" s="84"/>
    </row>
    <row r="640" spans="2:6" ht="12.75" customHeight="1" x14ac:dyDescent="0.2">
      <c r="B640" s="76"/>
      <c r="E640" s="84"/>
      <c r="F640" s="84"/>
    </row>
    <row r="641" spans="2:6" ht="12.75" customHeight="1" x14ac:dyDescent="0.2">
      <c r="B641" s="76"/>
      <c r="E641" s="84"/>
      <c r="F641" s="84"/>
    </row>
    <row r="642" spans="2:6" ht="12.75" customHeight="1" x14ac:dyDescent="0.2">
      <c r="B642" s="76"/>
      <c r="E642" s="84"/>
      <c r="F642" s="84"/>
    </row>
    <row r="643" spans="2:6" ht="12.75" customHeight="1" x14ac:dyDescent="0.2">
      <c r="B643" s="76"/>
      <c r="E643" s="84"/>
      <c r="F643" s="84"/>
    </row>
    <row r="644" spans="2:6" ht="12.75" customHeight="1" x14ac:dyDescent="0.2">
      <c r="B644" s="76"/>
      <c r="E644" s="84"/>
      <c r="F644" s="84"/>
    </row>
    <row r="645" spans="2:6" ht="12.75" customHeight="1" x14ac:dyDescent="0.2">
      <c r="B645" s="76"/>
      <c r="E645" s="84"/>
      <c r="F645" s="84"/>
    </row>
    <row r="646" spans="2:6" ht="12.75" customHeight="1" x14ac:dyDescent="0.2">
      <c r="B646" s="76"/>
      <c r="E646" s="84"/>
      <c r="F646" s="84"/>
    </row>
    <row r="647" spans="2:6" ht="12.75" customHeight="1" x14ac:dyDescent="0.2">
      <c r="B647" s="76"/>
      <c r="E647" s="84"/>
      <c r="F647" s="84"/>
    </row>
    <row r="648" spans="2:6" ht="12.75" customHeight="1" x14ac:dyDescent="0.2">
      <c r="B648" s="76"/>
      <c r="E648" s="84"/>
      <c r="F648" s="84"/>
    </row>
    <row r="649" spans="2:6" ht="12.75" customHeight="1" x14ac:dyDescent="0.2">
      <c r="B649" s="76"/>
      <c r="E649" s="84"/>
      <c r="F649" s="84"/>
    </row>
    <row r="650" spans="2:6" ht="12.75" customHeight="1" x14ac:dyDescent="0.2">
      <c r="B650" s="76"/>
      <c r="E650" s="84"/>
      <c r="F650" s="84"/>
    </row>
    <row r="651" spans="2:6" ht="12.75" customHeight="1" x14ac:dyDescent="0.2">
      <c r="B651" s="76"/>
      <c r="E651" s="84"/>
      <c r="F651" s="84"/>
    </row>
    <row r="652" spans="2:6" ht="12.75" customHeight="1" x14ac:dyDescent="0.2">
      <c r="B652" s="76"/>
      <c r="E652" s="84"/>
      <c r="F652" s="84"/>
    </row>
    <row r="653" spans="2:6" ht="12.75" customHeight="1" x14ac:dyDescent="0.2">
      <c r="B653" s="76"/>
      <c r="E653" s="84"/>
      <c r="F653" s="84"/>
    </row>
    <row r="654" spans="2:6" ht="12.75" customHeight="1" x14ac:dyDescent="0.2">
      <c r="B654" s="76"/>
      <c r="E654" s="84"/>
      <c r="F654" s="84"/>
    </row>
    <row r="655" spans="2:6" ht="12.75" customHeight="1" x14ac:dyDescent="0.2">
      <c r="B655" s="76"/>
      <c r="E655" s="84"/>
      <c r="F655" s="84"/>
    </row>
    <row r="656" spans="2:6" ht="12.75" customHeight="1" x14ac:dyDescent="0.2">
      <c r="B656" s="76"/>
      <c r="E656" s="84"/>
      <c r="F656" s="84"/>
    </row>
    <row r="657" spans="2:6" ht="12.75" customHeight="1" x14ac:dyDescent="0.2">
      <c r="B657" s="76"/>
      <c r="E657" s="84"/>
      <c r="F657" s="84"/>
    </row>
    <row r="658" spans="2:6" ht="12.75" customHeight="1" x14ac:dyDescent="0.2">
      <c r="B658" s="76"/>
      <c r="E658" s="84"/>
      <c r="F658" s="84"/>
    </row>
    <row r="659" spans="2:6" ht="12.75" customHeight="1" x14ac:dyDescent="0.2">
      <c r="B659" s="76"/>
      <c r="E659" s="84"/>
      <c r="F659" s="84"/>
    </row>
    <row r="660" spans="2:6" ht="12.75" customHeight="1" x14ac:dyDescent="0.2">
      <c r="B660" s="76"/>
      <c r="E660" s="84"/>
      <c r="F660" s="84"/>
    </row>
    <row r="661" spans="2:6" ht="12.75" customHeight="1" x14ac:dyDescent="0.2">
      <c r="B661" s="76"/>
      <c r="E661" s="84"/>
      <c r="F661" s="84"/>
    </row>
    <row r="662" spans="2:6" ht="12.75" customHeight="1" x14ac:dyDescent="0.2">
      <c r="B662" s="76"/>
      <c r="E662" s="84"/>
      <c r="F662" s="84"/>
    </row>
    <row r="663" spans="2:6" ht="12.75" customHeight="1" x14ac:dyDescent="0.2">
      <c r="B663" s="76"/>
      <c r="E663" s="84"/>
      <c r="F663" s="84"/>
    </row>
    <row r="664" spans="2:6" ht="12.75" customHeight="1" x14ac:dyDescent="0.2">
      <c r="B664" s="76"/>
      <c r="E664" s="84"/>
      <c r="F664" s="84"/>
    </row>
    <row r="665" spans="2:6" ht="12.75" customHeight="1" x14ac:dyDescent="0.2">
      <c r="B665" s="76"/>
      <c r="E665" s="84"/>
      <c r="F665" s="84"/>
    </row>
    <row r="666" spans="2:6" ht="12.75" customHeight="1" x14ac:dyDescent="0.2">
      <c r="B666" s="76"/>
      <c r="E666" s="84"/>
      <c r="F666" s="84"/>
    </row>
    <row r="667" spans="2:6" ht="12.75" customHeight="1" x14ac:dyDescent="0.2">
      <c r="B667" s="76"/>
      <c r="E667" s="84"/>
      <c r="F667" s="84"/>
    </row>
    <row r="668" spans="2:6" ht="12.75" customHeight="1" x14ac:dyDescent="0.2">
      <c r="B668" s="76"/>
      <c r="E668" s="84"/>
      <c r="F668" s="84"/>
    </row>
    <row r="669" spans="2:6" ht="12.75" customHeight="1" x14ac:dyDescent="0.2">
      <c r="B669" s="76"/>
      <c r="E669" s="84"/>
      <c r="F669" s="84"/>
    </row>
    <row r="670" spans="2:6" ht="12.75" customHeight="1" x14ac:dyDescent="0.2">
      <c r="B670" s="76"/>
      <c r="E670" s="84"/>
      <c r="F670" s="84"/>
    </row>
    <row r="671" spans="2:6" ht="12.75" customHeight="1" x14ac:dyDescent="0.2">
      <c r="B671" s="76"/>
      <c r="E671" s="84"/>
      <c r="F671" s="84"/>
    </row>
    <row r="672" spans="2:6" ht="12.75" customHeight="1" x14ac:dyDescent="0.2">
      <c r="B672" s="76"/>
      <c r="E672" s="84"/>
      <c r="F672" s="84"/>
    </row>
    <row r="673" spans="2:6" ht="12.75" customHeight="1" x14ac:dyDescent="0.2">
      <c r="B673" s="76"/>
      <c r="E673" s="84"/>
      <c r="F673" s="84"/>
    </row>
    <row r="674" spans="2:6" ht="12.75" customHeight="1" x14ac:dyDescent="0.2">
      <c r="B674" s="76"/>
      <c r="E674" s="84"/>
      <c r="F674" s="84"/>
    </row>
    <row r="675" spans="2:6" ht="12.75" customHeight="1" x14ac:dyDescent="0.2">
      <c r="B675" s="76"/>
      <c r="E675" s="84"/>
      <c r="F675" s="84"/>
    </row>
    <row r="676" spans="2:6" ht="12.75" customHeight="1" x14ac:dyDescent="0.2">
      <c r="B676" s="76"/>
      <c r="E676" s="84"/>
      <c r="F676" s="84"/>
    </row>
    <row r="677" spans="2:6" ht="12.75" customHeight="1" x14ac:dyDescent="0.2">
      <c r="B677" s="76"/>
      <c r="E677" s="84"/>
      <c r="F677" s="84"/>
    </row>
    <row r="678" spans="2:6" ht="12.75" customHeight="1" x14ac:dyDescent="0.2">
      <c r="B678" s="76"/>
      <c r="E678" s="84"/>
      <c r="F678" s="84"/>
    </row>
    <row r="679" spans="2:6" ht="12.75" customHeight="1" x14ac:dyDescent="0.2">
      <c r="B679" s="76"/>
      <c r="E679" s="84"/>
      <c r="F679" s="84"/>
    </row>
    <row r="680" spans="2:6" ht="12.75" customHeight="1" x14ac:dyDescent="0.2">
      <c r="B680" s="76"/>
      <c r="E680" s="84"/>
      <c r="F680" s="84"/>
    </row>
    <row r="681" spans="2:6" ht="12.75" customHeight="1" x14ac:dyDescent="0.2">
      <c r="B681" s="76"/>
      <c r="E681" s="84"/>
      <c r="F681" s="84"/>
    </row>
    <row r="682" spans="2:6" ht="12.75" customHeight="1" x14ac:dyDescent="0.2">
      <c r="B682" s="76"/>
      <c r="E682" s="84"/>
      <c r="F682" s="84"/>
    </row>
    <row r="683" spans="2:6" ht="12.75" customHeight="1" x14ac:dyDescent="0.2">
      <c r="B683" s="76"/>
      <c r="E683" s="84"/>
      <c r="F683" s="84"/>
    </row>
    <row r="684" spans="2:6" ht="12.75" customHeight="1" x14ac:dyDescent="0.2">
      <c r="B684" s="76"/>
      <c r="E684" s="84"/>
      <c r="F684" s="84"/>
    </row>
    <row r="685" spans="2:6" ht="12.75" customHeight="1" x14ac:dyDescent="0.2">
      <c r="B685" s="76"/>
      <c r="E685" s="84"/>
      <c r="F685" s="84"/>
    </row>
    <row r="686" spans="2:6" ht="12.75" customHeight="1" x14ac:dyDescent="0.2">
      <c r="B686" s="76"/>
      <c r="E686" s="84"/>
      <c r="F686" s="84"/>
    </row>
    <row r="687" spans="2:6" ht="12.75" customHeight="1" x14ac:dyDescent="0.2">
      <c r="B687" s="76"/>
      <c r="E687" s="84"/>
      <c r="F687" s="84"/>
    </row>
    <row r="688" spans="2:6" ht="12.75" customHeight="1" x14ac:dyDescent="0.2">
      <c r="B688" s="76"/>
      <c r="E688" s="84"/>
      <c r="F688" s="84"/>
    </row>
    <row r="689" spans="2:6" ht="12.75" customHeight="1" x14ac:dyDescent="0.2">
      <c r="B689" s="76"/>
      <c r="E689" s="84"/>
      <c r="F689" s="84"/>
    </row>
    <row r="690" spans="2:6" ht="12.75" customHeight="1" x14ac:dyDescent="0.2">
      <c r="B690" s="76"/>
      <c r="E690" s="84"/>
      <c r="F690" s="84"/>
    </row>
    <row r="691" spans="2:6" ht="12.75" customHeight="1" x14ac:dyDescent="0.2">
      <c r="B691" s="76"/>
      <c r="E691" s="84"/>
      <c r="F691" s="84"/>
    </row>
    <row r="692" spans="2:6" ht="12.75" customHeight="1" x14ac:dyDescent="0.2">
      <c r="B692" s="76"/>
      <c r="E692" s="84"/>
      <c r="F692" s="84"/>
    </row>
    <row r="693" spans="2:6" ht="12.75" customHeight="1" x14ac:dyDescent="0.2">
      <c r="B693" s="76"/>
      <c r="E693" s="84"/>
      <c r="F693" s="84"/>
    </row>
    <row r="694" spans="2:6" ht="12.75" customHeight="1" x14ac:dyDescent="0.2">
      <c r="B694" s="76"/>
      <c r="E694" s="84"/>
      <c r="F694" s="84"/>
    </row>
    <row r="695" spans="2:6" ht="12.75" customHeight="1" x14ac:dyDescent="0.2">
      <c r="B695" s="76"/>
      <c r="E695" s="84"/>
      <c r="F695" s="84"/>
    </row>
    <row r="696" spans="2:6" ht="12.75" customHeight="1" x14ac:dyDescent="0.2">
      <c r="B696" s="76"/>
      <c r="E696" s="84"/>
      <c r="F696" s="84"/>
    </row>
    <row r="697" spans="2:6" ht="12.75" customHeight="1" x14ac:dyDescent="0.2">
      <c r="B697" s="76"/>
      <c r="E697" s="84"/>
      <c r="F697" s="84"/>
    </row>
    <row r="698" spans="2:6" ht="12.75" customHeight="1" x14ac:dyDescent="0.2">
      <c r="B698" s="76"/>
      <c r="E698" s="84"/>
      <c r="F698" s="84"/>
    </row>
    <row r="699" spans="2:6" ht="12.75" customHeight="1" x14ac:dyDescent="0.2">
      <c r="B699" s="76"/>
      <c r="E699" s="84"/>
      <c r="F699" s="84"/>
    </row>
    <row r="700" spans="2:6" ht="12.75" customHeight="1" x14ac:dyDescent="0.2">
      <c r="B700" s="76"/>
      <c r="E700" s="84"/>
      <c r="F700" s="84"/>
    </row>
    <row r="701" spans="2:6" ht="12.75" customHeight="1" x14ac:dyDescent="0.2">
      <c r="B701" s="76"/>
      <c r="E701" s="84"/>
      <c r="F701" s="84"/>
    </row>
    <row r="702" spans="2:6" ht="12.75" customHeight="1" x14ac:dyDescent="0.2">
      <c r="B702" s="76"/>
      <c r="E702" s="84"/>
      <c r="F702" s="84"/>
    </row>
    <row r="703" spans="2:6" ht="12.75" customHeight="1" x14ac:dyDescent="0.2">
      <c r="B703" s="76"/>
      <c r="E703" s="84"/>
      <c r="F703" s="84"/>
    </row>
    <row r="704" spans="2:6" ht="12.75" customHeight="1" x14ac:dyDescent="0.2">
      <c r="B704" s="76"/>
      <c r="E704" s="84"/>
      <c r="F704" s="84"/>
    </row>
    <row r="705" spans="2:6" ht="12.75" customHeight="1" x14ac:dyDescent="0.2">
      <c r="B705" s="76"/>
      <c r="E705" s="84"/>
      <c r="F705" s="84"/>
    </row>
    <row r="706" spans="2:6" ht="12.75" customHeight="1" x14ac:dyDescent="0.2">
      <c r="B706" s="76"/>
      <c r="E706" s="84"/>
      <c r="F706" s="84"/>
    </row>
    <row r="707" spans="2:6" ht="12.75" customHeight="1" x14ac:dyDescent="0.2">
      <c r="B707" s="76"/>
      <c r="E707" s="84"/>
      <c r="F707" s="84"/>
    </row>
    <row r="708" spans="2:6" ht="12.75" customHeight="1" x14ac:dyDescent="0.2">
      <c r="B708" s="76"/>
      <c r="E708" s="84"/>
      <c r="F708" s="84"/>
    </row>
    <row r="709" spans="2:6" ht="12.75" customHeight="1" x14ac:dyDescent="0.2">
      <c r="B709" s="76"/>
      <c r="E709" s="84"/>
      <c r="F709" s="84"/>
    </row>
    <row r="710" spans="2:6" ht="12.75" customHeight="1" x14ac:dyDescent="0.2">
      <c r="B710" s="76"/>
      <c r="E710" s="84"/>
      <c r="F710" s="84"/>
    </row>
    <row r="711" spans="2:6" ht="12.75" customHeight="1" x14ac:dyDescent="0.2">
      <c r="B711" s="76"/>
      <c r="E711" s="84"/>
      <c r="F711" s="84"/>
    </row>
    <row r="712" spans="2:6" ht="12.75" customHeight="1" x14ac:dyDescent="0.2">
      <c r="B712" s="76"/>
      <c r="E712" s="84"/>
      <c r="F712" s="84"/>
    </row>
    <row r="713" spans="2:6" ht="12.75" customHeight="1" x14ac:dyDescent="0.2">
      <c r="B713" s="76"/>
      <c r="E713" s="84"/>
      <c r="F713" s="84"/>
    </row>
    <row r="714" spans="2:6" ht="12.75" customHeight="1" x14ac:dyDescent="0.2">
      <c r="B714" s="76"/>
      <c r="E714" s="84"/>
      <c r="F714" s="84"/>
    </row>
    <row r="715" spans="2:6" ht="12.75" customHeight="1" x14ac:dyDescent="0.2">
      <c r="B715" s="76"/>
      <c r="E715" s="84"/>
      <c r="F715" s="84"/>
    </row>
    <row r="716" spans="2:6" ht="12.75" customHeight="1" x14ac:dyDescent="0.2">
      <c r="B716" s="76"/>
      <c r="E716" s="84"/>
      <c r="F716" s="84"/>
    </row>
    <row r="717" spans="2:6" ht="12.75" customHeight="1" x14ac:dyDescent="0.2">
      <c r="B717" s="76"/>
      <c r="E717" s="84"/>
      <c r="F717" s="84"/>
    </row>
    <row r="718" spans="2:6" ht="12.75" customHeight="1" x14ac:dyDescent="0.2">
      <c r="B718" s="76"/>
      <c r="E718" s="84"/>
      <c r="F718" s="84"/>
    </row>
    <row r="719" spans="2:6" ht="12.75" customHeight="1" x14ac:dyDescent="0.2">
      <c r="B719" s="76"/>
      <c r="E719" s="84"/>
      <c r="F719" s="84"/>
    </row>
    <row r="720" spans="2:6" ht="12.75" customHeight="1" x14ac:dyDescent="0.2">
      <c r="B720" s="76"/>
      <c r="E720" s="84"/>
      <c r="F720" s="84"/>
    </row>
    <row r="721" spans="2:6" ht="12.75" customHeight="1" x14ac:dyDescent="0.2">
      <c r="B721" s="76"/>
      <c r="E721" s="84"/>
      <c r="F721" s="84"/>
    </row>
    <row r="722" spans="2:6" ht="12.75" customHeight="1" x14ac:dyDescent="0.2">
      <c r="B722" s="76"/>
      <c r="E722" s="84"/>
      <c r="F722" s="84"/>
    </row>
    <row r="723" spans="2:6" ht="12.75" customHeight="1" x14ac:dyDescent="0.2">
      <c r="B723" s="76"/>
      <c r="E723" s="84"/>
      <c r="F723" s="84"/>
    </row>
    <row r="724" spans="2:6" ht="12.75" customHeight="1" x14ac:dyDescent="0.2">
      <c r="B724" s="76"/>
      <c r="E724" s="84"/>
      <c r="F724" s="84"/>
    </row>
    <row r="725" spans="2:6" ht="12.75" customHeight="1" x14ac:dyDescent="0.2">
      <c r="B725" s="76"/>
      <c r="E725" s="84"/>
      <c r="F725" s="84"/>
    </row>
    <row r="726" spans="2:6" ht="12.75" customHeight="1" x14ac:dyDescent="0.2">
      <c r="B726" s="76"/>
      <c r="E726" s="84"/>
      <c r="F726" s="84"/>
    </row>
    <row r="727" spans="2:6" ht="12.75" customHeight="1" x14ac:dyDescent="0.2">
      <c r="B727" s="76"/>
      <c r="E727" s="84"/>
      <c r="F727" s="84"/>
    </row>
    <row r="728" spans="2:6" ht="12.75" customHeight="1" x14ac:dyDescent="0.2">
      <c r="B728" s="76"/>
      <c r="E728" s="84"/>
      <c r="F728" s="84"/>
    </row>
    <row r="729" spans="2:6" ht="12.75" customHeight="1" x14ac:dyDescent="0.2">
      <c r="B729" s="76"/>
      <c r="E729" s="84"/>
      <c r="F729" s="84"/>
    </row>
    <row r="730" spans="2:6" ht="12.75" customHeight="1" x14ac:dyDescent="0.2">
      <c r="B730" s="76"/>
      <c r="E730" s="84"/>
      <c r="F730" s="84"/>
    </row>
    <row r="731" spans="2:6" ht="12.75" customHeight="1" x14ac:dyDescent="0.2">
      <c r="B731" s="76"/>
      <c r="E731" s="84"/>
      <c r="F731" s="84"/>
    </row>
    <row r="732" spans="2:6" ht="12.75" customHeight="1" x14ac:dyDescent="0.2">
      <c r="B732" s="76"/>
      <c r="E732" s="84"/>
      <c r="F732" s="84"/>
    </row>
    <row r="733" spans="2:6" ht="12.75" customHeight="1" x14ac:dyDescent="0.2">
      <c r="B733" s="76"/>
      <c r="E733" s="84"/>
      <c r="F733" s="84"/>
    </row>
    <row r="734" spans="2:6" ht="12.75" customHeight="1" x14ac:dyDescent="0.2">
      <c r="B734" s="76"/>
      <c r="E734" s="84"/>
      <c r="F734" s="84"/>
    </row>
    <row r="735" spans="2:6" ht="12.75" customHeight="1" x14ac:dyDescent="0.2">
      <c r="B735" s="76"/>
      <c r="E735" s="84"/>
      <c r="F735" s="84"/>
    </row>
    <row r="736" spans="2:6" ht="12.75" customHeight="1" x14ac:dyDescent="0.2">
      <c r="B736" s="76"/>
      <c r="E736" s="84"/>
      <c r="F736" s="84"/>
    </row>
    <row r="737" spans="2:6" ht="12.75" customHeight="1" x14ac:dyDescent="0.2">
      <c r="B737" s="76"/>
      <c r="E737" s="84"/>
      <c r="F737" s="84"/>
    </row>
    <row r="738" spans="2:6" ht="12.75" customHeight="1" x14ac:dyDescent="0.2">
      <c r="B738" s="76"/>
      <c r="E738" s="84"/>
      <c r="F738" s="84"/>
    </row>
    <row r="739" spans="2:6" ht="12.75" customHeight="1" x14ac:dyDescent="0.2">
      <c r="B739" s="76"/>
      <c r="E739" s="84"/>
      <c r="F739" s="84"/>
    </row>
    <row r="740" spans="2:6" ht="12.75" customHeight="1" x14ac:dyDescent="0.2">
      <c r="B740" s="76"/>
      <c r="E740" s="84"/>
      <c r="F740" s="84"/>
    </row>
    <row r="741" spans="2:6" ht="12.75" customHeight="1" x14ac:dyDescent="0.2">
      <c r="B741" s="76"/>
      <c r="E741" s="84"/>
      <c r="F741" s="84"/>
    </row>
    <row r="742" spans="2:6" ht="12.75" customHeight="1" x14ac:dyDescent="0.2">
      <c r="B742" s="76"/>
      <c r="E742" s="84"/>
      <c r="F742" s="84"/>
    </row>
    <row r="743" spans="2:6" ht="12.75" customHeight="1" x14ac:dyDescent="0.2">
      <c r="B743" s="76"/>
      <c r="E743" s="84"/>
      <c r="F743" s="84"/>
    </row>
    <row r="744" spans="2:6" ht="12.75" customHeight="1" x14ac:dyDescent="0.2">
      <c r="B744" s="76"/>
      <c r="E744" s="84"/>
      <c r="F744" s="84"/>
    </row>
    <row r="745" spans="2:6" ht="12.75" customHeight="1" x14ac:dyDescent="0.2">
      <c r="B745" s="76"/>
      <c r="E745" s="84"/>
      <c r="F745" s="84"/>
    </row>
    <row r="746" spans="2:6" ht="12.75" customHeight="1" x14ac:dyDescent="0.2">
      <c r="B746" s="76"/>
      <c r="E746" s="84"/>
      <c r="F746" s="84"/>
    </row>
    <row r="747" spans="2:6" ht="12.75" customHeight="1" x14ac:dyDescent="0.2">
      <c r="B747" s="76"/>
      <c r="E747" s="84"/>
      <c r="F747" s="84"/>
    </row>
    <row r="748" spans="2:6" ht="12.75" customHeight="1" x14ac:dyDescent="0.2">
      <c r="B748" s="76"/>
      <c r="E748" s="84"/>
      <c r="F748" s="84"/>
    </row>
    <row r="749" spans="2:6" ht="12.75" customHeight="1" x14ac:dyDescent="0.2">
      <c r="B749" s="76"/>
      <c r="E749" s="84"/>
      <c r="F749" s="84"/>
    </row>
    <row r="750" spans="2:6" ht="12.75" customHeight="1" x14ac:dyDescent="0.2">
      <c r="B750" s="76"/>
      <c r="E750" s="84"/>
      <c r="F750" s="84"/>
    </row>
    <row r="751" spans="2:6" ht="12.75" customHeight="1" x14ac:dyDescent="0.2">
      <c r="B751" s="76"/>
      <c r="E751" s="84"/>
      <c r="F751" s="84"/>
    </row>
    <row r="752" spans="2:6" ht="12.75" customHeight="1" x14ac:dyDescent="0.2">
      <c r="B752" s="76"/>
      <c r="E752" s="84"/>
      <c r="F752" s="84"/>
    </row>
    <row r="753" spans="2:6" ht="12.75" customHeight="1" x14ac:dyDescent="0.2">
      <c r="B753" s="76"/>
      <c r="E753" s="84"/>
      <c r="F753" s="84"/>
    </row>
    <row r="754" spans="2:6" ht="12.75" customHeight="1" x14ac:dyDescent="0.2">
      <c r="B754" s="76"/>
      <c r="E754" s="84"/>
      <c r="F754" s="84"/>
    </row>
    <row r="755" spans="2:6" ht="12.75" customHeight="1" x14ac:dyDescent="0.2">
      <c r="B755" s="76"/>
      <c r="E755" s="84"/>
      <c r="F755" s="84"/>
    </row>
    <row r="756" spans="2:6" ht="12.75" customHeight="1" x14ac:dyDescent="0.2">
      <c r="B756" s="76"/>
      <c r="E756" s="84"/>
      <c r="F756" s="84"/>
    </row>
    <row r="757" spans="2:6" ht="12.75" customHeight="1" x14ac:dyDescent="0.2">
      <c r="B757" s="76"/>
      <c r="E757" s="84"/>
      <c r="F757" s="84"/>
    </row>
    <row r="758" spans="2:6" ht="12.75" customHeight="1" x14ac:dyDescent="0.2">
      <c r="B758" s="76"/>
      <c r="E758" s="84"/>
      <c r="F758" s="84"/>
    </row>
    <row r="759" spans="2:6" ht="12.75" customHeight="1" x14ac:dyDescent="0.2">
      <c r="B759" s="76"/>
      <c r="E759" s="84"/>
      <c r="F759" s="84"/>
    </row>
    <row r="760" spans="2:6" ht="12.75" customHeight="1" x14ac:dyDescent="0.2">
      <c r="B760" s="76"/>
      <c r="E760" s="84"/>
      <c r="F760" s="84"/>
    </row>
    <row r="761" spans="2:6" ht="12.75" customHeight="1" x14ac:dyDescent="0.2">
      <c r="B761" s="76"/>
      <c r="E761" s="84"/>
      <c r="F761" s="84"/>
    </row>
    <row r="762" spans="2:6" ht="12.75" customHeight="1" x14ac:dyDescent="0.2">
      <c r="B762" s="76"/>
      <c r="E762" s="84"/>
      <c r="F762" s="84"/>
    </row>
    <row r="763" spans="2:6" ht="12.75" customHeight="1" x14ac:dyDescent="0.2">
      <c r="B763" s="76"/>
      <c r="E763" s="84"/>
      <c r="F763" s="84"/>
    </row>
    <row r="764" spans="2:6" ht="12.75" customHeight="1" x14ac:dyDescent="0.2">
      <c r="B764" s="76"/>
      <c r="E764" s="84"/>
      <c r="F764" s="84"/>
    </row>
    <row r="765" spans="2:6" ht="12.75" customHeight="1" x14ac:dyDescent="0.2">
      <c r="B765" s="76"/>
      <c r="E765" s="84"/>
      <c r="F765" s="84"/>
    </row>
    <row r="766" spans="2:6" ht="12.75" customHeight="1" x14ac:dyDescent="0.2">
      <c r="B766" s="76"/>
      <c r="E766" s="84"/>
      <c r="F766" s="84"/>
    </row>
    <row r="767" spans="2:6" ht="12.75" customHeight="1" x14ac:dyDescent="0.2">
      <c r="B767" s="76"/>
      <c r="E767" s="84"/>
      <c r="F767" s="84"/>
    </row>
    <row r="768" spans="2:6" ht="12.75" customHeight="1" x14ac:dyDescent="0.2">
      <c r="B768" s="76"/>
      <c r="E768" s="84"/>
      <c r="F768" s="84"/>
    </row>
    <row r="769" spans="2:6" ht="12.75" customHeight="1" x14ac:dyDescent="0.2">
      <c r="B769" s="76"/>
      <c r="E769" s="84"/>
      <c r="F769" s="84"/>
    </row>
    <row r="770" spans="2:6" ht="12.75" customHeight="1" x14ac:dyDescent="0.2">
      <c r="B770" s="76"/>
      <c r="E770" s="84"/>
      <c r="F770" s="84"/>
    </row>
    <row r="771" spans="2:6" ht="12.75" customHeight="1" x14ac:dyDescent="0.2">
      <c r="B771" s="76"/>
      <c r="E771" s="84"/>
      <c r="F771" s="84"/>
    </row>
    <row r="772" spans="2:6" ht="12.75" customHeight="1" x14ac:dyDescent="0.2">
      <c r="B772" s="76"/>
      <c r="E772" s="84"/>
      <c r="F772" s="84"/>
    </row>
    <row r="773" spans="2:6" ht="12.75" customHeight="1" x14ac:dyDescent="0.2">
      <c r="B773" s="76"/>
      <c r="E773" s="84"/>
      <c r="F773" s="84"/>
    </row>
    <row r="774" spans="2:6" ht="12.75" customHeight="1" x14ac:dyDescent="0.2">
      <c r="B774" s="76"/>
      <c r="E774" s="84"/>
      <c r="F774" s="84"/>
    </row>
    <row r="775" spans="2:6" ht="12.75" customHeight="1" x14ac:dyDescent="0.2">
      <c r="B775" s="76"/>
      <c r="E775" s="84"/>
      <c r="F775" s="84"/>
    </row>
    <row r="776" spans="2:6" ht="12.75" customHeight="1" x14ac:dyDescent="0.2">
      <c r="B776" s="76"/>
      <c r="E776" s="84"/>
      <c r="F776" s="84"/>
    </row>
    <row r="777" spans="2:6" ht="12.75" customHeight="1" x14ac:dyDescent="0.2">
      <c r="B777" s="76"/>
      <c r="E777" s="84"/>
      <c r="F777" s="84"/>
    </row>
    <row r="778" spans="2:6" ht="12.75" customHeight="1" x14ac:dyDescent="0.2">
      <c r="B778" s="76"/>
      <c r="E778" s="84"/>
      <c r="F778" s="84"/>
    </row>
    <row r="779" spans="2:6" ht="12.75" customHeight="1" x14ac:dyDescent="0.2">
      <c r="B779" s="76"/>
      <c r="E779" s="84"/>
      <c r="F779" s="84"/>
    </row>
    <row r="780" spans="2:6" ht="12.75" customHeight="1" x14ac:dyDescent="0.2">
      <c r="B780" s="76"/>
      <c r="E780" s="84"/>
      <c r="F780" s="84"/>
    </row>
    <row r="781" spans="2:6" ht="12.75" customHeight="1" x14ac:dyDescent="0.2">
      <c r="B781" s="76"/>
      <c r="E781" s="84"/>
      <c r="F781" s="84"/>
    </row>
    <row r="782" spans="2:6" ht="12.75" customHeight="1" x14ac:dyDescent="0.2">
      <c r="B782" s="76"/>
      <c r="E782" s="84"/>
      <c r="F782" s="84"/>
    </row>
    <row r="783" spans="2:6" ht="12.75" customHeight="1" x14ac:dyDescent="0.2">
      <c r="B783" s="76"/>
      <c r="E783" s="84"/>
      <c r="F783" s="84"/>
    </row>
    <row r="784" spans="2:6" ht="12.75" customHeight="1" x14ac:dyDescent="0.2">
      <c r="B784" s="76"/>
      <c r="E784" s="84"/>
      <c r="F784" s="84"/>
    </row>
    <row r="785" spans="2:6" ht="12.75" customHeight="1" x14ac:dyDescent="0.2">
      <c r="B785" s="76"/>
      <c r="E785" s="84"/>
      <c r="F785" s="84"/>
    </row>
    <row r="786" spans="2:6" ht="12.75" customHeight="1" x14ac:dyDescent="0.2">
      <c r="B786" s="76"/>
      <c r="E786" s="84"/>
      <c r="F786" s="84"/>
    </row>
    <row r="787" spans="2:6" ht="12.75" customHeight="1" x14ac:dyDescent="0.2">
      <c r="B787" s="76"/>
      <c r="E787" s="84"/>
      <c r="F787" s="84"/>
    </row>
    <row r="788" spans="2:6" ht="12.75" customHeight="1" x14ac:dyDescent="0.2">
      <c r="B788" s="76"/>
      <c r="E788" s="84"/>
      <c r="F788" s="84"/>
    </row>
    <row r="789" spans="2:6" ht="12.75" customHeight="1" x14ac:dyDescent="0.2">
      <c r="B789" s="76"/>
      <c r="E789" s="84"/>
      <c r="F789" s="84"/>
    </row>
    <row r="790" spans="2:6" ht="12.75" customHeight="1" x14ac:dyDescent="0.2">
      <c r="B790" s="76"/>
      <c r="E790" s="84"/>
      <c r="F790" s="84"/>
    </row>
    <row r="791" spans="2:6" ht="12.75" customHeight="1" x14ac:dyDescent="0.2">
      <c r="B791" s="76"/>
      <c r="E791" s="84"/>
      <c r="F791" s="84"/>
    </row>
    <row r="792" spans="2:6" ht="12.75" customHeight="1" x14ac:dyDescent="0.2">
      <c r="B792" s="76"/>
      <c r="E792" s="84"/>
      <c r="F792" s="84"/>
    </row>
    <row r="793" spans="2:6" ht="12.75" customHeight="1" x14ac:dyDescent="0.2">
      <c r="B793" s="76"/>
      <c r="E793" s="84"/>
      <c r="F793" s="84"/>
    </row>
    <row r="794" spans="2:6" ht="12.75" customHeight="1" x14ac:dyDescent="0.2">
      <c r="B794" s="76"/>
      <c r="E794" s="84"/>
      <c r="F794" s="84"/>
    </row>
    <row r="795" spans="2:6" ht="12.75" customHeight="1" x14ac:dyDescent="0.2">
      <c r="B795" s="76"/>
      <c r="E795" s="84"/>
      <c r="F795" s="84"/>
    </row>
    <row r="796" spans="2:6" ht="12.75" customHeight="1" x14ac:dyDescent="0.2">
      <c r="B796" s="76"/>
      <c r="E796" s="84"/>
      <c r="F796" s="84"/>
    </row>
    <row r="797" spans="2:6" ht="12.75" customHeight="1" x14ac:dyDescent="0.2">
      <c r="B797" s="76"/>
      <c r="E797" s="84"/>
      <c r="F797" s="84"/>
    </row>
    <row r="798" spans="2:6" ht="12.75" customHeight="1" x14ac:dyDescent="0.2">
      <c r="B798" s="76"/>
      <c r="E798" s="84"/>
      <c r="F798" s="84"/>
    </row>
    <row r="799" spans="2:6" ht="12.75" customHeight="1" x14ac:dyDescent="0.2">
      <c r="B799" s="76"/>
      <c r="E799" s="84"/>
      <c r="F799" s="84"/>
    </row>
    <row r="800" spans="2:6" ht="12.75" customHeight="1" x14ac:dyDescent="0.2">
      <c r="B800" s="76"/>
      <c r="E800" s="84"/>
      <c r="F800" s="84"/>
    </row>
    <row r="801" spans="2:6" ht="12.75" customHeight="1" x14ac:dyDescent="0.2">
      <c r="B801" s="76"/>
      <c r="E801" s="84"/>
      <c r="F801" s="84"/>
    </row>
    <row r="802" spans="2:6" ht="12.75" customHeight="1" x14ac:dyDescent="0.2">
      <c r="B802" s="76"/>
      <c r="E802" s="84"/>
      <c r="F802" s="84"/>
    </row>
    <row r="803" spans="2:6" ht="12.75" customHeight="1" x14ac:dyDescent="0.2">
      <c r="B803" s="76"/>
      <c r="E803" s="84"/>
      <c r="F803" s="84"/>
    </row>
    <row r="804" spans="2:6" ht="12.75" customHeight="1" x14ac:dyDescent="0.2">
      <c r="B804" s="76"/>
      <c r="E804" s="84"/>
      <c r="F804" s="84"/>
    </row>
    <row r="805" spans="2:6" ht="12.75" customHeight="1" x14ac:dyDescent="0.2">
      <c r="B805" s="76"/>
      <c r="E805" s="84"/>
      <c r="F805" s="84"/>
    </row>
    <row r="806" spans="2:6" ht="12.75" customHeight="1" x14ac:dyDescent="0.2">
      <c r="B806" s="76"/>
      <c r="E806" s="84"/>
      <c r="F806" s="84"/>
    </row>
    <row r="807" spans="2:6" ht="12.75" customHeight="1" x14ac:dyDescent="0.2">
      <c r="B807" s="76"/>
      <c r="E807" s="84"/>
      <c r="F807" s="84"/>
    </row>
    <row r="808" spans="2:6" ht="12.75" customHeight="1" x14ac:dyDescent="0.2">
      <c r="B808" s="76"/>
      <c r="E808" s="84"/>
      <c r="F808" s="84"/>
    </row>
    <row r="809" spans="2:6" ht="12.75" customHeight="1" x14ac:dyDescent="0.2">
      <c r="B809" s="76"/>
      <c r="E809" s="84"/>
      <c r="F809" s="84"/>
    </row>
    <row r="810" spans="2:6" ht="12.75" customHeight="1" x14ac:dyDescent="0.2">
      <c r="B810" s="76"/>
      <c r="E810" s="84"/>
      <c r="F810" s="84"/>
    </row>
    <row r="811" spans="2:6" ht="12.75" customHeight="1" x14ac:dyDescent="0.2">
      <c r="B811" s="76"/>
      <c r="E811" s="84"/>
      <c r="F811" s="84"/>
    </row>
    <row r="812" spans="2:6" ht="12.75" customHeight="1" x14ac:dyDescent="0.2">
      <c r="B812" s="76"/>
      <c r="E812" s="84"/>
      <c r="F812" s="84"/>
    </row>
    <row r="813" spans="2:6" ht="12.75" customHeight="1" x14ac:dyDescent="0.2">
      <c r="B813" s="76"/>
      <c r="E813" s="84"/>
      <c r="F813" s="84"/>
    </row>
    <row r="814" spans="2:6" ht="12.75" customHeight="1" x14ac:dyDescent="0.2">
      <c r="B814" s="76"/>
      <c r="E814" s="84"/>
      <c r="F814" s="84"/>
    </row>
    <row r="815" spans="2:6" ht="12.75" customHeight="1" x14ac:dyDescent="0.2">
      <c r="B815" s="76"/>
      <c r="E815" s="84"/>
      <c r="F815" s="84"/>
    </row>
    <row r="816" spans="2:6" ht="12.75" customHeight="1" x14ac:dyDescent="0.2">
      <c r="B816" s="76"/>
      <c r="E816" s="84"/>
      <c r="F816" s="84"/>
    </row>
    <row r="817" spans="2:6" ht="12.75" customHeight="1" x14ac:dyDescent="0.2">
      <c r="B817" s="76"/>
      <c r="E817" s="84"/>
      <c r="F817" s="84"/>
    </row>
    <row r="818" spans="2:6" ht="12.75" customHeight="1" x14ac:dyDescent="0.2">
      <c r="B818" s="76"/>
      <c r="E818" s="84"/>
      <c r="F818" s="84"/>
    </row>
    <row r="819" spans="2:6" ht="12.75" customHeight="1" x14ac:dyDescent="0.2">
      <c r="B819" s="76"/>
      <c r="E819" s="84"/>
      <c r="F819" s="84"/>
    </row>
    <row r="820" spans="2:6" ht="12.75" customHeight="1" x14ac:dyDescent="0.2">
      <c r="B820" s="76"/>
      <c r="E820" s="84"/>
      <c r="F820" s="84"/>
    </row>
    <row r="821" spans="2:6" ht="12.75" customHeight="1" x14ac:dyDescent="0.2">
      <c r="B821" s="76"/>
      <c r="E821" s="84"/>
      <c r="F821" s="84"/>
    </row>
    <row r="822" spans="2:6" ht="12.75" customHeight="1" x14ac:dyDescent="0.2">
      <c r="B822" s="76"/>
      <c r="E822" s="84"/>
      <c r="F822" s="84"/>
    </row>
    <row r="823" spans="2:6" ht="12.75" customHeight="1" x14ac:dyDescent="0.2">
      <c r="B823" s="76"/>
      <c r="E823" s="84"/>
      <c r="F823" s="84"/>
    </row>
    <row r="824" spans="2:6" ht="12.75" customHeight="1" x14ac:dyDescent="0.2">
      <c r="B824" s="76"/>
      <c r="E824" s="84"/>
      <c r="F824" s="84"/>
    </row>
    <row r="825" spans="2:6" ht="12.75" customHeight="1" x14ac:dyDescent="0.2">
      <c r="B825" s="76"/>
      <c r="E825" s="84"/>
      <c r="F825" s="84"/>
    </row>
    <row r="826" spans="2:6" ht="12.75" customHeight="1" x14ac:dyDescent="0.2">
      <c r="B826" s="76"/>
      <c r="E826" s="84"/>
      <c r="F826" s="84"/>
    </row>
    <row r="827" spans="2:6" ht="12.75" customHeight="1" x14ac:dyDescent="0.2">
      <c r="B827" s="76"/>
      <c r="E827" s="84"/>
      <c r="F827" s="84"/>
    </row>
    <row r="828" spans="2:6" ht="12.75" customHeight="1" x14ac:dyDescent="0.2">
      <c r="B828" s="76"/>
      <c r="E828" s="84"/>
      <c r="F828" s="84"/>
    </row>
    <row r="829" spans="2:6" ht="12.75" customHeight="1" x14ac:dyDescent="0.2">
      <c r="B829" s="76"/>
      <c r="E829" s="84"/>
      <c r="F829" s="84"/>
    </row>
    <row r="830" spans="2:6" ht="12.75" customHeight="1" x14ac:dyDescent="0.2">
      <c r="B830" s="76"/>
      <c r="E830" s="84"/>
      <c r="F830" s="84"/>
    </row>
    <row r="831" spans="2:6" ht="12.75" customHeight="1" x14ac:dyDescent="0.2">
      <c r="B831" s="76"/>
      <c r="E831" s="84"/>
      <c r="F831" s="84"/>
    </row>
    <row r="832" spans="2:6" ht="12.75" customHeight="1" x14ac:dyDescent="0.2">
      <c r="B832" s="76"/>
      <c r="E832" s="84"/>
      <c r="F832" s="84"/>
    </row>
    <row r="833" spans="2:6" ht="12.75" customHeight="1" x14ac:dyDescent="0.2">
      <c r="B833" s="76"/>
      <c r="E833" s="84"/>
      <c r="F833" s="84"/>
    </row>
    <row r="834" spans="2:6" ht="12.75" customHeight="1" x14ac:dyDescent="0.2">
      <c r="B834" s="76"/>
      <c r="E834" s="84"/>
      <c r="F834" s="84"/>
    </row>
    <row r="835" spans="2:6" ht="12.75" customHeight="1" x14ac:dyDescent="0.2">
      <c r="B835" s="76"/>
      <c r="E835" s="84"/>
      <c r="F835" s="84"/>
    </row>
    <row r="836" spans="2:6" ht="12.75" customHeight="1" x14ac:dyDescent="0.2">
      <c r="B836" s="76"/>
      <c r="E836" s="84"/>
      <c r="F836" s="84"/>
    </row>
    <row r="837" spans="2:6" ht="12.75" customHeight="1" x14ac:dyDescent="0.2">
      <c r="B837" s="76"/>
      <c r="E837" s="84"/>
      <c r="F837" s="84"/>
    </row>
    <row r="838" spans="2:6" ht="12.75" customHeight="1" x14ac:dyDescent="0.2">
      <c r="B838" s="76"/>
      <c r="E838" s="84"/>
      <c r="F838" s="84"/>
    </row>
    <row r="839" spans="2:6" ht="12.75" customHeight="1" x14ac:dyDescent="0.2">
      <c r="B839" s="76"/>
      <c r="E839" s="84"/>
      <c r="F839" s="84"/>
    </row>
    <row r="840" spans="2:6" ht="12.75" customHeight="1" x14ac:dyDescent="0.2">
      <c r="B840" s="76"/>
      <c r="E840" s="84"/>
      <c r="F840" s="84"/>
    </row>
    <row r="841" spans="2:6" ht="12.75" customHeight="1" x14ac:dyDescent="0.2">
      <c r="B841" s="76"/>
      <c r="E841" s="84"/>
      <c r="F841" s="84"/>
    </row>
    <row r="842" spans="2:6" ht="12.75" customHeight="1" x14ac:dyDescent="0.2">
      <c r="B842" s="76"/>
      <c r="E842" s="84"/>
      <c r="F842" s="84"/>
    </row>
    <row r="843" spans="2:6" ht="12.75" customHeight="1" x14ac:dyDescent="0.2">
      <c r="B843" s="76"/>
      <c r="E843" s="84"/>
      <c r="F843" s="84"/>
    </row>
    <row r="844" spans="2:6" ht="12.75" customHeight="1" x14ac:dyDescent="0.2">
      <c r="B844" s="76"/>
      <c r="E844" s="84"/>
      <c r="F844" s="84"/>
    </row>
    <row r="845" spans="2:6" ht="12.75" customHeight="1" x14ac:dyDescent="0.2">
      <c r="B845" s="76"/>
      <c r="E845" s="84"/>
      <c r="F845" s="84"/>
    </row>
    <row r="846" spans="2:6" ht="12.75" customHeight="1" x14ac:dyDescent="0.2">
      <c r="B846" s="76"/>
      <c r="E846" s="84"/>
      <c r="F846" s="84"/>
    </row>
    <row r="847" spans="2:6" ht="12.75" customHeight="1" x14ac:dyDescent="0.2">
      <c r="B847" s="76"/>
      <c r="E847" s="84"/>
      <c r="F847" s="84"/>
    </row>
    <row r="848" spans="2:6" ht="12.75" customHeight="1" x14ac:dyDescent="0.2">
      <c r="B848" s="76"/>
      <c r="E848" s="84"/>
      <c r="F848" s="84"/>
    </row>
    <row r="849" spans="2:6" ht="12.75" customHeight="1" x14ac:dyDescent="0.2">
      <c r="B849" s="76"/>
      <c r="E849" s="84"/>
      <c r="F849" s="84"/>
    </row>
    <row r="850" spans="2:6" ht="12.75" customHeight="1" x14ac:dyDescent="0.2">
      <c r="B850" s="76"/>
      <c r="E850" s="84"/>
      <c r="F850" s="84"/>
    </row>
    <row r="851" spans="2:6" ht="12.75" customHeight="1" x14ac:dyDescent="0.2">
      <c r="B851" s="76"/>
      <c r="E851" s="84"/>
      <c r="F851" s="84"/>
    </row>
    <row r="852" spans="2:6" ht="12.75" customHeight="1" x14ac:dyDescent="0.2">
      <c r="B852" s="76"/>
      <c r="E852" s="84"/>
      <c r="F852" s="84"/>
    </row>
    <row r="853" spans="2:6" ht="12.75" customHeight="1" x14ac:dyDescent="0.2">
      <c r="B853" s="76"/>
      <c r="E853" s="84"/>
      <c r="F853" s="84"/>
    </row>
    <row r="854" spans="2:6" ht="12.75" customHeight="1" x14ac:dyDescent="0.2">
      <c r="B854" s="76"/>
      <c r="E854" s="84"/>
      <c r="F854" s="84"/>
    </row>
    <row r="855" spans="2:6" ht="12.75" customHeight="1" x14ac:dyDescent="0.2">
      <c r="B855" s="76"/>
      <c r="E855" s="84"/>
      <c r="F855" s="84"/>
    </row>
    <row r="856" spans="2:6" ht="12.75" customHeight="1" x14ac:dyDescent="0.2">
      <c r="B856" s="76"/>
      <c r="E856" s="84"/>
      <c r="F856" s="84"/>
    </row>
    <row r="857" spans="2:6" ht="12.75" customHeight="1" x14ac:dyDescent="0.2">
      <c r="B857" s="76"/>
      <c r="E857" s="84"/>
      <c r="F857" s="84"/>
    </row>
    <row r="858" spans="2:6" ht="12.75" customHeight="1" x14ac:dyDescent="0.2">
      <c r="B858" s="76"/>
      <c r="E858" s="84"/>
      <c r="F858" s="84"/>
    </row>
    <row r="859" spans="2:6" ht="12.75" customHeight="1" x14ac:dyDescent="0.2">
      <c r="B859" s="76"/>
      <c r="E859" s="84"/>
      <c r="F859" s="84"/>
    </row>
    <row r="860" spans="2:6" ht="12.75" customHeight="1" x14ac:dyDescent="0.2">
      <c r="B860" s="76"/>
      <c r="E860" s="84"/>
      <c r="F860" s="84"/>
    </row>
    <row r="861" spans="2:6" ht="12.75" customHeight="1" x14ac:dyDescent="0.2">
      <c r="B861" s="76"/>
      <c r="E861" s="84"/>
      <c r="F861" s="84"/>
    </row>
    <row r="862" spans="2:6" ht="12.75" customHeight="1" x14ac:dyDescent="0.2">
      <c r="B862" s="76"/>
      <c r="E862" s="84"/>
      <c r="F862" s="84"/>
    </row>
    <row r="863" spans="2:6" ht="12.75" customHeight="1" x14ac:dyDescent="0.2">
      <c r="B863" s="76"/>
      <c r="E863" s="84"/>
      <c r="F863" s="84"/>
    </row>
    <row r="864" spans="2:6" ht="12.75" customHeight="1" x14ac:dyDescent="0.2">
      <c r="B864" s="76"/>
      <c r="E864" s="84"/>
      <c r="F864" s="84"/>
    </row>
    <row r="865" spans="2:6" ht="12.75" customHeight="1" x14ac:dyDescent="0.2">
      <c r="B865" s="76"/>
      <c r="E865" s="84"/>
      <c r="F865" s="84"/>
    </row>
    <row r="866" spans="2:6" ht="12.75" customHeight="1" x14ac:dyDescent="0.2">
      <c r="B866" s="76"/>
      <c r="E866" s="84"/>
      <c r="F866" s="84"/>
    </row>
    <row r="867" spans="2:6" ht="12.75" customHeight="1" x14ac:dyDescent="0.2">
      <c r="B867" s="76"/>
      <c r="E867" s="84"/>
      <c r="F867" s="84"/>
    </row>
    <row r="868" spans="2:6" ht="12.75" customHeight="1" x14ac:dyDescent="0.2">
      <c r="B868" s="76"/>
      <c r="E868" s="84"/>
      <c r="F868" s="84"/>
    </row>
    <row r="869" spans="2:6" ht="12.75" customHeight="1" x14ac:dyDescent="0.2">
      <c r="B869" s="76"/>
      <c r="E869" s="84"/>
      <c r="F869" s="84"/>
    </row>
    <row r="870" spans="2:6" ht="12.75" customHeight="1" x14ac:dyDescent="0.2">
      <c r="B870" s="76"/>
      <c r="E870" s="84"/>
      <c r="F870" s="84"/>
    </row>
    <row r="871" spans="2:6" ht="12.75" customHeight="1" x14ac:dyDescent="0.2">
      <c r="B871" s="76"/>
      <c r="E871" s="84"/>
      <c r="F871" s="84"/>
    </row>
    <row r="872" spans="2:6" ht="12.75" customHeight="1" x14ac:dyDescent="0.2">
      <c r="B872" s="76"/>
      <c r="E872" s="84"/>
      <c r="F872" s="84"/>
    </row>
    <row r="873" spans="2:6" ht="12.75" customHeight="1" x14ac:dyDescent="0.2">
      <c r="B873" s="76"/>
      <c r="E873" s="84"/>
      <c r="F873" s="84"/>
    </row>
    <row r="874" spans="2:6" ht="12.75" customHeight="1" x14ac:dyDescent="0.2">
      <c r="B874" s="76"/>
      <c r="E874" s="84"/>
      <c r="F874" s="84"/>
    </row>
    <row r="875" spans="2:6" ht="12.75" customHeight="1" x14ac:dyDescent="0.2">
      <c r="B875" s="76"/>
      <c r="E875" s="84"/>
      <c r="F875" s="84"/>
    </row>
    <row r="876" spans="2:6" ht="12.75" customHeight="1" x14ac:dyDescent="0.2">
      <c r="B876" s="76"/>
      <c r="E876" s="84"/>
      <c r="F876" s="84"/>
    </row>
    <row r="877" spans="2:6" ht="12.75" customHeight="1" x14ac:dyDescent="0.2">
      <c r="B877" s="76"/>
      <c r="E877" s="84"/>
      <c r="F877" s="84"/>
    </row>
    <row r="878" spans="2:6" ht="12.75" customHeight="1" x14ac:dyDescent="0.2">
      <c r="B878" s="76"/>
      <c r="E878" s="84"/>
      <c r="F878" s="84"/>
    </row>
    <row r="879" spans="2:6" ht="12.75" customHeight="1" x14ac:dyDescent="0.2">
      <c r="B879" s="76"/>
      <c r="E879" s="84"/>
      <c r="F879" s="84"/>
    </row>
    <row r="880" spans="2:6" ht="12.75" customHeight="1" x14ac:dyDescent="0.2">
      <c r="B880" s="76"/>
      <c r="E880" s="84"/>
      <c r="F880" s="84"/>
    </row>
    <row r="881" spans="2:6" ht="12.75" customHeight="1" x14ac:dyDescent="0.2">
      <c r="B881" s="76"/>
      <c r="E881" s="84"/>
      <c r="F881" s="84"/>
    </row>
    <row r="882" spans="2:6" ht="12.75" customHeight="1" x14ac:dyDescent="0.2">
      <c r="B882" s="76"/>
      <c r="E882" s="84"/>
      <c r="F882" s="84"/>
    </row>
    <row r="883" spans="2:6" ht="12.75" customHeight="1" x14ac:dyDescent="0.2">
      <c r="B883" s="76"/>
      <c r="E883" s="84"/>
      <c r="F883" s="84"/>
    </row>
    <row r="884" spans="2:6" ht="12.75" customHeight="1" x14ac:dyDescent="0.2">
      <c r="B884" s="76"/>
      <c r="E884" s="84"/>
      <c r="F884" s="84"/>
    </row>
    <row r="885" spans="2:6" ht="12.75" customHeight="1" x14ac:dyDescent="0.2">
      <c r="B885" s="76"/>
      <c r="E885" s="84"/>
      <c r="F885" s="84"/>
    </row>
    <row r="886" spans="2:6" ht="12.75" customHeight="1" x14ac:dyDescent="0.2">
      <c r="B886" s="76"/>
      <c r="E886" s="84"/>
      <c r="F886" s="84"/>
    </row>
    <row r="887" spans="2:6" ht="12.75" customHeight="1" x14ac:dyDescent="0.2">
      <c r="B887" s="76"/>
      <c r="E887" s="84"/>
      <c r="F887" s="84"/>
    </row>
    <row r="888" spans="2:6" ht="12.75" customHeight="1" x14ac:dyDescent="0.2">
      <c r="B888" s="76"/>
      <c r="E888" s="84"/>
      <c r="F888" s="84"/>
    </row>
    <row r="889" spans="2:6" ht="12.75" customHeight="1" x14ac:dyDescent="0.2">
      <c r="B889" s="76"/>
      <c r="E889" s="84"/>
      <c r="F889" s="84"/>
    </row>
    <row r="890" spans="2:6" ht="12.75" customHeight="1" x14ac:dyDescent="0.2">
      <c r="B890" s="76"/>
      <c r="E890" s="84"/>
      <c r="F890" s="84"/>
    </row>
    <row r="891" spans="2:6" ht="12.75" customHeight="1" x14ac:dyDescent="0.2">
      <c r="B891" s="76"/>
      <c r="E891" s="84"/>
      <c r="F891" s="84"/>
    </row>
    <row r="892" spans="2:6" ht="12.75" customHeight="1" x14ac:dyDescent="0.2">
      <c r="B892" s="76"/>
      <c r="E892" s="84"/>
      <c r="F892" s="84"/>
    </row>
    <row r="893" spans="2:6" ht="12.75" customHeight="1" x14ac:dyDescent="0.2">
      <c r="B893" s="76"/>
      <c r="E893" s="84"/>
      <c r="F893" s="84"/>
    </row>
    <row r="894" spans="2:6" ht="12.75" customHeight="1" x14ac:dyDescent="0.2">
      <c r="B894" s="76"/>
      <c r="E894" s="84"/>
      <c r="F894" s="84"/>
    </row>
    <row r="895" spans="2:6" ht="12.75" customHeight="1" x14ac:dyDescent="0.2">
      <c r="B895" s="76"/>
      <c r="E895" s="84"/>
      <c r="F895" s="84"/>
    </row>
    <row r="896" spans="2:6" ht="12.75" customHeight="1" x14ac:dyDescent="0.2">
      <c r="B896" s="76"/>
      <c r="E896" s="84"/>
      <c r="F896" s="84"/>
    </row>
    <row r="897" spans="2:6" ht="12.75" customHeight="1" x14ac:dyDescent="0.2">
      <c r="B897" s="76"/>
      <c r="E897" s="84"/>
      <c r="F897" s="84"/>
    </row>
    <row r="898" spans="2:6" ht="12.75" customHeight="1" x14ac:dyDescent="0.2">
      <c r="B898" s="76"/>
      <c r="E898" s="84"/>
      <c r="F898" s="84"/>
    </row>
    <row r="899" spans="2:6" ht="12.75" customHeight="1" x14ac:dyDescent="0.2">
      <c r="B899" s="76"/>
      <c r="E899" s="84"/>
      <c r="F899" s="84"/>
    </row>
    <row r="900" spans="2:6" ht="12.75" customHeight="1" x14ac:dyDescent="0.2">
      <c r="B900" s="76"/>
      <c r="E900" s="84"/>
      <c r="F900" s="84"/>
    </row>
    <row r="901" spans="2:6" ht="12.75" customHeight="1" x14ac:dyDescent="0.2">
      <c r="B901" s="76"/>
      <c r="E901" s="84"/>
      <c r="F901" s="84"/>
    </row>
    <row r="902" spans="2:6" ht="12.75" customHeight="1" x14ac:dyDescent="0.2">
      <c r="B902" s="76"/>
      <c r="E902" s="84"/>
      <c r="F902" s="84"/>
    </row>
    <row r="903" spans="2:6" ht="12.75" customHeight="1" x14ac:dyDescent="0.2">
      <c r="B903" s="76"/>
      <c r="E903" s="84"/>
      <c r="F903" s="84"/>
    </row>
    <row r="904" spans="2:6" ht="12.75" customHeight="1" x14ac:dyDescent="0.2">
      <c r="B904" s="76"/>
      <c r="E904" s="84"/>
      <c r="F904" s="84"/>
    </row>
    <row r="905" spans="2:6" ht="12.75" customHeight="1" x14ac:dyDescent="0.2">
      <c r="B905" s="76"/>
      <c r="E905" s="84"/>
      <c r="F905" s="84"/>
    </row>
    <row r="906" spans="2:6" ht="12.75" customHeight="1" x14ac:dyDescent="0.2">
      <c r="B906" s="76"/>
      <c r="E906" s="84"/>
      <c r="F906" s="84"/>
    </row>
    <row r="907" spans="2:6" ht="12.75" customHeight="1" x14ac:dyDescent="0.2">
      <c r="B907" s="76"/>
      <c r="E907" s="84"/>
      <c r="F907" s="84"/>
    </row>
    <row r="908" spans="2:6" ht="12.75" customHeight="1" x14ac:dyDescent="0.2">
      <c r="B908" s="76"/>
      <c r="E908" s="84"/>
      <c r="F908" s="84"/>
    </row>
    <row r="909" spans="2:6" ht="12.75" customHeight="1" x14ac:dyDescent="0.2">
      <c r="B909" s="76"/>
      <c r="E909" s="84"/>
      <c r="F909" s="84"/>
    </row>
    <row r="910" spans="2:6" ht="12.75" customHeight="1" x14ac:dyDescent="0.2">
      <c r="B910" s="76"/>
      <c r="E910" s="84"/>
      <c r="F910" s="84"/>
    </row>
    <row r="911" spans="2:6" ht="12.75" customHeight="1" x14ac:dyDescent="0.2">
      <c r="B911" s="76"/>
      <c r="E911" s="84"/>
      <c r="F911" s="84"/>
    </row>
    <row r="912" spans="2:6" ht="12.75" customHeight="1" x14ac:dyDescent="0.2">
      <c r="B912" s="76"/>
      <c r="E912" s="84"/>
      <c r="F912" s="84"/>
    </row>
    <row r="913" spans="2:6" ht="12.75" customHeight="1" x14ac:dyDescent="0.2">
      <c r="B913" s="76"/>
      <c r="E913" s="84"/>
      <c r="F913" s="84"/>
    </row>
    <row r="914" spans="2:6" ht="12.75" customHeight="1" x14ac:dyDescent="0.2">
      <c r="B914" s="76"/>
      <c r="E914" s="84"/>
      <c r="F914" s="84"/>
    </row>
    <row r="915" spans="2:6" ht="12.75" customHeight="1" x14ac:dyDescent="0.2">
      <c r="B915" s="76"/>
      <c r="E915" s="84"/>
      <c r="F915" s="84"/>
    </row>
    <row r="916" spans="2:6" ht="12.75" customHeight="1" x14ac:dyDescent="0.2">
      <c r="B916" s="76"/>
      <c r="E916" s="84"/>
      <c r="F916" s="84"/>
    </row>
    <row r="917" spans="2:6" ht="12.75" customHeight="1" x14ac:dyDescent="0.2">
      <c r="B917" s="76"/>
      <c r="E917" s="84"/>
      <c r="F917" s="84"/>
    </row>
    <row r="918" spans="2:6" ht="12.75" customHeight="1" x14ac:dyDescent="0.2">
      <c r="B918" s="76"/>
      <c r="E918" s="84"/>
      <c r="F918" s="84"/>
    </row>
    <row r="919" spans="2:6" ht="12.75" customHeight="1" x14ac:dyDescent="0.2">
      <c r="B919" s="76"/>
      <c r="E919" s="84"/>
      <c r="F919" s="84"/>
    </row>
    <row r="920" spans="2:6" ht="12.75" customHeight="1" x14ac:dyDescent="0.2">
      <c r="B920" s="76"/>
      <c r="E920" s="84"/>
      <c r="F920" s="84"/>
    </row>
    <row r="921" spans="2:6" ht="12.75" customHeight="1" x14ac:dyDescent="0.2">
      <c r="B921" s="76"/>
      <c r="E921" s="84"/>
      <c r="F921" s="84"/>
    </row>
    <row r="922" spans="2:6" ht="12.75" customHeight="1" x14ac:dyDescent="0.2">
      <c r="B922" s="76"/>
      <c r="E922" s="84"/>
      <c r="F922" s="84"/>
    </row>
    <row r="923" spans="2:6" ht="12.75" customHeight="1" x14ac:dyDescent="0.2">
      <c r="B923" s="76"/>
      <c r="E923" s="84"/>
      <c r="F923" s="84"/>
    </row>
    <row r="924" spans="2:6" ht="12.75" customHeight="1" x14ac:dyDescent="0.2">
      <c r="B924" s="76"/>
      <c r="E924" s="84"/>
      <c r="F924" s="84"/>
    </row>
    <row r="925" spans="2:6" ht="12.75" customHeight="1" x14ac:dyDescent="0.2">
      <c r="B925" s="76"/>
      <c r="E925" s="84"/>
      <c r="F925" s="84"/>
    </row>
    <row r="926" spans="2:6" ht="12.75" customHeight="1" x14ac:dyDescent="0.2">
      <c r="B926" s="76"/>
      <c r="E926" s="84"/>
      <c r="F926" s="84"/>
    </row>
    <row r="927" spans="2:6" ht="12.75" customHeight="1" x14ac:dyDescent="0.2">
      <c r="B927" s="76"/>
      <c r="E927" s="84"/>
      <c r="F927" s="84"/>
    </row>
    <row r="928" spans="2:6" ht="12.75" customHeight="1" x14ac:dyDescent="0.2">
      <c r="B928" s="76"/>
      <c r="E928" s="84"/>
      <c r="F928" s="84"/>
    </row>
    <row r="929" spans="2:6" ht="12.75" customHeight="1" x14ac:dyDescent="0.2">
      <c r="B929" s="76"/>
      <c r="E929" s="84"/>
      <c r="F929" s="84"/>
    </row>
    <row r="930" spans="2:6" ht="12.75" customHeight="1" x14ac:dyDescent="0.2">
      <c r="B930" s="76"/>
      <c r="E930" s="84"/>
      <c r="F930" s="84"/>
    </row>
    <row r="931" spans="2:6" ht="12.75" customHeight="1" x14ac:dyDescent="0.2">
      <c r="B931" s="76"/>
      <c r="E931" s="84"/>
      <c r="F931" s="84"/>
    </row>
    <row r="932" spans="2:6" ht="12.75" customHeight="1" x14ac:dyDescent="0.2">
      <c r="B932" s="76"/>
      <c r="E932" s="84"/>
      <c r="F932" s="84"/>
    </row>
    <row r="933" spans="2:6" ht="12.75" customHeight="1" x14ac:dyDescent="0.2">
      <c r="B933" s="76"/>
      <c r="E933" s="84"/>
      <c r="F933" s="84"/>
    </row>
    <row r="934" spans="2:6" ht="12.75" customHeight="1" x14ac:dyDescent="0.2">
      <c r="B934" s="76"/>
      <c r="E934" s="84"/>
      <c r="F934" s="84"/>
    </row>
    <row r="935" spans="2:6" ht="12.75" customHeight="1" x14ac:dyDescent="0.2">
      <c r="B935" s="76"/>
      <c r="E935" s="84"/>
      <c r="F935" s="84"/>
    </row>
    <row r="936" spans="2:6" ht="12.75" customHeight="1" x14ac:dyDescent="0.2">
      <c r="B936" s="76"/>
      <c r="E936" s="84"/>
      <c r="F936" s="84"/>
    </row>
    <row r="937" spans="2:6" ht="12.75" customHeight="1" x14ac:dyDescent="0.2">
      <c r="B937" s="76"/>
      <c r="E937" s="84"/>
      <c r="F937" s="84"/>
    </row>
    <row r="938" spans="2:6" ht="12.75" customHeight="1" x14ac:dyDescent="0.2">
      <c r="B938" s="76"/>
      <c r="E938" s="84"/>
      <c r="F938" s="84"/>
    </row>
    <row r="939" spans="2:6" ht="12.75" customHeight="1" x14ac:dyDescent="0.2">
      <c r="B939" s="76"/>
      <c r="E939" s="84"/>
      <c r="F939" s="84"/>
    </row>
    <row r="940" spans="2:6" ht="12.75" customHeight="1" x14ac:dyDescent="0.2">
      <c r="B940" s="76"/>
      <c r="E940" s="84"/>
      <c r="F940" s="84"/>
    </row>
    <row r="941" spans="2:6" ht="12.75" customHeight="1" x14ac:dyDescent="0.2">
      <c r="B941" s="76"/>
      <c r="E941" s="84"/>
      <c r="F941" s="84"/>
    </row>
    <row r="942" spans="2:6" ht="12.75" customHeight="1" x14ac:dyDescent="0.2">
      <c r="B942" s="76"/>
      <c r="E942" s="84"/>
      <c r="F942" s="84"/>
    </row>
    <row r="943" spans="2:6" ht="12.75" customHeight="1" x14ac:dyDescent="0.2">
      <c r="B943" s="76"/>
      <c r="E943" s="84"/>
      <c r="F943" s="84"/>
    </row>
    <row r="944" spans="2:6" ht="12.75" customHeight="1" x14ac:dyDescent="0.2">
      <c r="B944" s="76"/>
      <c r="E944" s="84"/>
      <c r="F944" s="84"/>
    </row>
    <row r="945" spans="2:6" ht="12.75" customHeight="1" x14ac:dyDescent="0.2">
      <c r="B945" s="76"/>
      <c r="E945" s="84"/>
      <c r="F945" s="84"/>
    </row>
    <row r="946" spans="2:6" ht="12.75" customHeight="1" x14ac:dyDescent="0.2">
      <c r="B946" s="76"/>
      <c r="E946" s="84"/>
      <c r="F946" s="84"/>
    </row>
    <row r="947" spans="2:6" ht="12.75" customHeight="1" x14ac:dyDescent="0.2">
      <c r="B947" s="76"/>
      <c r="E947" s="84"/>
      <c r="F947" s="84"/>
    </row>
    <row r="948" spans="2:6" ht="12.75" customHeight="1" x14ac:dyDescent="0.2">
      <c r="B948" s="76"/>
      <c r="E948" s="84"/>
      <c r="F948" s="84"/>
    </row>
    <row r="949" spans="2:6" ht="12.75" customHeight="1" x14ac:dyDescent="0.2">
      <c r="B949" s="76"/>
      <c r="E949" s="84"/>
      <c r="F949" s="84"/>
    </row>
    <row r="950" spans="2:6" ht="12.75" customHeight="1" x14ac:dyDescent="0.2">
      <c r="B950" s="76"/>
      <c r="E950" s="84"/>
      <c r="F950" s="84"/>
    </row>
    <row r="951" spans="2:6" ht="12.75" customHeight="1" x14ac:dyDescent="0.2">
      <c r="B951" s="76"/>
      <c r="E951" s="84"/>
      <c r="F951" s="84"/>
    </row>
    <row r="952" spans="2:6" ht="12.75" customHeight="1" x14ac:dyDescent="0.2">
      <c r="B952" s="76"/>
      <c r="E952" s="84"/>
      <c r="F952" s="84"/>
    </row>
    <row r="953" spans="2:6" ht="12.75" customHeight="1" x14ac:dyDescent="0.2">
      <c r="B953" s="76"/>
      <c r="E953" s="84"/>
      <c r="F953" s="84"/>
    </row>
    <row r="954" spans="2:6" ht="12.75" customHeight="1" x14ac:dyDescent="0.2">
      <c r="B954" s="76"/>
      <c r="E954" s="84"/>
      <c r="F954" s="84"/>
    </row>
    <row r="955" spans="2:6" ht="12.75" customHeight="1" x14ac:dyDescent="0.2">
      <c r="B955" s="76"/>
      <c r="E955" s="84"/>
      <c r="F955" s="84"/>
    </row>
    <row r="956" spans="2:6" ht="12.75" customHeight="1" x14ac:dyDescent="0.2">
      <c r="B956" s="76"/>
      <c r="E956" s="84"/>
      <c r="F956" s="84"/>
    </row>
    <row r="957" spans="2:6" ht="12.75" customHeight="1" x14ac:dyDescent="0.2">
      <c r="B957" s="76"/>
      <c r="E957" s="84"/>
      <c r="F957" s="84"/>
    </row>
    <row r="958" spans="2:6" ht="12.75" customHeight="1" x14ac:dyDescent="0.2">
      <c r="B958" s="76"/>
      <c r="E958" s="84"/>
      <c r="F958" s="84"/>
    </row>
    <row r="959" spans="2:6" ht="12.75" customHeight="1" x14ac:dyDescent="0.2">
      <c r="B959" s="76"/>
      <c r="E959" s="84"/>
      <c r="F959" s="84"/>
    </row>
    <row r="960" spans="2:6" ht="12.75" customHeight="1" x14ac:dyDescent="0.2">
      <c r="B960" s="76"/>
      <c r="E960" s="84"/>
      <c r="F960" s="84"/>
    </row>
    <row r="961" spans="2:6" ht="12.75" customHeight="1" x14ac:dyDescent="0.2">
      <c r="B961" s="76"/>
      <c r="E961" s="84"/>
      <c r="F961" s="84"/>
    </row>
    <row r="962" spans="2:6" ht="12.75" customHeight="1" x14ac:dyDescent="0.2">
      <c r="B962" s="76"/>
      <c r="E962" s="84"/>
      <c r="F962" s="84"/>
    </row>
    <row r="963" spans="2:6" ht="12.75" customHeight="1" x14ac:dyDescent="0.2">
      <c r="B963" s="76"/>
      <c r="E963" s="84"/>
      <c r="F963" s="84"/>
    </row>
    <row r="964" spans="2:6" ht="12.75" customHeight="1" x14ac:dyDescent="0.2">
      <c r="B964" s="76"/>
      <c r="E964" s="84"/>
      <c r="F964" s="84"/>
    </row>
    <row r="965" spans="2:6" ht="12.75" customHeight="1" x14ac:dyDescent="0.2">
      <c r="B965" s="76"/>
      <c r="E965" s="84"/>
      <c r="F965" s="84"/>
    </row>
    <row r="966" spans="2:6" ht="12.75" customHeight="1" x14ac:dyDescent="0.2">
      <c r="B966" s="76"/>
      <c r="E966" s="84"/>
      <c r="F966" s="84"/>
    </row>
    <row r="967" spans="2:6" ht="12.75" customHeight="1" x14ac:dyDescent="0.2">
      <c r="B967" s="76"/>
      <c r="E967" s="84"/>
      <c r="F967" s="84"/>
    </row>
    <row r="968" spans="2:6" ht="12.75" customHeight="1" x14ac:dyDescent="0.2">
      <c r="B968" s="76"/>
      <c r="E968" s="84"/>
      <c r="F968" s="84"/>
    </row>
    <row r="969" spans="2:6" ht="12.75" customHeight="1" x14ac:dyDescent="0.2">
      <c r="B969" s="76"/>
      <c r="E969" s="84"/>
      <c r="F969" s="84"/>
    </row>
    <row r="970" spans="2:6" ht="12.75" customHeight="1" x14ac:dyDescent="0.2">
      <c r="B970" s="76"/>
      <c r="E970" s="84"/>
      <c r="F970" s="84"/>
    </row>
    <row r="971" spans="2:6" ht="12.75" customHeight="1" x14ac:dyDescent="0.2">
      <c r="B971" s="76"/>
      <c r="E971" s="84"/>
      <c r="F971" s="84"/>
    </row>
    <row r="972" spans="2:6" x14ac:dyDescent="0.2">
      <c r="B972" s="76"/>
      <c r="E972" s="84"/>
      <c r="F972" s="84"/>
    </row>
    <row r="973" spans="2:6" x14ac:dyDescent="0.2">
      <c r="B973" s="76"/>
      <c r="E973" s="84"/>
      <c r="F973" s="84"/>
    </row>
  </sheetData>
  <mergeCells count="10">
    <mergeCell ref="B43:J43"/>
    <mergeCell ref="B58:J58"/>
    <mergeCell ref="B62:H62"/>
    <mergeCell ref="B63:H63"/>
    <mergeCell ref="B2:H3"/>
    <mergeCell ref="AK2:AM2"/>
    <mergeCell ref="AL3:AM3"/>
    <mergeCell ref="R25:U25"/>
    <mergeCell ref="R26:U26"/>
    <mergeCell ref="B42:J42"/>
  </mergeCells>
  <printOptions horizontalCentered="1"/>
  <pageMargins left="0.4" right="0.4" top="1" bottom="0.5" header="0.3" footer="0.511811023622047"/>
  <pageSetup paperSize="9" scale="46" orientation="landscape"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9B506-1DC5-4B86-A379-C0C32C36E0AF}">
  <sheetPr codeName="Sheet92">
    <tabColor theme="8" tint="-0.249977111117893"/>
    <pageSetUpPr fitToPage="1"/>
  </sheetPr>
  <dimension ref="A1:AT974"/>
  <sheetViews>
    <sheetView topLeftCell="AC1" zoomScale="115" zoomScaleNormal="115" workbookViewId="0">
      <selection activeCell="AO23" sqref="AO23"/>
    </sheetView>
  </sheetViews>
  <sheetFormatPr defaultColWidth="12.5" defaultRowHeight="12.75" x14ac:dyDescent="0.2"/>
  <cols>
    <col min="1" max="1" width="12.5" style="14" customWidth="1"/>
    <col min="2" max="2" width="38.375" style="14"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75" style="14" customWidth="1"/>
    <col min="15" max="15" width="16.75" style="14" customWidth="1"/>
    <col min="16" max="18" width="12.5" style="14" customWidth="1"/>
    <col min="19" max="19" width="15.875" style="14" customWidth="1"/>
    <col min="20" max="26" width="12.5" style="14" customWidth="1"/>
    <col min="27" max="27" width="11.125" style="14" bestFit="1" customWidth="1"/>
    <col min="28" max="28" width="11.875" style="14" bestFit="1" customWidth="1"/>
    <col min="29" max="29" width="13.375" style="14" bestFit="1" customWidth="1"/>
    <col min="30" max="30" width="12.375" style="14" bestFit="1" customWidth="1"/>
    <col min="31" max="31" width="8.375" style="14" customWidth="1"/>
    <col min="32" max="32" width="7.625" style="14" customWidth="1"/>
    <col min="33" max="35" width="2.875" style="14" customWidth="1"/>
    <col min="36" max="36" width="38.375" style="14" customWidth="1"/>
    <col min="37" max="37" width="12.5" style="14" customWidth="1"/>
    <col min="38" max="41" width="12.5" style="14"/>
    <col min="42" max="42" width="18.375" style="14" customWidth="1"/>
    <col min="43" max="16384" width="12.5" style="14"/>
  </cols>
  <sheetData>
    <row r="1" spans="1:46" ht="28.5" customHeight="1" x14ac:dyDescent="0.2">
      <c r="B1" s="64" t="s">
        <v>331</v>
      </c>
      <c r="C1" s="65">
        <v>1</v>
      </c>
      <c r="D1" s="66" t="s">
        <v>232</v>
      </c>
      <c r="E1" s="99">
        <f>U32</f>
        <v>140</v>
      </c>
      <c r="F1" s="64" t="s">
        <v>233</v>
      </c>
      <c r="G1" s="99">
        <f>E1/C1</f>
        <v>140</v>
      </c>
      <c r="H1" s="64" t="s">
        <v>234</v>
      </c>
      <c r="I1" s="99"/>
      <c r="J1" s="302" t="s">
        <v>235</v>
      </c>
      <c r="K1" s="303">
        <v>1</v>
      </c>
      <c r="L1" s="84"/>
      <c r="M1" s="84"/>
      <c r="N1" s="84"/>
      <c r="O1" s="75" t="s">
        <v>236</v>
      </c>
      <c r="P1" s="76" t="s">
        <v>237</v>
      </c>
      <c r="Q1" s="77" t="s">
        <v>238</v>
      </c>
      <c r="R1" s="76">
        <v>0.89</v>
      </c>
      <c r="S1" s="77" t="s">
        <v>333</v>
      </c>
      <c r="T1" s="304">
        <v>100</v>
      </c>
      <c r="U1" s="84"/>
      <c r="V1" s="84"/>
      <c r="Y1" s="75" t="s">
        <v>453</v>
      </c>
      <c r="Z1" s="766">
        <v>135</v>
      </c>
      <c r="AA1" s="75" t="s">
        <v>556</v>
      </c>
      <c r="AB1" s="766">
        <v>5</v>
      </c>
      <c r="AC1" s="75" t="s">
        <v>546</v>
      </c>
      <c r="AD1" s="766">
        <v>135</v>
      </c>
      <c r="AE1" s="75" t="s">
        <v>538</v>
      </c>
      <c r="AF1" s="766">
        <f>Z1+AB1</f>
        <v>140</v>
      </c>
      <c r="AJ1" s="78" t="s">
        <v>250</v>
      </c>
      <c r="AK1" s="78">
        <v>10000</v>
      </c>
      <c r="AL1" s="561" t="s">
        <v>848</v>
      </c>
      <c r="AM1" s="562">
        <f>$S$32*86</f>
        <v>12040</v>
      </c>
      <c r="AN1" s="78" t="s">
        <v>239</v>
      </c>
      <c r="AO1" s="305">
        <f>((S32*86)/$R$1)/$AK$1</f>
        <v>1.3528089887640451</v>
      </c>
      <c r="AP1" s="79"/>
    </row>
    <row r="2" spans="1:46" ht="12.75" customHeight="1" x14ac:dyDescent="0.2">
      <c r="A2" s="306"/>
      <c r="B2" s="1644" t="s">
        <v>872</v>
      </c>
      <c r="C2" s="1644"/>
      <c r="D2" s="1644"/>
      <c r="E2" s="1644"/>
      <c r="F2" s="1644"/>
      <c r="G2" s="1644"/>
      <c r="H2" s="1644"/>
      <c r="I2" s="580"/>
      <c r="J2" s="580"/>
      <c r="K2" s="580"/>
      <c r="L2" s="270"/>
      <c r="M2" s="84"/>
      <c r="N2" s="84"/>
      <c r="O2" s="84"/>
      <c r="P2" s="84"/>
      <c r="Q2" s="84"/>
      <c r="R2" s="84"/>
      <c r="S2" s="84"/>
      <c r="T2" s="84"/>
      <c r="U2" s="84"/>
      <c r="AJ2" s="85"/>
      <c r="AK2" s="1631" t="s">
        <v>872</v>
      </c>
      <c r="AL2" s="1631"/>
      <c r="AM2" s="1631"/>
      <c r="AN2" s="1631"/>
      <c r="AO2" s="85"/>
      <c r="AP2" s="85"/>
    </row>
    <row r="3" spans="1:46" ht="12.75" customHeight="1" x14ac:dyDescent="0.2">
      <c r="A3" s="306"/>
      <c r="B3" s="1645"/>
      <c r="C3" s="1645"/>
      <c r="D3" s="1645"/>
      <c r="E3" s="1645"/>
      <c r="F3" s="1645"/>
      <c r="G3" s="1645"/>
      <c r="H3" s="1645"/>
      <c r="I3" s="581"/>
      <c r="J3" s="581"/>
      <c r="K3" s="581"/>
      <c r="L3" s="270"/>
      <c r="M3" s="84"/>
      <c r="N3" s="84"/>
      <c r="O3" s="84"/>
      <c r="P3" s="84"/>
      <c r="Q3" s="84"/>
      <c r="R3" s="84"/>
      <c r="S3" s="84"/>
      <c r="T3" s="84"/>
      <c r="U3" s="84"/>
      <c r="AJ3" s="88"/>
      <c r="AK3" s="88"/>
      <c r="AL3" s="1670"/>
      <c r="AM3" s="1670"/>
      <c r="AN3" s="89"/>
      <c r="AO3" s="88"/>
      <c r="AP3" s="88"/>
    </row>
    <row r="4" spans="1:46" ht="69"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347"/>
      <c r="N4" s="84"/>
      <c r="O4" s="84"/>
      <c r="P4" s="84"/>
      <c r="Q4" s="84"/>
      <c r="R4" s="84"/>
      <c r="S4" s="84"/>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260"/>
      <c r="B5" s="299" t="s">
        <v>860</v>
      </c>
      <c r="C5" s="1261" t="s">
        <v>14</v>
      </c>
      <c r="D5" s="1262">
        <f>T1/R1</f>
        <v>112.35955056179775</v>
      </c>
      <c r="E5" s="98">
        <f>$G$1</f>
        <v>140</v>
      </c>
      <c r="F5" s="109">
        <v>1</v>
      </c>
      <c r="G5" s="101">
        <f>D5*E5</f>
        <v>15730.337078651684</v>
      </c>
      <c r="H5" s="102">
        <f>G5*F5</f>
        <v>15730.337078651684</v>
      </c>
      <c r="I5" s="65">
        <f>VLOOKUP(B5,All_Ingredients!$A$1:$F$156,6,FALSE())</f>
        <v>0.95</v>
      </c>
      <c r="J5" s="101">
        <f>VLOOKUP(B5,All_Ingredients!$A$1:$J$156,10,FALSE())</f>
        <v>17.100000000000001</v>
      </c>
      <c r="K5" s="104">
        <f t="shared" ref="K5" si="0">(H5/I5)/1000</f>
        <v>16.558249556475456</v>
      </c>
      <c r="L5" s="104">
        <f t="shared" ref="L5" si="1">K5*J5</f>
        <v>283.14606741573033</v>
      </c>
      <c r="M5" s="112"/>
      <c r="AJ5" s="299" t="s">
        <v>220</v>
      </c>
      <c r="AK5" s="106" t="s">
        <v>227</v>
      </c>
      <c r="AL5" s="1262">
        <v>10</v>
      </c>
      <c r="AM5" s="1263">
        <f t="shared" ref="AM5:AM13" si="2">$AO$1</f>
        <v>1.3528089887640451</v>
      </c>
      <c r="AN5" s="109">
        <v>1</v>
      </c>
      <c r="AO5" s="103">
        <f t="shared" ref="AO5:AO14" si="3">AL5*AM5</f>
        <v>13.528089887640451</v>
      </c>
      <c r="AP5" s="102">
        <f t="shared" ref="AP5:AP14" si="4">AO5*AN5</f>
        <v>13.528089887640451</v>
      </c>
      <c r="AQ5" s="272"/>
      <c r="AR5" s="1017"/>
      <c r="AS5" s="156"/>
      <c r="AT5" s="1018"/>
    </row>
    <row r="6" spans="1:46" ht="14.25" customHeight="1" x14ac:dyDescent="0.2">
      <c r="A6" s="1469"/>
      <c r="B6" s="299" t="s">
        <v>805</v>
      </c>
      <c r="C6" s="106" t="s">
        <v>230</v>
      </c>
      <c r="D6" s="1262">
        <v>1</v>
      </c>
      <c r="E6" s="98">
        <f>$G$1</f>
        <v>140</v>
      </c>
      <c r="F6" s="109">
        <v>1</v>
      </c>
      <c r="G6" s="101">
        <f>D6*E6</f>
        <v>140</v>
      </c>
      <c r="H6" s="102">
        <f>G6*F6</f>
        <v>140</v>
      </c>
      <c r="I6" s="65">
        <f>VLOOKUP(B6,All_Ingredients!$A$1:$F$156,6,FALSE())</f>
        <v>1</v>
      </c>
      <c r="J6" s="101">
        <f>VLOOKUP(B6,All_Ingredients!$A$1:$J$156,10,FALSE())</f>
        <v>0.6</v>
      </c>
      <c r="K6" s="104">
        <f t="shared" ref="K6:K9" si="5">(H6/I6)/1000</f>
        <v>0.14000000000000001</v>
      </c>
      <c r="L6" s="104">
        <f t="shared" ref="L6:L9" si="6">K6*J6</f>
        <v>8.4000000000000005E-2</v>
      </c>
      <c r="M6" s="112"/>
      <c r="AJ6" s="299" t="s">
        <v>93</v>
      </c>
      <c r="AK6" s="106" t="s">
        <v>14</v>
      </c>
      <c r="AL6" s="1262">
        <v>30</v>
      </c>
      <c r="AM6" s="1263">
        <f t="shared" si="2"/>
        <v>1.3528089887640451</v>
      </c>
      <c r="AN6" s="109">
        <v>1</v>
      </c>
      <c r="AO6" s="103">
        <f t="shared" si="3"/>
        <v>40.584269662921351</v>
      </c>
      <c r="AP6" s="102">
        <f t="shared" si="4"/>
        <v>40.584269662921351</v>
      </c>
      <c r="AQ6" s="1018">
        <f>VLOOKUP(AJ6,Marination_Ordering!$A:$J,6,FALSE)</f>
        <v>1</v>
      </c>
      <c r="AR6" s="1018">
        <f>VLOOKUP(AJ6,Marination_Ordering!$A:$J,10,FALSE)</f>
        <v>0.74</v>
      </c>
      <c r="AS6" s="156">
        <f>AP6/AQ6</f>
        <v>40.584269662921351</v>
      </c>
      <c r="AT6" s="1018">
        <f>AR6*(AS6/1000)</f>
        <v>3.0032359550561799E-2</v>
      </c>
    </row>
    <row r="7" spans="1:46" ht="14.25" customHeight="1" x14ac:dyDescent="0.25">
      <c r="A7" s="1602" t="s">
        <v>927</v>
      </c>
      <c r="B7" s="299" t="s">
        <v>992</v>
      </c>
      <c r="C7" s="1261" t="s">
        <v>14</v>
      </c>
      <c r="D7" s="1262">
        <v>10</v>
      </c>
      <c r="E7" s="98">
        <f t="shared" ref="E7:E10" si="7">$G$1</f>
        <v>140</v>
      </c>
      <c r="F7" s="109">
        <v>1</v>
      </c>
      <c r="G7" s="103">
        <f>D7*($Z$1+$AB$1)</f>
        <v>1400</v>
      </c>
      <c r="H7" s="102">
        <f>G7*F7</f>
        <v>1400</v>
      </c>
      <c r="I7" s="65">
        <f>VLOOKUP(B7,All_Ingredients!$A$1:$F$156,6,FALSE())</f>
        <v>0.5</v>
      </c>
      <c r="J7" s="101">
        <f>VLOOKUP(B7,All_Ingredients!$A$1:$J$156,10,FALSE())</f>
        <v>8.5</v>
      </c>
      <c r="K7" s="104">
        <f t="shared" si="5"/>
        <v>2.8</v>
      </c>
      <c r="L7" s="104">
        <f t="shared" si="6"/>
        <v>23.799999999999997</v>
      </c>
      <c r="M7" s="112"/>
      <c r="AJ7" s="299" t="s">
        <v>101</v>
      </c>
      <c r="AK7" s="106" t="s">
        <v>14</v>
      </c>
      <c r="AL7" s="1262">
        <v>50</v>
      </c>
      <c r="AM7" s="1263">
        <f t="shared" si="2"/>
        <v>1.3528089887640451</v>
      </c>
      <c r="AN7" s="109">
        <v>1</v>
      </c>
      <c r="AO7" s="103">
        <f t="shared" si="3"/>
        <v>67.640449438202253</v>
      </c>
      <c r="AP7" s="102">
        <f t="shared" si="4"/>
        <v>67.640449438202253</v>
      </c>
      <c r="AQ7" s="1018">
        <f>VLOOKUP(AJ7,Marination_Ordering!$A:$J,6,FALSE)</f>
        <v>1</v>
      </c>
      <c r="AR7" s="1018">
        <f>VLOOKUP(AJ7,Marination_Ordering!$A:$J,10,FALSE)</f>
        <v>47</v>
      </c>
      <c r="AS7" s="156">
        <f t="shared" ref="AS7:AS14" si="8">AP7/AQ7</f>
        <v>67.640449438202253</v>
      </c>
      <c r="AT7" s="1018">
        <f t="shared" ref="AT7:AT14" si="9">AR7*(AS7/1000)</f>
        <v>3.179101123595506</v>
      </c>
    </row>
    <row r="8" spans="1:46" ht="14.25" customHeight="1" x14ac:dyDescent="0.25">
      <c r="A8" s="1602"/>
      <c r="B8" s="299" t="s">
        <v>836</v>
      </c>
      <c r="C8" s="106" t="s">
        <v>230</v>
      </c>
      <c r="D8" s="1262">
        <v>1</v>
      </c>
      <c r="E8" s="98">
        <f t="shared" si="7"/>
        <v>140</v>
      </c>
      <c r="F8" s="109">
        <v>1</v>
      </c>
      <c r="G8" s="101">
        <f t="shared" ref="G8" si="10">D8*E8</f>
        <v>140</v>
      </c>
      <c r="H8" s="102">
        <f t="shared" ref="H8:H10" si="11">G8*F8</f>
        <v>140</v>
      </c>
      <c r="I8" s="65">
        <f>VLOOKUP(B8,All_Ingredients!$A$1:$F$156,6,FALSE())</f>
        <v>1</v>
      </c>
      <c r="J8" s="101">
        <f>VLOOKUP(B8,All_Ingredients!$A$1:$J$156,10,FALSE())</f>
        <v>0.58333333333333337</v>
      </c>
      <c r="K8" s="104">
        <f t="shared" si="5"/>
        <v>0.14000000000000001</v>
      </c>
      <c r="L8" s="104">
        <f t="shared" si="6"/>
        <v>8.1666666666666679E-2</v>
      </c>
      <c r="M8" s="112"/>
      <c r="AJ8" s="299" t="s">
        <v>149</v>
      </c>
      <c r="AK8" s="106" t="s">
        <v>14</v>
      </c>
      <c r="AL8" s="1262">
        <v>50</v>
      </c>
      <c r="AM8" s="1263">
        <f t="shared" si="2"/>
        <v>1.3528089887640451</v>
      </c>
      <c r="AN8" s="109">
        <v>1</v>
      </c>
      <c r="AO8" s="103">
        <f t="shared" si="3"/>
        <v>67.640449438202253</v>
      </c>
      <c r="AP8" s="102">
        <f t="shared" si="4"/>
        <v>67.640449438202253</v>
      </c>
      <c r="AQ8" s="1018">
        <f>VLOOKUP(AJ8,Marination_Ordering!$A:$J,6,FALSE)</f>
        <v>1</v>
      </c>
      <c r="AR8" s="1018">
        <f>VLOOKUP(AJ8,Marination_Ordering!$A:$J,10,FALSE)</f>
        <v>10</v>
      </c>
      <c r="AS8" s="156">
        <f t="shared" si="8"/>
        <v>67.640449438202253</v>
      </c>
      <c r="AT8" s="1018">
        <f t="shared" si="9"/>
        <v>0.67640449438202255</v>
      </c>
    </row>
    <row r="9" spans="1:46" ht="14.25" customHeight="1" x14ac:dyDescent="0.25">
      <c r="A9" s="1602" t="s">
        <v>921</v>
      </c>
      <c r="B9" s="299" t="s">
        <v>12</v>
      </c>
      <c r="C9" s="1261" t="s">
        <v>14</v>
      </c>
      <c r="D9" s="1262">
        <v>10</v>
      </c>
      <c r="E9" s="98">
        <f t="shared" si="7"/>
        <v>140</v>
      </c>
      <c r="F9" s="109">
        <v>1</v>
      </c>
      <c r="G9" s="103">
        <f t="shared" ref="G9" si="12">D9*($Z$1+$AB$1)</f>
        <v>1400</v>
      </c>
      <c r="H9" s="102">
        <f t="shared" si="11"/>
        <v>1400</v>
      </c>
      <c r="I9" s="65">
        <f>VLOOKUP(B9,All_Ingredients!$A$1:$F$156,6,FALSE())</f>
        <v>0.9</v>
      </c>
      <c r="J9" s="101">
        <f>VLOOKUP(B9,All_Ingredients!$A$1:$J$156,10,FALSE())</f>
        <v>3</v>
      </c>
      <c r="K9" s="104">
        <f t="shared" si="5"/>
        <v>1.5555555555555554</v>
      </c>
      <c r="L9" s="104">
        <f t="shared" si="6"/>
        <v>4.6666666666666661</v>
      </c>
      <c r="M9" s="112"/>
      <c r="AJ9" s="299" t="s">
        <v>146</v>
      </c>
      <c r="AK9" s="106" t="s">
        <v>14</v>
      </c>
      <c r="AL9" s="1262">
        <v>50</v>
      </c>
      <c r="AM9" s="1263">
        <f t="shared" si="2"/>
        <v>1.3528089887640451</v>
      </c>
      <c r="AN9" s="109">
        <v>1</v>
      </c>
      <c r="AO9" s="103">
        <f t="shared" si="3"/>
        <v>67.640449438202253</v>
      </c>
      <c r="AP9" s="102">
        <f t="shared" si="4"/>
        <v>67.640449438202253</v>
      </c>
      <c r="AQ9" s="1018">
        <f>VLOOKUP(AJ9,Marination_Ordering!$A:$J,6,FALSE)</f>
        <v>1</v>
      </c>
      <c r="AR9" s="1018">
        <f>VLOOKUP(AJ9,Marination_Ordering!$A:$J,10,FALSE)</f>
        <v>12</v>
      </c>
      <c r="AS9" s="156">
        <f t="shared" si="8"/>
        <v>67.640449438202253</v>
      </c>
      <c r="AT9" s="1018">
        <f t="shared" si="9"/>
        <v>0.81168539325842715</v>
      </c>
    </row>
    <row r="10" spans="1:46" ht="14.25" customHeight="1" x14ac:dyDescent="0.25">
      <c r="A10" s="1602" t="s">
        <v>921</v>
      </c>
      <c r="B10" s="106" t="s">
        <v>845</v>
      </c>
      <c r="C10" s="1261" t="s">
        <v>14</v>
      </c>
      <c r="D10" s="1262">
        <v>25</v>
      </c>
      <c r="E10" s="98">
        <f t="shared" si="7"/>
        <v>140</v>
      </c>
      <c r="F10" s="109">
        <v>1</v>
      </c>
      <c r="G10" s="101">
        <f t="shared" ref="G10" si="13">D10*E10</f>
        <v>3500</v>
      </c>
      <c r="H10" s="102">
        <f t="shared" si="11"/>
        <v>3500</v>
      </c>
      <c r="I10" s="65">
        <f>VLOOKUP(B10,All_Ingredients!$A$1:$F$156,6,FALSE())</f>
        <v>0.66</v>
      </c>
      <c r="J10" s="101">
        <f>VLOOKUP(B10,All_Ingredients!$A$1:$J$156,10,FALSE())</f>
        <v>3.5</v>
      </c>
      <c r="K10" s="104">
        <f t="shared" ref="K10" si="14">(H10/I10)/1000</f>
        <v>5.3030303030303028</v>
      </c>
      <c r="L10" s="104">
        <f t="shared" ref="L10" si="15">K10*J10</f>
        <v>18.560606060606059</v>
      </c>
      <c r="M10" s="112"/>
      <c r="AJ10" s="299" t="s">
        <v>202</v>
      </c>
      <c r="AK10" s="106" t="s">
        <v>14</v>
      </c>
      <c r="AL10" s="1262">
        <v>200</v>
      </c>
      <c r="AM10" s="1263">
        <f t="shared" si="2"/>
        <v>1.3528089887640451</v>
      </c>
      <c r="AN10" s="109">
        <v>1</v>
      </c>
      <c r="AO10" s="103">
        <f t="shared" si="3"/>
        <v>270.56179775280901</v>
      </c>
      <c r="AP10" s="102">
        <f t="shared" si="4"/>
        <v>270.56179775280901</v>
      </c>
      <c r="AQ10" s="1018">
        <f>VLOOKUP(AJ10,Marination_Ordering!$A:$J,6,FALSE)</f>
        <v>1</v>
      </c>
      <c r="AR10" s="1018">
        <f>VLOOKUP(AJ10,Marination_Ordering!$A:$J,10,FALSE)</f>
        <v>11.243386243386244</v>
      </c>
      <c r="AS10" s="156">
        <f t="shared" si="8"/>
        <v>270.56179775280901</v>
      </c>
      <c r="AT10" s="1018">
        <f t="shared" si="9"/>
        <v>3.0420307948397842</v>
      </c>
    </row>
    <row r="11" spans="1:46" ht="14.25" customHeight="1" x14ac:dyDescent="0.2">
      <c r="A11" s="1461"/>
      <c r="B11" s="325"/>
      <c r="C11" s="325"/>
      <c r="D11" s="309"/>
      <c r="E11" s="309"/>
      <c r="F11" s="117"/>
      <c r="G11" s="118"/>
      <c r="H11" s="119"/>
      <c r="I11" s="76"/>
      <c r="J11" s="118"/>
      <c r="K11" s="112"/>
      <c r="L11" s="112"/>
      <c r="M11" s="112"/>
      <c r="AJ11" s="299" t="s">
        <v>229</v>
      </c>
      <c r="AK11" s="106" t="s">
        <v>230</v>
      </c>
      <c r="AL11" s="1262">
        <v>10</v>
      </c>
      <c r="AM11" s="1263">
        <f t="shared" si="2"/>
        <v>1.3528089887640451</v>
      </c>
      <c r="AN11" s="109">
        <v>1</v>
      </c>
      <c r="AO11" s="103">
        <f t="shared" si="3"/>
        <v>13.528089887640451</v>
      </c>
      <c r="AP11" s="102">
        <f t="shared" si="4"/>
        <v>13.528089887640451</v>
      </c>
      <c r="AQ11" s="1018">
        <f>VLOOKUP(AJ11,Marination_Ordering!$A:$J,6,FALSE)</f>
        <v>1</v>
      </c>
      <c r="AR11" s="1018">
        <f>VLOOKUP(AJ11,Marination_Ordering!$A:$J,10,FALSE)</f>
        <v>0.43333333333333335</v>
      </c>
      <c r="AS11" s="156">
        <f t="shared" si="8"/>
        <v>13.528089887640451</v>
      </c>
      <c r="AT11" s="1018">
        <f t="shared" si="9"/>
        <v>5.8621722846441959E-3</v>
      </c>
    </row>
    <row r="12" spans="1:46" ht="14.25" customHeight="1" x14ac:dyDescent="0.2">
      <c r="A12" s="1461"/>
      <c r="B12" s="325"/>
      <c r="C12" s="325"/>
      <c r="D12" s="309"/>
      <c r="E12" s="309"/>
      <c r="F12" s="117"/>
      <c r="G12" s="118"/>
      <c r="H12" s="119"/>
      <c r="I12" s="76"/>
      <c r="J12" s="118"/>
      <c r="K12" s="112"/>
      <c r="L12" s="112"/>
      <c r="M12" s="112"/>
      <c r="AJ12" s="299" t="s">
        <v>868</v>
      </c>
      <c r="AK12" s="106" t="s">
        <v>14</v>
      </c>
      <c r="AL12" s="1262">
        <v>600</v>
      </c>
      <c r="AM12" s="1263">
        <f t="shared" si="2"/>
        <v>1.3528089887640451</v>
      </c>
      <c r="AN12" s="109">
        <v>1</v>
      </c>
      <c r="AO12" s="103">
        <f t="shared" si="3"/>
        <v>811.6853932584271</v>
      </c>
      <c r="AP12" s="102">
        <f t="shared" si="4"/>
        <v>811.6853932584271</v>
      </c>
      <c r="AQ12" s="1018">
        <f>VLOOKUP(AJ12,Marination_Ordering!$A:$J,6,FALSE)</f>
        <v>1</v>
      </c>
      <c r="AR12" s="1018">
        <f>VLOOKUP(AJ12,Marination_Ordering!$A:$J,10,FALSE)</f>
        <v>0</v>
      </c>
      <c r="AS12" s="156">
        <f t="shared" si="8"/>
        <v>811.6853932584271</v>
      </c>
      <c r="AT12" s="1018">
        <f t="shared" si="9"/>
        <v>0</v>
      </c>
    </row>
    <row r="13" spans="1:46" ht="14.25" customHeight="1" x14ac:dyDescent="0.2">
      <c r="A13" s="1461"/>
      <c r="B13" s="325"/>
      <c r="C13" s="325"/>
      <c r="D13" s="309"/>
      <c r="E13" s="309"/>
      <c r="F13" s="117"/>
      <c r="G13" s="118"/>
      <c r="H13" s="119"/>
      <c r="I13" s="76"/>
      <c r="J13" s="118"/>
      <c r="K13" s="112"/>
      <c r="L13" s="112"/>
      <c r="M13" s="112"/>
      <c r="AJ13" s="299" t="s">
        <v>188</v>
      </c>
      <c r="AK13" s="106" t="s">
        <v>14</v>
      </c>
      <c r="AL13" s="1262">
        <v>1000</v>
      </c>
      <c r="AM13" s="1263">
        <f t="shared" si="2"/>
        <v>1.3528089887640451</v>
      </c>
      <c r="AN13" s="109">
        <v>1</v>
      </c>
      <c r="AO13" s="103">
        <f t="shared" si="3"/>
        <v>1352.8089887640451</v>
      </c>
      <c r="AP13" s="102">
        <f t="shared" si="4"/>
        <v>1352.8089887640451</v>
      </c>
      <c r="AQ13" s="1018">
        <f>VLOOKUP(AJ13,Marination_Ordering!$A:$J,6,FALSE)</f>
        <v>1</v>
      </c>
      <c r="AR13" s="1018">
        <f>VLOOKUP(AJ13,Marination_Ordering!$A:$J,10,FALSE)</f>
        <v>8.5</v>
      </c>
      <c r="AS13" s="156">
        <f t="shared" si="8"/>
        <v>1352.8089887640451</v>
      </c>
      <c r="AT13" s="1018">
        <f t="shared" si="9"/>
        <v>11.498876404494384</v>
      </c>
    </row>
    <row r="14" spans="1:46" ht="14.25" customHeight="1" x14ac:dyDescent="0.2">
      <c r="A14" s="1461"/>
      <c r="B14" s="325"/>
      <c r="C14" s="325"/>
      <c r="D14" s="309"/>
      <c r="E14" s="309"/>
      <c r="F14" s="117"/>
      <c r="G14" s="118"/>
      <c r="H14" s="119"/>
      <c r="I14" s="76"/>
      <c r="J14" s="118"/>
      <c r="K14" s="112"/>
      <c r="L14" s="112"/>
      <c r="M14" s="112"/>
      <c r="AJ14" s="299" t="s">
        <v>222</v>
      </c>
      <c r="AK14" s="106" t="s">
        <v>14</v>
      </c>
      <c r="AL14" s="1262">
        <v>500</v>
      </c>
      <c r="AM14" s="1263">
        <f>$AO$1</f>
        <v>1.3528089887640451</v>
      </c>
      <c r="AN14" s="109">
        <v>1</v>
      </c>
      <c r="AO14" s="103">
        <f t="shared" si="3"/>
        <v>676.40449438202256</v>
      </c>
      <c r="AP14" s="102">
        <f t="shared" si="4"/>
        <v>676.40449438202256</v>
      </c>
      <c r="AQ14" s="1018">
        <f>VLOOKUP(AJ14,Marination_Ordering!$A:$J,6,FALSE)</f>
        <v>1</v>
      </c>
      <c r="AR14" s="1018">
        <f>VLOOKUP(AJ14,Marination_Ordering!$A:$J,10,FALSE)</f>
        <v>30</v>
      </c>
      <c r="AS14" s="156">
        <f t="shared" si="8"/>
        <v>676.40449438202256</v>
      </c>
      <c r="AT14" s="1018">
        <f t="shared" si="9"/>
        <v>20.292134831460675</v>
      </c>
    </row>
    <row r="15" spans="1:46" ht="14.25" customHeight="1" x14ac:dyDescent="0.2">
      <c r="A15" s="1461"/>
      <c r="B15" s="325"/>
      <c r="C15" s="325"/>
      <c r="D15" s="309"/>
      <c r="E15" s="309"/>
      <c r="F15" s="117"/>
      <c r="G15" s="118"/>
      <c r="H15" s="119"/>
      <c r="I15" s="76"/>
      <c r="J15" s="118"/>
      <c r="K15" s="112"/>
      <c r="L15" s="112"/>
      <c r="M15" s="112"/>
    </row>
    <row r="16" spans="1:46" ht="14.25" customHeight="1" x14ac:dyDescent="0.2">
      <c r="A16" s="1461"/>
      <c r="B16" s="325"/>
      <c r="C16" s="325"/>
      <c r="D16" s="309"/>
      <c r="E16" s="309"/>
      <c r="F16" s="117"/>
      <c r="G16" s="118"/>
      <c r="H16" s="119"/>
      <c r="I16" s="76"/>
      <c r="J16" s="118"/>
      <c r="K16" s="112"/>
      <c r="L16" s="112"/>
      <c r="M16" s="112"/>
    </row>
    <row r="17" spans="1:31" ht="14.25" customHeight="1" x14ac:dyDescent="0.2">
      <c r="A17" s="1461"/>
      <c r="B17" s="376"/>
      <c r="C17" s="376"/>
      <c r="D17" s="309"/>
      <c r="E17" s="309"/>
      <c r="F17" s="117"/>
      <c r="G17" s="118"/>
      <c r="H17" s="119"/>
      <c r="I17" s="76"/>
      <c r="J17" s="118"/>
      <c r="K17" s="112"/>
      <c r="L17" s="112"/>
      <c r="M17" s="112"/>
    </row>
    <row r="18" spans="1:31" ht="14.25" customHeight="1" x14ac:dyDescent="0.2">
      <c r="A18" s="1461"/>
      <c r="B18" s="325"/>
      <c r="C18" s="325"/>
      <c r="D18" s="309"/>
      <c r="E18" s="309"/>
      <c r="F18" s="117"/>
      <c r="G18" s="118"/>
      <c r="H18" s="119"/>
      <c r="I18" s="76"/>
      <c r="J18" s="118"/>
      <c r="K18" s="112"/>
      <c r="L18" s="112"/>
      <c r="M18" s="118"/>
      <c r="N18" s="112"/>
      <c r="O18" s="112"/>
    </row>
    <row r="19" spans="1:31" ht="14.25" customHeight="1" x14ac:dyDescent="0.2">
      <c r="A19" s="1461"/>
      <c r="B19" s="11"/>
      <c r="C19" s="11"/>
      <c r="D19" s="313"/>
      <c r="E19" s="84"/>
      <c r="F19" s="84"/>
      <c r="K19" s="120"/>
      <c r="L19" s="76"/>
      <c r="M19" s="118"/>
      <c r="N19" s="112"/>
      <c r="O19" s="112"/>
    </row>
    <row r="20" spans="1:31" ht="14.25" customHeight="1" x14ac:dyDescent="0.2">
      <c r="A20" s="1461"/>
      <c r="B20" s="11"/>
      <c r="C20" s="312"/>
      <c r="D20" s="313"/>
      <c r="E20" s="84"/>
      <c r="F20" s="84"/>
      <c r="K20" s="120"/>
      <c r="L20" s="76"/>
      <c r="M20" s="118"/>
      <c r="N20" s="112"/>
      <c r="O20" s="112"/>
    </row>
    <row r="21" spans="1:31" ht="12.75" customHeight="1" x14ac:dyDescent="0.2">
      <c r="A21" s="1461"/>
      <c r="B21" s="11"/>
      <c r="C21" s="312"/>
      <c r="D21" s="313"/>
      <c r="E21" s="84"/>
      <c r="F21" s="84"/>
      <c r="K21" s="120"/>
      <c r="L21" s="76"/>
      <c r="M21" s="118"/>
      <c r="N21" s="112"/>
      <c r="O21" s="112"/>
    </row>
    <row r="22" spans="1:31" ht="12.75" customHeight="1" x14ac:dyDescent="0.2">
      <c r="A22" s="1461"/>
      <c r="B22" s="84"/>
      <c r="E22" s="84"/>
      <c r="F22" s="84"/>
      <c r="K22" s="120"/>
      <c r="L22" s="76"/>
      <c r="M22" s="118"/>
      <c r="N22" s="112"/>
      <c r="O22" s="112"/>
    </row>
    <row r="23" spans="1:31" ht="12.75" customHeight="1" x14ac:dyDescent="0.2">
      <c r="A23" s="1461"/>
      <c r="B23" s="84"/>
      <c r="E23" s="84"/>
      <c r="F23" s="84"/>
      <c r="K23" s="120"/>
      <c r="L23" s="76"/>
    </row>
    <row r="24" spans="1:31" ht="12.75" customHeight="1" x14ac:dyDescent="0.2">
      <c r="A24" s="1461"/>
      <c r="Z24" s="1073"/>
    </row>
    <row r="25" spans="1:31" ht="12.75" customHeight="1" x14ac:dyDescent="0.2">
      <c r="A25" s="1461"/>
      <c r="R25" s="1662" t="s">
        <v>872</v>
      </c>
      <c r="S25" s="1633"/>
      <c r="T25" s="1633"/>
      <c r="U25" s="1633"/>
      <c r="V25" s="997"/>
      <c r="Z25" s="122" t="s">
        <v>252</v>
      </c>
      <c r="AA25" s="123">
        <v>1</v>
      </c>
      <c r="AB25" s="122" t="s">
        <v>249</v>
      </c>
      <c r="AC25" s="124">
        <f>AE30*AA25</f>
        <v>2.3305290011295403</v>
      </c>
    </row>
    <row r="26" spans="1:31" ht="12.75" customHeight="1" x14ac:dyDescent="0.2">
      <c r="A26" s="1461"/>
      <c r="R26" s="1646" t="s">
        <v>291</v>
      </c>
      <c r="S26" s="1655"/>
      <c r="T26" s="1655"/>
      <c r="U26" s="1655"/>
      <c r="V26" s="997"/>
    </row>
    <row r="27" spans="1:31" ht="14.25" customHeight="1" thickBot="1" x14ac:dyDescent="0.25">
      <c r="A27" s="1461"/>
      <c r="R27" s="126" t="s">
        <v>254</v>
      </c>
      <c r="S27" s="126" t="s">
        <v>358</v>
      </c>
      <c r="T27" s="126" t="s">
        <v>256</v>
      </c>
      <c r="U27" s="126" t="s">
        <v>262</v>
      </c>
      <c r="V27" s="127" t="s">
        <v>772</v>
      </c>
      <c r="W27" s="127" t="s">
        <v>795</v>
      </c>
      <c r="X27" s="127" t="s">
        <v>794</v>
      </c>
      <c r="Z27" s="122" t="s">
        <v>258</v>
      </c>
      <c r="AA27" s="128" t="s">
        <v>772</v>
      </c>
      <c r="AB27" s="128" t="s">
        <v>259</v>
      </c>
      <c r="AC27" s="128" t="s">
        <v>783</v>
      </c>
      <c r="AD27" s="128" t="s">
        <v>780</v>
      </c>
      <c r="AE27" s="128" t="s">
        <v>262</v>
      </c>
    </row>
    <row r="28" spans="1:31" ht="14.25" customHeight="1" thickBot="1" x14ac:dyDescent="0.25">
      <c r="A28" s="1461"/>
      <c r="M28" s="314"/>
      <c r="R28" s="126" t="s">
        <v>263</v>
      </c>
      <c r="S28" s="1206">
        <f>$Z$1</f>
        <v>135</v>
      </c>
      <c r="T28" s="1216"/>
      <c r="U28" s="1216">
        <f>S28</f>
        <v>135</v>
      </c>
      <c r="V28" s="130">
        <f>SUM(AP5:AP13)</f>
        <v>2705.6179775280903</v>
      </c>
      <c r="W28" s="130">
        <f>SUM(L6)</f>
        <v>8.4000000000000005E-2</v>
      </c>
      <c r="X28" s="130">
        <f>K13</f>
        <v>0</v>
      </c>
      <c r="Z28" s="132"/>
      <c r="AA28" s="1051"/>
      <c r="AB28" s="133">
        <f>AA25*$S$40</f>
        <v>1</v>
      </c>
      <c r="AC28" s="1051"/>
      <c r="AD28" s="1051"/>
      <c r="AE28" s="135">
        <f>SUM(AB28:AB28)</f>
        <v>1</v>
      </c>
    </row>
    <row r="29" spans="1:31" ht="14.25" customHeight="1" thickBot="1" x14ac:dyDescent="0.25">
      <c r="A29" s="1461"/>
      <c r="R29" s="126" t="s">
        <v>264</v>
      </c>
      <c r="S29" s="1224"/>
      <c r="T29" s="315"/>
      <c r="U29" s="1216">
        <f>T29</f>
        <v>0</v>
      </c>
      <c r="V29" s="130"/>
      <c r="W29" s="130"/>
      <c r="X29" s="130"/>
      <c r="Z29" s="132"/>
      <c r="AA29" s="1051"/>
      <c r="AB29" s="137">
        <f>AB28/$AE$28</f>
        <v>1</v>
      </c>
      <c r="AC29" s="1051"/>
      <c r="AD29" s="1051"/>
      <c r="AE29" s="137">
        <f>AE28/$AE$28</f>
        <v>1</v>
      </c>
    </row>
    <row r="30" spans="1:31" ht="14.25" customHeight="1" thickBot="1" x14ac:dyDescent="0.25">
      <c r="A30" s="1461"/>
      <c r="R30" s="126" t="s">
        <v>265</v>
      </c>
      <c r="S30" s="1207">
        <f>$AB$1</f>
        <v>5</v>
      </c>
      <c r="T30" s="1216"/>
      <c r="U30" s="1216"/>
      <c r="V30" s="989"/>
      <c r="W30" s="989"/>
      <c r="X30" s="989"/>
      <c r="Z30" s="122" t="s">
        <v>266</v>
      </c>
      <c r="AA30" s="991">
        <f>V35/$AF$1</f>
        <v>0.13745709101718093</v>
      </c>
      <c r="AB30" s="138">
        <f>S35/(AF1)</f>
        <v>2.0224719101123596</v>
      </c>
      <c r="AC30" s="991">
        <f>W35/AF1</f>
        <v>6.0000000000000006E-4</v>
      </c>
      <c r="AD30" s="991">
        <f>X35/$AF$1</f>
        <v>0.16999999999999998</v>
      </c>
      <c r="AE30" s="1048">
        <f>AB30+AD30+AC30+AA30</f>
        <v>2.3305290011295403</v>
      </c>
    </row>
    <row r="31" spans="1:31" ht="14.25" customHeight="1" thickBot="1" x14ac:dyDescent="0.25">
      <c r="A31" s="1461"/>
      <c r="R31" s="126" t="s">
        <v>267</v>
      </c>
      <c r="S31" s="271" t="s">
        <v>310</v>
      </c>
      <c r="T31" s="315"/>
      <c r="U31" s="315"/>
      <c r="V31" s="130"/>
      <c r="W31" s="130"/>
      <c r="X31" s="130"/>
    </row>
    <row r="32" spans="1:31" ht="14.25" customHeight="1" thickBot="1" x14ac:dyDescent="0.3">
      <c r="A32" s="1461"/>
      <c r="R32" s="127" t="s">
        <v>257</v>
      </c>
      <c r="S32" s="1116">
        <f>S28+S30</f>
        <v>140</v>
      </c>
      <c r="T32" s="316">
        <f>SUM(T28:T30)</f>
        <v>0</v>
      </c>
      <c r="U32" s="316">
        <f>T32+S32</f>
        <v>140</v>
      </c>
      <c r="V32" s="130"/>
      <c r="W32" s="130"/>
      <c r="X32" s="130"/>
    </row>
    <row r="33" spans="1:24" ht="14.25" customHeight="1" thickBot="1" x14ac:dyDescent="0.3">
      <c r="A33" s="1461"/>
      <c r="R33" s="317" t="s">
        <v>254</v>
      </c>
      <c r="S33" s="318"/>
      <c r="T33" s="318">
        <f>F40+F59</f>
        <v>0</v>
      </c>
      <c r="U33" s="319"/>
      <c r="V33" s="136"/>
      <c r="W33" s="136"/>
      <c r="X33" s="136"/>
    </row>
    <row r="34" spans="1:24" ht="14.25" customHeight="1" thickBot="1" x14ac:dyDescent="0.25">
      <c r="A34" s="1461"/>
      <c r="R34" s="159" t="s">
        <v>269</v>
      </c>
      <c r="S34" s="320"/>
      <c r="T34" s="321">
        <f>T33-(T28+T29)</f>
        <v>0</v>
      </c>
      <c r="U34" s="320"/>
      <c r="V34" s="136"/>
      <c r="W34" s="136"/>
      <c r="X34" s="136"/>
    </row>
    <row r="35" spans="1:24" ht="12.75" customHeight="1" thickBot="1" x14ac:dyDescent="0.25">
      <c r="A35" s="1461"/>
      <c r="R35" s="144" t="s">
        <v>249</v>
      </c>
      <c r="S35" s="990">
        <f>L5</f>
        <v>283.14606741573033</v>
      </c>
      <c r="T35" s="990">
        <f>SUM(O6:O19)</f>
        <v>0</v>
      </c>
      <c r="U35" s="1049">
        <f>S35+T35+V35+W35+X35</f>
        <v>326.27406015813568</v>
      </c>
      <c r="V35" s="990">
        <f>SUM(AT6:AT13)</f>
        <v>19.243992742405329</v>
      </c>
      <c r="W35" s="990">
        <f>L6</f>
        <v>8.4000000000000005E-2</v>
      </c>
      <c r="X35" s="990">
        <f>L7</f>
        <v>23.799999999999997</v>
      </c>
    </row>
    <row r="36" spans="1:24" ht="12.75" customHeight="1" x14ac:dyDescent="0.2">
      <c r="A36" s="1461"/>
    </row>
    <row r="37" spans="1:24" ht="12.75" customHeight="1" x14ac:dyDescent="0.2">
      <c r="A37" s="1461"/>
    </row>
    <row r="38" spans="1:24" ht="12.75" customHeight="1" x14ac:dyDescent="0.2">
      <c r="A38" s="1461"/>
    </row>
    <row r="39" spans="1:24" ht="12.75" customHeight="1" x14ac:dyDescent="0.2">
      <c r="A39" s="1461"/>
      <c r="B39" s="84"/>
      <c r="E39" s="84"/>
      <c r="F39" s="84"/>
    </row>
    <row r="40" spans="1:24" ht="46.5" customHeight="1" x14ac:dyDescent="0.2">
      <c r="A40" s="1461"/>
      <c r="B40" s="84"/>
      <c r="C40" s="84"/>
      <c r="D40" s="322"/>
      <c r="E40" s="84"/>
      <c r="F40" s="84"/>
      <c r="G40" s="84"/>
      <c r="H40" s="84"/>
      <c r="I40" s="84"/>
      <c r="J40" s="84"/>
      <c r="R40" s="146" t="s">
        <v>270</v>
      </c>
      <c r="S40" s="147">
        <v>1</v>
      </c>
      <c r="T40" s="146" t="s">
        <v>271</v>
      </c>
      <c r="U40" s="148">
        <v>0</v>
      </c>
      <c r="V40" s="149">
        <f>S40+U40</f>
        <v>1</v>
      </c>
    </row>
    <row r="41" spans="1:24" ht="18" customHeight="1" x14ac:dyDescent="0.2">
      <c r="A41" s="1461"/>
      <c r="B41" s="84"/>
      <c r="C41" s="84"/>
      <c r="D41" s="84"/>
      <c r="E41" s="84"/>
      <c r="F41" s="84"/>
      <c r="G41" s="84"/>
      <c r="H41" s="84"/>
      <c r="I41" s="84"/>
      <c r="J41" s="84"/>
      <c r="U41" s="150"/>
    </row>
    <row r="42" spans="1:24" ht="18" customHeight="1" x14ac:dyDescent="0.2">
      <c r="A42" s="1461"/>
      <c r="B42" s="1671"/>
      <c r="C42" s="1655"/>
      <c r="D42" s="1655"/>
      <c r="E42" s="1655"/>
      <c r="F42" s="1655"/>
      <c r="G42" s="1655"/>
      <c r="H42" s="1655"/>
      <c r="I42" s="1655"/>
      <c r="J42" s="1655"/>
    </row>
    <row r="43" spans="1:24" ht="12.75" customHeight="1" x14ac:dyDescent="0.2">
      <c r="A43" s="1461"/>
      <c r="B43" s="1660"/>
      <c r="C43" s="1655"/>
      <c r="D43" s="1655"/>
      <c r="E43" s="1655"/>
      <c r="F43" s="1655"/>
      <c r="G43" s="1655"/>
      <c r="H43" s="1655"/>
      <c r="I43" s="1655"/>
      <c r="J43" s="1655"/>
      <c r="Q43" s="151" t="s">
        <v>272</v>
      </c>
      <c r="R43" s="151" t="s">
        <v>273</v>
      </c>
      <c r="S43" s="151" t="s">
        <v>274</v>
      </c>
      <c r="T43" s="151" t="s">
        <v>275</v>
      </c>
      <c r="U43" s="151" t="s">
        <v>276</v>
      </c>
      <c r="V43" s="151" t="s">
        <v>277</v>
      </c>
      <c r="W43" s="151" t="s">
        <v>278</v>
      </c>
    </row>
    <row r="44" spans="1:24" ht="14.25" customHeight="1" x14ac:dyDescent="0.2">
      <c r="A44" s="1461"/>
      <c r="B44" s="323"/>
      <c r="C44" s="324"/>
      <c r="D44" s="323"/>
      <c r="E44" s="323"/>
      <c r="F44" s="323"/>
      <c r="G44" s="323"/>
      <c r="H44" s="323"/>
      <c r="I44" s="323"/>
      <c r="J44" s="323"/>
      <c r="Q44" s="153">
        <v>18841</v>
      </c>
      <c r="R44" s="154">
        <f>E51</f>
        <v>0</v>
      </c>
      <c r="S44" s="155">
        <v>0</v>
      </c>
      <c r="T44" s="155">
        <v>0</v>
      </c>
      <c r="U44" s="220">
        <f>R44*S44</f>
        <v>0</v>
      </c>
      <c r="V44" s="157">
        <f>R44*T44</f>
        <v>0</v>
      </c>
      <c r="W44" s="157">
        <f>Q44-U44</f>
        <v>18841</v>
      </c>
    </row>
    <row r="45" spans="1:24" ht="14.25" customHeight="1" x14ac:dyDescent="0.2">
      <c r="A45" s="1461"/>
      <c r="B45" s="325"/>
      <c r="C45" s="325"/>
      <c r="D45" s="309"/>
      <c r="E45" s="309"/>
      <c r="F45" s="117"/>
      <c r="G45" s="118"/>
      <c r="H45" s="119"/>
      <c r="I45" s="76"/>
      <c r="J45" s="120"/>
    </row>
    <row r="46" spans="1:24" ht="14.25" customHeight="1" x14ac:dyDescent="0.2">
      <c r="A46" s="1461"/>
      <c r="B46" s="325"/>
      <c r="C46" s="325"/>
      <c r="D46" s="309"/>
      <c r="E46" s="309"/>
      <c r="F46" s="117"/>
      <c r="G46" s="118"/>
      <c r="H46" s="119"/>
      <c r="I46" s="76"/>
      <c r="J46" s="120"/>
    </row>
    <row r="47" spans="1:24" ht="14.25" customHeight="1" x14ac:dyDescent="0.2">
      <c r="A47" s="1461"/>
      <c r="B47" s="325"/>
      <c r="C47" s="325"/>
      <c r="D47" s="309"/>
      <c r="E47" s="309"/>
      <c r="F47" s="117"/>
      <c r="G47" s="118"/>
      <c r="H47" s="119"/>
      <c r="I47" s="76"/>
      <c r="J47" s="120"/>
    </row>
    <row r="48" spans="1:24" ht="14.25" customHeight="1" x14ac:dyDescent="0.2">
      <c r="A48" s="1461"/>
      <c r="B48" s="325"/>
      <c r="C48" s="325"/>
      <c r="D48" s="309"/>
      <c r="E48" s="309"/>
      <c r="F48" s="117"/>
      <c r="G48" s="118"/>
      <c r="H48" s="119"/>
      <c r="I48" s="76"/>
      <c r="J48" s="120"/>
    </row>
    <row r="49" spans="1:14" ht="14.25" customHeight="1" x14ac:dyDescent="0.2">
      <c r="A49" s="1461"/>
      <c r="B49" s="325"/>
      <c r="C49" s="325"/>
      <c r="D49" s="309"/>
      <c r="E49" s="309"/>
      <c r="F49" s="117"/>
      <c r="G49" s="118"/>
      <c r="H49" s="119"/>
      <c r="I49" s="76"/>
      <c r="J49" s="120"/>
    </row>
    <row r="50" spans="1:14" ht="14.25" customHeight="1" x14ac:dyDescent="0.2">
      <c r="A50" s="1461"/>
      <c r="B50" s="326"/>
      <c r="C50" s="159" t="s">
        <v>233</v>
      </c>
      <c r="D50" s="159" t="s">
        <v>279</v>
      </c>
      <c r="E50" s="84"/>
      <c r="F50" s="84"/>
      <c r="G50" s="126" t="s">
        <v>280</v>
      </c>
      <c r="H50" s="126" t="s">
        <v>233</v>
      </c>
      <c r="I50" s="159" t="s">
        <v>281</v>
      </c>
      <c r="J50" s="159" t="s">
        <v>282</v>
      </c>
    </row>
    <row r="51" spans="1:14" ht="14.25" customHeight="1" x14ac:dyDescent="0.2">
      <c r="A51" s="1461"/>
      <c r="B51" s="161" t="s">
        <v>283</v>
      </c>
      <c r="C51" s="162">
        <f>10/$K$1</f>
        <v>10</v>
      </c>
      <c r="D51" s="163">
        <f>$C$1*10</f>
        <v>10</v>
      </c>
      <c r="E51" s="164"/>
      <c r="F51" s="84"/>
      <c r="G51" s="161" t="s">
        <v>283</v>
      </c>
      <c r="H51" s="254">
        <f>I51/$D$5</f>
        <v>188.41</v>
      </c>
      <c r="I51" s="162">
        <f>J51/$R$1</f>
        <v>21169.662921348314</v>
      </c>
      <c r="J51" s="162">
        <f>$W$44</f>
        <v>18841</v>
      </c>
    </row>
    <row r="52" spans="1:14" ht="14.25" customHeight="1" x14ac:dyDescent="0.2">
      <c r="A52" s="1461"/>
      <c r="B52" s="209" t="s">
        <v>262</v>
      </c>
      <c r="C52" s="210">
        <f>$I$1</f>
        <v>0</v>
      </c>
      <c r="D52" s="211">
        <f>$E$1</f>
        <v>140</v>
      </c>
      <c r="E52" s="84"/>
      <c r="F52" s="84"/>
      <c r="G52" s="129" t="s">
        <v>262</v>
      </c>
      <c r="H52" s="97">
        <f>I52/$D$5</f>
        <v>112</v>
      </c>
      <c r="I52" s="157">
        <f>J52/$R$1</f>
        <v>12584.269662921348</v>
      </c>
      <c r="J52" s="165">
        <f>$U$32*$T$1*0.8</f>
        <v>11200</v>
      </c>
    </row>
    <row r="53" spans="1:14" ht="14.25" customHeight="1" x14ac:dyDescent="0.2">
      <c r="A53" s="1461"/>
      <c r="B53" s="209" t="s">
        <v>284</v>
      </c>
      <c r="C53" s="212">
        <f>MIN(C52, C51)</f>
        <v>0</v>
      </c>
      <c r="D53" s="211">
        <f>(C53*$K$1)*$C$1</f>
        <v>0</v>
      </c>
      <c r="E53" s="84"/>
      <c r="F53" s="84"/>
      <c r="G53" s="129" t="s">
        <v>284</v>
      </c>
      <c r="H53" s="168">
        <f>MIN(H52,H51)</f>
        <v>112</v>
      </c>
      <c r="I53" s="157">
        <f>J53/$R$1</f>
        <v>12584.269662921348</v>
      </c>
      <c r="J53" s="157">
        <f>MIN(J52,J51)</f>
        <v>11200</v>
      </c>
    </row>
    <row r="54" spans="1:14" ht="14.25" customHeight="1" x14ac:dyDescent="0.2">
      <c r="A54" s="1461"/>
      <c r="B54" s="209" t="s">
        <v>285</v>
      </c>
      <c r="C54" s="212">
        <f>MIN(MAX(C52-C53,0),C51)</f>
        <v>0</v>
      </c>
      <c r="D54" s="211">
        <f>(C54*$K$1)*$C$1</f>
        <v>0</v>
      </c>
      <c r="E54" s="84"/>
      <c r="F54" s="84"/>
      <c r="G54" s="129" t="s">
        <v>285</v>
      </c>
      <c r="H54" s="168">
        <f>MIN(MAX(H52-H53),H51)</f>
        <v>0</v>
      </c>
      <c r="I54" s="157">
        <f>J54/$R$1</f>
        <v>0</v>
      </c>
      <c r="J54" s="157">
        <f>MIN(MAX(J52-J53),J51)</f>
        <v>0</v>
      </c>
    </row>
    <row r="55" spans="1:14" ht="14.25" customHeight="1" x14ac:dyDescent="0.2">
      <c r="A55" s="1461"/>
      <c r="B55" s="209" t="s">
        <v>286</v>
      </c>
      <c r="C55" s="212">
        <f>MIN(MAX(C52-C53-C54,0),C51)</f>
        <v>0</v>
      </c>
      <c r="D55" s="211">
        <f>(C55*$K$1)*$C$1</f>
        <v>0</v>
      </c>
      <c r="E55" s="84"/>
      <c r="F55" s="84"/>
      <c r="G55" s="126" t="s">
        <v>286</v>
      </c>
      <c r="H55" s="168">
        <f>MIN(MAX(H52-H53-H54),H51)</f>
        <v>0</v>
      </c>
      <c r="I55" s="157">
        <f>J55/$R$1</f>
        <v>0</v>
      </c>
      <c r="J55" s="157">
        <f>MIN(MAX(J52-J53-J54),J51)</f>
        <v>0</v>
      </c>
    </row>
    <row r="56" spans="1:14" ht="14.25" customHeight="1" x14ac:dyDescent="0.2">
      <c r="A56" s="1461"/>
    </row>
    <row r="57" spans="1:14" ht="18" customHeight="1" x14ac:dyDescent="0.2">
      <c r="A57" s="1461"/>
    </row>
    <row r="58" spans="1:14" ht="12.75" customHeight="1" x14ac:dyDescent="0.2">
      <c r="A58" s="1461"/>
      <c r="B58" s="1660"/>
      <c r="C58" s="1655"/>
      <c r="D58" s="1655"/>
      <c r="E58" s="1655"/>
      <c r="F58" s="1655"/>
      <c r="G58" s="1655"/>
      <c r="H58" s="1655"/>
      <c r="I58" s="1655"/>
      <c r="J58" s="1655"/>
    </row>
    <row r="59" spans="1:14" ht="14.25" customHeight="1" x14ac:dyDescent="0.2">
      <c r="A59" s="1461"/>
      <c r="B59" s="323"/>
      <c r="C59" s="324"/>
      <c r="D59" s="323"/>
      <c r="E59" s="323"/>
      <c r="F59" s="323"/>
      <c r="G59" s="323"/>
      <c r="H59" s="323"/>
      <c r="I59" s="323"/>
      <c r="J59" s="323"/>
    </row>
    <row r="60" spans="1:14" ht="14.25" customHeight="1" x14ac:dyDescent="0.2">
      <c r="A60" s="1461"/>
      <c r="B60" s="325"/>
      <c r="C60" s="325"/>
      <c r="D60" s="325"/>
      <c r="E60" s="309"/>
      <c r="F60" s="117"/>
      <c r="G60" s="118"/>
      <c r="H60" s="119"/>
      <c r="I60" s="76"/>
      <c r="J60" s="120"/>
    </row>
    <row r="61" spans="1:14" ht="14.25" customHeight="1" x14ac:dyDescent="0.2">
      <c r="A61" s="1461"/>
      <c r="B61" s="325"/>
      <c r="C61" s="325"/>
      <c r="D61" s="325"/>
      <c r="E61" s="309"/>
      <c r="F61" s="117"/>
      <c r="G61" s="118"/>
      <c r="H61" s="119"/>
      <c r="I61" s="76"/>
      <c r="J61" s="120"/>
    </row>
    <row r="62" spans="1:14" ht="18" customHeight="1" x14ac:dyDescent="0.2">
      <c r="A62" s="1464"/>
      <c r="B62" s="1642"/>
      <c r="C62" s="1656"/>
      <c r="D62" s="1656"/>
      <c r="E62" s="1656"/>
      <c r="F62" s="1656"/>
      <c r="G62" s="1656"/>
      <c r="H62" s="1656"/>
    </row>
    <row r="63" spans="1:14" ht="14.25" x14ac:dyDescent="0.2">
      <c r="A63" s="1464"/>
      <c r="B63" s="1636" t="s">
        <v>872</v>
      </c>
      <c r="C63" s="1637"/>
      <c r="D63" s="1637"/>
      <c r="E63" s="1637"/>
      <c r="F63" s="1637"/>
      <c r="G63" s="1637"/>
      <c r="H63" s="1637"/>
    </row>
    <row r="64" spans="1:14" ht="39" customHeight="1" x14ac:dyDescent="0.2">
      <c r="A64" s="1457"/>
      <c r="B64" s="221" t="s">
        <v>241</v>
      </c>
      <c r="C64" s="222" t="s">
        <v>242</v>
      </c>
      <c r="D64" s="223" t="s">
        <v>231</v>
      </c>
      <c r="E64" s="197" t="s">
        <v>234</v>
      </c>
      <c r="F64" s="197" t="s">
        <v>243</v>
      </c>
      <c r="G64" s="223" t="s">
        <v>244</v>
      </c>
      <c r="H64" s="197" t="s">
        <v>245</v>
      </c>
      <c r="M64" s="112"/>
      <c r="N64" s="112"/>
    </row>
    <row r="65" spans="1:12" ht="14.25" customHeight="1" x14ac:dyDescent="0.2">
      <c r="A65" s="1460"/>
      <c r="B65" s="299" t="str">
        <f t="shared" ref="B65:D70" si="16">B5</f>
        <v>Chicken Minced - دجاج مفروم</v>
      </c>
      <c r="C65" s="20" t="str">
        <f t="shared" si="16"/>
        <v>gm</v>
      </c>
      <c r="D65" s="717">
        <f t="shared" si="16"/>
        <v>112.35955056179775</v>
      </c>
      <c r="E65" s="98">
        <f>$D$52</f>
        <v>140</v>
      </c>
      <c r="F65" s="109">
        <f>F5</f>
        <v>1</v>
      </c>
      <c r="G65" s="103">
        <f>D65*E65</f>
        <v>15730.337078651684</v>
      </c>
      <c r="H65" s="102">
        <f>G65*F65</f>
        <v>15730.337078651684</v>
      </c>
      <c r="I65" s="76"/>
      <c r="J65" s="118"/>
      <c r="K65" s="76"/>
      <c r="L65" s="118"/>
    </row>
    <row r="66" spans="1:12" ht="14.25" customHeight="1" x14ac:dyDescent="0.2">
      <c r="A66" s="1460"/>
      <c r="B66" s="299" t="str">
        <f t="shared" si="16"/>
        <v>Whole Wheat Burger Buns 70gm - خبز برجر بني</v>
      </c>
      <c r="C66" s="20" t="str">
        <f t="shared" si="16"/>
        <v>Piece</v>
      </c>
      <c r="D66" s="717">
        <f t="shared" si="16"/>
        <v>1</v>
      </c>
      <c r="E66" s="98">
        <f t="shared" ref="E66:E70" si="17">$D$52</f>
        <v>140</v>
      </c>
      <c r="F66" s="109">
        <f t="shared" ref="F66:F70" si="18">F6</f>
        <v>1</v>
      </c>
      <c r="G66" s="103">
        <f t="shared" ref="G66:G70" si="19">D66*E66</f>
        <v>140</v>
      </c>
      <c r="H66" s="102">
        <f t="shared" ref="H66:H67" si="20">G66*F66</f>
        <v>140</v>
      </c>
    </row>
    <row r="67" spans="1:12" ht="14.25" customHeight="1" x14ac:dyDescent="0.2">
      <c r="A67" s="1461"/>
      <c r="B67" s="299" t="str">
        <f t="shared" si="16"/>
        <v>Iceberg Lettuce - خس مدور أمريكى</v>
      </c>
      <c r="C67" s="20" t="str">
        <f t="shared" si="16"/>
        <v>gm</v>
      </c>
      <c r="D67" s="717">
        <f t="shared" si="16"/>
        <v>10</v>
      </c>
      <c r="E67" s="98">
        <f t="shared" si="17"/>
        <v>140</v>
      </c>
      <c r="F67" s="109">
        <f t="shared" si="18"/>
        <v>1</v>
      </c>
      <c r="G67" s="103">
        <f t="shared" si="19"/>
        <v>1400</v>
      </c>
      <c r="H67" s="102">
        <f t="shared" si="20"/>
        <v>1400</v>
      </c>
    </row>
    <row r="68" spans="1:12" ht="24.75" customHeight="1" x14ac:dyDescent="0.25">
      <c r="A68" s="1458"/>
      <c r="B68" s="299" t="str">
        <f t="shared" si="16"/>
        <v>Sliced cheese - جبنة شرائح</v>
      </c>
      <c r="C68" s="20" t="str">
        <f t="shared" si="16"/>
        <v>Piece</v>
      </c>
      <c r="D68" s="717">
        <f t="shared" si="16"/>
        <v>1</v>
      </c>
      <c r="E68" s="98">
        <f t="shared" si="17"/>
        <v>140</v>
      </c>
      <c r="F68" s="109">
        <f t="shared" si="18"/>
        <v>1</v>
      </c>
      <c r="G68" s="103">
        <f t="shared" si="19"/>
        <v>140</v>
      </c>
      <c r="H68" s="102">
        <f>G68*F68</f>
        <v>140</v>
      </c>
    </row>
    <row r="69" spans="1:12" ht="21" customHeight="1" x14ac:dyDescent="0.25">
      <c r="A69" s="1458"/>
      <c r="B69" s="299" t="str">
        <f t="shared" si="16"/>
        <v>Onion - بصل</v>
      </c>
      <c r="C69" s="20" t="str">
        <f t="shared" si="16"/>
        <v>gm</v>
      </c>
      <c r="D69" s="717">
        <f t="shared" si="16"/>
        <v>10</v>
      </c>
      <c r="E69" s="98">
        <f t="shared" si="17"/>
        <v>140</v>
      </c>
      <c r="F69" s="109">
        <f t="shared" si="18"/>
        <v>1</v>
      </c>
      <c r="G69" s="103">
        <f t="shared" si="19"/>
        <v>1400</v>
      </c>
      <c r="H69" s="102">
        <f t="shared" ref="H69:H70" si="21">G69*F69</f>
        <v>1400</v>
      </c>
    </row>
    <row r="70" spans="1:12" ht="20.25" customHeight="1" x14ac:dyDescent="0.2">
      <c r="A70" s="1461"/>
      <c r="B70" s="299" t="str">
        <f t="shared" si="16"/>
        <v>Sliced tomato - طماطم شرائح</v>
      </c>
      <c r="C70" s="20" t="str">
        <f t="shared" si="16"/>
        <v>gm</v>
      </c>
      <c r="D70" s="717">
        <f t="shared" si="16"/>
        <v>25</v>
      </c>
      <c r="E70" s="98">
        <f t="shared" si="17"/>
        <v>140</v>
      </c>
      <c r="F70" s="109">
        <f t="shared" si="18"/>
        <v>1</v>
      </c>
      <c r="G70" s="103">
        <f t="shared" si="19"/>
        <v>3500</v>
      </c>
      <c r="H70" s="102">
        <f t="shared" si="21"/>
        <v>3500</v>
      </c>
    </row>
    <row r="71" spans="1:12" ht="14.25" customHeight="1" x14ac:dyDescent="0.2">
      <c r="A71" s="1461"/>
      <c r="B71" s="178" t="s">
        <v>287</v>
      </c>
      <c r="C71" s="851" t="s">
        <v>273</v>
      </c>
      <c r="D71" s="850"/>
      <c r="E71" s="851" t="s">
        <v>288</v>
      </c>
      <c r="F71" s="850"/>
      <c r="G71" s="852" t="s">
        <v>264</v>
      </c>
      <c r="H71" s="852" t="s">
        <v>673</v>
      </c>
    </row>
    <row r="72" spans="1:12" ht="24.75" customHeight="1" x14ac:dyDescent="0.3">
      <c r="A72" s="1461"/>
      <c r="B72" s="179">
        <f>$J$53</f>
        <v>11200</v>
      </c>
      <c r="C72" s="179">
        <f>E72+G72</f>
        <v>0</v>
      </c>
      <c r="D72" s="839"/>
      <c r="E72" s="179">
        <f>$C$53*$S$44</f>
        <v>0</v>
      </c>
      <c r="F72" s="843"/>
      <c r="G72" s="179">
        <f>$D$53*$T$44</f>
        <v>0</v>
      </c>
      <c r="H72" s="179">
        <f>B72+E72</f>
        <v>11200</v>
      </c>
    </row>
    <row r="73" spans="1:12" ht="14.25" customHeight="1" x14ac:dyDescent="0.2">
      <c r="A73" s="1461"/>
      <c r="E73" s="84"/>
      <c r="F73" s="84"/>
    </row>
    <row r="74" spans="1:12" ht="12.75" customHeight="1" x14ac:dyDescent="0.2">
      <c r="A74" s="1461"/>
      <c r="B74" s="84"/>
      <c r="E74" s="84"/>
      <c r="F74" s="84"/>
    </row>
    <row r="75" spans="1:12" x14ac:dyDescent="0.2">
      <c r="A75" s="1461"/>
      <c r="B75" s="84"/>
      <c r="E75" s="84"/>
      <c r="F75" s="84"/>
    </row>
    <row r="76" spans="1:12" ht="12.75" customHeight="1" x14ac:dyDescent="0.2">
      <c r="A76" s="1461"/>
      <c r="B76" s="84"/>
      <c r="E76" s="84"/>
      <c r="F76" s="84"/>
    </row>
    <row r="77" spans="1:12" ht="12.75" customHeight="1" x14ac:dyDescent="0.2">
      <c r="A77" s="1461"/>
      <c r="B77" s="84"/>
    </row>
    <row r="78" spans="1:12" ht="12.75" customHeight="1" x14ac:dyDescent="0.2">
      <c r="A78" s="1461"/>
    </row>
    <row r="79" spans="1:12" ht="12.75" customHeight="1" x14ac:dyDescent="0.2">
      <c r="A79" s="1461"/>
      <c r="E79" s="84"/>
      <c r="F79" s="84"/>
    </row>
    <row r="80" spans="1:12" ht="12.75" customHeight="1" x14ac:dyDescent="0.2">
      <c r="A80" s="1461"/>
      <c r="E80" s="84"/>
      <c r="F80" s="84"/>
    </row>
    <row r="81" spans="1:6" ht="12.75" customHeight="1" x14ac:dyDescent="0.2">
      <c r="A81" s="1461"/>
      <c r="B81" s="84"/>
      <c r="E81" s="84"/>
      <c r="F81" s="84"/>
    </row>
    <row r="82" spans="1:6" ht="12.75" customHeight="1" x14ac:dyDescent="0.2">
      <c r="A82" s="1461"/>
      <c r="B82" s="84"/>
      <c r="E82" s="84"/>
      <c r="F82" s="84"/>
    </row>
    <row r="83" spans="1:6" ht="12.75" customHeight="1" x14ac:dyDescent="0.2">
      <c r="A83" s="1461"/>
      <c r="B83" s="84"/>
      <c r="E83" s="84"/>
      <c r="F83" s="84"/>
    </row>
    <row r="84" spans="1:6" ht="12.75" customHeight="1" x14ac:dyDescent="0.2">
      <c r="A84" s="1461"/>
      <c r="B84" s="84"/>
      <c r="E84" s="84"/>
      <c r="F84" s="84"/>
    </row>
    <row r="85" spans="1:6" ht="12.75" customHeight="1" x14ac:dyDescent="0.2">
      <c r="A85" s="1461"/>
      <c r="B85" s="84"/>
      <c r="E85" s="84"/>
      <c r="F85" s="84"/>
    </row>
    <row r="86" spans="1:6" ht="12.75" customHeight="1" x14ac:dyDescent="0.2">
      <c r="A86" s="1461"/>
      <c r="B86" s="84"/>
      <c r="E86" s="84"/>
      <c r="F86" s="84"/>
    </row>
    <row r="87" spans="1:6" ht="12.75" customHeight="1" x14ac:dyDescent="0.2">
      <c r="A87" s="1461"/>
      <c r="B87" s="84"/>
      <c r="E87" s="84"/>
      <c r="F87" s="84"/>
    </row>
    <row r="88" spans="1:6" ht="12.75" customHeight="1" x14ac:dyDescent="0.2">
      <c r="A88" s="1461"/>
      <c r="B88" s="84"/>
      <c r="E88" s="84"/>
      <c r="F88" s="84"/>
    </row>
    <row r="89" spans="1:6" ht="12.75" customHeight="1" x14ac:dyDescent="0.2">
      <c r="A89" s="1461"/>
      <c r="B89" s="84"/>
      <c r="E89" s="84"/>
      <c r="F89" s="84"/>
    </row>
    <row r="90" spans="1:6" ht="12.75" customHeight="1" x14ac:dyDescent="0.2">
      <c r="A90" s="1461"/>
      <c r="B90" s="84"/>
      <c r="E90" s="84"/>
      <c r="F90" s="84"/>
    </row>
    <row r="91" spans="1:6" ht="12.75" customHeight="1" x14ac:dyDescent="0.2">
      <c r="A91" s="1461"/>
      <c r="B91" s="84"/>
      <c r="E91" s="84"/>
      <c r="F91" s="84"/>
    </row>
    <row r="92" spans="1:6" ht="12.75" customHeight="1" x14ac:dyDescent="0.2">
      <c r="A92" s="1461"/>
      <c r="B92" s="84"/>
      <c r="E92" s="84"/>
      <c r="F92" s="84"/>
    </row>
    <row r="93" spans="1:6" ht="12.75" customHeight="1" x14ac:dyDescent="0.2">
      <c r="A93" s="1461"/>
      <c r="B93" s="84"/>
      <c r="E93" s="84"/>
      <c r="F93" s="84"/>
    </row>
    <row r="94" spans="1:6" ht="12.75" customHeight="1" x14ac:dyDescent="0.2">
      <c r="A94" s="1461"/>
      <c r="B94" s="84"/>
      <c r="E94" s="84"/>
      <c r="F94" s="84"/>
    </row>
    <row r="95" spans="1:6" ht="12.75" customHeight="1" x14ac:dyDescent="0.2">
      <c r="A95" s="1461"/>
      <c r="B95" s="84"/>
      <c r="E95" s="84"/>
      <c r="F95" s="84"/>
    </row>
    <row r="96" spans="1:6" ht="12.75" customHeight="1" x14ac:dyDescent="0.2">
      <c r="A96" s="1461"/>
      <c r="B96" s="84"/>
      <c r="E96" s="84"/>
      <c r="F96" s="84"/>
    </row>
    <row r="97" spans="1:6" ht="12.75" customHeight="1" x14ac:dyDescent="0.2">
      <c r="A97" s="1461"/>
      <c r="B97" s="84"/>
      <c r="E97" s="84"/>
      <c r="F97" s="84"/>
    </row>
    <row r="98" spans="1:6" ht="12.75" customHeight="1" x14ac:dyDescent="0.2">
      <c r="A98" s="1461"/>
      <c r="B98" s="84"/>
      <c r="E98" s="84"/>
      <c r="F98" s="84"/>
    </row>
    <row r="99" spans="1:6" ht="12.75" customHeight="1" x14ac:dyDescent="0.2">
      <c r="A99" s="1461"/>
      <c r="B99" s="84"/>
      <c r="E99" s="84"/>
      <c r="F99" s="84"/>
    </row>
    <row r="100" spans="1:6" ht="12.75" customHeight="1" x14ac:dyDescent="0.2">
      <c r="A100" s="1461"/>
      <c r="B100" s="84"/>
      <c r="E100" s="84"/>
      <c r="F100" s="84"/>
    </row>
    <row r="101" spans="1:6" ht="12.75" customHeight="1" x14ac:dyDescent="0.2">
      <c r="A101" s="1461"/>
      <c r="B101" s="84"/>
      <c r="E101" s="84"/>
      <c r="F101" s="84"/>
    </row>
    <row r="102" spans="1:6" ht="12.75" customHeight="1" x14ac:dyDescent="0.2">
      <c r="A102" s="1461"/>
      <c r="B102" s="84"/>
      <c r="E102" s="84"/>
      <c r="F102" s="84"/>
    </row>
    <row r="103" spans="1:6" ht="12.75" customHeight="1" x14ac:dyDescent="0.2">
      <c r="A103" s="1461"/>
      <c r="B103" s="84"/>
      <c r="E103" s="84"/>
      <c r="F103" s="84"/>
    </row>
    <row r="104" spans="1:6" ht="12.75" customHeight="1" x14ac:dyDescent="0.2">
      <c r="A104" s="1461"/>
      <c r="B104" s="84"/>
      <c r="E104" s="84"/>
      <c r="F104" s="84"/>
    </row>
    <row r="105" spans="1:6" ht="12.75" customHeight="1" x14ac:dyDescent="0.2">
      <c r="A105" s="1461"/>
      <c r="B105" s="84"/>
      <c r="E105" s="84"/>
      <c r="F105" s="84"/>
    </row>
    <row r="106" spans="1:6" ht="12.75" customHeight="1" x14ac:dyDescent="0.2">
      <c r="A106" s="1461"/>
      <c r="B106" s="84"/>
      <c r="E106" s="84"/>
      <c r="F106" s="84"/>
    </row>
    <row r="107" spans="1:6" ht="12.75" customHeight="1" x14ac:dyDescent="0.2">
      <c r="A107" s="1461"/>
      <c r="B107" s="84"/>
      <c r="E107" s="84"/>
      <c r="F107" s="84"/>
    </row>
    <row r="108" spans="1:6" ht="12.75" customHeight="1" x14ac:dyDescent="0.2">
      <c r="A108" s="1461"/>
      <c r="B108" s="84"/>
      <c r="E108" s="84"/>
      <c r="F108" s="84"/>
    </row>
    <row r="109" spans="1:6" ht="12.75" customHeight="1" x14ac:dyDescent="0.2">
      <c r="A109" s="1461"/>
      <c r="B109" s="84"/>
      <c r="E109" s="84"/>
      <c r="F109" s="84"/>
    </row>
    <row r="110" spans="1:6" ht="12.75" customHeight="1" x14ac:dyDescent="0.2">
      <c r="A110" s="1461"/>
      <c r="B110" s="84"/>
      <c r="E110" s="84"/>
      <c r="F110" s="84"/>
    </row>
    <row r="111" spans="1:6" ht="12.75" customHeight="1" x14ac:dyDescent="0.2">
      <c r="A111" s="1461"/>
      <c r="B111" s="84"/>
      <c r="E111" s="84"/>
      <c r="F111" s="84"/>
    </row>
    <row r="112" spans="1:6" ht="12.75" customHeight="1" x14ac:dyDescent="0.2">
      <c r="A112" s="1461"/>
      <c r="B112" s="84"/>
      <c r="E112" s="84"/>
      <c r="F112" s="84"/>
    </row>
    <row r="113" spans="1:6" ht="12.75" customHeight="1" x14ac:dyDescent="0.2">
      <c r="A113" s="1461"/>
      <c r="B113" s="84"/>
      <c r="E113" s="84"/>
      <c r="F113" s="84"/>
    </row>
    <row r="114" spans="1:6" ht="12.75" customHeight="1" x14ac:dyDescent="0.2">
      <c r="A114" s="1461"/>
      <c r="B114" s="84"/>
      <c r="E114" s="84"/>
      <c r="F114" s="84"/>
    </row>
    <row r="115" spans="1:6" ht="12.75" customHeight="1" x14ac:dyDescent="0.2">
      <c r="A115" s="1461"/>
      <c r="B115" s="84"/>
      <c r="E115" s="84"/>
      <c r="F115" s="84"/>
    </row>
    <row r="116" spans="1:6" ht="12.75" customHeight="1" x14ac:dyDescent="0.2">
      <c r="A116" s="1461"/>
      <c r="B116" s="84"/>
      <c r="E116" s="84"/>
      <c r="F116" s="84"/>
    </row>
    <row r="117" spans="1:6" ht="12.75" customHeight="1" x14ac:dyDescent="0.2">
      <c r="A117" s="1461"/>
      <c r="B117" s="84"/>
      <c r="E117" s="84"/>
      <c r="F117" s="84"/>
    </row>
    <row r="118" spans="1:6" ht="12.75" customHeight="1" x14ac:dyDescent="0.2">
      <c r="A118" s="1461"/>
      <c r="B118" s="84"/>
      <c r="E118" s="84"/>
      <c r="F118" s="84"/>
    </row>
    <row r="119" spans="1:6" ht="12.75" customHeight="1" x14ac:dyDescent="0.2">
      <c r="A119" s="1461"/>
      <c r="B119" s="84"/>
      <c r="E119" s="84"/>
      <c r="F119" s="84"/>
    </row>
    <row r="120" spans="1:6" ht="12.75" customHeight="1" x14ac:dyDescent="0.2">
      <c r="A120" s="1461"/>
      <c r="B120" s="84"/>
      <c r="E120" s="84"/>
      <c r="F120" s="84"/>
    </row>
    <row r="121" spans="1:6" ht="12.75" customHeight="1" x14ac:dyDescent="0.2">
      <c r="A121" s="1461"/>
      <c r="B121" s="84"/>
      <c r="E121" s="84"/>
      <c r="F121" s="84"/>
    </row>
    <row r="122" spans="1:6" ht="12.75" customHeight="1" x14ac:dyDescent="0.2">
      <c r="A122" s="1461"/>
      <c r="B122" s="84"/>
      <c r="E122" s="84"/>
      <c r="F122" s="84"/>
    </row>
    <row r="123" spans="1:6" ht="12.75" customHeight="1" x14ac:dyDescent="0.2">
      <c r="A123" s="1461"/>
      <c r="B123" s="84"/>
      <c r="E123" s="84"/>
      <c r="F123" s="84"/>
    </row>
    <row r="124" spans="1:6" ht="12.75" customHeight="1" x14ac:dyDescent="0.2">
      <c r="A124" s="1461"/>
      <c r="B124" s="84"/>
      <c r="E124" s="84"/>
      <c r="F124" s="84"/>
    </row>
    <row r="125" spans="1:6" ht="12.75" customHeight="1" x14ac:dyDescent="0.2">
      <c r="A125" s="1461"/>
      <c r="B125" s="84"/>
      <c r="E125" s="84"/>
      <c r="F125" s="84"/>
    </row>
    <row r="126" spans="1:6" ht="12.75" customHeight="1" x14ac:dyDescent="0.2">
      <c r="A126" s="1461"/>
      <c r="B126" s="84"/>
      <c r="E126" s="84"/>
      <c r="F126" s="84"/>
    </row>
    <row r="127" spans="1:6" ht="12.75" customHeight="1" x14ac:dyDescent="0.2">
      <c r="A127" s="1461"/>
      <c r="B127" s="84"/>
      <c r="E127" s="84"/>
      <c r="F127" s="84"/>
    </row>
    <row r="128" spans="1:6" ht="12.75" customHeight="1" x14ac:dyDescent="0.2">
      <c r="A128" s="1461"/>
      <c r="B128" s="84"/>
      <c r="E128" s="84"/>
      <c r="F128" s="84"/>
    </row>
    <row r="129" spans="1:6" ht="12.75" customHeight="1" x14ac:dyDescent="0.2">
      <c r="A129" s="1461"/>
      <c r="B129" s="84"/>
      <c r="E129" s="84"/>
      <c r="F129" s="84"/>
    </row>
    <row r="130" spans="1:6" ht="12.75" customHeight="1" x14ac:dyDescent="0.2">
      <c r="A130" s="1461"/>
      <c r="B130" s="84"/>
      <c r="E130" s="84"/>
      <c r="F130" s="84"/>
    </row>
    <row r="131" spans="1:6" ht="12.75" customHeight="1" x14ac:dyDescent="0.2">
      <c r="A131" s="1461"/>
      <c r="B131" s="84"/>
      <c r="E131" s="84"/>
      <c r="F131" s="84"/>
    </row>
    <row r="132" spans="1:6" ht="12.75" customHeight="1" x14ac:dyDescent="0.2">
      <c r="A132" s="1461"/>
      <c r="B132" s="84"/>
      <c r="E132" s="84"/>
      <c r="F132" s="84"/>
    </row>
    <row r="133" spans="1:6" ht="12.75" customHeight="1" x14ac:dyDescent="0.2">
      <c r="A133" s="1461"/>
      <c r="B133" s="84"/>
      <c r="E133" s="84"/>
      <c r="F133" s="84"/>
    </row>
    <row r="134" spans="1:6" ht="12.75" customHeight="1" x14ac:dyDescent="0.2">
      <c r="A134" s="1461"/>
      <c r="B134" s="84"/>
      <c r="E134" s="84"/>
      <c r="F134" s="84"/>
    </row>
    <row r="135" spans="1:6" ht="12.75" customHeight="1" x14ac:dyDescent="0.2">
      <c r="A135" s="1461"/>
      <c r="B135" s="84"/>
      <c r="E135" s="84"/>
      <c r="F135" s="84"/>
    </row>
    <row r="136" spans="1:6" ht="12.75" customHeight="1" x14ac:dyDescent="0.2">
      <c r="A136" s="1461"/>
      <c r="B136" s="84"/>
      <c r="E136" s="84"/>
      <c r="F136" s="84"/>
    </row>
    <row r="137" spans="1:6" ht="12.75" customHeight="1" x14ac:dyDescent="0.2">
      <c r="A137" s="1461"/>
      <c r="B137" s="84"/>
      <c r="E137" s="84"/>
      <c r="F137" s="84"/>
    </row>
    <row r="138" spans="1:6" ht="12.75" customHeight="1" x14ac:dyDescent="0.2">
      <c r="A138" s="1461"/>
      <c r="B138" s="84"/>
      <c r="E138" s="84"/>
      <c r="F138" s="84"/>
    </row>
    <row r="139" spans="1:6" ht="12.75" customHeight="1" x14ac:dyDescent="0.2">
      <c r="A139" s="1461"/>
      <c r="B139" s="84"/>
      <c r="E139" s="84"/>
      <c r="F139" s="84"/>
    </row>
    <row r="140" spans="1:6" ht="12.75" customHeight="1" x14ac:dyDescent="0.2">
      <c r="A140" s="1461"/>
      <c r="B140" s="84"/>
      <c r="E140" s="84"/>
      <c r="F140" s="84"/>
    </row>
    <row r="141" spans="1:6" ht="12.75" customHeight="1" x14ac:dyDescent="0.2">
      <c r="A141" s="1461"/>
      <c r="B141" s="84"/>
      <c r="E141" s="84"/>
      <c r="F141" s="84"/>
    </row>
    <row r="142" spans="1:6" ht="12.75" customHeight="1" x14ac:dyDescent="0.2">
      <c r="A142" s="1461"/>
      <c r="B142" s="84"/>
      <c r="E142" s="84"/>
      <c r="F142" s="84"/>
    </row>
    <row r="143" spans="1:6" ht="12.75" customHeight="1" x14ac:dyDescent="0.2">
      <c r="A143" s="1461"/>
      <c r="B143" s="84"/>
      <c r="E143" s="84"/>
      <c r="F143" s="84"/>
    </row>
    <row r="144" spans="1:6" ht="12.75" customHeight="1" x14ac:dyDescent="0.2">
      <c r="A144" s="1461"/>
      <c r="B144" s="84"/>
      <c r="E144" s="84"/>
      <c r="F144" s="84"/>
    </row>
    <row r="145" spans="1:6" ht="12.75" customHeight="1" x14ac:dyDescent="0.2">
      <c r="A145" s="1461"/>
      <c r="B145" s="84"/>
      <c r="E145" s="84"/>
      <c r="F145" s="84"/>
    </row>
    <row r="146" spans="1:6" ht="12.75" customHeight="1" x14ac:dyDescent="0.2">
      <c r="A146" s="1461"/>
      <c r="B146" s="84"/>
      <c r="E146" s="84"/>
      <c r="F146" s="84"/>
    </row>
    <row r="147" spans="1:6" ht="12.75" customHeight="1" x14ac:dyDescent="0.2">
      <c r="A147" s="1461"/>
      <c r="B147" s="84"/>
      <c r="E147" s="84"/>
      <c r="F147" s="84"/>
    </row>
    <row r="148" spans="1:6" ht="12.75" customHeight="1" x14ac:dyDescent="0.2">
      <c r="A148" s="1461"/>
      <c r="B148" s="84"/>
      <c r="E148" s="84"/>
      <c r="F148" s="84"/>
    </row>
    <row r="149" spans="1:6" ht="12.75" customHeight="1" x14ac:dyDescent="0.2">
      <c r="A149" s="1461"/>
      <c r="B149" s="84"/>
      <c r="E149" s="84"/>
      <c r="F149" s="84"/>
    </row>
    <row r="150" spans="1:6" ht="12.75" customHeight="1" x14ac:dyDescent="0.2">
      <c r="A150" s="1461"/>
      <c r="B150" s="84"/>
      <c r="E150" s="84"/>
      <c r="F150" s="84"/>
    </row>
    <row r="151" spans="1:6" ht="12.75" customHeight="1" x14ac:dyDescent="0.2">
      <c r="A151" s="1461"/>
      <c r="B151" s="84"/>
      <c r="E151" s="84"/>
      <c r="F151" s="84"/>
    </row>
    <row r="152" spans="1:6" ht="12.75" customHeight="1" x14ac:dyDescent="0.2">
      <c r="A152" s="1461"/>
      <c r="B152" s="84"/>
      <c r="E152" s="84"/>
      <c r="F152" s="84"/>
    </row>
    <row r="153" spans="1:6" ht="12.75" customHeight="1" x14ac:dyDescent="0.2">
      <c r="A153" s="1461"/>
      <c r="B153" s="84"/>
      <c r="E153" s="84"/>
      <c r="F153" s="84"/>
    </row>
    <row r="154" spans="1:6" ht="12.75" customHeight="1" x14ac:dyDescent="0.2">
      <c r="A154" s="1461"/>
      <c r="B154" s="84"/>
      <c r="E154" s="84"/>
      <c r="F154" s="84"/>
    </row>
    <row r="155" spans="1:6" ht="12.75" customHeight="1" x14ac:dyDescent="0.2">
      <c r="A155" s="1461"/>
      <c r="B155" s="84"/>
      <c r="E155" s="84"/>
      <c r="F155" s="84"/>
    </row>
    <row r="156" spans="1:6" ht="12.75" customHeight="1" x14ac:dyDescent="0.2">
      <c r="A156" s="1461"/>
      <c r="B156" s="84"/>
      <c r="E156" s="84"/>
      <c r="F156" s="84"/>
    </row>
    <row r="157" spans="1:6" ht="12.75" customHeight="1" x14ac:dyDescent="0.2">
      <c r="A157" s="1461"/>
      <c r="B157" s="84"/>
      <c r="E157" s="84"/>
      <c r="F157" s="84"/>
    </row>
    <row r="158" spans="1:6" ht="12.75" customHeight="1" x14ac:dyDescent="0.2">
      <c r="A158" s="1461"/>
      <c r="B158" s="84"/>
      <c r="E158" s="84"/>
      <c r="F158" s="84"/>
    </row>
    <row r="159" spans="1:6" ht="12.75" customHeight="1" x14ac:dyDescent="0.2">
      <c r="A159" s="1461"/>
      <c r="B159" s="84"/>
      <c r="E159" s="84"/>
      <c r="F159" s="84"/>
    </row>
    <row r="160" spans="1:6" ht="12.75" customHeight="1" x14ac:dyDescent="0.2">
      <c r="A160" s="1461"/>
      <c r="B160" s="84"/>
      <c r="E160" s="84"/>
      <c r="F160" s="84"/>
    </row>
    <row r="161" spans="1:6" ht="12.75" customHeight="1" x14ac:dyDescent="0.2">
      <c r="A161" s="1461"/>
      <c r="B161" s="84"/>
      <c r="E161" s="84"/>
      <c r="F161" s="84"/>
    </row>
    <row r="162" spans="1:6" ht="12.75" customHeight="1" x14ac:dyDescent="0.2">
      <c r="A162" s="1461"/>
      <c r="B162" s="84"/>
      <c r="E162" s="84"/>
      <c r="F162" s="84"/>
    </row>
    <row r="163" spans="1:6" ht="12.75" customHeight="1" x14ac:dyDescent="0.2">
      <c r="A163" s="1461"/>
      <c r="B163" s="84"/>
      <c r="E163" s="84"/>
      <c r="F163" s="84"/>
    </row>
    <row r="164" spans="1:6" ht="12.75" customHeight="1" x14ac:dyDescent="0.2">
      <c r="A164" s="1461"/>
      <c r="B164" s="84"/>
      <c r="E164" s="84"/>
      <c r="F164" s="84"/>
    </row>
    <row r="165" spans="1:6" ht="12.75" customHeight="1" x14ac:dyDescent="0.2">
      <c r="A165" s="1461"/>
      <c r="B165" s="84"/>
      <c r="E165" s="84"/>
      <c r="F165" s="84"/>
    </row>
    <row r="166" spans="1:6" ht="12.75" customHeight="1" x14ac:dyDescent="0.2">
      <c r="A166" s="1461"/>
      <c r="B166" s="84"/>
      <c r="E166" s="84"/>
      <c r="F166" s="84"/>
    </row>
    <row r="167" spans="1:6" ht="12.75" customHeight="1" x14ac:dyDescent="0.2">
      <c r="A167" s="1461"/>
      <c r="B167" s="84"/>
      <c r="E167" s="84"/>
      <c r="F167" s="84"/>
    </row>
    <row r="168" spans="1:6" ht="12.75" customHeight="1" x14ac:dyDescent="0.2">
      <c r="A168" s="1461"/>
      <c r="B168" s="84"/>
      <c r="E168" s="84"/>
      <c r="F168" s="84"/>
    </row>
    <row r="169" spans="1:6" ht="12.75" customHeight="1" x14ac:dyDescent="0.2">
      <c r="A169" s="1461"/>
      <c r="B169" s="84"/>
      <c r="E169" s="84"/>
      <c r="F169" s="84"/>
    </row>
    <row r="170" spans="1:6" ht="12.75" customHeight="1" x14ac:dyDescent="0.2">
      <c r="A170" s="1461"/>
      <c r="B170" s="84"/>
      <c r="E170" s="84"/>
      <c r="F170" s="84"/>
    </row>
    <row r="171" spans="1:6" ht="12.75" customHeight="1" x14ac:dyDescent="0.2">
      <c r="A171" s="1461"/>
      <c r="B171" s="84"/>
      <c r="E171" s="84"/>
      <c r="F171" s="84"/>
    </row>
    <row r="172" spans="1:6" ht="12.75" customHeight="1" x14ac:dyDescent="0.2">
      <c r="A172" s="1461"/>
      <c r="B172" s="84"/>
      <c r="E172" s="84"/>
      <c r="F172" s="84"/>
    </row>
    <row r="173" spans="1:6" ht="12.75" customHeight="1" x14ac:dyDescent="0.2">
      <c r="A173" s="1461"/>
      <c r="B173" s="84"/>
      <c r="E173" s="84"/>
      <c r="F173" s="84"/>
    </row>
    <row r="174" spans="1:6" ht="12.75" customHeight="1" x14ac:dyDescent="0.2">
      <c r="A174" s="1461"/>
      <c r="B174" s="84"/>
      <c r="E174" s="84"/>
      <c r="F174" s="84"/>
    </row>
    <row r="175" spans="1:6" ht="12.75" customHeight="1" x14ac:dyDescent="0.2">
      <c r="B175" s="84"/>
      <c r="E175" s="84"/>
      <c r="F175" s="84"/>
    </row>
    <row r="176" spans="1: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row r="972" spans="2:6" x14ac:dyDescent="0.2">
      <c r="B972" s="84"/>
      <c r="E972" s="84"/>
      <c r="F972" s="84"/>
    </row>
    <row r="973" spans="2:6" x14ac:dyDescent="0.2">
      <c r="B973" s="84"/>
      <c r="E973" s="84"/>
      <c r="F973" s="84"/>
    </row>
    <row r="974" spans="2:6" x14ac:dyDescent="0.2">
      <c r="B974" s="84"/>
      <c r="E974" s="84"/>
      <c r="F974" s="84"/>
    </row>
  </sheetData>
  <mergeCells count="10">
    <mergeCell ref="B43:J43"/>
    <mergeCell ref="B58:J58"/>
    <mergeCell ref="B62:H62"/>
    <mergeCell ref="B63:H63"/>
    <mergeCell ref="B2:H3"/>
    <mergeCell ref="AK2:AN2"/>
    <mergeCell ref="AL3:AM3"/>
    <mergeCell ref="R25:U25"/>
    <mergeCell ref="R26:U26"/>
    <mergeCell ref="B42:J42"/>
  </mergeCells>
  <printOptions horizontalCentered="1"/>
  <pageMargins left="0.4" right="0.4" top="1" bottom="0.5" header="0.3" footer="0.511811023622047"/>
  <pageSetup paperSize="9" scale="46" orientation="landscape"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70C0"/>
    <pageSetUpPr fitToPage="1"/>
  </sheetPr>
  <dimension ref="A1:AD174"/>
  <sheetViews>
    <sheetView zoomScale="85" zoomScaleNormal="85" workbookViewId="0">
      <selection activeCell="B10" sqref="B10"/>
    </sheetView>
  </sheetViews>
  <sheetFormatPr defaultColWidth="12.5" defaultRowHeight="15" x14ac:dyDescent="0.25"/>
  <cols>
    <col min="1" max="1" width="16.375" style="1" customWidth="1"/>
    <col min="2" max="2" width="40.125" customWidth="1"/>
    <col min="3" max="3" width="16.875" customWidth="1"/>
    <col min="4" max="4" width="20.25" customWidth="1"/>
    <col min="5" max="5" width="18.875" customWidth="1"/>
    <col min="6" max="6" width="23.125" customWidth="1"/>
    <col min="7" max="7" width="25.125" customWidth="1"/>
    <col min="8" max="8" width="36.125" customWidth="1"/>
    <col min="9" max="9" width="18" customWidth="1"/>
    <col min="12" max="12" width="8.375" customWidth="1"/>
    <col min="13" max="14" width="4" customWidth="1"/>
    <col min="18" max="18" width="32" customWidth="1"/>
    <col min="19" max="19" width="24.375" customWidth="1"/>
    <col min="20" max="20" width="24.625" customWidth="1"/>
    <col min="23" max="23" width="29.375" customWidth="1"/>
    <col min="24" max="24" width="31.625" customWidth="1"/>
    <col min="28" max="28" width="11.375" style="713" bestFit="1" customWidth="1"/>
    <col min="29" max="29" width="12.5" style="713"/>
  </cols>
  <sheetData>
    <row r="1" spans="1:30" ht="24" customHeight="1" x14ac:dyDescent="0.2">
      <c r="A1" s="64" t="s">
        <v>231</v>
      </c>
      <c r="B1" s="65">
        <v>1000</v>
      </c>
      <c r="C1" s="73" t="s">
        <v>313</v>
      </c>
      <c r="D1" s="74">
        <f>$S$30/J1</f>
        <v>62641.509433962259</v>
      </c>
      <c r="E1" s="75" t="s">
        <v>236</v>
      </c>
      <c r="F1" s="76" t="s">
        <v>314</v>
      </c>
      <c r="G1" s="75" t="s">
        <v>315</v>
      </c>
      <c r="H1" s="282">
        <f>H52</f>
        <v>33.199999999999996</v>
      </c>
      <c r="I1" s="77" t="s">
        <v>238</v>
      </c>
      <c r="J1" s="283">
        <v>0.53</v>
      </c>
      <c r="K1" s="84"/>
      <c r="Y1" s="75" t="s">
        <v>453</v>
      </c>
      <c r="Z1" s="766">
        <v>32700</v>
      </c>
      <c r="AA1" s="75" t="s">
        <v>556</v>
      </c>
      <c r="AB1" s="766">
        <v>500</v>
      </c>
      <c r="AC1" s="75" t="s">
        <v>546</v>
      </c>
      <c r="AD1" s="766">
        <v>232</v>
      </c>
    </row>
    <row r="2" spans="1:30" ht="12.75" customHeight="1" x14ac:dyDescent="0.25">
      <c r="A2" s="242"/>
      <c r="B2" s="1645" t="s">
        <v>952</v>
      </c>
      <c r="C2" s="1653"/>
      <c r="D2" s="1653"/>
      <c r="E2" s="1653"/>
      <c r="F2" s="1653"/>
      <c r="G2" s="1653"/>
      <c r="H2" s="1653"/>
      <c r="I2" s="1653"/>
      <c r="J2" s="1653"/>
      <c r="K2" s="1653"/>
      <c r="L2" s="270"/>
      <c r="M2" s="84"/>
      <c r="N2" s="84"/>
    </row>
    <row r="3" spans="1:30" ht="12.75" customHeight="1" x14ac:dyDescent="0.25">
      <c r="A3" s="242"/>
      <c r="B3" s="1633"/>
      <c r="C3" s="1633"/>
      <c r="D3" s="1633"/>
      <c r="E3" s="1633"/>
      <c r="F3" s="1633"/>
      <c r="G3" s="1633"/>
      <c r="H3" s="1633"/>
      <c r="I3" s="1633"/>
      <c r="J3" s="1633"/>
      <c r="K3" s="1633"/>
      <c r="L3" s="270"/>
      <c r="M3" s="84"/>
      <c r="N3" s="84"/>
    </row>
    <row r="4" spans="1:30" ht="51" customHeight="1" x14ac:dyDescent="0.2">
      <c r="A4" s="75" t="s">
        <v>903</v>
      </c>
      <c r="B4" s="75" t="s">
        <v>241</v>
      </c>
      <c r="C4" s="284" t="s">
        <v>317</v>
      </c>
      <c r="D4" s="75" t="s">
        <v>318</v>
      </c>
      <c r="E4" s="91" t="s">
        <v>319</v>
      </c>
      <c r="F4" s="91" t="s">
        <v>320</v>
      </c>
      <c r="G4" s="285" t="s">
        <v>321</v>
      </c>
      <c r="H4" s="92" t="s">
        <v>322</v>
      </c>
      <c r="I4" s="75" t="s">
        <v>246</v>
      </c>
      <c r="J4" s="75" t="s">
        <v>247</v>
      </c>
      <c r="K4" s="75" t="s">
        <v>248</v>
      </c>
      <c r="L4" s="75" t="s">
        <v>249</v>
      </c>
    </row>
    <row r="5" spans="1:30" ht="14.25" customHeight="1" x14ac:dyDescent="0.2">
      <c r="A5" s="1454"/>
      <c r="B5" s="286" t="s">
        <v>223</v>
      </c>
      <c r="C5" s="106" t="s">
        <v>14</v>
      </c>
      <c r="D5" s="98">
        <f>I51/H51</f>
        <v>1886.7924528301887</v>
      </c>
      <c r="E5" s="98">
        <f>I52/D5</f>
        <v>33.199999999999996</v>
      </c>
      <c r="F5" s="109">
        <v>1</v>
      </c>
      <c r="G5" s="99">
        <f t="shared" ref="G5:G18" si="0">D5*E5</f>
        <v>62641.509433962259</v>
      </c>
      <c r="H5" s="377">
        <f>D1</f>
        <v>62641.509433962259</v>
      </c>
      <c r="I5" s="65">
        <f>VLOOKUP(B5,All_Ingredients!$A$1:$F$156,6,FALSE())</f>
        <v>0.55000000000000004</v>
      </c>
      <c r="J5" s="101">
        <f>VLOOKUP(B5,All_Ingredients!$A$1:$J$156,10,FALSE())</f>
        <v>14.361111111111111</v>
      </c>
      <c r="K5" s="104">
        <f t="shared" ref="K5" si="1">(H5/I5)/1000</f>
        <v>113.893653516295</v>
      </c>
      <c r="L5" s="104">
        <f t="shared" ref="L5" si="2">K5*J5</f>
        <v>1635.6394129979033</v>
      </c>
    </row>
    <row r="6" spans="1:30" ht="14.25" customHeight="1" x14ac:dyDescent="0.25">
      <c r="A6" s="1455" t="s">
        <v>920</v>
      </c>
      <c r="B6" s="20" t="s">
        <v>12</v>
      </c>
      <c r="C6" s="106" t="s">
        <v>14</v>
      </c>
      <c r="D6" s="107">
        <v>200</v>
      </c>
      <c r="E6" s="177">
        <f t="shared" ref="E6:E18" si="3">$H$52</f>
        <v>33.199999999999996</v>
      </c>
      <c r="F6" s="109">
        <v>1</v>
      </c>
      <c r="G6" s="101">
        <f t="shared" si="0"/>
        <v>6639.9999999999991</v>
      </c>
      <c r="H6" s="102">
        <f t="shared" ref="H6:H18" si="4">G6*F6</f>
        <v>6639.9999999999991</v>
      </c>
      <c r="I6" s="65">
        <f>VLOOKUP(B6,All_Ingredients!$A$1:$F$156,6,FALSE())</f>
        <v>0.9</v>
      </c>
      <c r="J6" s="101">
        <f>VLOOKUP(B6,All_Ingredients!$A$1:$J$156,10,FALSE())</f>
        <v>3</v>
      </c>
      <c r="K6" s="104">
        <f t="shared" ref="K6:K18" si="5">(H6/I6)/1000</f>
        <v>7.3777777777777764</v>
      </c>
      <c r="L6" s="104">
        <f t="shared" ref="L6:L18" si="6">K6*J6</f>
        <v>22.133333333333329</v>
      </c>
    </row>
    <row r="7" spans="1:30" ht="14.25" customHeight="1" x14ac:dyDescent="0.25">
      <c r="A7" s="1455" t="s">
        <v>909</v>
      </c>
      <c r="B7" s="20" t="s">
        <v>17</v>
      </c>
      <c r="C7" s="106" t="s">
        <v>14</v>
      </c>
      <c r="D7" s="107">
        <v>120</v>
      </c>
      <c r="E7" s="177">
        <f t="shared" si="3"/>
        <v>33.199999999999996</v>
      </c>
      <c r="F7" s="109">
        <v>1</v>
      </c>
      <c r="G7" s="101">
        <f t="shared" si="0"/>
        <v>3983.9999999999995</v>
      </c>
      <c r="H7" s="102">
        <f t="shared" si="4"/>
        <v>3983.9999999999995</v>
      </c>
      <c r="I7" s="65">
        <f>VLOOKUP(B7,All_Ingredients!$A$1:$F$156,6,FALSE())</f>
        <v>0.98</v>
      </c>
      <c r="J7" s="101">
        <f>VLOOKUP(B7,All_Ingredients!$A$1:$J$156,10,FALSE())</f>
        <v>3.5</v>
      </c>
      <c r="K7" s="104">
        <f t="shared" si="5"/>
        <v>4.0653061224489795</v>
      </c>
      <c r="L7" s="104">
        <f t="shared" si="6"/>
        <v>14.228571428571428</v>
      </c>
    </row>
    <row r="8" spans="1:30" ht="14.25" customHeight="1" x14ac:dyDescent="0.25">
      <c r="A8" s="1455" t="s">
        <v>907</v>
      </c>
      <c r="B8" s="20" t="s">
        <v>727</v>
      </c>
      <c r="C8" s="106" t="s">
        <v>14</v>
      </c>
      <c r="D8" s="107">
        <v>10</v>
      </c>
      <c r="E8" s="177">
        <f t="shared" si="3"/>
        <v>33.199999999999996</v>
      </c>
      <c r="F8" s="109">
        <v>0.65</v>
      </c>
      <c r="G8" s="101">
        <f t="shared" si="0"/>
        <v>331.99999999999994</v>
      </c>
      <c r="H8" s="102">
        <f t="shared" si="4"/>
        <v>215.79999999999998</v>
      </c>
      <c r="I8" s="65">
        <f>VLOOKUP(B8,All_Ingredients!$A$1:$F$156,6,FALSE())</f>
        <v>1</v>
      </c>
      <c r="J8" s="101">
        <f>VLOOKUP(B8,All_Ingredients!$A$1:$J$156,10,FALSE())</f>
        <v>10.5</v>
      </c>
      <c r="K8" s="104">
        <f t="shared" si="5"/>
        <v>0.21579999999999999</v>
      </c>
      <c r="L8" s="104">
        <f t="shared" si="6"/>
        <v>2.2658999999999998</v>
      </c>
    </row>
    <row r="9" spans="1:30" ht="14.25" customHeight="1" x14ac:dyDescent="0.25">
      <c r="A9" s="1455" t="s">
        <v>919</v>
      </c>
      <c r="B9" s="299" t="s">
        <v>32</v>
      </c>
      <c r="C9" s="106" t="s">
        <v>14</v>
      </c>
      <c r="D9" s="107">
        <v>50</v>
      </c>
      <c r="E9" s="177">
        <f t="shared" si="3"/>
        <v>33.199999999999996</v>
      </c>
      <c r="F9" s="109">
        <v>0.75</v>
      </c>
      <c r="G9" s="101">
        <f t="shared" si="0"/>
        <v>1659.9999999999998</v>
      </c>
      <c r="H9" s="102">
        <f t="shared" si="4"/>
        <v>1244.9999999999998</v>
      </c>
      <c r="I9" s="65">
        <f>VLOOKUP(B9,All_Ingredients!$A$1:$F$156,6,FALSE())</f>
        <v>0.69</v>
      </c>
      <c r="J9" s="101">
        <f>VLOOKUP(B9,All_Ingredients!$A$1:$J$156,10,FALSE())</f>
        <v>4</v>
      </c>
      <c r="K9" s="104">
        <f t="shared" si="5"/>
        <v>1.8043478260869563</v>
      </c>
      <c r="L9" s="104">
        <f t="shared" si="6"/>
        <v>7.2173913043478253</v>
      </c>
    </row>
    <row r="10" spans="1:30" ht="14.25" customHeight="1" x14ac:dyDescent="0.25">
      <c r="A10" s="1455"/>
      <c r="B10" s="299" t="s">
        <v>105</v>
      </c>
      <c r="C10" s="106" t="s">
        <v>14</v>
      </c>
      <c r="D10" s="107">
        <v>20</v>
      </c>
      <c r="E10" s="177">
        <f t="shared" si="3"/>
        <v>33.199999999999996</v>
      </c>
      <c r="F10" s="109">
        <v>0.7</v>
      </c>
      <c r="G10" s="101">
        <f t="shared" si="0"/>
        <v>663.99999999999989</v>
      </c>
      <c r="H10" s="102">
        <f t="shared" si="4"/>
        <v>464.7999999999999</v>
      </c>
      <c r="I10" s="65">
        <f>VLOOKUP(B10,All_Ingredients!$A$1:$F$156,6,FALSE())</f>
        <v>1</v>
      </c>
      <c r="J10" s="101">
        <f>VLOOKUP(B10,All_Ingredients!$A$1:$J$156,10,FALSE())</f>
        <v>15</v>
      </c>
      <c r="K10" s="104">
        <f t="shared" si="5"/>
        <v>0.46479999999999988</v>
      </c>
      <c r="L10" s="104">
        <f t="shared" si="6"/>
        <v>6.9719999999999978</v>
      </c>
    </row>
    <row r="11" spans="1:30" ht="14.25" customHeight="1" x14ac:dyDescent="0.25">
      <c r="A11" s="1455"/>
      <c r="B11" s="271" t="s">
        <v>139</v>
      </c>
      <c r="C11" s="106" t="s">
        <v>14</v>
      </c>
      <c r="D11" s="107">
        <v>20</v>
      </c>
      <c r="E11" s="177">
        <f t="shared" si="3"/>
        <v>33.199999999999996</v>
      </c>
      <c r="F11" s="109">
        <v>0.65</v>
      </c>
      <c r="G11" s="101">
        <f t="shared" si="0"/>
        <v>663.99999999999989</v>
      </c>
      <c r="H11" s="102">
        <f t="shared" si="4"/>
        <v>431.59999999999997</v>
      </c>
      <c r="I11" s="65">
        <f>VLOOKUP(B11,All_Ingredients!$A$1:$F$156,6,FALSE())</f>
        <v>1</v>
      </c>
      <c r="J11" s="101">
        <f>VLOOKUP(B11,All_Ingredients!$A$1:$J$156,10,FALSE())</f>
        <v>15.277777777777779</v>
      </c>
      <c r="K11" s="104">
        <f t="shared" si="5"/>
        <v>0.43159999999999998</v>
      </c>
      <c r="L11" s="104">
        <f t="shared" si="6"/>
        <v>6.5938888888888894</v>
      </c>
    </row>
    <row r="12" spans="1:30" ht="14.25" customHeight="1" x14ac:dyDescent="0.25">
      <c r="A12" s="1455"/>
      <c r="B12" s="271" t="s">
        <v>126</v>
      </c>
      <c r="C12" s="106" t="s">
        <v>14</v>
      </c>
      <c r="D12" s="107">
        <v>10</v>
      </c>
      <c r="E12" s="177">
        <f t="shared" si="3"/>
        <v>33.199999999999996</v>
      </c>
      <c r="F12" s="109">
        <v>0.25</v>
      </c>
      <c r="G12" s="101">
        <f t="shared" si="0"/>
        <v>331.99999999999994</v>
      </c>
      <c r="H12" s="102">
        <f t="shared" si="4"/>
        <v>82.999999999999986</v>
      </c>
      <c r="I12" s="65">
        <f>VLOOKUP(B12,All_Ingredients!$A$1:$F$156,6,FALSE())</f>
        <v>1</v>
      </c>
      <c r="J12" s="101">
        <f>VLOOKUP(B12,All_Ingredients!$A$1:$J$156,10,FALSE())</f>
        <v>125</v>
      </c>
      <c r="K12" s="104">
        <f t="shared" si="5"/>
        <v>8.299999999999999E-2</v>
      </c>
      <c r="L12" s="104">
        <f t="shared" si="6"/>
        <v>10.374999999999998</v>
      </c>
    </row>
    <row r="13" spans="1:30" ht="14.25" customHeight="1" x14ac:dyDescent="0.25">
      <c r="A13" s="1455"/>
      <c r="B13" s="299" t="s">
        <v>107</v>
      </c>
      <c r="C13" s="106" t="s">
        <v>14</v>
      </c>
      <c r="D13" s="107">
        <v>20</v>
      </c>
      <c r="E13" s="177">
        <f t="shared" si="3"/>
        <v>33.199999999999996</v>
      </c>
      <c r="F13" s="109">
        <v>0.7</v>
      </c>
      <c r="G13" s="101">
        <f t="shared" si="0"/>
        <v>663.99999999999989</v>
      </c>
      <c r="H13" s="102">
        <f t="shared" si="4"/>
        <v>464.7999999999999</v>
      </c>
      <c r="I13" s="65">
        <f>VLOOKUP(B13,All_Ingredients!$A$1:$F$156,6,FALSE())</f>
        <v>1</v>
      </c>
      <c r="J13" s="101">
        <f>VLOOKUP(B13,All_Ingredients!$A$1:$J$156,10,FALSE())</f>
        <v>8</v>
      </c>
      <c r="K13" s="104">
        <f t="shared" si="5"/>
        <v>0.46479999999999988</v>
      </c>
      <c r="L13" s="104">
        <f t="shared" si="6"/>
        <v>3.718399999999999</v>
      </c>
    </row>
    <row r="14" spans="1:30" ht="14.25" customHeight="1" x14ac:dyDescent="0.25">
      <c r="A14" s="1455"/>
      <c r="B14" s="20" t="s">
        <v>163</v>
      </c>
      <c r="C14" s="106" t="s">
        <v>14</v>
      </c>
      <c r="D14" s="107">
        <v>150</v>
      </c>
      <c r="E14" s="177">
        <f t="shared" si="3"/>
        <v>33.199999999999996</v>
      </c>
      <c r="F14" s="109">
        <v>0.85</v>
      </c>
      <c r="G14" s="101">
        <f t="shared" si="0"/>
        <v>4979.9999999999991</v>
      </c>
      <c r="H14" s="102">
        <f t="shared" si="4"/>
        <v>4232.9999999999991</v>
      </c>
      <c r="I14" s="65">
        <f>VLOOKUP(B14,All_Ingredients!$A$1:$F$156,6,FALSE())</f>
        <v>1</v>
      </c>
      <c r="J14" s="101">
        <f>VLOOKUP(B14,All_Ingredients!$A$1:$J$156,10,FALSE())</f>
        <v>6.6959999999999997</v>
      </c>
      <c r="K14" s="104">
        <f t="shared" si="5"/>
        <v>4.2329999999999988</v>
      </c>
      <c r="L14" s="104">
        <f t="shared" si="6"/>
        <v>28.344167999999989</v>
      </c>
    </row>
    <row r="15" spans="1:30" ht="15" customHeight="1" x14ac:dyDescent="0.25">
      <c r="A15" s="1455"/>
      <c r="B15" s="20" t="s">
        <v>698</v>
      </c>
      <c r="C15" s="106" t="s">
        <v>14</v>
      </c>
      <c r="D15" s="107">
        <v>70</v>
      </c>
      <c r="E15" s="177">
        <f t="shared" si="3"/>
        <v>33.199999999999996</v>
      </c>
      <c r="F15" s="109">
        <v>0.8</v>
      </c>
      <c r="G15" s="101">
        <f t="shared" si="0"/>
        <v>2323.9999999999995</v>
      </c>
      <c r="H15" s="102">
        <f t="shared" si="4"/>
        <v>1859.1999999999998</v>
      </c>
      <c r="I15" s="65">
        <f>VLOOKUP(B15,All_Ingredients!$A$1:$F$156,6,FALSE())</f>
        <v>1</v>
      </c>
      <c r="J15" s="101">
        <f>VLOOKUP(B15,All_Ingredients!$A$1:$J$156,10,FALSE())</f>
        <v>8.1520833333333336</v>
      </c>
      <c r="K15" s="104">
        <f t="shared" si="5"/>
        <v>1.8591999999999997</v>
      </c>
      <c r="L15" s="104">
        <f t="shared" si="6"/>
        <v>15.156353333333332</v>
      </c>
    </row>
    <row r="16" spans="1:30" ht="14.25" customHeight="1" x14ac:dyDescent="0.25">
      <c r="A16" s="1455"/>
      <c r="B16" s="20" t="s">
        <v>93</v>
      </c>
      <c r="C16" s="106" t="s">
        <v>14</v>
      </c>
      <c r="D16" s="107">
        <v>30</v>
      </c>
      <c r="E16" s="177">
        <f t="shared" si="3"/>
        <v>33.199999999999996</v>
      </c>
      <c r="F16" s="109">
        <v>0.75</v>
      </c>
      <c r="G16" s="101">
        <f t="shared" si="0"/>
        <v>995.99999999999989</v>
      </c>
      <c r="H16" s="102">
        <f t="shared" si="4"/>
        <v>746.99999999999989</v>
      </c>
      <c r="I16" s="65">
        <f>VLOOKUP(B16,All_Ingredients!$A$1:$F$156,6,FALSE())</f>
        <v>1</v>
      </c>
      <c r="J16" s="101">
        <f>VLOOKUP(B16,All_Ingredients!$A$1:$J$156,10,FALSE())</f>
        <v>0.74</v>
      </c>
      <c r="K16" s="104">
        <f t="shared" si="5"/>
        <v>0.74699999999999989</v>
      </c>
      <c r="L16" s="104">
        <f t="shared" si="6"/>
        <v>0.55277999999999994</v>
      </c>
    </row>
    <row r="17" spans="1:29" ht="14.25" customHeight="1" x14ac:dyDescent="0.25">
      <c r="A17" s="1455"/>
      <c r="B17" s="20" t="s">
        <v>203</v>
      </c>
      <c r="C17" s="106" t="s">
        <v>160</v>
      </c>
      <c r="D17" s="107">
        <v>200</v>
      </c>
      <c r="E17" s="177">
        <f t="shared" si="3"/>
        <v>33.199999999999996</v>
      </c>
      <c r="F17" s="109">
        <v>1</v>
      </c>
      <c r="G17" s="101">
        <f t="shared" si="0"/>
        <v>6639.9999999999991</v>
      </c>
      <c r="H17" s="102">
        <f t="shared" si="4"/>
        <v>6639.9999999999991</v>
      </c>
      <c r="I17" s="65">
        <f>VLOOKUP(B17,All_Ingredients!$A$1:$F$156,6,FALSE())</f>
        <v>1</v>
      </c>
      <c r="J17" s="101">
        <f>VLOOKUP(B17,All_Ingredients!$A$1:$J$156,10,FALSE())</f>
        <v>0</v>
      </c>
      <c r="K17" s="104">
        <f t="shared" si="5"/>
        <v>6.6399999999999988</v>
      </c>
      <c r="L17" s="104">
        <f t="shared" si="6"/>
        <v>0</v>
      </c>
    </row>
    <row r="18" spans="1:29" ht="14.25" customHeight="1" x14ac:dyDescent="0.25">
      <c r="A18" s="1455"/>
      <c r="B18" s="271" t="s">
        <v>837</v>
      </c>
      <c r="C18" s="106" t="s">
        <v>14</v>
      </c>
      <c r="D18" s="107">
        <v>1</v>
      </c>
      <c r="E18" s="177">
        <f t="shared" si="3"/>
        <v>33.199999999999996</v>
      </c>
      <c r="F18" s="109">
        <v>0.3</v>
      </c>
      <c r="G18" s="101">
        <f t="shared" si="0"/>
        <v>33.199999999999996</v>
      </c>
      <c r="H18" s="102">
        <f t="shared" si="4"/>
        <v>9.9599999999999991</v>
      </c>
      <c r="I18" s="65">
        <f>VLOOKUP(B18,All_Ingredients!$A$1:$F$156,6,FALSE())</f>
        <v>1</v>
      </c>
      <c r="J18" s="101">
        <f>VLOOKUP(B18,All_Ingredients!$A$1:$J$156,10,FALSE())</f>
        <v>22.5</v>
      </c>
      <c r="K18" s="104">
        <f t="shared" si="5"/>
        <v>9.9599999999999984E-3</v>
      </c>
      <c r="L18" s="104">
        <f t="shared" si="6"/>
        <v>0.22409999999999997</v>
      </c>
    </row>
    <row r="19" spans="1:29" ht="14.25" customHeight="1" x14ac:dyDescent="0.2">
      <c r="A19" s="1466"/>
      <c r="B19" s="84"/>
      <c r="C19" s="84"/>
      <c r="D19" s="84"/>
      <c r="E19" s="84"/>
      <c r="F19" s="84"/>
      <c r="L19" s="189"/>
    </row>
    <row r="20" spans="1:29" ht="14.25" customHeight="1" x14ac:dyDescent="0.2">
      <c r="A20" s="1466"/>
      <c r="B20" s="84"/>
      <c r="C20" s="84"/>
      <c r="D20" s="84"/>
      <c r="E20" s="84"/>
      <c r="F20" s="84"/>
      <c r="L20" s="189"/>
    </row>
    <row r="21" spans="1:29" ht="14.25" customHeight="1" x14ac:dyDescent="0.2">
      <c r="A21" s="1466"/>
      <c r="B21" s="84"/>
      <c r="C21" s="84"/>
      <c r="D21" s="84"/>
      <c r="E21" s="84"/>
      <c r="F21" s="84"/>
      <c r="L21" s="189"/>
    </row>
    <row r="22" spans="1:29" ht="14.25" customHeight="1" x14ac:dyDescent="0.2">
      <c r="A22" s="1466"/>
      <c r="F22" s="84"/>
      <c r="L22" s="189"/>
    </row>
    <row r="23" spans="1:29" ht="14.25" customHeight="1" x14ac:dyDescent="0.2">
      <c r="A23" s="1466"/>
      <c r="F23" s="84"/>
      <c r="L23" s="189"/>
    </row>
    <row r="24" spans="1:29" ht="14.25" customHeight="1" x14ac:dyDescent="0.2">
      <c r="A24" s="1466"/>
      <c r="F24" s="84"/>
      <c r="Z24" s="1124"/>
    </row>
    <row r="25" spans="1:29" ht="15.75" customHeight="1" x14ac:dyDescent="0.25">
      <c r="A25" s="1466"/>
      <c r="F25" s="84"/>
      <c r="R25" s="1640" t="str">
        <f>B2</f>
        <v>Beef Zurbian - لحم زربيان</v>
      </c>
      <c r="S25" s="1633"/>
      <c r="T25" s="1633"/>
      <c r="Z25" s="122" t="s">
        <v>252</v>
      </c>
      <c r="AA25" s="123">
        <v>1</v>
      </c>
      <c r="AB25" s="122" t="s">
        <v>249</v>
      </c>
      <c r="AC25" s="1075">
        <f>AC30*AA25</f>
        <v>5.0697702430428045E-2</v>
      </c>
    </row>
    <row r="26" spans="1:29" ht="14.25" customHeight="1" x14ac:dyDescent="0.2">
      <c r="A26" s="1466"/>
      <c r="F26" s="84"/>
      <c r="R26" s="1638" t="s">
        <v>324</v>
      </c>
      <c r="S26" s="1639"/>
      <c r="T26" s="1639"/>
      <c r="AB26" s="14"/>
      <c r="AC26" s="14"/>
    </row>
    <row r="27" spans="1:29" ht="14.25" customHeight="1" thickBot="1" x14ac:dyDescent="0.25">
      <c r="A27" s="1466"/>
      <c r="F27" s="84"/>
      <c r="R27" s="126" t="s">
        <v>254</v>
      </c>
      <c r="S27" s="127" t="s">
        <v>298</v>
      </c>
      <c r="T27" s="127" t="s">
        <v>257</v>
      </c>
      <c r="U27" s="127" t="s">
        <v>779</v>
      </c>
      <c r="Z27" s="122" t="s">
        <v>258</v>
      </c>
      <c r="AA27" s="128" t="s">
        <v>259</v>
      </c>
      <c r="AB27" s="1032" t="s">
        <v>779</v>
      </c>
      <c r="AC27" s="128" t="s">
        <v>262</v>
      </c>
    </row>
    <row r="28" spans="1:29" ht="14.25" customHeight="1" thickBot="1" x14ac:dyDescent="0.3">
      <c r="A28" s="62"/>
      <c r="F28" s="84"/>
      <c r="R28" s="129" t="s">
        <v>325</v>
      </c>
      <c r="S28" s="1186">
        <f>$Z$1</f>
        <v>32700</v>
      </c>
      <c r="T28" s="1215">
        <f>S28</f>
        <v>32700</v>
      </c>
      <c r="U28" s="1223">
        <f>SUM(H37:H38)</f>
        <v>1176.24</v>
      </c>
      <c r="Z28" s="132"/>
      <c r="AA28" s="133">
        <f>AA25</f>
        <v>1</v>
      </c>
      <c r="AB28" s="1034"/>
      <c r="AC28" s="135">
        <f>SUM(AA28:AB28)</f>
        <v>1</v>
      </c>
    </row>
    <row r="29" spans="1:29" ht="14.25" customHeight="1" thickBot="1" x14ac:dyDescent="0.3">
      <c r="A29" s="62"/>
      <c r="F29" s="84"/>
      <c r="R29" s="129" t="s">
        <v>326</v>
      </c>
      <c r="S29" s="1218">
        <f>$AB$1</f>
        <v>500</v>
      </c>
      <c r="T29" s="692">
        <f>S29</f>
        <v>500</v>
      </c>
      <c r="U29" s="1222"/>
      <c r="Z29" s="132"/>
      <c r="AA29" s="137">
        <v>1</v>
      </c>
      <c r="AB29" s="1038"/>
      <c r="AC29" s="137">
        <f>AC28/$AC$28</f>
        <v>1</v>
      </c>
    </row>
    <row r="30" spans="1:29" ht="14.25" customHeight="1" thickBot="1" x14ac:dyDescent="0.3">
      <c r="A30" s="62"/>
      <c r="B30" s="84"/>
      <c r="E30" s="84"/>
      <c r="F30" s="84"/>
      <c r="R30" s="141" t="s">
        <v>327</v>
      </c>
      <c r="S30" s="1253">
        <f>S28+S29</f>
        <v>33200</v>
      </c>
      <c r="T30" s="1236">
        <f>T28+T29</f>
        <v>33200</v>
      </c>
      <c r="U30" s="1221">
        <f>U28+U29</f>
        <v>1176.24</v>
      </c>
      <c r="Z30" s="122" t="s">
        <v>266</v>
      </c>
      <c r="AA30" s="138">
        <f>S33/(S30)</f>
        <v>4.9266247379454918E-2</v>
      </c>
      <c r="AB30" s="1045">
        <f>U33/T30</f>
        <v>1.4314550509731234E-3</v>
      </c>
      <c r="AC30" s="1053">
        <f>SUMPRODUCT(AA29,AA30)+AB30</f>
        <v>5.0697702430428045E-2</v>
      </c>
    </row>
    <row r="31" spans="1:29" ht="14.25" customHeight="1" thickBot="1" x14ac:dyDescent="0.3">
      <c r="A31" s="62"/>
      <c r="R31" s="142" t="s">
        <v>268</v>
      </c>
      <c r="S31" s="136"/>
      <c r="T31" s="136"/>
    </row>
    <row r="32" spans="1:29" ht="31.5" customHeight="1" thickBot="1" x14ac:dyDescent="0.3">
      <c r="A32" s="62"/>
      <c r="R32" s="143" t="s">
        <v>269</v>
      </c>
      <c r="S32" s="136"/>
      <c r="T32" s="136"/>
    </row>
    <row r="33" spans="1:24" ht="18.75" customHeight="1" thickBot="1" x14ac:dyDescent="0.3">
      <c r="A33" s="62"/>
      <c r="R33" s="144" t="s">
        <v>249</v>
      </c>
      <c r="S33" s="990">
        <f>$L$5</f>
        <v>1635.6394129979033</v>
      </c>
      <c r="T33" s="1078">
        <f>S33+U33</f>
        <v>1683.163720690211</v>
      </c>
      <c r="U33" s="1057">
        <f>SUM(L37:L38)</f>
        <v>47.524307692307694</v>
      </c>
    </row>
    <row r="34" spans="1:24" x14ac:dyDescent="0.25">
      <c r="A34" s="62"/>
    </row>
    <row r="35" spans="1:24" ht="15.75" x14ac:dyDescent="0.25">
      <c r="A35" s="62"/>
      <c r="B35" s="1681" t="s">
        <v>625</v>
      </c>
      <c r="C35" s="1681"/>
      <c r="D35" s="1681"/>
      <c r="E35" s="1681"/>
      <c r="F35" s="1681"/>
      <c r="G35" s="797"/>
      <c r="H35" s="797"/>
      <c r="I35" s="803"/>
      <c r="J35" s="803"/>
      <c r="K35" s="803"/>
      <c r="L35" s="803"/>
    </row>
    <row r="36" spans="1:24" ht="39.75" customHeight="1"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4" x14ac:dyDescent="0.25">
      <c r="A37" s="62"/>
      <c r="B37" s="772" t="s">
        <v>686</v>
      </c>
      <c r="C37" s="773" t="s">
        <v>14</v>
      </c>
      <c r="D37" s="774">
        <v>7.0000000000000007E-2</v>
      </c>
      <c r="E37" s="772">
        <f>$AD$1</f>
        <v>232</v>
      </c>
      <c r="F37" s="772">
        <f>D37*E37</f>
        <v>16.240000000000002</v>
      </c>
      <c r="G37" s="14"/>
      <c r="H37" s="772">
        <f>F37</f>
        <v>16.240000000000002</v>
      </c>
      <c r="I37" s="772">
        <f>VLOOKUP(B37,All_Ingredients!$A$1:$F$156,6,FALSE())</f>
        <v>0.65</v>
      </c>
      <c r="J37" s="772">
        <f>VLOOKUP(B37,All_Ingredients!$A$1:$J$156,10,FALSE())</f>
        <v>45</v>
      </c>
      <c r="K37" s="772">
        <f>(H37/I37)/1000</f>
        <v>2.498461538461539E-2</v>
      </c>
      <c r="L37" s="772">
        <f t="shared" ref="L37" si="7">K37*J37</f>
        <v>1.1243076923076925</v>
      </c>
    </row>
    <row r="38" spans="1:24" x14ac:dyDescent="0.25">
      <c r="A38" s="62"/>
      <c r="B38" s="772" t="s">
        <v>178</v>
      </c>
      <c r="C38" s="773" t="s">
        <v>14</v>
      </c>
      <c r="D38" s="774">
        <v>5</v>
      </c>
      <c r="E38" s="772">
        <f>$AD$1</f>
        <v>232</v>
      </c>
      <c r="F38" s="772">
        <f>D38*E38</f>
        <v>1160</v>
      </c>
      <c r="H38" s="772">
        <f>F38</f>
        <v>1160</v>
      </c>
      <c r="I38" s="772">
        <f>VLOOKUP(B38,All_Ingredients!$A$1:$F$156,6,FALSE())</f>
        <v>1</v>
      </c>
      <c r="J38" s="772">
        <f>VLOOKUP(B38,All_Ingredients!$A$1:$J$156,10,FALSE())</f>
        <v>40</v>
      </c>
      <c r="K38" s="772">
        <f>(H38/I38)/1000</f>
        <v>1.1599999999999999</v>
      </c>
      <c r="L38" s="772">
        <f t="shared" ref="L38" si="8">K38*J38</f>
        <v>46.4</v>
      </c>
    </row>
    <row r="39" spans="1:24" x14ac:dyDescent="0.25">
      <c r="A39" s="62" t="s">
        <v>920</v>
      </c>
      <c r="B39" s="772" t="s">
        <v>12</v>
      </c>
      <c r="C39" s="773" t="s">
        <v>14</v>
      </c>
      <c r="D39" s="774">
        <v>10</v>
      </c>
      <c r="E39" s="772">
        <f>$AD$1</f>
        <v>232</v>
      </c>
      <c r="F39" s="772">
        <f>D39*E39</f>
        <v>2320</v>
      </c>
      <c r="H39" s="772">
        <f>F39</f>
        <v>2320</v>
      </c>
      <c r="I39" s="772">
        <f>VLOOKUP(B39,All_Ingredients!$A$1:$F$156,6,FALSE())</f>
        <v>0.9</v>
      </c>
      <c r="J39" s="772">
        <f>VLOOKUP(B39,All_Ingredients!$A$1:$J$156,10,FALSE())</f>
        <v>3</v>
      </c>
      <c r="K39" s="772">
        <f>(H39/I39)/1000</f>
        <v>2.5777777777777779</v>
      </c>
      <c r="L39" s="772">
        <f t="shared" ref="L39" si="9">K39*J39</f>
        <v>7.7333333333333343</v>
      </c>
    </row>
    <row r="40" spans="1:24" ht="14.25" customHeight="1" x14ac:dyDescent="0.25">
      <c r="A40" s="62"/>
      <c r="Q40" s="14"/>
      <c r="R40" s="146" t="s">
        <v>328</v>
      </c>
      <c r="S40" s="217">
        <v>1</v>
      </c>
      <c r="X40" s="14"/>
    </row>
    <row r="41" spans="1:24" ht="14.25" customHeight="1" x14ac:dyDescent="0.25">
      <c r="A41" s="62"/>
      <c r="Q41" s="14"/>
      <c r="R41" s="14"/>
      <c r="S41" s="14"/>
      <c r="T41" s="14"/>
      <c r="U41" s="150"/>
      <c r="V41" s="14"/>
      <c r="W41" s="14"/>
      <c r="X41" s="14"/>
    </row>
    <row r="42" spans="1:24" ht="14.25" customHeight="1" x14ac:dyDescent="0.25">
      <c r="A42" s="62"/>
      <c r="Q42" s="14"/>
      <c r="R42" s="14"/>
      <c r="S42" s="14"/>
      <c r="T42" s="14"/>
      <c r="U42" s="14"/>
      <c r="V42" s="14"/>
      <c r="W42" s="14"/>
      <c r="X42" s="14"/>
    </row>
    <row r="43" spans="1:24" ht="14.25" customHeight="1" x14ac:dyDescent="0.25">
      <c r="A43" s="62"/>
      <c r="Q43" s="151" t="s">
        <v>272</v>
      </c>
      <c r="R43" s="151" t="s">
        <v>273</v>
      </c>
      <c r="S43" s="151" t="s">
        <v>274</v>
      </c>
      <c r="T43" s="151" t="s">
        <v>275</v>
      </c>
      <c r="U43" s="151" t="s">
        <v>276</v>
      </c>
      <c r="V43" s="151" t="s">
        <v>277</v>
      </c>
      <c r="W43" s="235" t="s">
        <v>329</v>
      </c>
      <c r="X43" s="298"/>
    </row>
    <row r="44" spans="1:24" ht="14.25" customHeight="1" x14ac:dyDescent="0.25">
      <c r="A44" s="62"/>
      <c r="Q44" s="153">
        <v>10000</v>
      </c>
      <c r="R44" s="154">
        <v>0</v>
      </c>
      <c r="S44" s="219">
        <v>0</v>
      </c>
      <c r="T44" s="219">
        <v>0</v>
      </c>
      <c r="U44" s="220">
        <f>R44*S44</f>
        <v>0</v>
      </c>
      <c r="V44" s="157">
        <f>R44*T44</f>
        <v>0</v>
      </c>
      <c r="W44" s="237">
        <f>Q44-U44</f>
        <v>10000</v>
      </c>
      <c r="X44" s="275"/>
    </row>
    <row r="45" spans="1:24" x14ac:dyDescent="0.25">
      <c r="A45" s="62"/>
    </row>
    <row r="46" spans="1:24" x14ac:dyDescent="0.25">
      <c r="A46" s="62"/>
    </row>
    <row r="47" spans="1:24" x14ac:dyDescent="0.25">
      <c r="A47" s="62"/>
    </row>
    <row r="48" spans="1:24" x14ac:dyDescent="0.25">
      <c r="A48" s="62"/>
    </row>
    <row r="49" spans="1:10" x14ac:dyDescent="0.25">
      <c r="A49" s="62"/>
    </row>
    <row r="50" spans="1:10" ht="15.75" thickBot="1" x14ac:dyDescent="0.3">
      <c r="A50" s="62"/>
      <c r="G50" s="127" t="s">
        <v>280</v>
      </c>
      <c r="H50" s="127" t="s">
        <v>233</v>
      </c>
      <c r="I50" s="127" t="s">
        <v>281</v>
      </c>
      <c r="J50" s="127" t="s">
        <v>282</v>
      </c>
    </row>
    <row r="51" spans="1:10" ht="15.75" thickBot="1" x14ac:dyDescent="0.3">
      <c r="A51" s="62"/>
      <c r="G51" s="287" t="s">
        <v>323</v>
      </c>
      <c r="H51" s="288">
        <v>10</v>
      </c>
      <c r="I51" s="288">
        <f t="shared" ref="I51:I56" si="10">J51/$J$1</f>
        <v>18867.924528301886</v>
      </c>
      <c r="J51" s="289">
        <f>$W$44</f>
        <v>10000</v>
      </c>
    </row>
    <row r="52" spans="1:10" x14ac:dyDescent="0.25">
      <c r="A52" s="62"/>
      <c r="G52" s="143" t="s">
        <v>262</v>
      </c>
      <c r="H52" s="290">
        <f>$E$5</f>
        <v>33.199999999999996</v>
      </c>
      <c r="I52" s="291">
        <f t="shared" si="10"/>
        <v>62641.509433962259</v>
      </c>
      <c r="J52" s="292">
        <f>$S$30</f>
        <v>33200</v>
      </c>
    </row>
    <row r="53" spans="1:10" x14ac:dyDescent="0.25">
      <c r="A53" s="62"/>
      <c r="D53" s="458"/>
      <c r="G53" s="129" t="s">
        <v>284</v>
      </c>
      <c r="H53" s="293">
        <f>MIN($H$52, H51)</f>
        <v>10</v>
      </c>
      <c r="I53" s="157">
        <f t="shared" si="10"/>
        <v>18867.924528301886</v>
      </c>
      <c r="J53" s="294">
        <f>MIN(MAX($J$52,0),$J$51)</f>
        <v>10000</v>
      </c>
    </row>
    <row r="54" spans="1:10" x14ac:dyDescent="0.25">
      <c r="A54" s="62"/>
      <c r="D54" s="458"/>
      <c r="G54" s="129" t="s">
        <v>285</v>
      </c>
      <c r="H54" s="293">
        <f>MIN(MAX($H$52-H53,0),H51)</f>
        <v>10</v>
      </c>
      <c r="I54" s="157">
        <f t="shared" si="10"/>
        <v>18867.924528301886</v>
      </c>
      <c r="J54" s="165">
        <f>MIN(MAX($J$52-J53,0),$J$51)</f>
        <v>10000</v>
      </c>
    </row>
    <row r="55" spans="1:10" x14ac:dyDescent="0.25">
      <c r="A55" s="62"/>
      <c r="D55" s="458"/>
      <c r="G55" s="126" t="s">
        <v>286</v>
      </c>
      <c r="H55" s="293">
        <f>MIN(MAX($H$52-H53-H54,0),H51)</f>
        <v>10</v>
      </c>
      <c r="I55" s="157">
        <f t="shared" si="10"/>
        <v>18867.924528301886</v>
      </c>
      <c r="J55" s="294">
        <f>MIN(MAX($J$52-J53-J54,0),$J$51)</f>
        <v>10000</v>
      </c>
    </row>
    <row r="56" spans="1:10" x14ac:dyDescent="0.25">
      <c r="A56" s="62"/>
      <c r="G56" s="126" t="s">
        <v>293</v>
      </c>
      <c r="H56" s="293">
        <f>MIN(MAX($H$52-H53-H54-H55,0),H51)</f>
        <v>3.1999999999999957</v>
      </c>
      <c r="I56" s="157">
        <f t="shared" si="10"/>
        <v>6037.7358490566039</v>
      </c>
      <c r="J56" s="294">
        <f>MIN(MAX($J$52-J53-J54-J55,0),$J$51)</f>
        <v>3200</v>
      </c>
    </row>
    <row r="57" spans="1:10" x14ac:dyDescent="0.25">
      <c r="A57" s="62"/>
      <c r="G57" s="126" t="s">
        <v>344</v>
      </c>
      <c r="H57" s="293">
        <f>MIN(MAX($H$52-H53-H54-H55-H56,0),H52)</f>
        <v>0</v>
      </c>
      <c r="I57" s="157">
        <f>J57/$J$1</f>
        <v>0</v>
      </c>
      <c r="J57" s="294">
        <f>MIN(MAX($J$52-J53-J54-J55-J56,0),$J$51)</f>
        <v>0</v>
      </c>
    </row>
    <row r="58" spans="1:10" x14ac:dyDescent="0.25">
      <c r="A58" s="62"/>
    </row>
    <row r="59" spans="1:10" x14ac:dyDescent="0.25">
      <c r="A59" s="62"/>
    </row>
    <row r="60" spans="1:10" x14ac:dyDescent="0.25">
      <c r="A60" s="62"/>
    </row>
    <row r="61" spans="1:10" x14ac:dyDescent="0.25">
      <c r="A61" s="62"/>
    </row>
    <row r="62" spans="1:10" ht="18" customHeight="1" x14ac:dyDescent="0.2">
      <c r="A62" s="1467"/>
      <c r="B62" s="1636" t="str">
        <f>"لحم زربيان  1 / " &amp; COUNTIF($H$53:$H$57, "&gt;0")</f>
        <v>لحم زربيان  1 / 4</v>
      </c>
      <c r="C62" s="1637"/>
      <c r="D62" s="1637"/>
      <c r="E62" s="1637"/>
      <c r="F62" s="1637"/>
      <c r="G62" s="1637"/>
      <c r="H62" s="1637"/>
    </row>
    <row r="63" spans="1:10" ht="18" customHeight="1" x14ac:dyDescent="0.2">
      <c r="A63" s="1468"/>
      <c r="B63" s="1634" t="str">
        <f>"Beef Zurbian 1 / " &amp; COUNTIF($H$53:$H$57, "&gt;0")</f>
        <v>Beef Zurbian 1 / 4</v>
      </c>
      <c r="C63" s="1635"/>
      <c r="D63" s="1635"/>
      <c r="E63" s="1635"/>
      <c r="F63" s="1635"/>
      <c r="G63" s="1635"/>
      <c r="H63" s="1635"/>
    </row>
    <row r="64" spans="1:10" ht="48.75" customHeight="1" x14ac:dyDescent="0.2">
      <c r="A64" s="1457"/>
      <c r="B64" s="75" t="s">
        <v>241</v>
      </c>
      <c r="C64" s="284" t="s">
        <v>317</v>
      </c>
      <c r="D64" s="75" t="s">
        <v>318</v>
      </c>
      <c r="E64" s="91" t="s">
        <v>319</v>
      </c>
      <c r="F64" s="91" t="s">
        <v>320</v>
      </c>
      <c r="G64" s="285" t="s">
        <v>321</v>
      </c>
      <c r="H64" s="197" t="s">
        <v>245</v>
      </c>
    </row>
    <row r="65" spans="1:8" ht="14.25" customHeight="1" x14ac:dyDescent="0.2">
      <c r="A65" s="1459"/>
      <c r="B65" s="299" t="str">
        <f t="shared" ref="B65:D78" si="11">B5</f>
        <v>Indian Meat Alana  - لحم هندى ألانا</v>
      </c>
      <c r="C65" s="299" t="str">
        <f t="shared" si="11"/>
        <v>gm</v>
      </c>
      <c r="D65" s="300">
        <f t="shared" si="11"/>
        <v>1886.7924528301887</v>
      </c>
      <c r="E65" s="177">
        <f t="shared" ref="E65:E78" si="12">$H$53</f>
        <v>10</v>
      </c>
      <c r="F65" s="109">
        <f t="shared" ref="F65:F78" si="13">F5</f>
        <v>1</v>
      </c>
      <c r="G65" s="101">
        <f t="shared" ref="G65:G78" si="14">D65*E65</f>
        <v>18867.924528301886</v>
      </c>
      <c r="H65" s="102">
        <f t="shared" ref="H65:H78" si="15">G65*F65</f>
        <v>18867.924528301886</v>
      </c>
    </row>
    <row r="66" spans="1:8" ht="14.25" customHeight="1" x14ac:dyDescent="0.25">
      <c r="A66" s="1455" t="s">
        <v>920</v>
      </c>
      <c r="B66" s="299" t="str">
        <f t="shared" si="11"/>
        <v>Onion - بصل</v>
      </c>
      <c r="C66" s="299" t="str">
        <f t="shared" si="11"/>
        <v>gm</v>
      </c>
      <c r="D66" s="299">
        <f t="shared" si="11"/>
        <v>200</v>
      </c>
      <c r="E66" s="177">
        <f t="shared" si="12"/>
        <v>10</v>
      </c>
      <c r="F66" s="109">
        <f t="shared" si="13"/>
        <v>1</v>
      </c>
      <c r="G66" s="65">
        <f t="shared" si="14"/>
        <v>2000</v>
      </c>
      <c r="H66" s="102">
        <f t="shared" si="15"/>
        <v>2000</v>
      </c>
    </row>
    <row r="67" spans="1:8" ht="14.25" customHeight="1" x14ac:dyDescent="0.25">
      <c r="A67" s="1455" t="s">
        <v>909</v>
      </c>
      <c r="B67" s="299" t="str">
        <f t="shared" si="11"/>
        <v>Tomato - طماطم</v>
      </c>
      <c r="C67" s="299" t="str">
        <f t="shared" si="11"/>
        <v>gm</v>
      </c>
      <c r="D67" s="299">
        <f t="shared" si="11"/>
        <v>120</v>
      </c>
      <c r="E67" s="177">
        <f t="shared" si="12"/>
        <v>10</v>
      </c>
      <c r="F67" s="109">
        <f t="shared" si="13"/>
        <v>1</v>
      </c>
      <c r="G67" s="65">
        <f t="shared" si="14"/>
        <v>1200</v>
      </c>
      <c r="H67" s="102">
        <f t="shared" si="15"/>
        <v>1200</v>
      </c>
    </row>
    <row r="68" spans="1:8" ht="14.25" customHeight="1" x14ac:dyDescent="0.25">
      <c r="A68" s="1455" t="s">
        <v>907</v>
      </c>
      <c r="B68" s="299" t="str">
        <f t="shared" si="11"/>
        <v>Garlic - ثوم مقشر</v>
      </c>
      <c r="C68" s="299" t="str">
        <f t="shared" si="11"/>
        <v>gm</v>
      </c>
      <c r="D68" s="299">
        <f t="shared" si="11"/>
        <v>10</v>
      </c>
      <c r="E68" s="177">
        <f t="shared" si="12"/>
        <v>10</v>
      </c>
      <c r="F68" s="109">
        <f t="shared" si="13"/>
        <v>0.65</v>
      </c>
      <c r="G68" s="65">
        <f t="shared" si="14"/>
        <v>100</v>
      </c>
      <c r="H68" s="102">
        <f t="shared" si="15"/>
        <v>65</v>
      </c>
    </row>
    <row r="69" spans="1:8" ht="14.25" customHeight="1" x14ac:dyDescent="0.25">
      <c r="A69" s="1455" t="s">
        <v>919</v>
      </c>
      <c r="B69" s="299" t="str">
        <f t="shared" si="11"/>
        <v>Green Bell Pepper - فلفل أخضر رومى</v>
      </c>
      <c r="C69" s="299" t="str">
        <f t="shared" si="11"/>
        <v>gm</v>
      </c>
      <c r="D69" s="299">
        <f t="shared" si="11"/>
        <v>50</v>
      </c>
      <c r="E69" s="177">
        <f t="shared" si="12"/>
        <v>10</v>
      </c>
      <c r="F69" s="109">
        <f t="shared" si="13"/>
        <v>0.75</v>
      </c>
      <c r="G69" s="65">
        <f t="shared" si="14"/>
        <v>500</v>
      </c>
      <c r="H69" s="102">
        <f t="shared" si="15"/>
        <v>375</v>
      </c>
    </row>
    <row r="70" spans="1:8" ht="14.25" customHeight="1" x14ac:dyDescent="0.25">
      <c r="A70" s="1455"/>
      <c r="B70" s="299" t="str">
        <f t="shared" si="11"/>
        <v>Cumin Powder - كمون مطحون</v>
      </c>
      <c r="C70" s="299" t="str">
        <f t="shared" si="11"/>
        <v>gm</v>
      </c>
      <c r="D70" s="299">
        <f t="shared" si="11"/>
        <v>20</v>
      </c>
      <c r="E70" s="177">
        <f t="shared" si="12"/>
        <v>10</v>
      </c>
      <c r="F70" s="109">
        <f t="shared" si="13"/>
        <v>0.7</v>
      </c>
      <c r="G70" s="65">
        <f t="shared" si="14"/>
        <v>200</v>
      </c>
      <c r="H70" s="102">
        <f t="shared" si="15"/>
        <v>140</v>
      </c>
    </row>
    <row r="71" spans="1:8" ht="14.25" customHeight="1" x14ac:dyDescent="0.25">
      <c r="A71" s="1455"/>
      <c r="B71" s="299" t="str">
        <f t="shared" si="11"/>
        <v>Maggi Cubes - مكعبات ماجي</v>
      </c>
      <c r="C71" s="299" t="str">
        <f t="shared" si="11"/>
        <v>gm</v>
      </c>
      <c r="D71" s="299">
        <f t="shared" si="11"/>
        <v>20</v>
      </c>
      <c r="E71" s="177">
        <f t="shared" si="12"/>
        <v>10</v>
      </c>
      <c r="F71" s="109">
        <f t="shared" si="13"/>
        <v>0.65</v>
      </c>
      <c r="G71" s="65">
        <f t="shared" si="14"/>
        <v>200</v>
      </c>
      <c r="H71" s="102">
        <f t="shared" si="15"/>
        <v>130</v>
      </c>
    </row>
    <row r="72" spans="1:8" ht="14.25" customHeight="1" x14ac:dyDescent="0.25">
      <c r="A72" s="1455"/>
      <c r="B72" s="299" t="str">
        <f t="shared" si="11"/>
        <v>Cardamom Whole - هيل حب</v>
      </c>
      <c r="C72" s="299" t="str">
        <f t="shared" si="11"/>
        <v>gm</v>
      </c>
      <c r="D72" s="299">
        <f t="shared" si="11"/>
        <v>10</v>
      </c>
      <c r="E72" s="177">
        <f t="shared" si="12"/>
        <v>10</v>
      </c>
      <c r="F72" s="109">
        <f t="shared" si="13"/>
        <v>0.25</v>
      </c>
      <c r="G72" s="65">
        <f t="shared" si="14"/>
        <v>100</v>
      </c>
      <c r="H72" s="102">
        <f t="shared" si="15"/>
        <v>25</v>
      </c>
    </row>
    <row r="73" spans="1:8" ht="14.25" customHeight="1" x14ac:dyDescent="0.25">
      <c r="A73" s="1455"/>
      <c r="B73" s="299" t="str">
        <f t="shared" si="11"/>
        <v>Coriander Powder - كزبرة مطحونة</v>
      </c>
      <c r="C73" s="299" t="str">
        <f t="shared" si="11"/>
        <v>gm</v>
      </c>
      <c r="D73" s="299">
        <f t="shared" si="11"/>
        <v>20</v>
      </c>
      <c r="E73" s="177">
        <f t="shared" si="12"/>
        <v>10</v>
      </c>
      <c r="F73" s="109">
        <f t="shared" si="13"/>
        <v>0.7</v>
      </c>
      <c r="G73" s="65">
        <f t="shared" si="14"/>
        <v>200</v>
      </c>
      <c r="H73" s="102">
        <f t="shared" si="15"/>
        <v>140</v>
      </c>
    </row>
    <row r="74" spans="1:8" ht="14.25" customHeight="1" x14ac:dyDescent="0.25">
      <c r="A74" s="1455"/>
      <c r="B74" s="299" t="str">
        <f t="shared" si="11"/>
        <v>Yogurt - زبادي</v>
      </c>
      <c r="C74" s="299" t="str">
        <f t="shared" si="11"/>
        <v>gm</v>
      </c>
      <c r="D74" s="299">
        <f t="shared" si="11"/>
        <v>150</v>
      </c>
      <c r="E74" s="177">
        <f t="shared" si="12"/>
        <v>10</v>
      </c>
      <c r="F74" s="109">
        <f t="shared" si="13"/>
        <v>0.85</v>
      </c>
      <c r="G74" s="65">
        <f t="shared" si="14"/>
        <v>1500</v>
      </c>
      <c r="H74" s="102">
        <f t="shared" si="15"/>
        <v>1275</v>
      </c>
    </row>
    <row r="75" spans="1:8" ht="14.25" customHeight="1" x14ac:dyDescent="0.25">
      <c r="A75" s="1455"/>
      <c r="B75" s="299" t="str">
        <f t="shared" si="11"/>
        <v>Tomato Paste - صلصة طماطم</v>
      </c>
      <c r="C75" s="299" t="str">
        <f t="shared" si="11"/>
        <v>gm</v>
      </c>
      <c r="D75" s="299">
        <f t="shared" si="11"/>
        <v>70</v>
      </c>
      <c r="E75" s="177">
        <f t="shared" si="12"/>
        <v>10</v>
      </c>
      <c r="F75" s="109">
        <f t="shared" si="13"/>
        <v>0.8</v>
      </c>
      <c r="G75" s="65">
        <f t="shared" si="14"/>
        <v>700</v>
      </c>
      <c r="H75" s="102">
        <f t="shared" si="15"/>
        <v>560</v>
      </c>
    </row>
    <row r="76" spans="1:8" ht="14.25" customHeight="1" x14ac:dyDescent="0.25">
      <c r="A76" s="1455"/>
      <c r="B76" s="299" t="str">
        <f t="shared" si="11"/>
        <v>Salt - ملح</v>
      </c>
      <c r="C76" s="299" t="str">
        <f t="shared" si="11"/>
        <v>gm</v>
      </c>
      <c r="D76" s="299">
        <f t="shared" si="11"/>
        <v>30</v>
      </c>
      <c r="E76" s="177">
        <f t="shared" si="12"/>
        <v>10</v>
      </c>
      <c r="F76" s="109">
        <f t="shared" si="13"/>
        <v>0.75</v>
      </c>
      <c r="G76" s="65">
        <f t="shared" si="14"/>
        <v>300</v>
      </c>
      <c r="H76" s="102">
        <f t="shared" si="15"/>
        <v>225</v>
      </c>
    </row>
    <row r="77" spans="1:8" ht="14.25" customHeight="1" x14ac:dyDescent="0.25">
      <c r="A77" s="1455"/>
      <c r="B77" s="299" t="str">
        <f t="shared" si="11"/>
        <v>Water - ماء</v>
      </c>
      <c r="C77" s="299" t="str">
        <f t="shared" si="11"/>
        <v>ml</v>
      </c>
      <c r="D77" s="299">
        <f t="shared" si="11"/>
        <v>200</v>
      </c>
      <c r="E77" s="177">
        <f t="shared" si="12"/>
        <v>10</v>
      </c>
      <c r="F77" s="109">
        <f t="shared" si="13"/>
        <v>1</v>
      </c>
      <c r="G77" s="65">
        <f t="shared" si="14"/>
        <v>2000</v>
      </c>
      <c r="H77" s="102">
        <f t="shared" si="15"/>
        <v>2000</v>
      </c>
    </row>
    <row r="78" spans="1:8" ht="14.25" customHeight="1" x14ac:dyDescent="0.25">
      <c r="A78" s="1455"/>
      <c r="B78" s="299" t="str">
        <f t="shared" si="11"/>
        <v>Saffron yellow color powder - لون صفار زعفران بودر</v>
      </c>
      <c r="C78" s="299" t="str">
        <f t="shared" si="11"/>
        <v>gm</v>
      </c>
      <c r="D78" s="299">
        <f t="shared" si="11"/>
        <v>1</v>
      </c>
      <c r="E78" s="177">
        <f t="shared" si="12"/>
        <v>10</v>
      </c>
      <c r="F78" s="109">
        <f t="shared" si="13"/>
        <v>0.3</v>
      </c>
      <c r="G78" s="65">
        <f t="shared" si="14"/>
        <v>10</v>
      </c>
      <c r="H78" s="102">
        <f t="shared" si="15"/>
        <v>3</v>
      </c>
    </row>
    <row r="79" spans="1:8" ht="20.25" customHeight="1" x14ac:dyDescent="0.25">
      <c r="A79" s="1458"/>
      <c r="B79" s="178" t="s">
        <v>287</v>
      </c>
      <c r="C79" s="180" t="s">
        <v>273</v>
      </c>
      <c r="D79" s="14"/>
      <c r="E79" s="180" t="s">
        <v>288</v>
      </c>
      <c r="F79" s="14"/>
      <c r="G79" s="804" t="s">
        <v>264</v>
      </c>
      <c r="H79" s="804" t="s">
        <v>673</v>
      </c>
    </row>
    <row r="80" spans="1:8" ht="24" customHeight="1" x14ac:dyDescent="0.3">
      <c r="A80" s="1458"/>
      <c r="B80" s="179">
        <f>$J$53</f>
        <v>10000</v>
      </c>
      <c r="C80" s="181">
        <f>E80+G80</f>
        <v>0</v>
      </c>
      <c r="D80" s="189"/>
      <c r="E80" s="181">
        <f>$H$53*$S$44</f>
        <v>0</v>
      </c>
      <c r="F80" s="84"/>
      <c r="G80" s="182">
        <f>$H$53*$T$44</f>
        <v>0</v>
      </c>
      <c r="H80" s="182">
        <f>B80+E80</f>
        <v>10000</v>
      </c>
    </row>
    <row r="81" spans="1:10" ht="14.25" customHeight="1" x14ac:dyDescent="0.25">
      <c r="A81" s="62"/>
      <c r="B81" s="84"/>
      <c r="E81" s="84"/>
      <c r="F81" s="84"/>
    </row>
    <row r="82" spans="1:10" ht="18" customHeight="1" x14ac:dyDescent="0.25">
      <c r="A82" s="1456"/>
      <c r="B82" s="1636" t="str">
        <f>"لحم زربيان  2 / " &amp; COUNTIF($H$53:$H$57, "&gt;0")</f>
        <v>لحم زربيان  2 / 4</v>
      </c>
      <c r="C82" s="1637"/>
      <c r="D82" s="1637"/>
      <c r="E82" s="1637"/>
      <c r="F82" s="1637"/>
      <c r="G82" s="1637"/>
      <c r="H82" s="1637"/>
    </row>
    <row r="83" spans="1:10" ht="18" customHeight="1" x14ac:dyDescent="0.25">
      <c r="A83" s="1456"/>
      <c r="B83" s="1634" t="str">
        <f>"Beef Zurbian 2 / " &amp; COUNTIF($H$53:$H$57, "&gt;0")</f>
        <v>Beef Zurbian 2 / 4</v>
      </c>
      <c r="C83" s="1635"/>
      <c r="D83" s="1635"/>
      <c r="E83" s="1635"/>
      <c r="F83" s="1635"/>
      <c r="G83" s="1635"/>
      <c r="H83" s="1635"/>
    </row>
    <row r="84" spans="1:10" ht="45" customHeight="1" x14ac:dyDescent="0.2">
      <c r="A84" s="1457"/>
      <c r="B84" s="75" t="s">
        <v>241</v>
      </c>
      <c r="C84" s="90" t="s">
        <v>242</v>
      </c>
      <c r="D84" s="75" t="s">
        <v>231</v>
      </c>
      <c r="E84" s="197" t="s">
        <v>234</v>
      </c>
      <c r="F84" s="91" t="s">
        <v>330</v>
      </c>
      <c r="G84" s="75" t="s">
        <v>244</v>
      </c>
      <c r="H84" s="197" t="s">
        <v>245</v>
      </c>
    </row>
    <row r="85" spans="1:10" ht="14.25" customHeight="1" x14ac:dyDescent="0.2">
      <c r="A85" s="1459"/>
      <c r="B85" s="299" t="str">
        <f t="shared" ref="B85:D98" si="16">B5</f>
        <v>Indian Meat Alana  - لحم هندى ألانا</v>
      </c>
      <c r="C85" s="299" t="str">
        <f t="shared" si="16"/>
        <v>gm</v>
      </c>
      <c r="D85" s="101">
        <f t="shared" si="16"/>
        <v>1886.7924528301887</v>
      </c>
      <c r="E85" s="177">
        <f t="shared" ref="E85:E98" si="17">$H$54</f>
        <v>10</v>
      </c>
      <c r="F85" s="109">
        <f t="shared" ref="F85:F98" si="18">F5</f>
        <v>1</v>
      </c>
      <c r="G85" s="101">
        <f t="shared" ref="G85:G98" si="19">D85*E85</f>
        <v>18867.924528301886</v>
      </c>
      <c r="H85" s="102">
        <f t="shared" ref="H85:H98" si="20">G85*F85</f>
        <v>18867.924528301886</v>
      </c>
    </row>
    <row r="86" spans="1:10" ht="14.25" customHeight="1" x14ac:dyDescent="0.25">
      <c r="A86" s="1455" t="s">
        <v>920</v>
      </c>
      <c r="B86" s="299" t="str">
        <f t="shared" si="16"/>
        <v>Onion - بصل</v>
      </c>
      <c r="C86" s="299" t="str">
        <f t="shared" si="16"/>
        <v>gm</v>
      </c>
      <c r="D86" s="299">
        <f t="shared" si="16"/>
        <v>200</v>
      </c>
      <c r="E86" s="177">
        <f t="shared" si="17"/>
        <v>10</v>
      </c>
      <c r="F86" s="109">
        <f t="shared" si="18"/>
        <v>1</v>
      </c>
      <c r="G86" s="101">
        <f t="shared" si="19"/>
        <v>2000</v>
      </c>
      <c r="H86" s="102">
        <f t="shared" si="20"/>
        <v>2000</v>
      </c>
    </row>
    <row r="87" spans="1:10" ht="14.25" customHeight="1" x14ac:dyDescent="0.25">
      <c r="A87" s="1455" t="s">
        <v>909</v>
      </c>
      <c r="B87" s="299" t="str">
        <f t="shared" si="16"/>
        <v>Tomato - طماطم</v>
      </c>
      <c r="C87" s="299" t="str">
        <f t="shared" si="16"/>
        <v>gm</v>
      </c>
      <c r="D87" s="299">
        <f t="shared" si="16"/>
        <v>120</v>
      </c>
      <c r="E87" s="177">
        <f t="shared" si="17"/>
        <v>10</v>
      </c>
      <c r="F87" s="109">
        <f t="shared" si="18"/>
        <v>1</v>
      </c>
      <c r="G87" s="101">
        <f t="shared" si="19"/>
        <v>1200</v>
      </c>
      <c r="H87" s="102">
        <f t="shared" si="20"/>
        <v>1200</v>
      </c>
    </row>
    <row r="88" spans="1:10" ht="14.25" customHeight="1" x14ac:dyDescent="0.25">
      <c r="A88" s="1455" t="s">
        <v>907</v>
      </c>
      <c r="B88" s="299" t="str">
        <f t="shared" si="16"/>
        <v>Garlic - ثوم مقشر</v>
      </c>
      <c r="C88" s="299" t="str">
        <f t="shared" si="16"/>
        <v>gm</v>
      </c>
      <c r="D88" s="299">
        <f t="shared" si="16"/>
        <v>10</v>
      </c>
      <c r="E88" s="177">
        <f t="shared" si="17"/>
        <v>10</v>
      </c>
      <c r="F88" s="109">
        <f t="shared" si="18"/>
        <v>0.65</v>
      </c>
      <c r="G88" s="101">
        <f t="shared" si="19"/>
        <v>100</v>
      </c>
      <c r="H88" s="102">
        <f t="shared" si="20"/>
        <v>65</v>
      </c>
    </row>
    <row r="89" spans="1:10" ht="14.25" customHeight="1" x14ac:dyDescent="0.25">
      <c r="A89" s="1455" t="s">
        <v>919</v>
      </c>
      <c r="B89" s="299" t="str">
        <f t="shared" si="16"/>
        <v>Green Bell Pepper - فلفل أخضر رومى</v>
      </c>
      <c r="C89" s="299" t="str">
        <f t="shared" si="16"/>
        <v>gm</v>
      </c>
      <c r="D89" s="299">
        <f t="shared" si="16"/>
        <v>50</v>
      </c>
      <c r="E89" s="177">
        <f t="shared" si="17"/>
        <v>10</v>
      </c>
      <c r="F89" s="109">
        <f t="shared" si="18"/>
        <v>0.75</v>
      </c>
      <c r="G89" s="101">
        <f t="shared" si="19"/>
        <v>500</v>
      </c>
      <c r="H89" s="102">
        <f t="shared" si="20"/>
        <v>375</v>
      </c>
    </row>
    <row r="90" spans="1:10" ht="14.25" customHeight="1" x14ac:dyDescent="0.25">
      <c r="A90" s="1455"/>
      <c r="B90" s="299" t="str">
        <f t="shared" si="16"/>
        <v>Cumin Powder - كمون مطحون</v>
      </c>
      <c r="C90" s="299" t="str">
        <f t="shared" si="16"/>
        <v>gm</v>
      </c>
      <c r="D90" s="299">
        <f t="shared" si="16"/>
        <v>20</v>
      </c>
      <c r="E90" s="177">
        <f t="shared" si="17"/>
        <v>10</v>
      </c>
      <c r="F90" s="109">
        <f t="shared" si="18"/>
        <v>0.7</v>
      </c>
      <c r="G90" s="101">
        <f t="shared" si="19"/>
        <v>200</v>
      </c>
      <c r="H90" s="102">
        <f t="shared" si="20"/>
        <v>140</v>
      </c>
    </row>
    <row r="91" spans="1:10" ht="12" customHeight="1" x14ac:dyDescent="0.3">
      <c r="A91" s="1455"/>
      <c r="B91" s="299" t="str">
        <f t="shared" si="16"/>
        <v>Maggi Cubes - مكعبات ماجي</v>
      </c>
      <c r="C91" s="299" t="str">
        <f t="shared" si="16"/>
        <v>gm</v>
      </c>
      <c r="D91" s="299">
        <f t="shared" si="16"/>
        <v>20</v>
      </c>
      <c r="E91" s="177">
        <f t="shared" si="17"/>
        <v>10</v>
      </c>
      <c r="F91" s="109">
        <f t="shared" si="18"/>
        <v>0.65</v>
      </c>
      <c r="G91" s="101">
        <f t="shared" si="19"/>
        <v>200</v>
      </c>
      <c r="H91" s="102">
        <f t="shared" si="20"/>
        <v>130</v>
      </c>
      <c r="I91" s="184"/>
      <c r="J91" s="183"/>
    </row>
    <row r="92" spans="1:10" ht="14.25" customHeight="1" x14ac:dyDescent="0.25">
      <c r="A92" s="1455"/>
      <c r="B92" s="299" t="str">
        <f t="shared" si="16"/>
        <v>Cardamom Whole - هيل حب</v>
      </c>
      <c r="C92" s="299" t="str">
        <f t="shared" si="16"/>
        <v>gm</v>
      </c>
      <c r="D92" s="299">
        <f t="shared" si="16"/>
        <v>10</v>
      </c>
      <c r="E92" s="177">
        <f t="shared" si="17"/>
        <v>10</v>
      </c>
      <c r="F92" s="109">
        <f t="shared" si="18"/>
        <v>0.25</v>
      </c>
      <c r="G92" s="101">
        <f t="shared" si="19"/>
        <v>100</v>
      </c>
      <c r="H92" s="102">
        <f t="shared" si="20"/>
        <v>25</v>
      </c>
    </row>
    <row r="93" spans="1:10" ht="14.25" customHeight="1" x14ac:dyDescent="0.25">
      <c r="A93" s="1455"/>
      <c r="B93" s="299" t="str">
        <f t="shared" si="16"/>
        <v>Coriander Powder - كزبرة مطحونة</v>
      </c>
      <c r="C93" s="299" t="str">
        <f t="shared" si="16"/>
        <v>gm</v>
      </c>
      <c r="D93" s="299">
        <f t="shared" si="16"/>
        <v>20</v>
      </c>
      <c r="E93" s="177">
        <f t="shared" si="17"/>
        <v>10</v>
      </c>
      <c r="F93" s="109">
        <f t="shared" si="18"/>
        <v>0.7</v>
      </c>
      <c r="G93" s="101">
        <f t="shared" si="19"/>
        <v>200</v>
      </c>
      <c r="H93" s="102">
        <f t="shared" si="20"/>
        <v>140</v>
      </c>
    </row>
    <row r="94" spans="1:10" ht="14.25" customHeight="1" x14ac:dyDescent="0.25">
      <c r="A94" s="1455"/>
      <c r="B94" s="299" t="str">
        <f t="shared" si="16"/>
        <v>Yogurt - زبادي</v>
      </c>
      <c r="C94" s="299" t="str">
        <f t="shared" si="16"/>
        <v>gm</v>
      </c>
      <c r="D94" s="299">
        <f t="shared" si="16"/>
        <v>150</v>
      </c>
      <c r="E94" s="177">
        <f t="shared" si="17"/>
        <v>10</v>
      </c>
      <c r="F94" s="109">
        <f t="shared" si="18"/>
        <v>0.85</v>
      </c>
      <c r="G94" s="101">
        <f t="shared" si="19"/>
        <v>1500</v>
      </c>
      <c r="H94" s="102">
        <f t="shared" si="20"/>
        <v>1275</v>
      </c>
    </row>
    <row r="95" spans="1:10" ht="14.25" customHeight="1" x14ac:dyDescent="0.25">
      <c r="A95" s="1455"/>
      <c r="B95" s="299" t="str">
        <f t="shared" si="16"/>
        <v>Tomato Paste - صلصة طماطم</v>
      </c>
      <c r="C95" s="299" t="str">
        <f t="shared" si="16"/>
        <v>gm</v>
      </c>
      <c r="D95" s="299">
        <f t="shared" si="16"/>
        <v>70</v>
      </c>
      <c r="E95" s="177">
        <f t="shared" si="17"/>
        <v>10</v>
      </c>
      <c r="F95" s="109">
        <f t="shared" si="18"/>
        <v>0.8</v>
      </c>
      <c r="G95" s="101">
        <f t="shared" si="19"/>
        <v>700</v>
      </c>
      <c r="H95" s="102">
        <f t="shared" si="20"/>
        <v>560</v>
      </c>
    </row>
    <row r="96" spans="1:10" ht="14.25" customHeight="1" x14ac:dyDescent="0.25">
      <c r="A96" s="1455"/>
      <c r="B96" s="299" t="str">
        <f t="shared" si="16"/>
        <v>Salt - ملح</v>
      </c>
      <c r="C96" s="299" t="str">
        <f t="shared" si="16"/>
        <v>gm</v>
      </c>
      <c r="D96" s="299">
        <f t="shared" si="16"/>
        <v>30</v>
      </c>
      <c r="E96" s="177">
        <f t="shared" si="17"/>
        <v>10</v>
      </c>
      <c r="F96" s="109">
        <f t="shared" si="18"/>
        <v>0.75</v>
      </c>
      <c r="G96" s="101">
        <f t="shared" si="19"/>
        <v>300</v>
      </c>
      <c r="H96" s="102">
        <f t="shared" si="20"/>
        <v>225</v>
      </c>
    </row>
    <row r="97" spans="1:8" ht="14.25" customHeight="1" x14ac:dyDescent="0.25">
      <c r="A97" s="1455"/>
      <c r="B97" s="299" t="str">
        <f t="shared" si="16"/>
        <v>Water - ماء</v>
      </c>
      <c r="C97" s="299" t="str">
        <f t="shared" si="16"/>
        <v>ml</v>
      </c>
      <c r="D97" s="299">
        <f t="shared" si="16"/>
        <v>200</v>
      </c>
      <c r="E97" s="177">
        <f t="shared" si="17"/>
        <v>10</v>
      </c>
      <c r="F97" s="109">
        <f t="shared" si="18"/>
        <v>1</v>
      </c>
      <c r="G97" s="101">
        <f t="shared" si="19"/>
        <v>2000</v>
      </c>
      <c r="H97" s="102">
        <f t="shared" si="20"/>
        <v>2000</v>
      </c>
    </row>
    <row r="98" spans="1:8" ht="14.25" customHeight="1" x14ac:dyDescent="0.25">
      <c r="A98" s="1455"/>
      <c r="B98" s="299" t="str">
        <f t="shared" si="16"/>
        <v>Saffron yellow color powder - لون صفار زعفران بودر</v>
      </c>
      <c r="C98" s="299" t="str">
        <f t="shared" si="16"/>
        <v>gm</v>
      </c>
      <c r="D98" s="299">
        <f t="shared" si="16"/>
        <v>1</v>
      </c>
      <c r="E98" s="177">
        <f t="shared" si="17"/>
        <v>10</v>
      </c>
      <c r="F98" s="109">
        <f t="shared" si="18"/>
        <v>0.3</v>
      </c>
      <c r="G98" s="101">
        <f t="shared" si="19"/>
        <v>10</v>
      </c>
      <c r="H98" s="102">
        <f t="shared" si="20"/>
        <v>3</v>
      </c>
    </row>
    <row r="99" spans="1:8" ht="20.25" customHeight="1" x14ac:dyDescent="0.25">
      <c r="A99" s="1458"/>
      <c r="B99" s="178" t="s">
        <v>287</v>
      </c>
      <c r="C99" s="180" t="s">
        <v>273</v>
      </c>
      <c r="D99" s="14"/>
      <c r="E99" s="180" t="s">
        <v>288</v>
      </c>
      <c r="F99" s="14"/>
      <c r="G99" s="804" t="s">
        <v>264</v>
      </c>
      <c r="H99" s="804" t="s">
        <v>673</v>
      </c>
    </row>
    <row r="100" spans="1:8" ht="22.5" customHeight="1" x14ac:dyDescent="0.25">
      <c r="A100" s="1458"/>
      <c r="B100" s="853">
        <f>$J$54</f>
        <v>10000</v>
      </c>
      <c r="C100" s="853">
        <f>E100+G100</f>
        <v>0</v>
      </c>
      <c r="D100" s="854"/>
      <c r="E100" s="853">
        <f>$H$54*$S$44</f>
        <v>0</v>
      </c>
      <c r="F100" s="855"/>
      <c r="G100" s="853">
        <f>$H$54*$T$44</f>
        <v>0</v>
      </c>
      <c r="H100" s="853">
        <f>B100+E100</f>
        <v>10000</v>
      </c>
    </row>
    <row r="101" spans="1:8" ht="14.25" customHeight="1" x14ac:dyDescent="0.25">
      <c r="A101" s="62"/>
      <c r="B101" s="855"/>
      <c r="C101" s="854"/>
      <c r="D101" s="854"/>
      <c r="E101" s="855"/>
      <c r="F101" s="855"/>
      <c r="G101" s="854"/>
      <c r="H101" s="854"/>
    </row>
    <row r="102" spans="1:8" ht="14.25" customHeight="1" x14ac:dyDescent="0.25">
      <c r="A102" s="62"/>
      <c r="B102" s="855"/>
      <c r="C102" s="854"/>
      <c r="D102" s="854"/>
      <c r="E102" s="855"/>
      <c r="F102" s="855"/>
      <c r="G102" s="854"/>
      <c r="H102" s="854"/>
    </row>
    <row r="103" spans="1:8" ht="14.25" customHeight="1" x14ac:dyDescent="0.25">
      <c r="A103" s="62"/>
      <c r="B103" s="855"/>
      <c r="C103" s="854"/>
      <c r="D103" s="854"/>
      <c r="E103" s="855"/>
      <c r="F103" s="855"/>
      <c r="G103" s="854"/>
      <c r="H103" s="854"/>
    </row>
    <row r="104" spans="1:8" ht="18" customHeight="1" x14ac:dyDescent="0.25">
      <c r="A104" s="1456"/>
      <c r="B104" s="1692" t="str">
        <f>"لحم زربيان  3 / " &amp; COUNTIF(H53:H57, "&gt;0")</f>
        <v>لحم زربيان  3 / 4</v>
      </c>
      <c r="C104" s="1693"/>
      <c r="D104" s="1693"/>
      <c r="E104" s="1693"/>
      <c r="F104" s="1693"/>
      <c r="G104" s="1693"/>
      <c r="H104" s="1693"/>
    </row>
    <row r="105" spans="1:8" ht="18" customHeight="1" x14ac:dyDescent="0.25">
      <c r="A105" s="1456"/>
      <c r="B105" s="1694" t="str">
        <f>"Beef Zurbian  3 / " &amp; COUNTIF(H53:H57, "&gt;0")</f>
        <v>Beef Zurbian  3 / 4</v>
      </c>
      <c r="C105" s="1695"/>
      <c r="D105" s="1695"/>
      <c r="E105" s="1695"/>
      <c r="F105" s="1695"/>
      <c r="G105" s="1695"/>
      <c r="H105" s="1695"/>
    </row>
    <row r="106" spans="1:8" ht="53.25" customHeight="1" x14ac:dyDescent="0.2">
      <c r="A106" s="1457"/>
      <c r="B106" s="857" t="s">
        <v>241</v>
      </c>
      <c r="C106" s="858" t="s">
        <v>242</v>
      </c>
      <c r="D106" s="857" t="s">
        <v>231</v>
      </c>
      <c r="E106" s="859" t="s">
        <v>234</v>
      </c>
      <c r="F106" s="860" t="s">
        <v>330</v>
      </c>
      <c r="G106" s="857" t="s">
        <v>244</v>
      </c>
      <c r="H106" s="859" t="s">
        <v>245</v>
      </c>
    </row>
    <row r="107" spans="1:8" ht="14.25" customHeight="1" x14ac:dyDescent="0.2">
      <c r="A107" s="1459"/>
      <c r="B107" s="861" t="str">
        <f t="shared" ref="B107:D120" si="21">B5</f>
        <v>Indian Meat Alana  - لحم هندى ألانا</v>
      </c>
      <c r="C107" s="861" t="str">
        <f t="shared" si="21"/>
        <v>gm</v>
      </c>
      <c r="D107" s="861">
        <f t="shared" si="21"/>
        <v>1886.7924528301887</v>
      </c>
      <c r="E107" s="862">
        <f t="shared" ref="E107:E120" si="22">$H$55</f>
        <v>10</v>
      </c>
      <c r="F107" s="1244">
        <f t="shared" ref="F107:F120" si="23">F5</f>
        <v>1</v>
      </c>
      <c r="G107" s="861">
        <f t="shared" ref="G107:G120" si="24">D107*E107</f>
        <v>18867.924528301886</v>
      </c>
      <c r="H107" s="863">
        <f t="shared" ref="H107:H120" si="25">G107*F107</f>
        <v>18867.924528301886</v>
      </c>
    </row>
    <row r="108" spans="1:8" ht="14.25" customHeight="1" x14ac:dyDescent="0.2">
      <c r="A108" s="1459" t="s">
        <v>920</v>
      </c>
      <c r="B108" s="861" t="str">
        <f t="shared" si="21"/>
        <v>Onion - بصل</v>
      </c>
      <c r="C108" s="861" t="str">
        <f t="shared" si="21"/>
        <v>gm</v>
      </c>
      <c r="D108" s="861">
        <f t="shared" si="21"/>
        <v>200</v>
      </c>
      <c r="E108" s="862">
        <f t="shared" si="22"/>
        <v>10</v>
      </c>
      <c r="F108" s="1244">
        <f t="shared" si="23"/>
        <v>1</v>
      </c>
      <c r="G108" s="861">
        <f t="shared" si="24"/>
        <v>2000</v>
      </c>
      <c r="H108" s="863">
        <f t="shared" si="25"/>
        <v>2000</v>
      </c>
    </row>
    <row r="109" spans="1:8" ht="14.25" customHeight="1" x14ac:dyDescent="0.2">
      <c r="A109" s="1459" t="s">
        <v>909</v>
      </c>
      <c r="B109" s="861" t="str">
        <f t="shared" si="21"/>
        <v>Tomato - طماطم</v>
      </c>
      <c r="C109" s="861" t="str">
        <f t="shared" si="21"/>
        <v>gm</v>
      </c>
      <c r="D109" s="861">
        <f t="shared" si="21"/>
        <v>120</v>
      </c>
      <c r="E109" s="862">
        <f t="shared" si="22"/>
        <v>10</v>
      </c>
      <c r="F109" s="1244">
        <f t="shared" si="23"/>
        <v>1</v>
      </c>
      <c r="G109" s="861">
        <f t="shared" si="24"/>
        <v>1200</v>
      </c>
      <c r="H109" s="863">
        <f t="shared" si="25"/>
        <v>1200</v>
      </c>
    </row>
    <row r="110" spans="1:8" ht="14.25" customHeight="1" x14ac:dyDescent="0.2">
      <c r="A110" s="1459" t="s">
        <v>907</v>
      </c>
      <c r="B110" s="861" t="str">
        <f t="shared" si="21"/>
        <v>Garlic - ثوم مقشر</v>
      </c>
      <c r="C110" s="861" t="str">
        <f t="shared" si="21"/>
        <v>gm</v>
      </c>
      <c r="D110" s="861">
        <f t="shared" si="21"/>
        <v>10</v>
      </c>
      <c r="E110" s="862">
        <f t="shared" si="22"/>
        <v>10</v>
      </c>
      <c r="F110" s="1244">
        <f t="shared" si="23"/>
        <v>0.65</v>
      </c>
      <c r="G110" s="861">
        <f t="shared" si="24"/>
        <v>100</v>
      </c>
      <c r="H110" s="863">
        <f t="shared" si="25"/>
        <v>65</v>
      </c>
    </row>
    <row r="111" spans="1:8" ht="14.25" customHeight="1" x14ac:dyDescent="0.2">
      <c r="A111" s="1459" t="s">
        <v>919</v>
      </c>
      <c r="B111" s="861" t="str">
        <f t="shared" si="21"/>
        <v>Green Bell Pepper - فلفل أخضر رومى</v>
      </c>
      <c r="C111" s="861" t="str">
        <f t="shared" si="21"/>
        <v>gm</v>
      </c>
      <c r="D111" s="861">
        <f t="shared" si="21"/>
        <v>50</v>
      </c>
      <c r="E111" s="862">
        <f t="shared" si="22"/>
        <v>10</v>
      </c>
      <c r="F111" s="1244">
        <f t="shared" si="23"/>
        <v>0.75</v>
      </c>
      <c r="G111" s="861">
        <f t="shared" si="24"/>
        <v>500</v>
      </c>
      <c r="H111" s="863">
        <f t="shared" si="25"/>
        <v>375</v>
      </c>
    </row>
    <row r="112" spans="1:8" ht="14.25" customHeight="1" x14ac:dyDescent="0.2">
      <c r="A112" s="1459"/>
      <c r="B112" s="861" t="str">
        <f t="shared" si="21"/>
        <v>Cumin Powder - كمون مطحون</v>
      </c>
      <c r="C112" s="861" t="str">
        <f t="shared" si="21"/>
        <v>gm</v>
      </c>
      <c r="D112" s="861">
        <f t="shared" si="21"/>
        <v>20</v>
      </c>
      <c r="E112" s="862">
        <f t="shared" si="22"/>
        <v>10</v>
      </c>
      <c r="F112" s="1244">
        <f t="shared" si="23"/>
        <v>0.7</v>
      </c>
      <c r="G112" s="861">
        <f t="shared" si="24"/>
        <v>200</v>
      </c>
      <c r="H112" s="863">
        <f t="shared" si="25"/>
        <v>140</v>
      </c>
    </row>
    <row r="113" spans="1:8" ht="14.25" customHeight="1" x14ac:dyDescent="0.2">
      <c r="A113" s="1459"/>
      <c r="B113" s="861" t="str">
        <f t="shared" si="21"/>
        <v>Maggi Cubes - مكعبات ماجي</v>
      </c>
      <c r="C113" s="861" t="str">
        <f t="shared" si="21"/>
        <v>gm</v>
      </c>
      <c r="D113" s="861">
        <f t="shared" si="21"/>
        <v>20</v>
      </c>
      <c r="E113" s="862">
        <f t="shared" si="22"/>
        <v>10</v>
      </c>
      <c r="F113" s="1244">
        <f t="shared" si="23"/>
        <v>0.65</v>
      </c>
      <c r="G113" s="861">
        <f t="shared" si="24"/>
        <v>200</v>
      </c>
      <c r="H113" s="863">
        <f t="shared" si="25"/>
        <v>130</v>
      </c>
    </row>
    <row r="114" spans="1:8" ht="14.25" customHeight="1" x14ac:dyDescent="0.2">
      <c r="A114" s="1459"/>
      <c r="B114" s="861" t="str">
        <f t="shared" si="21"/>
        <v>Cardamom Whole - هيل حب</v>
      </c>
      <c r="C114" s="861" t="str">
        <f t="shared" si="21"/>
        <v>gm</v>
      </c>
      <c r="D114" s="861">
        <f t="shared" si="21"/>
        <v>10</v>
      </c>
      <c r="E114" s="862">
        <f t="shared" si="22"/>
        <v>10</v>
      </c>
      <c r="F114" s="1244">
        <f t="shared" si="23"/>
        <v>0.25</v>
      </c>
      <c r="G114" s="861">
        <f t="shared" si="24"/>
        <v>100</v>
      </c>
      <c r="H114" s="863">
        <f t="shared" si="25"/>
        <v>25</v>
      </c>
    </row>
    <row r="115" spans="1:8" ht="14.25" customHeight="1" x14ac:dyDescent="0.2">
      <c r="A115" s="1459"/>
      <c r="B115" s="861" t="str">
        <f t="shared" si="21"/>
        <v>Coriander Powder - كزبرة مطحونة</v>
      </c>
      <c r="C115" s="861" t="str">
        <f t="shared" si="21"/>
        <v>gm</v>
      </c>
      <c r="D115" s="861">
        <f t="shared" si="21"/>
        <v>20</v>
      </c>
      <c r="E115" s="862">
        <f t="shared" si="22"/>
        <v>10</v>
      </c>
      <c r="F115" s="1244">
        <f t="shared" si="23"/>
        <v>0.7</v>
      </c>
      <c r="G115" s="861">
        <f t="shared" si="24"/>
        <v>200</v>
      </c>
      <c r="H115" s="863">
        <f t="shared" si="25"/>
        <v>140</v>
      </c>
    </row>
    <row r="116" spans="1:8" ht="14.25" customHeight="1" x14ac:dyDescent="0.2">
      <c r="A116" s="1459"/>
      <c r="B116" s="861" t="str">
        <f t="shared" si="21"/>
        <v>Yogurt - زبادي</v>
      </c>
      <c r="C116" s="861" t="str">
        <f t="shared" si="21"/>
        <v>gm</v>
      </c>
      <c r="D116" s="861">
        <f t="shared" si="21"/>
        <v>150</v>
      </c>
      <c r="E116" s="862">
        <f t="shared" si="22"/>
        <v>10</v>
      </c>
      <c r="F116" s="1244">
        <f t="shared" si="23"/>
        <v>0.85</v>
      </c>
      <c r="G116" s="861">
        <f t="shared" si="24"/>
        <v>1500</v>
      </c>
      <c r="H116" s="863">
        <f t="shared" si="25"/>
        <v>1275</v>
      </c>
    </row>
    <row r="117" spans="1:8" ht="14.25" customHeight="1" x14ac:dyDescent="0.2">
      <c r="A117" s="1459"/>
      <c r="B117" s="861" t="str">
        <f t="shared" si="21"/>
        <v>Tomato Paste - صلصة طماطم</v>
      </c>
      <c r="C117" s="861" t="str">
        <f t="shared" si="21"/>
        <v>gm</v>
      </c>
      <c r="D117" s="861">
        <f t="shared" si="21"/>
        <v>70</v>
      </c>
      <c r="E117" s="862">
        <f t="shared" si="22"/>
        <v>10</v>
      </c>
      <c r="F117" s="1244">
        <f t="shared" si="23"/>
        <v>0.8</v>
      </c>
      <c r="G117" s="861">
        <f t="shared" si="24"/>
        <v>700</v>
      </c>
      <c r="H117" s="863">
        <f t="shared" si="25"/>
        <v>560</v>
      </c>
    </row>
    <row r="118" spans="1:8" ht="14.25" customHeight="1" x14ac:dyDescent="0.2">
      <c r="A118" s="1459"/>
      <c r="B118" s="861" t="str">
        <f t="shared" si="21"/>
        <v>Salt - ملح</v>
      </c>
      <c r="C118" s="861" t="str">
        <f t="shared" si="21"/>
        <v>gm</v>
      </c>
      <c r="D118" s="861">
        <f t="shared" si="21"/>
        <v>30</v>
      </c>
      <c r="E118" s="862">
        <f t="shared" si="22"/>
        <v>10</v>
      </c>
      <c r="F118" s="1244">
        <f t="shared" si="23"/>
        <v>0.75</v>
      </c>
      <c r="G118" s="861">
        <f t="shared" si="24"/>
        <v>300</v>
      </c>
      <c r="H118" s="863">
        <f t="shared" si="25"/>
        <v>225</v>
      </c>
    </row>
    <row r="119" spans="1:8" ht="14.25" customHeight="1" x14ac:dyDescent="0.2">
      <c r="A119" s="1459"/>
      <c r="B119" s="861" t="str">
        <f t="shared" si="21"/>
        <v>Water - ماء</v>
      </c>
      <c r="C119" s="861" t="str">
        <f t="shared" si="21"/>
        <v>ml</v>
      </c>
      <c r="D119" s="861">
        <f t="shared" si="21"/>
        <v>200</v>
      </c>
      <c r="E119" s="862">
        <f t="shared" si="22"/>
        <v>10</v>
      </c>
      <c r="F119" s="1244">
        <f t="shared" si="23"/>
        <v>1</v>
      </c>
      <c r="G119" s="861">
        <f t="shared" si="24"/>
        <v>2000</v>
      </c>
      <c r="H119" s="863">
        <f t="shared" si="25"/>
        <v>2000</v>
      </c>
    </row>
    <row r="120" spans="1:8" ht="14.25" x14ac:dyDescent="0.2">
      <c r="A120" s="1459"/>
      <c r="B120" s="861" t="str">
        <f t="shared" si="21"/>
        <v>Saffron yellow color powder - لون صفار زعفران بودر</v>
      </c>
      <c r="C120" s="861" t="str">
        <f t="shared" si="21"/>
        <v>gm</v>
      </c>
      <c r="D120" s="861">
        <f t="shared" si="21"/>
        <v>1</v>
      </c>
      <c r="E120" s="862">
        <f t="shared" si="22"/>
        <v>10</v>
      </c>
      <c r="F120" s="1244">
        <f t="shared" si="23"/>
        <v>0.3</v>
      </c>
      <c r="G120" s="861">
        <f t="shared" si="24"/>
        <v>10</v>
      </c>
      <c r="H120" s="863">
        <f t="shared" si="25"/>
        <v>3</v>
      </c>
    </row>
    <row r="121" spans="1:8" ht="20.25" customHeight="1" x14ac:dyDescent="0.25">
      <c r="A121" s="1472"/>
      <c r="B121" s="864" t="s">
        <v>287</v>
      </c>
      <c r="C121" s="865" t="s">
        <v>273</v>
      </c>
      <c r="D121" s="856"/>
      <c r="E121" s="865" t="s">
        <v>288</v>
      </c>
      <c r="F121" s="856"/>
      <c r="G121" s="866" t="s">
        <v>264</v>
      </c>
      <c r="H121" s="866" t="s">
        <v>673</v>
      </c>
    </row>
    <row r="122" spans="1:8" ht="20.25" x14ac:dyDescent="0.25">
      <c r="A122" s="1472"/>
      <c r="B122" s="853">
        <f>$J$55</f>
        <v>10000</v>
      </c>
      <c r="C122" s="853">
        <f>E122+G122</f>
        <v>0</v>
      </c>
      <c r="D122" s="856"/>
      <c r="E122" s="853">
        <f>$H$55*$S$44</f>
        <v>0</v>
      </c>
      <c r="F122" s="856"/>
      <c r="G122" s="853">
        <f>$H$55*$T$44</f>
        <v>0</v>
      </c>
      <c r="H122" s="853">
        <f>B122+E122</f>
        <v>10000</v>
      </c>
    </row>
    <row r="123" spans="1:8" x14ac:dyDescent="0.25">
      <c r="A123" s="62"/>
      <c r="B123" s="854"/>
      <c r="C123" s="854"/>
      <c r="D123" s="854"/>
      <c r="E123" s="854"/>
      <c r="F123" s="854"/>
      <c r="G123" s="854"/>
      <c r="H123" s="854"/>
    </row>
    <row r="124" spans="1:8" x14ac:dyDescent="0.25">
      <c r="A124" s="1456"/>
      <c r="B124" s="1692" t="str">
        <f>"لحم زربيان  4 / " &amp; COUNTIF(H53:H57, "&gt;0")</f>
        <v>لحم زربيان  4 / 4</v>
      </c>
      <c r="C124" s="1693"/>
      <c r="D124" s="1693"/>
      <c r="E124" s="1693"/>
      <c r="F124" s="1693"/>
      <c r="G124" s="1693"/>
      <c r="H124" s="1693"/>
    </row>
    <row r="125" spans="1:8" x14ac:dyDescent="0.25">
      <c r="A125" s="1456"/>
      <c r="B125" s="1694" t="str">
        <f>"Beef Zurbian  4 / " &amp; COUNTIF(H53:H57, "&gt;0")</f>
        <v>Beef Zurbian  4 / 4</v>
      </c>
      <c r="C125" s="1695"/>
      <c r="D125" s="1695"/>
      <c r="E125" s="1695"/>
      <c r="F125" s="1695"/>
      <c r="G125" s="1695"/>
      <c r="H125" s="1695"/>
    </row>
    <row r="126" spans="1:8" ht="41.25" customHeight="1" x14ac:dyDescent="0.2">
      <c r="A126" s="1457"/>
      <c r="B126" s="857" t="s">
        <v>241</v>
      </c>
      <c r="C126" s="858" t="s">
        <v>242</v>
      </c>
      <c r="D126" s="857" t="s">
        <v>231</v>
      </c>
      <c r="E126" s="859" t="s">
        <v>234</v>
      </c>
      <c r="F126" s="860" t="s">
        <v>330</v>
      </c>
      <c r="G126" s="857" t="s">
        <v>244</v>
      </c>
      <c r="H126" s="859" t="s">
        <v>245</v>
      </c>
    </row>
    <row r="127" spans="1:8" ht="14.25" x14ac:dyDescent="0.2">
      <c r="A127" s="1459"/>
      <c r="B127" s="861" t="str">
        <f t="shared" ref="B127:D140" si="26">B5</f>
        <v>Indian Meat Alana  - لحم هندى ألانا</v>
      </c>
      <c r="C127" s="861" t="str">
        <f t="shared" si="26"/>
        <v>gm</v>
      </c>
      <c r="D127" s="861">
        <f t="shared" si="26"/>
        <v>1886.7924528301887</v>
      </c>
      <c r="E127" s="862">
        <f t="shared" ref="E127:E140" si="27">$H$56</f>
        <v>3.1999999999999957</v>
      </c>
      <c r="F127" s="1244">
        <f>F5</f>
        <v>1</v>
      </c>
      <c r="G127" s="861">
        <f t="shared" ref="G127:G140" si="28">D127*E127</f>
        <v>6037.7358490565957</v>
      </c>
      <c r="H127" s="863">
        <f t="shared" ref="H127:H140" si="29">G127*F127</f>
        <v>6037.7358490565957</v>
      </c>
    </row>
    <row r="128" spans="1:8" ht="14.25" x14ac:dyDescent="0.2">
      <c r="A128" s="1459" t="s">
        <v>920</v>
      </c>
      <c r="B128" s="861" t="str">
        <f t="shared" si="26"/>
        <v>Onion - بصل</v>
      </c>
      <c r="C128" s="861" t="str">
        <f t="shared" si="26"/>
        <v>gm</v>
      </c>
      <c r="D128" s="861">
        <f t="shared" si="26"/>
        <v>200</v>
      </c>
      <c r="E128" s="862">
        <f t="shared" si="27"/>
        <v>3.1999999999999957</v>
      </c>
      <c r="F128" s="1244">
        <f t="shared" ref="F128:F140" si="30">F6</f>
        <v>1</v>
      </c>
      <c r="G128" s="861">
        <f t="shared" si="28"/>
        <v>639.99999999999909</v>
      </c>
      <c r="H128" s="863">
        <f t="shared" si="29"/>
        <v>639.99999999999909</v>
      </c>
    </row>
    <row r="129" spans="1:8" ht="14.25" x14ac:dyDescent="0.2">
      <c r="A129" s="1459" t="s">
        <v>909</v>
      </c>
      <c r="B129" s="861" t="str">
        <f t="shared" si="26"/>
        <v>Tomato - طماطم</v>
      </c>
      <c r="C129" s="861" t="str">
        <f t="shared" si="26"/>
        <v>gm</v>
      </c>
      <c r="D129" s="861">
        <f t="shared" si="26"/>
        <v>120</v>
      </c>
      <c r="E129" s="862">
        <f t="shared" si="27"/>
        <v>3.1999999999999957</v>
      </c>
      <c r="F129" s="1244">
        <f t="shared" si="30"/>
        <v>1</v>
      </c>
      <c r="G129" s="861">
        <f t="shared" si="28"/>
        <v>383.99999999999949</v>
      </c>
      <c r="H129" s="863">
        <f t="shared" si="29"/>
        <v>383.99999999999949</v>
      </c>
    </row>
    <row r="130" spans="1:8" ht="14.25" x14ac:dyDescent="0.2">
      <c r="A130" s="1459" t="s">
        <v>907</v>
      </c>
      <c r="B130" s="861" t="str">
        <f t="shared" si="26"/>
        <v>Garlic - ثوم مقشر</v>
      </c>
      <c r="C130" s="861" t="str">
        <f t="shared" si="26"/>
        <v>gm</v>
      </c>
      <c r="D130" s="861">
        <f t="shared" si="26"/>
        <v>10</v>
      </c>
      <c r="E130" s="862">
        <f t="shared" si="27"/>
        <v>3.1999999999999957</v>
      </c>
      <c r="F130" s="1244">
        <f t="shared" si="30"/>
        <v>0.65</v>
      </c>
      <c r="G130" s="861">
        <f t="shared" si="28"/>
        <v>31.999999999999957</v>
      </c>
      <c r="H130" s="863">
        <f t="shared" si="29"/>
        <v>20.799999999999972</v>
      </c>
    </row>
    <row r="131" spans="1:8" ht="14.25" x14ac:dyDescent="0.2">
      <c r="A131" s="1459" t="s">
        <v>919</v>
      </c>
      <c r="B131" s="861" t="str">
        <f t="shared" si="26"/>
        <v>Green Bell Pepper - فلفل أخضر رومى</v>
      </c>
      <c r="C131" s="861" t="str">
        <f t="shared" si="26"/>
        <v>gm</v>
      </c>
      <c r="D131" s="861">
        <f t="shared" si="26"/>
        <v>50</v>
      </c>
      <c r="E131" s="862">
        <f t="shared" si="27"/>
        <v>3.1999999999999957</v>
      </c>
      <c r="F131" s="1244">
        <f t="shared" si="30"/>
        <v>0.75</v>
      </c>
      <c r="G131" s="861">
        <f t="shared" si="28"/>
        <v>159.99999999999977</v>
      </c>
      <c r="H131" s="863">
        <f t="shared" si="29"/>
        <v>119.99999999999983</v>
      </c>
    </row>
    <row r="132" spans="1:8" ht="14.25" x14ac:dyDescent="0.2">
      <c r="A132" s="1459"/>
      <c r="B132" s="861" t="str">
        <f t="shared" si="26"/>
        <v>Cumin Powder - كمون مطحون</v>
      </c>
      <c r="C132" s="861" t="str">
        <f t="shared" si="26"/>
        <v>gm</v>
      </c>
      <c r="D132" s="861">
        <f t="shared" si="26"/>
        <v>20</v>
      </c>
      <c r="E132" s="862">
        <f t="shared" si="27"/>
        <v>3.1999999999999957</v>
      </c>
      <c r="F132" s="1244">
        <f t="shared" si="30"/>
        <v>0.7</v>
      </c>
      <c r="G132" s="861">
        <f t="shared" si="28"/>
        <v>63.999999999999915</v>
      </c>
      <c r="H132" s="863">
        <f t="shared" si="29"/>
        <v>44.79999999999994</v>
      </c>
    </row>
    <row r="133" spans="1:8" ht="14.25" x14ac:dyDescent="0.2">
      <c r="A133" s="1459"/>
      <c r="B133" s="861" t="str">
        <f t="shared" si="26"/>
        <v>Maggi Cubes - مكعبات ماجي</v>
      </c>
      <c r="C133" s="861" t="str">
        <f t="shared" si="26"/>
        <v>gm</v>
      </c>
      <c r="D133" s="861">
        <f t="shared" si="26"/>
        <v>20</v>
      </c>
      <c r="E133" s="862">
        <f t="shared" si="27"/>
        <v>3.1999999999999957</v>
      </c>
      <c r="F133" s="1244">
        <f t="shared" si="30"/>
        <v>0.65</v>
      </c>
      <c r="G133" s="861">
        <f t="shared" si="28"/>
        <v>63.999999999999915</v>
      </c>
      <c r="H133" s="863">
        <f t="shared" si="29"/>
        <v>41.599999999999945</v>
      </c>
    </row>
    <row r="134" spans="1:8" ht="14.25" x14ac:dyDescent="0.2">
      <c r="A134" s="1459"/>
      <c r="B134" s="861" t="str">
        <f t="shared" si="26"/>
        <v>Cardamom Whole - هيل حب</v>
      </c>
      <c r="C134" s="861" t="str">
        <f t="shared" si="26"/>
        <v>gm</v>
      </c>
      <c r="D134" s="861">
        <f t="shared" si="26"/>
        <v>10</v>
      </c>
      <c r="E134" s="862">
        <f t="shared" si="27"/>
        <v>3.1999999999999957</v>
      </c>
      <c r="F134" s="1244">
        <f t="shared" si="30"/>
        <v>0.25</v>
      </c>
      <c r="G134" s="861">
        <f t="shared" si="28"/>
        <v>31.999999999999957</v>
      </c>
      <c r="H134" s="863">
        <f t="shared" si="29"/>
        <v>7.9999999999999893</v>
      </c>
    </row>
    <row r="135" spans="1:8" ht="14.25" x14ac:dyDescent="0.2">
      <c r="A135" s="1459"/>
      <c r="B135" s="861" t="str">
        <f t="shared" si="26"/>
        <v>Coriander Powder - كزبرة مطحونة</v>
      </c>
      <c r="C135" s="861" t="str">
        <f t="shared" si="26"/>
        <v>gm</v>
      </c>
      <c r="D135" s="861">
        <f t="shared" si="26"/>
        <v>20</v>
      </c>
      <c r="E135" s="862">
        <f t="shared" si="27"/>
        <v>3.1999999999999957</v>
      </c>
      <c r="F135" s="1244">
        <f t="shared" si="30"/>
        <v>0.7</v>
      </c>
      <c r="G135" s="861">
        <f t="shared" si="28"/>
        <v>63.999999999999915</v>
      </c>
      <c r="H135" s="863">
        <f t="shared" si="29"/>
        <v>44.79999999999994</v>
      </c>
    </row>
    <row r="136" spans="1:8" ht="14.25" x14ac:dyDescent="0.2">
      <c r="A136" s="1459"/>
      <c r="B136" s="861" t="str">
        <f t="shared" si="26"/>
        <v>Yogurt - زبادي</v>
      </c>
      <c r="C136" s="861" t="str">
        <f t="shared" si="26"/>
        <v>gm</v>
      </c>
      <c r="D136" s="861">
        <f t="shared" si="26"/>
        <v>150</v>
      </c>
      <c r="E136" s="862">
        <f t="shared" si="27"/>
        <v>3.1999999999999957</v>
      </c>
      <c r="F136" s="1244">
        <f t="shared" si="30"/>
        <v>0.85</v>
      </c>
      <c r="G136" s="861">
        <f t="shared" si="28"/>
        <v>479.99999999999937</v>
      </c>
      <c r="H136" s="863">
        <f t="shared" si="29"/>
        <v>407.99999999999943</v>
      </c>
    </row>
    <row r="137" spans="1:8" ht="14.25" x14ac:dyDescent="0.2">
      <c r="A137" s="1459"/>
      <c r="B137" s="861" t="str">
        <f t="shared" si="26"/>
        <v>Tomato Paste - صلصة طماطم</v>
      </c>
      <c r="C137" s="861" t="str">
        <f t="shared" si="26"/>
        <v>gm</v>
      </c>
      <c r="D137" s="861">
        <f t="shared" si="26"/>
        <v>70</v>
      </c>
      <c r="E137" s="862">
        <f t="shared" si="27"/>
        <v>3.1999999999999957</v>
      </c>
      <c r="F137" s="1244">
        <f t="shared" si="30"/>
        <v>0.8</v>
      </c>
      <c r="G137" s="861">
        <f t="shared" si="28"/>
        <v>223.99999999999972</v>
      </c>
      <c r="H137" s="863">
        <f t="shared" si="29"/>
        <v>179.19999999999979</v>
      </c>
    </row>
    <row r="138" spans="1:8" ht="14.25" x14ac:dyDescent="0.2">
      <c r="A138" s="1459"/>
      <c r="B138" s="861" t="str">
        <f t="shared" si="26"/>
        <v>Salt - ملح</v>
      </c>
      <c r="C138" s="861" t="str">
        <f t="shared" si="26"/>
        <v>gm</v>
      </c>
      <c r="D138" s="861">
        <f t="shared" si="26"/>
        <v>30</v>
      </c>
      <c r="E138" s="862">
        <f t="shared" si="27"/>
        <v>3.1999999999999957</v>
      </c>
      <c r="F138" s="1244">
        <f t="shared" si="30"/>
        <v>0.75</v>
      </c>
      <c r="G138" s="861">
        <f t="shared" si="28"/>
        <v>95.999999999999872</v>
      </c>
      <c r="H138" s="863">
        <f t="shared" si="29"/>
        <v>71.999999999999901</v>
      </c>
    </row>
    <row r="139" spans="1:8" ht="14.25" x14ac:dyDescent="0.2">
      <c r="A139" s="1459"/>
      <c r="B139" s="861" t="str">
        <f t="shared" si="26"/>
        <v>Water - ماء</v>
      </c>
      <c r="C139" s="861" t="str">
        <f t="shared" si="26"/>
        <v>ml</v>
      </c>
      <c r="D139" s="861">
        <f t="shared" si="26"/>
        <v>200</v>
      </c>
      <c r="E139" s="862">
        <f t="shared" si="27"/>
        <v>3.1999999999999957</v>
      </c>
      <c r="F139" s="1244">
        <f t="shared" si="30"/>
        <v>1</v>
      </c>
      <c r="G139" s="861">
        <f t="shared" si="28"/>
        <v>639.99999999999909</v>
      </c>
      <c r="H139" s="863">
        <f t="shared" si="29"/>
        <v>639.99999999999909</v>
      </c>
    </row>
    <row r="140" spans="1:8" ht="14.25" x14ac:dyDescent="0.2">
      <c r="A140" s="1459"/>
      <c r="B140" s="861" t="str">
        <f t="shared" si="26"/>
        <v>Saffron yellow color powder - لون صفار زعفران بودر</v>
      </c>
      <c r="C140" s="861" t="str">
        <f t="shared" si="26"/>
        <v>gm</v>
      </c>
      <c r="D140" s="861">
        <f t="shared" si="26"/>
        <v>1</v>
      </c>
      <c r="E140" s="862">
        <f t="shared" si="27"/>
        <v>3.1999999999999957</v>
      </c>
      <c r="F140" s="1244">
        <f t="shared" si="30"/>
        <v>0.3</v>
      </c>
      <c r="G140" s="861">
        <f t="shared" si="28"/>
        <v>3.1999999999999957</v>
      </c>
      <c r="H140" s="863">
        <f t="shared" si="29"/>
        <v>0.95999999999999863</v>
      </c>
    </row>
    <row r="141" spans="1:8" ht="18" x14ac:dyDescent="0.25">
      <c r="A141" s="1472"/>
      <c r="B141" s="864" t="s">
        <v>287</v>
      </c>
      <c r="C141" s="865" t="s">
        <v>273</v>
      </c>
      <c r="D141" s="856"/>
      <c r="E141" s="865" t="s">
        <v>288</v>
      </c>
      <c r="F141" s="856"/>
      <c r="G141" s="866" t="s">
        <v>264</v>
      </c>
      <c r="H141" s="866" t="s">
        <v>673</v>
      </c>
    </row>
    <row r="142" spans="1:8" ht="20.25" x14ac:dyDescent="0.25">
      <c r="A142" s="1472"/>
      <c r="B142" s="853">
        <f>$J$56</f>
        <v>3200</v>
      </c>
      <c r="C142" s="853">
        <f>E142+G142</f>
        <v>0</v>
      </c>
      <c r="D142" s="856"/>
      <c r="E142" s="853">
        <f>$H$56*$S$44</f>
        <v>0</v>
      </c>
      <c r="F142" s="856"/>
      <c r="G142" s="853">
        <f>$H$56*$T$44</f>
        <v>0</v>
      </c>
      <c r="H142" s="853">
        <f>B142+E142</f>
        <v>3200</v>
      </c>
    </row>
    <row r="143" spans="1:8" x14ac:dyDescent="0.25">
      <c r="A143" s="62"/>
      <c r="B143" s="854"/>
      <c r="C143" s="854"/>
      <c r="D143" s="854"/>
      <c r="E143" s="854"/>
      <c r="F143" s="854"/>
      <c r="G143" s="854"/>
      <c r="H143" s="854"/>
    </row>
    <row r="144" spans="1:8" x14ac:dyDescent="0.25">
      <c r="A144" s="1456"/>
      <c r="B144" s="1692" t="str">
        <f>"لحم زربيان  5 / " &amp; COUNTIF($H$53:$H$57, "&gt;0")</f>
        <v>لحم زربيان  5 / 4</v>
      </c>
      <c r="C144" s="1693"/>
      <c r="D144" s="1693"/>
      <c r="E144" s="1693"/>
      <c r="F144" s="1693"/>
      <c r="G144" s="1693"/>
      <c r="H144" s="1693"/>
    </row>
    <row r="145" spans="1:8" x14ac:dyDescent="0.25">
      <c r="A145" s="1456"/>
      <c r="B145" s="1694" t="str">
        <f>"Beef Zurbian 5 / " &amp; COUNTIF($H$53:$H$57, "&gt;0")</f>
        <v>Beef Zurbian 5 / 4</v>
      </c>
      <c r="C145" s="1695"/>
      <c r="D145" s="1695"/>
      <c r="E145" s="1695"/>
      <c r="F145" s="1695"/>
      <c r="G145" s="1695"/>
      <c r="H145" s="1695"/>
    </row>
    <row r="146" spans="1:8" ht="42.75" customHeight="1" x14ac:dyDescent="0.2">
      <c r="A146" s="1457"/>
      <c r="B146" s="857" t="s">
        <v>241</v>
      </c>
      <c r="C146" s="858" t="s">
        <v>242</v>
      </c>
      <c r="D146" s="857" t="s">
        <v>231</v>
      </c>
      <c r="E146" s="859" t="s">
        <v>234</v>
      </c>
      <c r="F146" s="860" t="s">
        <v>330</v>
      </c>
      <c r="G146" s="857" t="s">
        <v>244</v>
      </c>
      <c r="H146" s="859" t="s">
        <v>245</v>
      </c>
    </row>
    <row r="147" spans="1:8" ht="14.25" x14ac:dyDescent="0.2">
      <c r="A147" s="1459"/>
      <c r="B147" s="861" t="str">
        <f t="shared" ref="B147:D158" si="31">B5</f>
        <v>Indian Meat Alana  - لحم هندى ألانا</v>
      </c>
      <c r="C147" s="861" t="str">
        <f t="shared" si="31"/>
        <v>gm</v>
      </c>
      <c r="D147" s="861">
        <f t="shared" si="31"/>
        <v>1886.7924528301887</v>
      </c>
      <c r="E147" s="862">
        <f t="shared" ref="E147:E160" si="32">$H$57</f>
        <v>0</v>
      </c>
      <c r="F147" s="1244">
        <f>F5</f>
        <v>1</v>
      </c>
      <c r="G147" s="861">
        <f t="shared" ref="G147:G160" si="33">D147*E147</f>
        <v>0</v>
      </c>
      <c r="H147" s="863">
        <f t="shared" ref="H147:H160" si="34">G147*F147</f>
        <v>0</v>
      </c>
    </row>
    <row r="148" spans="1:8" ht="14.25" x14ac:dyDescent="0.2">
      <c r="A148" s="1459" t="s">
        <v>920</v>
      </c>
      <c r="B148" s="861" t="str">
        <f t="shared" si="31"/>
        <v>Onion - بصل</v>
      </c>
      <c r="C148" s="861" t="str">
        <f t="shared" si="31"/>
        <v>gm</v>
      </c>
      <c r="D148" s="861">
        <f t="shared" si="31"/>
        <v>200</v>
      </c>
      <c r="E148" s="862">
        <f t="shared" si="32"/>
        <v>0</v>
      </c>
      <c r="F148" s="1244">
        <f t="shared" ref="F148:F160" si="35">F6</f>
        <v>1</v>
      </c>
      <c r="G148" s="861">
        <f t="shared" si="33"/>
        <v>0</v>
      </c>
      <c r="H148" s="863">
        <f t="shared" si="34"/>
        <v>0</v>
      </c>
    </row>
    <row r="149" spans="1:8" ht="14.25" x14ac:dyDescent="0.2">
      <c r="A149" s="1459" t="s">
        <v>909</v>
      </c>
      <c r="B149" s="861" t="str">
        <f t="shared" si="31"/>
        <v>Tomato - طماطم</v>
      </c>
      <c r="C149" s="861" t="str">
        <f t="shared" si="31"/>
        <v>gm</v>
      </c>
      <c r="D149" s="861">
        <f t="shared" si="31"/>
        <v>120</v>
      </c>
      <c r="E149" s="862">
        <f t="shared" si="32"/>
        <v>0</v>
      </c>
      <c r="F149" s="1244">
        <f t="shared" si="35"/>
        <v>1</v>
      </c>
      <c r="G149" s="861">
        <f t="shared" si="33"/>
        <v>0</v>
      </c>
      <c r="H149" s="863">
        <f t="shared" si="34"/>
        <v>0</v>
      </c>
    </row>
    <row r="150" spans="1:8" ht="14.25" x14ac:dyDescent="0.2">
      <c r="A150" s="1459" t="s">
        <v>907</v>
      </c>
      <c r="B150" s="861" t="str">
        <f t="shared" si="31"/>
        <v>Garlic - ثوم مقشر</v>
      </c>
      <c r="C150" s="861" t="str">
        <f t="shared" si="31"/>
        <v>gm</v>
      </c>
      <c r="D150" s="861">
        <f t="shared" si="31"/>
        <v>10</v>
      </c>
      <c r="E150" s="862">
        <f t="shared" si="32"/>
        <v>0</v>
      </c>
      <c r="F150" s="1244">
        <f t="shared" si="35"/>
        <v>0.65</v>
      </c>
      <c r="G150" s="861">
        <f t="shared" si="33"/>
        <v>0</v>
      </c>
      <c r="H150" s="863">
        <f t="shared" si="34"/>
        <v>0</v>
      </c>
    </row>
    <row r="151" spans="1:8" ht="14.25" x14ac:dyDescent="0.2">
      <c r="A151" s="1459" t="s">
        <v>919</v>
      </c>
      <c r="B151" s="861" t="str">
        <f t="shared" si="31"/>
        <v>Green Bell Pepper - فلفل أخضر رومى</v>
      </c>
      <c r="C151" s="861" t="str">
        <f t="shared" si="31"/>
        <v>gm</v>
      </c>
      <c r="D151" s="861">
        <f t="shared" si="31"/>
        <v>50</v>
      </c>
      <c r="E151" s="862">
        <f t="shared" si="32"/>
        <v>0</v>
      </c>
      <c r="F151" s="1244">
        <f t="shared" si="35"/>
        <v>0.75</v>
      </c>
      <c r="G151" s="861">
        <f t="shared" si="33"/>
        <v>0</v>
      </c>
      <c r="H151" s="863">
        <f t="shared" si="34"/>
        <v>0</v>
      </c>
    </row>
    <row r="152" spans="1:8" ht="14.25" x14ac:dyDescent="0.2">
      <c r="A152" s="1459"/>
      <c r="B152" s="861" t="str">
        <f t="shared" si="31"/>
        <v>Cumin Powder - كمون مطحون</v>
      </c>
      <c r="C152" s="861" t="str">
        <f t="shared" si="31"/>
        <v>gm</v>
      </c>
      <c r="D152" s="861">
        <f t="shared" si="31"/>
        <v>20</v>
      </c>
      <c r="E152" s="862">
        <f t="shared" si="32"/>
        <v>0</v>
      </c>
      <c r="F152" s="1244">
        <f t="shared" si="35"/>
        <v>0.7</v>
      </c>
      <c r="G152" s="861">
        <f t="shared" si="33"/>
        <v>0</v>
      </c>
      <c r="H152" s="863">
        <f t="shared" si="34"/>
        <v>0</v>
      </c>
    </row>
    <row r="153" spans="1:8" ht="14.25" x14ac:dyDescent="0.2">
      <c r="A153" s="1459"/>
      <c r="B153" s="861" t="str">
        <f t="shared" si="31"/>
        <v>Maggi Cubes - مكعبات ماجي</v>
      </c>
      <c r="C153" s="861" t="str">
        <f t="shared" si="31"/>
        <v>gm</v>
      </c>
      <c r="D153" s="861">
        <f t="shared" si="31"/>
        <v>20</v>
      </c>
      <c r="E153" s="862">
        <f t="shared" si="32"/>
        <v>0</v>
      </c>
      <c r="F153" s="1244">
        <f t="shared" si="35"/>
        <v>0.65</v>
      </c>
      <c r="G153" s="861">
        <f t="shared" si="33"/>
        <v>0</v>
      </c>
      <c r="H153" s="863">
        <f t="shared" si="34"/>
        <v>0</v>
      </c>
    </row>
    <row r="154" spans="1:8" ht="14.25" x14ac:dyDescent="0.2">
      <c r="A154" s="1459"/>
      <c r="B154" s="861" t="str">
        <f t="shared" si="31"/>
        <v>Cardamom Whole - هيل حب</v>
      </c>
      <c r="C154" s="861" t="str">
        <f t="shared" si="31"/>
        <v>gm</v>
      </c>
      <c r="D154" s="861">
        <f t="shared" si="31"/>
        <v>10</v>
      </c>
      <c r="E154" s="862">
        <f t="shared" si="32"/>
        <v>0</v>
      </c>
      <c r="F154" s="1244">
        <f t="shared" si="35"/>
        <v>0.25</v>
      </c>
      <c r="G154" s="861">
        <f t="shared" si="33"/>
        <v>0</v>
      </c>
      <c r="H154" s="863">
        <f t="shared" si="34"/>
        <v>0</v>
      </c>
    </row>
    <row r="155" spans="1:8" ht="14.25" x14ac:dyDescent="0.2">
      <c r="A155" s="1459"/>
      <c r="B155" s="861" t="str">
        <f t="shared" si="31"/>
        <v>Coriander Powder - كزبرة مطحونة</v>
      </c>
      <c r="C155" s="861" t="str">
        <f t="shared" si="31"/>
        <v>gm</v>
      </c>
      <c r="D155" s="861">
        <f t="shared" si="31"/>
        <v>20</v>
      </c>
      <c r="E155" s="862">
        <f t="shared" si="32"/>
        <v>0</v>
      </c>
      <c r="F155" s="1244">
        <f t="shared" si="35"/>
        <v>0.7</v>
      </c>
      <c r="G155" s="861">
        <f t="shared" si="33"/>
        <v>0</v>
      </c>
      <c r="H155" s="863">
        <f t="shared" si="34"/>
        <v>0</v>
      </c>
    </row>
    <row r="156" spans="1:8" ht="14.25" x14ac:dyDescent="0.2">
      <c r="A156" s="1459"/>
      <c r="B156" s="861" t="str">
        <f t="shared" si="31"/>
        <v>Yogurt - زبادي</v>
      </c>
      <c r="C156" s="861" t="str">
        <f t="shared" si="31"/>
        <v>gm</v>
      </c>
      <c r="D156" s="861">
        <f t="shared" si="31"/>
        <v>150</v>
      </c>
      <c r="E156" s="862">
        <f t="shared" si="32"/>
        <v>0</v>
      </c>
      <c r="F156" s="1244">
        <f t="shared" si="35"/>
        <v>0.85</v>
      </c>
      <c r="G156" s="861">
        <f t="shared" si="33"/>
        <v>0</v>
      </c>
      <c r="H156" s="863">
        <f t="shared" si="34"/>
        <v>0</v>
      </c>
    </row>
    <row r="157" spans="1:8" ht="14.25" x14ac:dyDescent="0.2">
      <c r="A157" s="1459"/>
      <c r="B157" s="861" t="str">
        <f t="shared" si="31"/>
        <v>Tomato Paste - صلصة طماطم</v>
      </c>
      <c r="C157" s="861" t="str">
        <f t="shared" si="31"/>
        <v>gm</v>
      </c>
      <c r="D157" s="861">
        <f t="shared" si="31"/>
        <v>70</v>
      </c>
      <c r="E157" s="862">
        <f t="shared" si="32"/>
        <v>0</v>
      </c>
      <c r="F157" s="1244">
        <f t="shared" si="35"/>
        <v>0.8</v>
      </c>
      <c r="G157" s="861">
        <f t="shared" si="33"/>
        <v>0</v>
      </c>
      <c r="H157" s="863">
        <f t="shared" si="34"/>
        <v>0</v>
      </c>
    </row>
    <row r="158" spans="1:8" ht="14.25" x14ac:dyDescent="0.2">
      <c r="A158" s="1459"/>
      <c r="B158" s="861" t="str">
        <f t="shared" si="31"/>
        <v>Salt - ملح</v>
      </c>
      <c r="C158" s="861" t="str">
        <f t="shared" si="31"/>
        <v>gm</v>
      </c>
      <c r="D158" s="861">
        <f t="shared" si="31"/>
        <v>30</v>
      </c>
      <c r="E158" s="862">
        <f t="shared" si="32"/>
        <v>0</v>
      </c>
      <c r="F158" s="1244">
        <f t="shared" si="35"/>
        <v>0.75</v>
      </c>
      <c r="G158" s="861">
        <f t="shared" si="33"/>
        <v>0</v>
      </c>
      <c r="H158" s="863">
        <f t="shared" si="34"/>
        <v>0</v>
      </c>
    </row>
    <row r="159" spans="1:8" ht="14.25" x14ac:dyDescent="0.2">
      <c r="A159" s="1459"/>
      <c r="B159" s="861" t="str">
        <f t="shared" ref="B159:D160" si="36">B17</f>
        <v>Water - ماء</v>
      </c>
      <c r="C159" s="861" t="str">
        <f t="shared" si="36"/>
        <v>ml</v>
      </c>
      <c r="D159" s="861">
        <f t="shared" si="36"/>
        <v>200</v>
      </c>
      <c r="E159" s="862">
        <f t="shared" si="32"/>
        <v>0</v>
      </c>
      <c r="F159" s="1244">
        <f t="shared" si="35"/>
        <v>1</v>
      </c>
      <c r="G159" s="861">
        <f t="shared" si="33"/>
        <v>0</v>
      </c>
      <c r="H159" s="863">
        <f t="shared" si="34"/>
        <v>0</v>
      </c>
    </row>
    <row r="160" spans="1:8" ht="14.25" x14ac:dyDescent="0.2">
      <c r="A160" s="1459"/>
      <c r="B160" s="861" t="str">
        <f>B18</f>
        <v>Saffron yellow color powder - لون صفار زعفران بودر</v>
      </c>
      <c r="C160" s="861" t="str">
        <f t="shared" si="36"/>
        <v>gm</v>
      </c>
      <c r="D160" s="861">
        <f t="shared" si="36"/>
        <v>1</v>
      </c>
      <c r="E160" s="862">
        <f t="shared" si="32"/>
        <v>0</v>
      </c>
      <c r="F160" s="1244">
        <f t="shared" si="35"/>
        <v>0.3</v>
      </c>
      <c r="G160" s="861">
        <f t="shared" si="33"/>
        <v>0</v>
      </c>
      <c r="H160" s="863">
        <f t="shared" si="34"/>
        <v>0</v>
      </c>
    </row>
    <row r="161" spans="1:8" ht="18" x14ac:dyDescent="0.25">
      <c r="A161" s="1472"/>
      <c r="B161" s="864" t="s">
        <v>287</v>
      </c>
      <c r="C161" s="865" t="s">
        <v>273</v>
      </c>
      <c r="D161" s="856"/>
      <c r="E161" s="865" t="s">
        <v>288</v>
      </c>
      <c r="F161" s="856"/>
      <c r="G161" s="866" t="s">
        <v>264</v>
      </c>
      <c r="H161" s="866" t="s">
        <v>673</v>
      </c>
    </row>
    <row r="162" spans="1:8" ht="20.25" x14ac:dyDescent="0.25">
      <c r="A162" s="1472"/>
      <c r="B162" s="853">
        <f>$J$57</f>
        <v>0</v>
      </c>
      <c r="C162" s="853">
        <f>E162+G162</f>
        <v>0</v>
      </c>
      <c r="D162" s="856"/>
      <c r="E162" s="853">
        <f>$H$57*$S$44</f>
        <v>0</v>
      </c>
      <c r="F162" s="856"/>
      <c r="G162" s="853">
        <f>$H$57*$T$44</f>
        <v>0</v>
      </c>
      <c r="H162" s="853">
        <f>B162+E162</f>
        <v>0</v>
      </c>
    </row>
    <row r="163" spans="1:8" x14ac:dyDescent="0.25">
      <c r="A163" s="62"/>
    </row>
    <row r="164" spans="1:8" x14ac:dyDescent="0.25">
      <c r="A164" s="62"/>
    </row>
    <row r="165" spans="1:8" x14ac:dyDescent="0.25">
      <c r="A165" s="62"/>
    </row>
    <row r="166" spans="1:8" x14ac:dyDescent="0.25">
      <c r="A166" s="62"/>
    </row>
    <row r="167" spans="1:8" x14ac:dyDescent="0.25">
      <c r="A167" s="62"/>
    </row>
    <row r="168" spans="1:8" x14ac:dyDescent="0.25">
      <c r="A168" s="62"/>
    </row>
    <row r="169" spans="1:8" x14ac:dyDescent="0.25">
      <c r="A169" s="62"/>
    </row>
    <row r="170" spans="1:8" x14ac:dyDescent="0.25">
      <c r="A170" s="62"/>
    </row>
    <row r="171" spans="1:8" x14ac:dyDescent="0.25">
      <c r="A171" s="62"/>
    </row>
    <row r="172" spans="1:8" x14ac:dyDescent="0.25">
      <c r="A172" s="62"/>
    </row>
    <row r="173" spans="1:8" x14ac:dyDescent="0.25">
      <c r="A173" s="62"/>
    </row>
    <row r="174" spans="1:8" x14ac:dyDescent="0.25">
      <c r="A174" s="62"/>
    </row>
  </sheetData>
  <mergeCells count="14">
    <mergeCell ref="B104:H104"/>
    <mergeCell ref="B144:H144"/>
    <mergeCell ref="B145:H145"/>
    <mergeCell ref="B124:H124"/>
    <mergeCell ref="B125:H125"/>
    <mergeCell ref="B105:H105"/>
    <mergeCell ref="R25:T25"/>
    <mergeCell ref="B2:K3"/>
    <mergeCell ref="B63:H63"/>
    <mergeCell ref="B83:H83"/>
    <mergeCell ref="B82:H82"/>
    <mergeCell ref="B62:H62"/>
    <mergeCell ref="R26:T26"/>
    <mergeCell ref="B35:F35"/>
  </mergeCells>
  <phoneticPr fontId="67" type="noConversion"/>
  <printOptions horizontalCentered="1"/>
  <pageMargins left="0.5" right="0.5" top="1" bottom="0.5" header="0.3" footer="0.511811023622047"/>
  <pageSetup paperSize="9" scale="30" orientation="portrait"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rgb="FFFFFF00"/>
    <pageSetUpPr fitToPage="1"/>
  </sheetPr>
  <dimension ref="A1:AG174"/>
  <sheetViews>
    <sheetView zoomScaleNormal="100" workbookViewId="0">
      <selection activeCell="C31" sqref="C31"/>
    </sheetView>
  </sheetViews>
  <sheetFormatPr defaultColWidth="12.5" defaultRowHeight="12.75" x14ac:dyDescent="0.2"/>
  <cols>
    <col min="1" max="1" width="12.5" style="14" customWidth="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6" width="4.75" style="14" customWidth="1"/>
    <col min="17" max="27" width="12.5" style="14"/>
    <col min="28" max="28" width="6.75" style="14" customWidth="1"/>
    <col min="29" max="16384" width="12.5" style="14"/>
  </cols>
  <sheetData>
    <row r="1" spans="1:33" ht="28.5" customHeight="1" x14ac:dyDescent="0.2">
      <c r="B1" s="64" t="s">
        <v>231</v>
      </c>
      <c r="C1" s="65">
        <v>1000</v>
      </c>
      <c r="D1" s="66" t="s">
        <v>232</v>
      </c>
      <c r="E1" s="99">
        <f>S30</f>
        <v>12150</v>
      </c>
      <c r="F1" s="64" t="s">
        <v>233</v>
      </c>
      <c r="G1" s="99">
        <f>E1/C1</f>
        <v>12.15</v>
      </c>
      <c r="H1" s="64" t="s">
        <v>234</v>
      </c>
      <c r="I1" s="99">
        <f>G1/K1</f>
        <v>12.15</v>
      </c>
      <c r="J1" s="302" t="s">
        <v>235</v>
      </c>
      <c r="K1" s="303">
        <v>1</v>
      </c>
      <c r="L1" s="84"/>
      <c r="M1" s="84" t="s">
        <v>365</v>
      </c>
      <c r="N1" s="84"/>
      <c r="O1" s="84"/>
      <c r="P1" s="84"/>
      <c r="Q1" s="84"/>
      <c r="R1" s="84"/>
      <c r="S1" s="84"/>
      <c r="T1" s="84"/>
      <c r="U1" s="84"/>
      <c r="V1" s="84"/>
      <c r="Y1" s="75" t="s">
        <v>453</v>
      </c>
      <c r="Z1" s="766">
        <v>12150</v>
      </c>
      <c r="AA1" s="75" t="s">
        <v>556</v>
      </c>
      <c r="AB1" s="766">
        <v>0</v>
      </c>
      <c r="AC1" s="75" t="s">
        <v>546</v>
      </c>
      <c r="AD1" s="766">
        <v>81</v>
      </c>
    </row>
    <row r="2" spans="1:33" ht="12.75" customHeight="1" x14ac:dyDescent="0.2">
      <c r="A2" s="306"/>
      <c r="B2" s="1632" t="s">
        <v>366</v>
      </c>
      <c r="C2" s="1661"/>
      <c r="D2" s="1661"/>
      <c r="E2" s="1661"/>
      <c r="F2" s="1661"/>
      <c r="G2" s="1661"/>
      <c r="H2" s="1661"/>
      <c r="I2" s="328"/>
      <c r="J2" s="328"/>
      <c r="K2" s="328"/>
      <c r="L2" s="84"/>
      <c r="M2" s="84"/>
      <c r="N2" s="84"/>
      <c r="O2" s="84"/>
      <c r="P2" s="84"/>
      <c r="Q2" s="84"/>
      <c r="R2" s="84"/>
      <c r="S2" s="84"/>
      <c r="T2" s="84"/>
      <c r="U2" s="84"/>
      <c r="AE2" s="1647"/>
      <c r="AF2" s="1655"/>
      <c r="AG2" s="1655"/>
    </row>
    <row r="3" spans="1:33" ht="12.75" customHeight="1" x14ac:dyDescent="0.2">
      <c r="A3" s="306"/>
      <c r="B3" s="1633"/>
      <c r="C3" s="1633"/>
      <c r="D3" s="1633"/>
      <c r="E3" s="1633"/>
      <c r="F3" s="1633"/>
      <c r="G3" s="1633"/>
      <c r="H3" s="1633"/>
      <c r="I3" s="84"/>
      <c r="J3" s="84"/>
      <c r="K3" s="84"/>
      <c r="L3" s="84"/>
      <c r="M3" s="84"/>
      <c r="N3" s="84"/>
      <c r="O3" s="84"/>
      <c r="P3" s="84"/>
      <c r="Q3" s="84"/>
      <c r="R3" s="84"/>
      <c r="S3" s="84"/>
      <c r="T3" s="84"/>
      <c r="U3" s="84"/>
      <c r="AE3" s="1655"/>
      <c r="AF3" s="1655"/>
      <c r="AG3" s="1655"/>
    </row>
    <row r="4" spans="1:33"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Q4" s="84"/>
      <c r="R4" s="84"/>
      <c r="S4" s="84"/>
      <c r="T4" s="84"/>
      <c r="U4" s="84"/>
    </row>
    <row r="5" spans="1:33" ht="14.25" customHeight="1" x14ac:dyDescent="0.2">
      <c r="A5" s="1459"/>
      <c r="B5" s="586"/>
      <c r="C5" s="587"/>
      <c r="D5" s="198"/>
      <c r="E5" s="588"/>
      <c r="F5" s="198"/>
      <c r="G5" s="198"/>
      <c r="H5" s="587"/>
      <c r="I5" s="65"/>
      <c r="J5" s="103"/>
      <c r="K5" s="104"/>
      <c r="L5" s="104"/>
      <c r="M5" s="84"/>
    </row>
    <row r="6" spans="1:33" ht="14.25" customHeight="1" x14ac:dyDescent="0.2">
      <c r="A6" s="1460"/>
      <c r="B6" s="20" t="s">
        <v>19</v>
      </c>
      <c r="C6" s="106" t="s">
        <v>14</v>
      </c>
      <c r="D6" s="988">
        <v>450</v>
      </c>
      <c r="E6" s="98">
        <f t="shared" ref="E6:E13" si="0">$I$1</f>
        <v>12.15</v>
      </c>
      <c r="F6" s="109">
        <v>1</v>
      </c>
      <c r="G6" s="101">
        <f t="shared" ref="G6:G13" si="1">D6*E6</f>
        <v>5467.5</v>
      </c>
      <c r="H6" s="102">
        <f t="shared" ref="H6:H13" si="2">G6*F6</f>
        <v>5467.5</v>
      </c>
      <c r="I6" s="65">
        <f>VLOOKUP(B6,All_Ingredients!$A$1:$F$156,6,FALSE())</f>
        <v>0.8</v>
      </c>
      <c r="J6" s="103">
        <f>VLOOKUP(B6,All_Ingredients!$A$1:$J$156,10,FALSE())</f>
        <v>2.6</v>
      </c>
      <c r="K6" s="104">
        <f t="shared" ref="K6:K13" si="3">(H6/I6)/1000</f>
        <v>6.8343749999999996</v>
      </c>
      <c r="L6" s="104">
        <f t="shared" ref="L6:L13" si="4">K6*J6</f>
        <v>17.769375</v>
      </c>
    </row>
    <row r="7" spans="1:33" ht="14.25" customHeight="1" x14ac:dyDescent="0.2">
      <c r="A7" s="1460"/>
      <c r="B7" s="20" t="s">
        <v>47</v>
      </c>
      <c r="C7" s="106" t="s">
        <v>14</v>
      </c>
      <c r="D7" s="988">
        <v>450</v>
      </c>
      <c r="E7" s="98">
        <f t="shared" si="0"/>
        <v>12.15</v>
      </c>
      <c r="F7" s="109">
        <v>1</v>
      </c>
      <c r="G7" s="101">
        <f t="shared" si="1"/>
        <v>5467.5</v>
      </c>
      <c r="H7" s="102">
        <f t="shared" si="2"/>
        <v>5467.5</v>
      </c>
      <c r="I7" s="65">
        <f>VLOOKUP(B7,All_Ingredients!$A$1:$F$156,6,FALSE())</f>
        <v>0.78</v>
      </c>
      <c r="J7" s="103">
        <f>VLOOKUP(B7,All_Ingredients!$A$1:$J$156,10,FALSE())</f>
        <v>3.7</v>
      </c>
      <c r="K7" s="104">
        <f t="shared" si="3"/>
        <v>7.009615384615385</v>
      </c>
      <c r="L7" s="104">
        <f t="shared" si="4"/>
        <v>25.935576923076926</v>
      </c>
    </row>
    <row r="8" spans="1:33" ht="14.25" customHeight="1" x14ac:dyDescent="0.2">
      <c r="A8" s="1460"/>
      <c r="B8" s="20" t="s">
        <v>28</v>
      </c>
      <c r="C8" s="106" t="s">
        <v>14</v>
      </c>
      <c r="D8" s="988">
        <v>80</v>
      </c>
      <c r="E8" s="98">
        <f t="shared" si="0"/>
        <v>12.15</v>
      </c>
      <c r="F8" s="109">
        <v>1</v>
      </c>
      <c r="G8" s="101">
        <f t="shared" si="1"/>
        <v>972</v>
      </c>
      <c r="H8" s="102">
        <f t="shared" si="2"/>
        <v>972</v>
      </c>
      <c r="I8" s="65">
        <f>VLOOKUP(B8,All_Ingredients!$A$1:$F$156,6,FALSE())</f>
        <v>0.73</v>
      </c>
      <c r="J8" s="103">
        <f>VLOOKUP(B8,All_Ingredients!$A$1:$J$156,10,FALSE())</f>
        <v>8.5</v>
      </c>
      <c r="K8" s="104">
        <f t="shared" si="3"/>
        <v>1.3315068493150686</v>
      </c>
      <c r="L8" s="104">
        <f t="shared" si="4"/>
        <v>11.317808219178083</v>
      </c>
    </row>
    <row r="9" spans="1:33" ht="14.25" customHeight="1" x14ac:dyDescent="0.2">
      <c r="A9" s="1460"/>
      <c r="B9" s="20" t="s">
        <v>30</v>
      </c>
      <c r="C9" s="106" t="s">
        <v>14</v>
      </c>
      <c r="D9" s="988">
        <v>80</v>
      </c>
      <c r="E9" s="98">
        <f t="shared" si="0"/>
        <v>12.15</v>
      </c>
      <c r="F9" s="109">
        <v>1</v>
      </c>
      <c r="G9" s="101">
        <f t="shared" si="1"/>
        <v>972</v>
      </c>
      <c r="H9" s="102">
        <f t="shared" si="2"/>
        <v>972</v>
      </c>
      <c r="I9" s="65">
        <f>VLOOKUP(B9,All_Ingredients!$A$1:$F$156,6,FALSE())</f>
        <v>0.71</v>
      </c>
      <c r="J9" s="103">
        <f>VLOOKUP(B9,All_Ingredients!$A$1:$J$156,10,FALSE())</f>
        <v>8.5</v>
      </c>
      <c r="K9" s="104">
        <f t="shared" si="3"/>
        <v>1.3690140845070422</v>
      </c>
      <c r="L9" s="104">
        <f t="shared" si="4"/>
        <v>11.636619718309859</v>
      </c>
    </row>
    <row r="10" spans="1:33" ht="14.25" customHeight="1" x14ac:dyDescent="0.2">
      <c r="A10" s="1460"/>
      <c r="B10" s="20" t="s">
        <v>32</v>
      </c>
      <c r="C10" s="106" t="s">
        <v>14</v>
      </c>
      <c r="D10" s="988">
        <v>80</v>
      </c>
      <c r="E10" s="98">
        <f t="shared" si="0"/>
        <v>12.15</v>
      </c>
      <c r="F10" s="109">
        <v>1</v>
      </c>
      <c r="G10" s="101">
        <f t="shared" si="1"/>
        <v>972</v>
      </c>
      <c r="H10" s="102">
        <f t="shared" si="2"/>
        <v>972</v>
      </c>
      <c r="I10" s="65">
        <f>VLOOKUP(B10,All_Ingredients!$A$1:$F$156,6,FALSE())</f>
        <v>0.69</v>
      </c>
      <c r="J10" s="103">
        <f>VLOOKUP(B10,All_Ingredients!$A$1:$J$156,10,FALSE())</f>
        <v>4</v>
      </c>
      <c r="K10" s="104">
        <f t="shared" si="3"/>
        <v>1.4086956521739131</v>
      </c>
      <c r="L10" s="104">
        <f t="shared" si="4"/>
        <v>5.6347826086956525</v>
      </c>
    </row>
    <row r="11" spans="1:33" ht="14.25" customHeight="1" x14ac:dyDescent="0.2">
      <c r="A11" s="1460"/>
      <c r="B11" s="20" t="s">
        <v>50</v>
      </c>
      <c r="C11" s="106" t="s">
        <v>14</v>
      </c>
      <c r="D11" s="988">
        <v>80</v>
      </c>
      <c r="E11" s="98">
        <f t="shared" si="0"/>
        <v>12.15</v>
      </c>
      <c r="F11" s="109">
        <v>1</v>
      </c>
      <c r="G11" s="101">
        <f t="shared" si="1"/>
        <v>972</v>
      </c>
      <c r="H11" s="102">
        <f t="shared" si="2"/>
        <v>972</v>
      </c>
      <c r="I11" s="65">
        <f>VLOOKUP(B11,All_Ingredients!$A$1:$F$156,6,FALSE())</f>
        <v>0.75</v>
      </c>
      <c r="J11" s="103">
        <f>VLOOKUP(B11,All_Ingredients!$A$1:$J$156,10,FALSE())</f>
        <v>20</v>
      </c>
      <c r="K11" s="104">
        <f t="shared" si="3"/>
        <v>1.296</v>
      </c>
      <c r="L11" s="104">
        <f t="shared" si="4"/>
        <v>25.92</v>
      </c>
    </row>
    <row r="12" spans="1:33" ht="14.25" customHeight="1" x14ac:dyDescent="0.2">
      <c r="A12" s="1460"/>
      <c r="B12" s="20" t="s">
        <v>93</v>
      </c>
      <c r="C12" s="106" t="s">
        <v>14</v>
      </c>
      <c r="D12" s="98">
        <v>4</v>
      </c>
      <c r="E12" s="98">
        <f t="shared" si="0"/>
        <v>12.15</v>
      </c>
      <c r="F12" s="109">
        <v>0.75</v>
      </c>
      <c r="G12" s="101">
        <f t="shared" si="1"/>
        <v>48.6</v>
      </c>
      <c r="H12" s="102">
        <f t="shared" si="2"/>
        <v>36.450000000000003</v>
      </c>
      <c r="I12" s="65">
        <f>VLOOKUP(B12,All_Ingredients!$A$1:$F$156,6,FALSE())</f>
        <v>1</v>
      </c>
      <c r="J12" s="103">
        <f>VLOOKUP(B12,All_Ingredients!$A$1:$J$156,10,FALSE())</f>
        <v>0.74</v>
      </c>
      <c r="K12" s="104">
        <f t="shared" si="3"/>
        <v>3.6450000000000003E-2</v>
      </c>
      <c r="L12" s="104">
        <f t="shared" si="4"/>
        <v>2.6973E-2</v>
      </c>
    </row>
    <row r="13" spans="1:33" ht="14.25" customHeight="1" x14ac:dyDescent="0.2">
      <c r="A13" s="1460"/>
      <c r="B13" s="299" t="s">
        <v>99</v>
      </c>
      <c r="C13" s="106" t="s">
        <v>14</v>
      </c>
      <c r="D13" s="177">
        <v>0.5</v>
      </c>
      <c r="E13" s="98">
        <f t="shared" si="0"/>
        <v>12.15</v>
      </c>
      <c r="F13" s="109">
        <v>1</v>
      </c>
      <c r="G13" s="101">
        <f t="shared" si="1"/>
        <v>6.0750000000000002</v>
      </c>
      <c r="H13" s="102">
        <f t="shared" si="2"/>
        <v>6.0750000000000002</v>
      </c>
      <c r="I13" s="65">
        <f>VLOOKUP(B13,All_Ingredients!$A$1:$F$156,6,FALSE())</f>
        <v>1</v>
      </c>
      <c r="J13" s="103">
        <f>VLOOKUP(B13,All_Ingredients!$A$1:$J$156,10,FALSE())</f>
        <v>31</v>
      </c>
      <c r="K13" s="104">
        <f t="shared" si="3"/>
        <v>6.0750000000000005E-3</v>
      </c>
      <c r="L13" s="104">
        <f t="shared" si="4"/>
        <v>0.18832500000000002</v>
      </c>
    </row>
    <row r="14" spans="1:33" ht="14.25" customHeight="1" x14ac:dyDescent="0.2">
      <c r="A14" s="1461"/>
      <c r="B14" s="332"/>
      <c r="C14" s="333"/>
      <c r="D14" s="335"/>
      <c r="E14" s="335"/>
      <c r="F14" s="336"/>
      <c r="G14" s="337"/>
      <c r="H14" s="338"/>
    </row>
    <row r="15" spans="1:33" ht="14.25" customHeight="1" x14ac:dyDescent="0.2">
      <c r="A15" s="1461"/>
      <c r="B15" s="325"/>
      <c r="C15" s="114"/>
      <c r="D15" s="232"/>
      <c r="E15" s="203"/>
      <c r="F15" s="117"/>
      <c r="G15" s="121"/>
      <c r="H15" s="119"/>
    </row>
    <row r="16" spans="1:33" ht="14.25" customHeight="1" x14ac:dyDescent="0.2">
      <c r="A16" s="1461"/>
      <c r="E16" s="84"/>
      <c r="F16" s="84"/>
    </row>
    <row r="17" spans="1:29" ht="14.25" customHeight="1" x14ac:dyDescent="0.2">
      <c r="A17" s="1461"/>
      <c r="E17" s="84"/>
      <c r="F17" s="84"/>
    </row>
    <row r="18" spans="1:29" ht="14.25" customHeight="1" x14ac:dyDescent="0.2">
      <c r="A18" s="1461"/>
      <c r="E18" s="84"/>
      <c r="F18" s="84"/>
    </row>
    <row r="19" spans="1:29" ht="14.25" customHeight="1" x14ac:dyDescent="0.2">
      <c r="A19" s="1461"/>
      <c r="E19" s="84"/>
      <c r="F19" s="84"/>
    </row>
    <row r="20" spans="1:29" ht="14.25" customHeight="1" x14ac:dyDescent="0.2">
      <c r="A20" s="1461"/>
      <c r="E20" s="84"/>
      <c r="F20" s="84"/>
    </row>
    <row r="21" spans="1:29" ht="14.25" customHeight="1" x14ac:dyDescent="0.2">
      <c r="A21" s="1461"/>
      <c r="E21" s="84"/>
      <c r="F21" s="84"/>
    </row>
    <row r="22" spans="1:29" ht="14.25" customHeight="1" x14ac:dyDescent="0.2">
      <c r="A22" s="1461"/>
      <c r="B22" s="11"/>
      <c r="C22" s="312"/>
      <c r="D22" s="313"/>
      <c r="E22" s="84"/>
      <c r="F22" s="84"/>
    </row>
    <row r="23" spans="1:29" ht="14.25" customHeight="1" x14ac:dyDescent="0.2">
      <c r="A23" s="1461"/>
      <c r="B23" s="11"/>
      <c r="C23" s="312"/>
      <c r="D23" s="313"/>
      <c r="E23" s="84"/>
      <c r="F23" s="84"/>
    </row>
    <row r="24" spans="1:29" ht="14.25" customHeight="1" x14ac:dyDescent="0.2">
      <c r="A24" s="1461"/>
      <c r="B24" s="11"/>
      <c r="C24" s="312"/>
      <c r="D24" s="313"/>
      <c r="E24" s="84"/>
      <c r="F24" s="84"/>
      <c r="Z24" s="1073"/>
    </row>
    <row r="25" spans="1:29" ht="14.25" customHeight="1" x14ac:dyDescent="0.2">
      <c r="A25" s="1461"/>
      <c r="B25" s="11"/>
      <c r="C25" s="312"/>
      <c r="D25" s="313"/>
      <c r="E25" s="84"/>
      <c r="F25" s="84"/>
      <c r="R25" s="1679" t="s">
        <v>367</v>
      </c>
      <c r="S25" s="1639"/>
      <c r="T25" s="1680"/>
      <c r="Z25" s="122" t="s">
        <v>14</v>
      </c>
      <c r="AA25" s="123">
        <v>1</v>
      </c>
      <c r="AB25" s="122" t="s">
        <v>249</v>
      </c>
      <c r="AC25" s="124">
        <f>(S31/S30)*AA25</f>
        <v>8.1011901620790562E-3</v>
      </c>
    </row>
    <row r="26" spans="1:29" ht="14.25" customHeight="1" x14ac:dyDescent="0.2">
      <c r="A26" s="1461"/>
      <c r="B26" s="11"/>
      <c r="C26" s="312"/>
      <c r="D26" s="313"/>
      <c r="E26" s="84"/>
      <c r="F26" s="84"/>
      <c r="R26" s="1679" t="s">
        <v>338</v>
      </c>
      <c r="S26" s="1639"/>
      <c r="T26" s="1680"/>
    </row>
    <row r="27" spans="1:29" ht="14.25" customHeight="1" x14ac:dyDescent="0.2">
      <c r="A27" s="1461"/>
      <c r="B27" s="11"/>
      <c r="C27" s="312"/>
      <c r="D27" s="313"/>
      <c r="E27" s="84"/>
      <c r="F27" s="84"/>
      <c r="R27" s="126" t="s">
        <v>254</v>
      </c>
      <c r="S27" s="126" t="s">
        <v>339</v>
      </c>
      <c r="T27" s="126" t="s">
        <v>257</v>
      </c>
    </row>
    <row r="28" spans="1:29" ht="14.25" customHeight="1" x14ac:dyDescent="0.2">
      <c r="A28" s="1461"/>
      <c r="B28" s="11"/>
      <c r="C28" s="312"/>
      <c r="D28" s="313"/>
      <c r="E28" s="84"/>
      <c r="F28" s="84"/>
      <c r="R28" s="126" t="s">
        <v>263</v>
      </c>
      <c r="S28" s="1216">
        <f>T28</f>
        <v>12150</v>
      </c>
      <c r="T28" s="1206">
        <f>$Z$1</f>
        <v>12150</v>
      </c>
      <c r="U28" s="1220"/>
    </row>
    <row r="29" spans="1:29" ht="14.25" customHeight="1" x14ac:dyDescent="0.2">
      <c r="A29" s="1461"/>
      <c r="B29" s="11"/>
      <c r="C29" s="312"/>
      <c r="D29" s="313"/>
      <c r="E29" s="84"/>
      <c r="F29" s="84"/>
      <c r="R29" s="126" t="s">
        <v>265</v>
      </c>
      <c r="S29" s="1206">
        <f>$AB$1</f>
        <v>0</v>
      </c>
      <c r="T29" s="723">
        <f>S29</f>
        <v>0</v>
      </c>
      <c r="U29" s="1220"/>
    </row>
    <row r="30" spans="1:29" ht="14.25" customHeight="1" thickBot="1" x14ac:dyDescent="0.25">
      <c r="A30" s="1461"/>
      <c r="B30" s="11"/>
      <c r="C30" s="312"/>
      <c r="D30" s="313"/>
      <c r="E30" s="84"/>
      <c r="F30" s="84"/>
      <c r="R30" s="126" t="s">
        <v>257</v>
      </c>
      <c r="S30" s="1243">
        <f>SUM(S28:S29)</f>
        <v>12150</v>
      </c>
      <c r="T30" s="1243">
        <f>S30</f>
        <v>12150</v>
      </c>
      <c r="U30" s="1220"/>
    </row>
    <row r="31" spans="1:29" ht="14.25" customHeight="1" thickBot="1" x14ac:dyDescent="0.25">
      <c r="A31" s="1461"/>
      <c r="B31" s="84"/>
      <c r="E31" s="84"/>
      <c r="F31" s="84"/>
      <c r="R31" s="144" t="s">
        <v>249</v>
      </c>
      <c r="S31" s="990">
        <f>SUM(L6:L13)</f>
        <v>98.429460469260533</v>
      </c>
      <c r="T31" s="1061">
        <f>S31</f>
        <v>98.429460469260533</v>
      </c>
    </row>
    <row r="32" spans="1:29" ht="14.25" customHeight="1" x14ac:dyDescent="0.2">
      <c r="A32" s="1461"/>
      <c r="B32" s="84"/>
      <c r="E32" s="84"/>
      <c r="F32" s="84"/>
    </row>
    <row r="33" spans="1:1" x14ac:dyDescent="0.2">
      <c r="A33" s="1461"/>
    </row>
    <row r="34" spans="1:1" x14ac:dyDescent="0.2">
      <c r="A34" s="1461"/>
    </row>
    <row r="35" spans="1:1" x14ac:dyDescent="0.2">
      <c r="A35" s="1461"/>
    </row>
    <row r="36" spans="1:1" x14ac:dyDescent="0.2">
      <c r="A36" s="1461"/>
    </row>
    <row r="37" spans="1:1" x14ac:dyDescent="0.2">
      <c r="A37" s="1461"/>
    </row>
    <row r="38" spans="1:1" x14ac:dyDescent="0.2">
      <c r="A38" s="1461"/>
    </row>
    <row r="39" spans="1:1" x14ac:dyDescent="0.2">
      <c r="A39" s="1461"/>
    </row>
    <row r="40" spans="1:1" x14ac:dyDescent="0.2">
      <c r="A40" s="1461"/>
    </row>
    <row r="41" spans="1:1" ht="14.25" customHeight="1" x14ac:dyDescent="0.2">
      <c r="A41" s="1461"/>
    </row>
    <row r="42" spans="1:1" ht="14.25" customHeight="1" x14ac:dyDescent="0.2">
      <c r="A42" s="1461"/>
    </row>
    <row r="43" spans="1:1" x14ac:dyDescent="0.2">
      <c r="A43" s="1461"/>
    </row>
    <row r="44" spans="1:1" x14ac:dyDescent="0.2">
      <c r="A44" s="1461"/>
    </row>
    <row r="45" spans="1:1" x14ac:dyDescent="0.2">
      <c r="A45" s="1461"/>
    </row>
    <row r="46" spans="1:1" x14ac:dyDescent="0.2">
      <c r="A46" s="1461"/>
    </row>
    <row r="47" spans="1:1" x14ac:dyDescent="0.2">
      <c r="A47" s="1461"/>
    </row>
    <row r="48" spans="1:1" x14ac:dyDescent="0.2">
      <c r="A48" s="1461"/>
    </row>
    <row r="49" spans="1:8" x14ac:dyDescent="0.2">
      <c r="A49" s="1461"/>
    </row>
    <row r="50" spans="1:8" ht="14.25" x14ac:dyDescent="0.2">
      <c r="A50" s="1461"/>
      <c r="B50" s="204"/>
      <c r="C50" s="204" t="s">
        <v>233</v>
      </c>
      <c r="D50" s="204" t="s">
        <v>279</v>
      </c>
    </row>
    <row r="51" spans="1:8" ht="14.25" x14ac:dyDescent="0.2">
      <c r="A51" s="1461"/>
      <c r="B51" s="161" t="s">
        <v>283</v>
      </c>
      <c r="C51" s="162">
        <f>10/$K$1</f>
        <v>10</v>
      </c>
      <c r="D51" s="163">
        <f>$C$1*10</f>
        <v>10000</v>
      </c>
    </row>
    <row r="52" spans="1:8" ht="14.25" x14ac:dyDescent="0.2">
      <c r="A52" s="1461"/>
      <c r="B52" s="209" t="s">
        <v>257</v>
      </c>
      <c r="C52" s="211">
        <f>G1</f>
        <v>12.15</v>
      </c>
      <c r="D52" s="211">
        <f>E1</f>
        <v>12150</v>
      </c>
    </row>
    <row r="53" spans="1:8" ht="14.25" x14ac:dyDescent="0.2">
      <c r="A53" s="1461"/>
      <c r="B53" s="209" t="s">
        <v>284</v>
      </c>
      <c r="C53" s="212">
        <f>MIN($C$52, $C$51)</f>
        <v>10</v>
      </c>
      <c r="D53" s="211">
        <f>(C53*$K$1)*$C$1</f>
        <v>10000</v>
      </c>
    </row>
    <row r="54" spans="1:8" ht="14.25" x14ac:dyDescent="0.2">
      <c r="A54" s="1461"/>
      <c r="B54" s="209" t="s">
        <v>285</v>
      </c>
      <c r="C54" s="212">
        <f>MIN(MAX($C$52-C53,0),$C$51)</f>
        <v>2.1500000000000004</v>
      </c>
      <c r="D54" s="211">
        <f>(C54*$K$1)*$C$1</f>
        <v>2150.0000000000005</v>
      </c>
    </row>
    <row r="55" spans="1:8" ht="14.25" x14ac:dyDescent="0.2">
      <c r="A55" s="1461"/>
      <c r="B55" s="209" t="s">
        <v>286</v>
      </c>
      <c r="C55" s="212">
        <f>MIN(MAX($C$52-C53-C54,0),$C$51)</f>
        <v>0</v>
      </c>
      <c r="D55" s="211">
        <f>(C55*$K$1)*$C$1</f>
        <v>0</v>
      </c>
    </row>
    <row r="56" spans="1:8" x14ac:dyDescent="0.2">
      <c r="A56" s="1461"/>
    </row>
    <row r="57" spans="1:8" x14ac:dyDescent="0.2">
      <c r="A57" s="1461"/>
    </row>
    <row r="58" spans="1:8" x14ac:dyDescent="0.2">
      <c r="A58" s="1461"/>
    </row>
    <row r="59" spans="1:8" x14ac:dyDescent="0.2">
      <c r="A59" s="1461"/>
    </row>
    <row r="60" spans="1:8" x14ac:dyDescent="0.2">
      <c r="A60" s="1461"/>
    </row>
    <row r="61" spans="1:8" ht="14.25" customHeight="1" x14ac:dyDescent="0.2">
      <c r="A61" s="1461"/>
    </row>
    <row r="62" spans="1:8" ht="18" customHeight="1" x14ac:dyDescent="0.2">
      <c r="A62" s="1464"/>
      <c r="B62" s="1636" t="s">
        <v>789</v>
      </c>
      <c r="C62" s="1637"/>
      <c r="D62" s="1637"/>
      <c r="E62" s="1637"/>
      <c r="F62" s="1637"/>
      <c r="G62" s="1637"/>
      <c r="H62" s="1637"/>
    </row>
    <row r="63" spans="1:8" ht="14.25" x14ac:dyDescent="0.2">
      <c r="A63" s="1464"/>
      <c r="B63" s="1634" t="s">
        <v>366</v>
      </c>
      <c r="C63" s="1635"/>
      <c r="D63" s="1635"/>
      <c r="E63" s="1635"/>
      <c r="F63" s="1635"/>
      <c r="G63" s="1635"/>
      <c r="H63" s="1635"/>
    </row>
    <row r="64" spans="1:8" ht="52.5" customHeight="1" x14ac:dyDescent="0.2">
      <c r="A64" s="1457"/>
      <c r="B64" s="378" t="s">
        <v>241</v>
      </c>
      <c r="C64" s="379" t="s">
        <v>242</v>
      </c>
      <c r="D64" s="380" t="s">
        <v>231</v>
      </c>
      <c r="E64" s="381" t="s">
        <v>234</v>
      </c>
      <c r="F64" s="381" t="s">
        <v>243</v>
      </c>
      <c r="G64" s="380" t="s">
        <v>244</v>
      </c>
      <c r="H64" s="381" t="s">
        <v>245</v>
      </c>
    </row>
    <row r="65" spans="1:8" ht="14.25" customHeight="1" x14ac:dyDescent="0.2">
      <c r="A65" s="1460"/>
      <c r="B65" s="299" t="str">
        <f t="shared" ref="B65:D72" si="5">B6</f>
        <v>Carrot - جزر</v>
      </c>
      <c r="C65" s="106" t="str">
        <f t="shared" si="5"/>
        <v>gm</v>
      </c>
      <c r="D65" s="98">
        <f t="shared" si="5"/>
        <v>450</v>
      </c>
      <c r="E65" s="98">
        <f>$C$52</f>
        <v>12.15</v>
      </c>
      <c r="F65" s="109">
        <f t="shared" ref="F65:F72" si="6">F6</f>
        <v>1</v>
      </c>
      <c r="G65" s="101">
        <f t="shared" ref="G65:G72" si="7">D65*E65</f>
        <v>5467.5</v>
      </c>
      <c r="H65" s="102">
        <f t="shared" ref="H65:H72" si="8">G65*F65</f>
        <v>5467.5</v>
      </c>
    </row>
    <row r="66" spans="1:8" ht="14.25" customHeight="1" x14ac:dyDescent="0.2">
      <c r="A66" s="1460"/>
      <c r="B66" s="299" t="str">
        <f t="shared" si="5"/>
        <v>Zucchini - كوسة</v>
      </c>
      <c r="C66" s="106" t="str">
        <f t="shared" si="5"/>
        <v>gm</v>
      </c>
      <c r="D66" s="98">
        <f t="shared" si="5"/>
        <v>450</v>
      </c>
      <c r="E66" s="98">
        <f t="shared" ref="E66:E72" si="9">$C$52</f>
        <v>12.15</v>
      </c>
      <c r="F66" s="109">
        <f t="shared" si="6"/>
        <v>1</v>
      </c>
      <c r="G66" s="101">
        <f t="shared" si="7"/>
        <v>5467.5</v>
      </c>
      <c r="H66" s="102">
        <f t="shared" si="8"/>
        <v>5467.5</v>
      </c>
    </row>
    <row r="67" spans="1:8" ht="14.25" customHeight="1" x14ac:dyDescent="0.2">
      <c r="A67" s="1460"/>
      <c r="B67" s="299" t="str">
        <f t="shared" si="5"/>
        <v xml:space="preserve">Red Bell Pepper - فلفل أحمر </v>
      </c>
      <c r="C67" s="106" t="str">
        <f t="shared" si="5"/>
        <v>gm</v>
      </c>
      <c r="D67" s="98">
        <f t="shared" si="5"/>
        <v>80</v>
      </c>
      <c r="E67" s="98">
        <f t="shared" si="9"/>
        <v>12.15</v>
      </c>
      <c r="F67" s="109">
        <f t="shared" si="6"/>
        <v>1</v>
      </c>
      <c r="G67" s="101">
        <f t="shared" si="7"/>
        <v>972</v>
      </c>
      <c r="H67" s="102">
        <f t="shared" si="8"/>
        <v>972</v>
      </c>
    </row>
    <row r="68" spans="1:8" ht="14.25" customHeight="1" x14ac:dyDescent="0.2">
      <c r="A68" s="1460"/>
      <c r="B68" s="299" t="str">
        <f t="shared" si="5"/>
        <v xml:space="preserve">Yellow Bell Pepper - فلفل أصفر </v>
      </c>
      <c r="C68" s="106" t="str">
        <f t="shared" si="5"/>
        <v>gm</v>
      </c>
      <c r="D68" s="98">
        <f t="shared" si="5"/>
        <v>80</v>
      </c>
      <c r="E68" s="98">
        <f t="shared" si="9"/>
        <v>12.15</v>
      </c>
      <c r="F68" s="109">
        <f t="shared" si="6"/>
        <v>1</v>
      </c>
      <c r="G68" s="101">
        <f t="shared" si="7"/>
        <v>972</v>
      </c>
      <c r="H68" s="102">
        <f t="shared" si="8"/>
        <v>972</v>
      </c>
    </row>
    <row r="69" spans="1:8" ht="14.25" customHeight="1" x14ac:dyDescent="0.2">
      <c r="A69" s="1460"/>
      <c r="B69" s="299" t="str">
        <f t="shared" si="5"/>
        <v>Green Bell Pepper - فلفل أخضر رومى</v>
      </c>
      <c r="C69" s="106" t="str">
        <f t="shared" si="5"/>
        <v>gm</v>
      </c>
      <c r="D69" s="98">
        <f t="shared" si="5"/>
        <v>80</v>
      </c>
      <c r="E69" s="98">
        <f t="shared" si="9"/>
        <v>12.15</v>
      </c>
      <c r="F69" s="109">
        <f t="shared" si="6"/>
        <v>1</v>
      </c>
      <c r="G69" s="101">
        <f t="shared" si="7"/>
        <v>972</v>
      </c>
      <c r="H69" s="102">
        <f t="shared" si="8"/>
        <v>972</v>
      </c>
    </row>
    <row r="70" spans="1:8" ht="14.25" customHeight="1" x14ac:dyDescent="0.2">
      <c r="A70" s="1460"/>
      <c r="B70" s="299" t="str">
        <f t="shared" si="5"/>
        <v>Chinese Cabbage - ملفوف صيني</v>
      </c>
      <c r="C70" s="106" t="str">
        <f t="shared" si="5"/>
        <v>gm</v>
      </c>
      <c r="D70" s="98">
        <f t="shared" si="5"/>
        <v>80</v>
      </c>
      <c r="E70" s="98">
        <f t="shared" si="9"/>
        <v>12.15</v>
      </c>
      <c r="F70" s="109">
        <f t="shared" si="6"/>
        <v>1</v>
      </c>
      <c r="G70" s="101">
        <f t="shared" si="7"/>
        <v>972</v>
      </c>
      <c r="H70" s="102">
        <f t="shared" si="8"/>
        <v>972</v>
      </c>
    </row>
    <row r="71" spans="1:8" ht="14.25" customHeight="1" x14ac:dyDescent="0.2">
      <c r="A71" s="1460"/>
      <c r="B71" s="299" t="str">
        <f t="shared" si="5"/>
        <v>Salt - ملح</v>
      </c>
      <c r="C71" s="106" t="str">
        <f t="shared" si="5"/>
        <v>gm</v>
      </c>
      <c r="D71" s="98">
        <f t="shared" si="5"/>
        <v>4</v>
      </c>
      <c r="E71" s="98">
        <f t="shared" si="9"/>
        <v>12.15</v>
      </c>
      <c r="F71" s="109">
        <f t="shared" si="6"/>
        <v>0.75</v>
      </c>
      <c r="G71" s="101">
        <f t="shared" si="7"/>
        <v>48.6</v>
      </c>
      <c r="H71" s="102">
        <f t="shared" si="8"/>
        <v>36.450000000000003</v>
      </c>
    </row>
    <row r="72" spans="1:8" ht="12.75" customHeight="1" x14ac:dyDescent="0.2">
      <c r="A72" s="1460"/>
      <c r="B72" s="299" t="str">
        <f t="shared" si="5"/>
        <v>Black Pepper Powder - فلفل أسود مطحون</v>
      </c>
      <c r="C72" s="106" t="str">
        <f t="shared" si="5"/>
        <v>gm</v>
      </c>
      <c r="D72" s="201">
        <f t="shared" si="5"/>
        <v>0.5</v>
      </c>
      <c r="E72" s="98">
        <f t="shared" si="9"/>
        <v>12.15</v>
      </c>
      <c r="F72" s="109">
        <f t="shared" si="6"/>
        <v>1</v>
      </c>
      <c r="G72" s="101">
        <f t="shared" si="7"/>
        <v>6.0750000000000002</v>
      </c>
      <c r="H72" s="102">
        <f t="shared" si="8"/>
        <v>6.0750000000000002</v>
      </c>
    </row>
    <row r="73" spans="1:8" ht="14.25" customHeight="1" x14ac:dyDescent="0.2">
      <c r="A73" s="1461"/>
      <c r="B73" s="178" t="s">
        <v>706</v>
      </c>
      <c r="E73" s="84"/>
      <c r="F73" s="84"/>
    </row>
    <row r="74" spans="1:8" ht="24" customHeight="1" x14ac:dyDescent="0.3">
      <c r="A74" s="1461"/>
      <c r="B74" s="179">
        <f>D52</f>
        <v>12150</v>
      </c>
      <c r="C74" s="188"/>
      <c r="D74" s="4"/>
      <c r="E74" s="84"/>
      <c r="F74" s="164"/>
    </row>
    <row r="75" spans="1:8" ht="12.75" customHeight="1" x14ac:dyDescent="0.2">
      <c r="A75" s="1461"/>
      <c r="B75" s="84"/>
      <c r="E75" s="84"/>
      <c r="F75" s="84"/>
    </row>
    <row r="76" spans="1:8" ht="12.75" customHeight="1" x14ac:dyDescent="0.2">
      <c r="A76" s="1461"/>
      <c r="B76" s="84"/>
      <c r="C76" s="84"/>
      <c r="D76" s="322"/>
      <c r="E76" s="84"/>
      <c r="F76" s="84"/>
      <c r="G76" s="84"/>
      <c r="H76" s="84"/>
    </row>
    <row r="77" spans="1:8" ht="18" customHeight="1" x14ac:dyDescent="0.2">
      <c r="A77" s="1461"/>
      <c r="B77" s="84"/>
      <c r="C77" s="84"/>
      <c r="D77" s="84"/>
      <c r="E77" s="84"/>
      <c r="F77" s="84"/>
      <c r="G77" s="84"/>
      <c r="H77" s="84"/>
    </row>
    <row r="78" spans="1:8" ht="18" customHeight="1" x14ac:dyDescent="0.2">
      <c r="A78" s="1462"/>
      <c r="B78" s="1673"/>
      <c r="C78" s="1674"/>
      <c r="D78" s="1674"/>
      <c r="E78" s="1674"/>
      <c r="F78" s="1674"/>
      <c r="G78" s="1674"/>
      <c r="H78" s="1674"/>
    </row>
    <row r="79" spans="1:8" ht="18" x14ac:dyDescent="0.2">
      <c r="A79" s="1462"/>
      <c r="B79" s="1673"/>
      <c r="C79" s="1674"/>
      <c r="D79" s="1674"/>
      <c r="E79" s="1674"/>
      <c r="F79" s="1674"/>
      <c r="G79" s="1674"/>
      <c r="H79" s="1674"/>
    </row>
    <row r="80" spans="1:8" ht="48" customHeight="1" x14ac:dyDescent="0.2">
      <c r="A80" s="1463"/>
      <c r="B80" s="1103"/>
      <c r="C80" s="1104"/>
      <c r="D80" s="1103"/>
      <c r="E80" s="1105"/>
      <c r="F80" s="1105"/>
      <c r="G80" s="1103"/>
      <c r="H80" s="1105"/>
    </row>
    <row r="81" spans="1:8" ht="14.25" customHeight="1" x14ac:dyDescent="0.2">
      <c r="A81" s="1462"/>
      <c r="B81" s="1106"/>
      <c r="C81" s="1106"/>
      <c r="D81" s="1111"/>
      <c r="E81" s="1111"/>
      <c r="F81" s="1108"/>
      <c r="G81" s="1109"/>
      <c r="H81" s="1110"/>
    </row>
    <row r="82" spans="1:8" ht="14.25" customHeight="1" x14ac:dyDescent="0.2">
      <c r="A82" s="1462"/>
      <c r="B82" s="1106"/>
      <c r="C82" s="1106"/>
      <c r="D82" s="1111"/>
      <c r="E82" s="1111"/>
      <c r="F82" s="1108"/>
      <c r="G82" s="1109"/>
      <c r="H82" s="1110"/>
    </row>
    <row r="83" spans="1:8" ht="14.25" customHeight="1" x14ac:dyDescent="0.2">
      <c r="A83" s="1462"/>
      <c r="B83" s="1106"/>
      <c r="C83" s="1106"/>
      <c r="D83" s="1111"/>
      <c r="E83" s="1111"/>
      <c r="F83" s="1108"/>
      <c r="G83" s="1109"/>
      <c r="H83" s="1110"/>
    </row>
    <row r="84" spans="1:8" ht="14.25" customHeight="1" x14ac:dyDescent="0.2">
      <c r="A84" s="1462"/>
      <c r="B84" s="1106"/>
      <c r="C84" s="1106"/>
      <c r="D84" s="1111"/>
      <c r="E84" s="1111"/>
      <c r="F84" s="1108"/>
      <c r="G84" s="1109"/>
      <c r="H84" s="1110"/>
    </row>
    <row r="85" spans="1:8" ht="14.25" customHeight="1" x14ac:dyDescent="0.2">
      <c r="A85" s="1462"/>
      <c r="B85" s="1106"/>
      <c r="C85" s="1106"/>
      <c r="D85" s="1111"/>
      <c r="E85" s="1111"/>
      <c r="F85" s="1108"/>
      <c r="G85" s="1109"/>
      <c r="H85" s="1110"/>
    </row>
    <row r="86" spans="1:8" ht="14.25" customHeight="1" x14ac:dyDescent="0.2">
      <c r="A86" s="1462"/>
      <c r="B86" s="1106"/>
      <c r="C86" s="1106"/>
      <c r="D86" s="1111"/>
      <c r="E86" s="1111"/>
      <c r="F86" s="1108"/>
      <c r="G86" s="1109"/>
      <c r="H86" s="1110"/>
    </row>
    <row r="87" spans="1:8" ht="14.25" customHeight="1" x14ac:dyDescent="0.2">
      <c r="A87" s="1462"/>
      <c r="B87" s="1106"/>
      <c r="C87" s="1106"/>
      <c r="D87" s="1111"/>
      <c r="E87" s="1111"/>
      <c r="F87" s="1108"/>
      <c r="G87" s="1109"/>
      <c r="H87" s="1110"/>
    </row>
    <row r="88" spans="1:8" ht="12.75" customHeight="1" x14ac:dyDescent="0.2">
      <c r="A88" s="1462"/>
      <c r="B88" s="1106"/>
      <c r="C88" s="1106"/>
      <c r="D88" s="1112"/>
      <c r="E88" s="1111"/>
      <c r="F88" s="1108"/>
      <c r="G88" s="1109"/>
      <c r="H88" s="1110"/>
    </row>
    <row r="89" spans="1:8" ht="14.25" customHeight="1" x14ac:dyDescent="0.2">
      <c r="A89" s="1462"/>
      <c r="B89" s="814"/>
      <c r="C89" s="796"/>
      <c r="D89" s="796"/>
      <c r="E89" s="790"/>
      <c r="F89" s="790"/>
      <c r="G89" s="796"/>
      <c r="H89" s="796"/>
    </row>
    <row r="90" spans="1:8" ht="21" customHeight="1" x14ac:dyDescent="0.3">
      <c r="A90" s="1462"/>
      <c r="B90" s="815"/>
      <c r="C90" s="819"/>
      <c r="D90" s="1114"/>
      <c r="E90" s="790"/>
      <c r="F90" s="1115"/>
      <c r="G90" s="796"/>
      <c r="H90" s="796"/>
    </row>
    <row r="91" spans="1:8" ht="12.75" customHeight="1" x14ac:dyDescent="0.2">
      <c r="A91" s="1462"/>
      <c r="B91" s="790"/>
      <c r="C91" s="790"/>
      <c r="D91" s="790"/>
      <c r="E91" s="790"/>
      <c r="F91" s="790"/>
      <c r="G91" s="790"/>
      <c r="H91" s="790"/>
    </row>
    <row r="92" spans="1:8" ht="18" customHeight="1" x14ac:dyDescent="0.2">
      <c r="A92" s="1462"/>
      <c r="B92" s="790"/>
      <c r="C92" s="790"/>
      <c r="D92" s="790"/>
      <c r="E92" s="790"/>
      <c r="F92" s="790"/>
      <c r="G92" s="790"/>
      <c r="H92" s="790"/>
    </row>
    <row r="93" spans="1:8" ht="18" customHeight="1" x14ac:dyDescent="0.2">
      <c r="A93" s="1462"/>
      <c r="B93" s="1673"/>
      <c r="C93" s="1674"/>
      <c r="D93" s="1674"/>
      <c r="E93" s="1674"/>
      <c r="F93" s="1674"/>
      <c r="G93" s="1674"/>
      <c r="H93" s="1674"/>
    </row>
    <row r="94" spans="1:8" ht="18" x14ac:dyDescent="0.2">
      <c r="A94" s="1462"/>
      <c r="B94" s="1673"/>
      <c r="C94" s="1674"/>
      <c r="D94" s="1674"/>
      <c r="E94" s="1674"/>
      <c r="F94" s="1674"/>
      <c r="G94" s="1674"/>
      <c r="H94" s="1674"/>
    </row>
    <row r="95" spans="1:8" ht="57.75" customHeight="1" x14ac:dyDescent="0.2">
      <c r="A95" s="1463"/>
      <c r="B95" s="1103"/>
      <c r="C95" s="1104"/>
      <c r="D95" s="1103"/>
      <c r="E95" s="1105"/>
      <c r="F95" s="1105"/>
      <c r="G95" s="1103"/>
      <c r="H95" s="1105"/>
    </row>
    <row r="96" spans="1:8" ht="14.25" customHeight="1" x14ac:dyDescent="0.2">
      <c r="A96" s="1462"/>
      <c r="B96" s="1106"/>
      <c r="C96" s="1106"/>
      <c r="D96" s="1106"/>
      <c r="E96" s="1107"/>
      <c r="F96" s="1108"/>
      <c r="G96" s="1109"/>
      <c r="H96" s="1110"/>
    </row>
    <row r="97" spans="1:8" ht="14.25" customHeight="1" x14ac:dyDescent="0.2">
      <c r="A97" s="1462"/>
      <c r="B97" s="1106"/>
      <c r="C97" s="1106"/>
      <c r="D97" s="1106"/>
      <c r="E97" s="1107"/>
      <c r="F97" s="1108"/>
      <c r="G97" s="1109"/>
      <c r="H97" s="1110"/>
    </row>
    <row r="98" spans="1:8" ht="14.25" customHeight="1" x14ac:dyDescent="0.2">
      <c r="A98" s="1462"/>
      <c r="B98" s="1106"/>
      <c r="C98" s="1106"/>
      <c r="D98" s="1106"/>
      <c r="E98" s="1107"/>
      <c r="F98" s="1108"/>
      <c r="G98" s="1109"/>
      <c r="H98" s="1110"/>
    </row>
    <row r="99" spans="1:8" ht="14.25" customHeight="1" x14ac:dyDescent="0.2">
      <c r="A99" s="1462"/>
      <c r="B99" s="1106"/>
      <c r="C99" s="1106"/>
      <c r="D99" s="1106"/>
      <c r="E99" s="1107"/>
      <c r="F99" s="1108"/>
      <c r="G99" s="1109"/>
      <c r="H99" s="1110"/>
    </row>
    <row r="100" spans="1:8" ht="14.25" customHeight="1" x14ac:dyDescent="0.2">
      <c r="A100" s="1462"/>
      <c r="B100" s="1106"/>
      <c r="C100" s="1106"/>
      <c r="D100" s="1106"/>
      <c r="E100" s="1107"/>
      <c r="F100" s="1108"/>
      <c r="G100" s="1109"/>
      <c r="H100" s="1110"/>
    </row>
    <row r="101" spans="1:8" ht="14.25" customHeight="1" x14ac:dyDescent="0.2">
      <c r="A101" s="1462"/>
      <c r="B101" s="1106"/>
      <c r="C101" s="1106"/>
      <c r="D101" s="1106"/>
      <c r="E101" s="1107"/>
      <c r="F101" s="1108"/>
      <c r="G101" s="1109"/>
      <c r="H101" s="1110"/>
    </row>
    <row r="102" spans="1:8" ht="14.25" customHeight="1" x14ac:dyDescent="0.2">
      <c r="A102" s="1462"/>
      <c r="B102" s="1106"/>
      <c r="C102" s="1106"/>
      <c r="D102" s="1106"/>
      <c r="E102" s="1107"/>
      <c r="F102" s="1108"/>
      <c r="G102" s="1109"/>
      <c r="H102" s="1110"/>
    </row>
    <row r="103" spans="1:8" ht="14.25" x14ac:dyDescent="0.2">
      <c r="A103" s="1462"/>
      <c r="B103" s="1106"/>
      <c r="C103" s="1106"/>
      <c r="D103" s="1106"/>
      <c r="E103" s="1107"/>
      <c r="F103" s="1108"/>
      <c r="G103" s="1109"/>
      <c r="H103" s="1110"/>
    </row>
    <row r="104" spans="1:8" ht="15.75" x14ac:dyDescent="0.2">
      <c r="A104" s="1462"/>
      <c r="B104" s="814"/>
      <c r="C104" s="796"/>
      <c r="D104" s="796"/>
      <c r="E104" s="796"/>
      <c r="F104" s="796"/>
      <c r="G104" s="796"/>
      <c r="H104" s="796"/>
    </row>
    <row r="105" spans="1:8" ht="20.25" x14ac:dyDescent="0.3">
      <c r="A105" s="1462"/>
      <c r="B105" s="815"/>
      <c r="C105" s="796"/>
      <c r="D105" s="796"/>
      <c r="E105" s="796"/>
      <c r="F105" s="796"/>
      <c r="G105" s="796"/>
      <c r="H105" s="796"/>
    </row>
    <row r="106" spans="1:8" x14ac:dyDescent="0.2">
      <c r="A106" s="1461"/>
    </row>
    <row r="107" spans="1:8" x14ac:dyDescent="0.2">
      <c r="A107" s="1461"/>
    </row>
    <row r="108" spans="1:8" x14ac:dyDescent="0.2">
      <c r="A108" s="1461"/>
    </row>
    <row r="109" spans="1:8" x14ac:dyDescent="0.2">
      <c r="A109" s="1461"/>
    </row>
    <row r="110" spans="1:8" x14ac:dyDescent="0.2">
      <c r="A110" s="1461"/>
    </row>
    <row r="111" spans="1:8" x14ac:dyDescent="0.2">
      <c r="A111" s="1461"/>
    </row>
    <row r="112" spans="1:8" x14ac:dyDescent="0.2">
      <c r="A112" s="1461"/>
    </row>
    <row r="113" spans="1:1" x14ac:dyDescent="0.2">
      <c r="A113" s="1461"/>
    </row>
    <row r="114" spans="1:1" x14ac:dyDescent="0.2">
      <c r="A114" s="1461"/>
    </row>
    <row r="115" spans="1:1" x14ac:dyDescent="0.2">
      <c r="A115" s="1461"/>
    </row>
    <row r="116" spans="1:1" x14ac:dyDescent="0.2">
      <c r="A116" s="1461"/>
    </row>
    <row r="117" spans="1:1" x14ac:dyDescent="0.2">
      <c r="A117" s="1461"/>
    </row>
    <row r="118" spans="1:1" x14ac:dyDescent="0.2">
      <c r="A118" s="1461"/>
    </row>
    <row r="119" spans="1:1" x14ac:dyDescent="0.2">
      <c r="A119" s="1461"/>
    </row>
    <row r="120" spans="1:1" x14ac:dyDescent="0.2">
      <c r="A120" s="1461"/>
    </row>
    <row r="121" spans="1:1" x14ac:dyDescent="0.2">
      <c r="A121" s="1461"/>
    </row>
    <row r="122" spans="1:1" x14ac:dyDescent="0.2">
      <c r="A122" s="1461"/>
    </row>
    <row r="123" spans="1:1" x14ac:dyDescent="0.2">
      <c r="A123" s="1461"/>
    </row>
    <row r="124" spans="1:1" x14ac:dyDescent="0.2">
      <c r="A124" s="1461"/>
    </row>
    <row r="125" spans="1:1" x14ac:dyDescent="0.2">
      <c r="A125" s="1461"/>
    </row>
    <row r="126" spans="1:1" x14ac:dyDescent="0.2">
      <c r="A126" s="1461"/>
    </row>
    <row r="127" spans="1:1" x14ac:dyDescent="0.2">
      <c r="A127" s="1461"/>
    </row>
    <row r="128" spans="1:1" x14ac:dyDescent="0.2">
      <c r="A128" s="1461"/>
    </row>
    <row r="129" spans="1:1" x14ac:dyDescent="0.2">
      <c r="A129" s="1461"/>
    </row>
    <row r="130" spans="1:1" x14ac:dyDescent="0.2">
      <c r="A130" s="1461"/>
    </row>
    <row r="131" spans="1:1" x14ac:dyDescent="0.2">
      <c r="A131" s="1461"/>
    </row>
    <row r="132" spans="1:1" x14ac:dyDescent="0.2">
      <c r="A132" s="1461"/>
    </row>
    <row r="133" spans="1:1" x14ac:dyDescent="0.2">
      <c r="A133" s="1461"/>
    </row>
    <row r="134" spans="1:1" x14ac:dyDescent="0.2">
      <c r="A134" s="1461"/>
    </row>
    <row r="135" spans="1:1" x14ac:dyDescent="0.2">
      <c r="A135" s="1461"/>
    </row>
    <row r="136" spans="1:1" x14ac:dyDescent="0.2">
      <c r="A136" s="1461"/>
    </row>
    <row r="137" spans="1:1" x14ac:dyDescent="0.2">
      <c r="A137" s="1461"/>
    </row>
    <row r="138" spans="1:1" x14ac:dyDescent="0.2">
      <c r="A138" s="1461"/>
    </row>
    <row r="139" spans="1:1" x14ac:dyDescent="0.2">
      <c r="A139" s="1461"/>
    </row>
    <row r="140" spans="1:1" x14ac:dyDescent="0.2">
      <c r="A140" s="1461"/>
    </row>
    <row r="141" spans="1:1" x14ac:dyDescent="0.2">
      <c r="A141" s="1461"/>
    </row>
    <row r="142" spans="1:1" x14ac:dyDescent="0.2">
      <c r="A142" s="1461"/>
    </row>
    <row r="143" spans="1:1" x14ac:dyDescent="0.2">
      <c r="A143" s="1461"/>
    </row>
    <row r="144" spans="1:1"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10">
    <mergeCell ref="AE2:AG3"/>
    <mergeCell ref="B93:H93"/>
    <mergeCell ref="B94:H94"/>
    <mergeCell ref="B79:H79"/>
    <mergeCell ref="B62:H62"/>
    <mergeCell ref="R26:T26"/>
    <mergeCell ref="B78:H78"/>
    <mergeCell ref="B2:H3"/>
    <mergeCell ref="R25:T25"/>
    <mergeCell ref="B63:H63"/>
  </mergeCells>
  <printOptions horizontalCentered="1"/>
  <pageMargins left="0.5" right="0.5" top="1" bottom="0.5" header="0.3" footer="0.511811023622047"/>
  <pageSetup paperSize="9" scale="33"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BF9000"/>
    <pageSetUpPr fitToPage="1"/>
  </sheetPr>
  <dimension ref="A1:AT174"/>
  <sheetViews>
    <sheetView topLeftCell="I1" zoomScale="70" zoomScaleNormal="70" workbookViewId="0">
      <selection activeCell="R36" sqref="R36"/>
    </sheetView>
  </sheetViews>
  <sheetFormatPr defaultColWidth="12.5" defaultRowHeight="15" x14ac:dyDescent="0.25"/>
  <cols>
    <col min="1" max="1" width="12.5" style="63" customWidth="1"/>
    <col min="2" max="2" width="29.75" style="14" customWidth="1"/>
    <col min="3" max="3" width="23.875" style="14" customWidth="1"/>
    <col min="4" max="4" width="19" style="14" customWidth="1"/>
    <col min="5" max="5" width="16.125" style="274" customWidth="1"/>
    <col min="6" max="6" width="23.125" style="14" customWidth="1"/>
    <col min="7" max="7" width="25.125" style="14" customWidth="1"/>
    <col min="8" max="8" width="36.125" style="14" customWidth="1"/>
    <col min="9" max="9" width="12.5" style="14" customWidth="1"/>
    <col min="10" max="10" width="12.75" style="14" customWidth="1"/>
    <col min="11" max="11" width="12.5" style="14" customWidth="1"/>
    <col min="12" max="12" width="8.375" style="14" customWidth="1"/>
    <col min="13" max="14" width="3.375" style="14" customWidth="1"/>
    <col min="15" max="17" width="12.5" style="14" customWidth="1"/>
    <col min="18" max="18" width="32.375" style="14" customWidth="1"/>
    <col min="19" max="27" width="12.5" style="14" customWidth="1"/>
    <col min="28" max="28" width="7.125" style="14" bestFit="1" customWidth="1"/>
    <col min="29" max="35" width="12.5" style="14" customWidth="1"/>
    <col min="36" max="36" width="33.875" style="14" customWidth="1"/>
    <col min="37" max="37" width="12.5" style="14" customWidth="1"/>
    <col min="38" max="16384" width="12.5" style="14"/>
  </cols>
  <sheetData>
    <row r="1" spans="1:46" ht="35.25" customHeight="1" x14ac:dyDescent="0.25">
      <c r="B1" s="64" t="s">
        <v>231</v>
      </c>
      <c r="C1" s="65">
        <v>1000</v>
      </c>
      <c r="D1" s="66" t="s">
        <v>232</v>
      </c>
      <c r="E1" s="67">
        <f>T32</f>
        <v>3955.7680578</v>
      </c>
      <c r="F1" s="360" t="s">
        <v>233</v>
      </c>
      <c r="G1" s="266">
        <f>E1/C1</f>
        <v>3.9557680577999998</v>
      </c>
      <c r="H1" s="64" t="s">
        <v>234</v>
      </c>
      <c r="I1" s="69">
        <f>G1</f>
        <v>3.9557680577999998</v>
      </c>
      <c r="J1" s="70" t="s">
        <v>523</v>
      </c>
      <c r="K1" s="373">
        <v>0.6</v>
      </c>
      <c r="L1" s="373"/>
      <c r="M1" s="73"/>
      <c r="N1" s="74"/>
      <c r="O1" s="75" t="s">
        <v>236</v>
      </c>
      <c r="P1" s="76" t="s">
        <v>299</v>
      </c>
      <c r="Q1" s="77" t="s">
        <v>238</v>
      </c>
      <c r="R1" s="76">
        <v>0.78</v>
      </c>
      <c r="Y1" s="75" t="s">
        <v>453</v>
      </c>
      <c r="Z1" s="766">
        <v>23660</v>
      </c>
      <c r="AA1" s="75" t="s">
        <v>556</v>
      </c>
      <c r="AB1" s="766">
        <v>1000</v>
      </c>
      <c r="AC1" s="75" t="s">
        <v>546</v>
      </c>
      <c r="AD1" s="766">
        <v>157</v>
      </c>
      <c r="AE1" s="228"/>
      <c r="AF1" s="230"/>
      <c r="AG1" s="76"/>
      <c r="AI1" s="63"/>
      <c r="AJ1" s="93" t="s">
        <v>250</v>
      </c>
      <c r="AK1" s="78">
        <v>10000</v>
      </c>
      <c r="AL1" s="561" t="s">
        <v>483</v>
      </c>
      <c r="AM1" s="562">
        <f>$S$32</f>
        <v>20704.21542</v>
      </c>
      <c r="AN1" s="78" t="s">
        <v>239</v>
      </c>
      <c r="AO1" s="80">
        <f>($S$32/$R$1)/$AK$1</f>
        <v>2.6543865923076924</v>
      </c>
      <c r="AP1" s="79"/>
    </row>
    <row r="2" spans="1:46" ht="12.75" customHeight="1" x14ac:dyDescent="0.25">
      <c r="A2" s="81"/>
      <c r="B2" s="1696" t="s">
        <v>953</v>
      </c>
      <c r="C2" s="1696"/>
      <c r="D2" s="1696"/>
      <c r="E2" s="1696"/>
      <c r="F2" s="1696"/>
      <c r="G2" s="1696"/>
      <c r="H2" s="1696"/>
      <c r="I2" s="270"/>
      <c r="J2" s="270"/>
      <c r="K2" s="270"/>
      <c r="L2" s="270"/>
      <c r="M2" s="112"/>
      <c r="N2" s="112"/>
      <c r="O2" s="84"/>
      <c r="P2" s="84"/>
      <c r="Q2" s="84"/>
      <c r="R2" s="84"/>
      <c r="AC2" s="83"/>
      <c r="AD2" s="83"/>
      <c r="AE2" s="1652"/>
      <c r="AF2" s="1655"/>
      <c r="AG2" s="1655"/>
      <c r="AI2" s="63"/>
      <c r="AJ2" s="85"/>
      <c r="AK2" s="1631" t="s">
        <v>373</v>
      </c>
      <c r="AL2" s="1631"/>
      <c r="AM2" s="1631"/>
      <c r="AN2" s="86"/>
      <c r="AO2" s="85"/>
      <c r="AP2" s="85"/>
    </row>
    <row r="3" spans="1:46" ht="12.75" customHeight="1" x14ac:dyDescent="0.25">
      <c r="A3" s="81"/>
      <c r="B3" s="1645"/>
      <c r="C3" s="1645"/>
      <c r="D3" s="1645"/>
      <c r="E3" s="1645"/>
      <c r="F3" s="1645"/>
      <c r="G3" s="1645"/>
      <c r="H3" s="1645"/>
      <c r="I3" s="270"/>
      <c r="J3" s="270"/>
      <c r="K3" s="270"/>
      <c r="L3" s="270"/>
      <c r="M3" s="112"/>
      <c r="N3" s="112"/>
      <c r="O3" s="84"/>
      <c r="P3" s="84"/>
      <c r="Q3" s="84"/>
      <c r="R3" s="84"/>
      <c r="AC3" s="83"/>
      <c r="AD3" s="83"/>
      <c r="AE3" s="1655"/>
      <c r="AF3" s="1655"/>
      <c r="AG3" s="1655"/>
      <c r="AI3" s="63"/>
      <c r="AJ3" s="88"/>
      <c r="AK3" s="88"/>
      <c r="AL3" s="89"/>
      <c r="AM3" s="89"/>
      <c r="AN3" s="89"/>
      <c r="AO3" s="88"/>
      <c r="AP3" s="88"/>
    </row>
    <row r="4" spans="1:46" ht="69" customHeight="1" x14ac:dyDescent="0.25">
      <c r="A4" s="75" t="s">
        <v>903</v>
      </c>
      <c r="B4" s="75" t="s">
        <v>241</v>
      </c>
      <c r="C4" s="90" t="s">
        <v>242</v>
      </c>
      <c r="D4" s="75" t="s">
        <v>231</v>
      </c>
      <c r="E4" s="91" t="s">
        <v>234</v>
      </c>
      <c r="F4" s="91" t="s">
        <v>243</v>
      </c>
      <c r="G4" s="75" t="s">
        <v>244</v>
      </c>
      <c r="H4" s="92" t="s">
        <v>245</v>
      </c>
      <c r="I4" s="75" t="s">
        <v>246</v>
      </c>
      <c r="J4" s="75" t="s">
        <v>247</v>
      </c>
      <c r="K4" s="75" t="s">
        <v>248</v>
      </c>
      <c r="L4" s="75" t="s">
        <v>249</v>
      </c>
      <c r="M4" s="112"/>
      <c r="N4" s="112"/>
      <c r="O4" s="84"/>
      <c r="P4" s="84"/>
      <c r="Q4" s="84"/>
      <c r="R4" s="84"/>
      <c r="AC4" s="229"/>
      <c r="AD4" s="231"/>
      <c r="AE4" s="229"/>
      <c r="AF4" s="229"/>
      <c r="AG4" s="229"/>
      <c r="AI4" s="63"/>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286" t="s">
        <v>220</v>
      </c>
      <c r="C5" s="97" t="s">
        <v>14</v>
      </c>
      <c r="D5" s="103">
        <f>I51/10</f>
        <v>4999.3589743589746</v>
      </c>
      <c r="E5" s="99">
        <f>H52</f>
        <v>5.3094538838312602</v>
      </c>
      <c r="F5" s="109">
        <v>1</v>
      </c>
      <c r="G5" s="103">
        <f>D5*E5</f>
        <v>26543.865923076923</v>
      </c>
      <c r="H5" s="102">
        <f>G5*F5</f>
        <v>26543.865923076923</v>
      </c>
      <c r="I5" s="65">
        <f>VLOOKUP(B5,All_Ingredients!$A$1:$F$156,6,FALSE())</f>
        <v>0.86</v>
      </c>
      <c r="J5" s="103">
        <f>VLOOKUP(B5,All_Ingredients!$A$1:$J$156,10,FALSE())</f>
        <v>17.100000000000001</v>
      </c>
      <c r="K5" s="104">
        <f>(H5/I5)/1000</f>
        <v>30.864960375670844</v>
      </c>
      <c r="L5" s="104">
        <f>K5*J5</f>
        <v>527.79082242397146</v>
      </c>
      <c r="O5" s="84"/>
      <c r="P5" s="84"/>
      <c r="Q5" s="84"/>
      <c r="R5" s="84"/>
      <c r="AC5" s="76"/>
      <c r="AD5" s="114"/>
      <c r="AE5" s="232"/>
      <c r="AF5" s="116"/>
      <c r="AG5" s="117"/>
      <c r="AI5" s="63"/>
      <c r="AJ5" s="105" t="s">
        <v>220</v>
      </c>
      <c r="AK5" s="106" t="s">
        <v>227</v>
      </c>
      <c r="AL5" s="98">
        <v>10</v>
      </c>
      <c r="AM5" s="108">
        <f t="shared" ref="AM5:AM16" si="0">$AO$1</f>
        <v>2.6543865923076924</v>
      </c>
      <c r="AN5" s="109">
        <v>1</v>
      </c>
      <c r="AO5" s="103">
        <f t="shared" ref="AO5:AO15" si="1">AL5*AM5</f>
        <v>26.543865923076922</v>
      </c>
      <c r="AP5" s="102">
        <f t="shared" ref="AP5:AP15" si="2">AO5*AN5</f>
        <v>26.543865923076922</v>
      </c>
      <c r="AQ5" s="272"/>
      <c r="AR5" s="1017"/>
      <c r="AS5" s="156"/>
      <c r="AT5" s="1018"/>
    </row>
    <row r="6" spans="1:46" ht="14.25" customHeight="1" x14ac:dyDescent="0.25">
      <c r="A6" s="1471"/>
      <c r="B6" s="200" t="s">
        <v>188</v>
      </c>
      <c r="C6" s="106" t="s">
        <v>14</v>
      </c>
      <c r="D6" s="623">
        <f>600/K1</f>
        <v>1000</v>
      </c>
      <c r="E6" s="108">
        <f>$I$1</f>
        <v>3.9557680577999998</v>
      </c>
      <c r="F6" s="109">
        <v>1</v>
      </c>
      <c r="G6" s="103">
        <f>D6*E6</f>
        <v>3955.7680578</v>
      </c>
      <c r="H6" s="102">
        <f>G6*F6</f>
        <v>3955.7680578</v>
      </c>
      <c r="I6" s="65">
        <f>VLOOKUP(B6,All_Ingredients!$A$1:$F$156,6,FALSE())</f>
        <v>1</v>
      </c>
      <c r="J6" s="103">
        <f>VLOOKUP(B6,All_Ingredients!$A$1:$J$156,10,FALSE())</f>
        <v>8.5</v>
      </c>
      <c r="K6" s="104">
        <f t="shared" ref="K6:K8" si="3">(H6/I6)/1000</f>
        <v>3.9557680577999998</v>
      </c>
      <c r="L6" s="104">
        <f t="shared" ref="L6:L8" si="4">K6*J6</f>
        <v>33.624028491299995</v>
      </c>
      <c r="AI6" s="63" t="s">
        <v>55</v>
      </c>
      <c r="AJ6" s="299" t="s">
        <v>54</v>
      </c>
      <c r="AK6" s="106" t="s">
        <v>14</v>
      </c>
      <c r="AL6" s="98">
        <v>100</v>
      </c>
      <c r="AM6" s="108">
        <f t="shared" si="0"/>
        <v>2.6543865923076924</v>
      </c>
      <c r="AN6" s="109">
        <v>1</v>
      </c>
      <c r="AO6" s="103">
        <f t="shared" si="1"/>
        <v>265.43865923076925</v>
      </c>
      <c r="AP6" s="102">
        <f t="shared" si="2"/>
        <v>265.43865923076925</v>
      </c>
      <c r="AQ6" s="1018">
        <f>VLOOKUP(AJ6,Marination_Ordering!$A:$J,6,FALSE)</f>
        <v>0.87</v>
      </c>
      <c r="AR6" s="1018">
        <f>VLOOKUP(AJ6,Marination_Ordering!$A:$J,10,FALSE)</f>
        <v>7</v>
      </c>
      <c r="AS6" s="156">
        <f>AP6/AQ6</f>
        <v>305.10190716180375</v>
      </c>
      <c r="AT6" s="1018">
        <f>AR6*(AS6/1000)</f>
        <v>2.135713350132626</v>
      </c>
    </row>
    <row r="7" spans="1:46" ht="14.25" customHeight="1" x14ac:dyDescent="0.25">
      <c r="A7" s="1471"/>
      <c r="B7" s="200" t="s">
        <v>176</v>
      </c>
      <c r="C7" s="106" t="s">
        <v>14</v>
      </c>
      <c r="D7" s="623">
        <f>400/K1</f>
        <v>666.66666666666674</v>
      </c>
      <c r="E7" s="108">
        <f>$I$1</f>
        <v>3.9557680577999998</v>
      </c>
      <c r="F7" s="109">
        <v>1</v>
      </c>
      <c r="G7" s="103">
        <f>D7*E7</f>
        <v>2637.1787052000004</v>
      </c>
      <c r="H7" s="102">
        <f>G7*F7</f>
        <v>2637.1787052000004</v>
      </c>
      <c r="I7" s="65">
        <f>VLOOKUP(B7,All_Ingredients!$A$1:$F$156,6,FALSE())</f>
        <v>1</v>
      </c>
      <c r="J7" s="103">
        <f>VLOOKUP(B7,All_Ingredients!$A$1:$J$156,10,FALSE())</f>
        <v>39</v>
      </c>
      <c r="K7" s="104">
        <f t="shared" si="3"/>
        <v>2.6371787052000006</v>
      </c>
      <c r="L7" s="104">
        <f t="shared" si="4"/>
        <v>102.84996950280002</v>
      </c>
      <c r="AI7" s="63" t="s">
        <v>13</v>
      </c>
      <c r="AJ7" s="299" t="s">
        <v>727</v>
      </c>
      <c r="AK7" s="106" t="s">
        <v>14</v>
      </c>
      <c r="AL7" s="98">
        <v>100</v>
      </c>
      <c r="AM7" s="108">
        <f t="shared" si="0"/>
        <v>2.6543865923076924</v>
      </c>
      <c r="AN7" s="109">
        <v>1</v>
      </c>
      <c r="AO7" s="103">
        <f t="shared" si="1"/>
        <v>265.43865923076925</v>
      </c>
      <c r="AP7" s="102">
        <f t="shared" si="2"/>
        <v>265.43865923076925</v>
      </c>
      <c r="AQ7" s="1018">
        <f>VLOOKUP(AJ7,Marination_Ordering!$A:$J,6,FALSE)</f>
        <v>1</v>
      </c>
      <c r="AR7" s="1018">
        <f>VLOOKUP(AJ7,Marination_Ordering!$A:$J,10,FALSE)</f>
        <v>10.5</v>
      </c>
      <c r="AS7" s="156">
        <f t="shared" ref="AS7:AS9" si="5">AP7/AQ7</f>
        <v>265.43865923076925</v>
      </c>
      <c r="AT7" s="1018">
        <f t="shared" ref="AT7:AT9" si="6">AR7*(AS7/1000)</f>
        <v>2.7871059219230774</v>
      </c>
    </row>
    <row r="8" spans="1:46" ht="14.25" customHeight="1" x14ac:dyDescent="0.25">
      <c r="A8" s="1471"/>
      <c r="B8" s="200" t="s">
        <v>110</v>
      </c>
      <c r="C8" s="106" t="s">
        <v>14</v>
      </c>
      <c r="D8" s="623">
        <f>20/K1</f>
        <v>33.333333333333336</v>
      </c>
      <c r="E8" s="108">
        <f>$I$1</f>
        <v>3.9557680577999998</v>
      </c>
      <c r="F8" s="109">
        <v>0.75</v>
      </c>
      <c r="G8" s="103">
        <f>D8*E8</f>
        <v>131.85893526000001</v>
      </c>
      <c r="H8" s="102">
        <f>G8*F8</f>
        <v>98.894201445000007</v>
      </c>
      <c r="I8" s="65">
        <f>VLOOKUP(B8,All_Ingredients!$A$1:$F$156,6,FALSE())</f>
        <v>1</v>
      </c>
      <c r="J8" s="103">
        <f>VLOOKUP(B8,All_Ingredients!$A$1:$J$156,10,FALSE())</f>
        <v>64.243759177679877</v>
      </c>
      <c r="K8" s="104">
        <f t="shared" si="3"/>
        <v>9.889420144500001E-2</v>
      </c>
      <c r="L8" s="104">
        <f t="shared" si="4"/>
        <v>6.3533352617015417</v>
      </c>
      <c r="P8" s="375">
        <v>24350</v>
      </c>
      <c r="AI8" s="63" t="s">
        <v>204</v>
      </c>
      <c r="AJ8" s="299" t="s">
        <v>212</v>
      </c>
      <c r="AK8" s="106" t="s">
        <v>160</v>
      </c>
      <c r="AL8" s="98">
        <v>500</v>
      </c>
      <c r="AM8" s="108">
        <f t="shared" si="0"/>
        <v>2.6543865923076924</v>
      </c>
      <c r="AN8" s="109">
        <v>1</v>
      </c>
      <c r="AO8" s="103">
        <f t="shared" si="1"/>
        <v>1327.1932961538462</v>
      </c>
      <c r="AP8" s="102">
        <f t="shared" si="2"/>
        <v>1327.1932961538462</v>
      </c>
      <c r="AQ8" s="1018">
        <f>VLOOKUP(AJ8,Marination_Ordering!$A:$J,6,FALSE)</f>
        <v>1</v>
      </c>
      <c r="AR8" s="1018">
        <f>VLOOKUP(AJ8,Marination_Ordering!$A:$J,10,FALSE)</f>
        <v>5</v>
      </c>
      <c r="AS8" s="156">
        <f t="shared" si="5"/>
        <v>1327.1932961538462</v>
      </c>
      <c r="AT8" s="1018">
        <f t="shared" si="6"/>
        <v>6.6359664807692305</v>
      </c>
    </row>
    <row r="9" spans="1:46" ht="14.25" customHeight="1" x14ac:dyDescent="0.25">
      <c r="A9" s="1472"/>
      <c r="B9" s="152"/>
      <c r="C9" s="152"/>
      <c r="D9" s="152"/>
      <c r="E9" s="152"/>
      <c r="F9" s="152"/>
      <c r="G9" s="152"/>
      <c r="H9" s="152"/>
      <c r="I9" s="152"/>
      <c r="J9" s="152"/>
      <c r="K9" s="152"/>
      <c r="L9" s="274"/>
      <c r="P9" s="375">
        <v>36610</v>
      </c>
      <c r="AI9" s="63" t="s">
        <v>204</v>
      </c>
      <c r="AJ9" s="299" t="s">
        <v>208</v>
      </c>
      <c r="AK9" s="106" t="s">
        <v>160</v>
      </c>
      <c r="AL9" s="201">
        <v>200</v>
      </c>
      <c r="AM9" s="108">
        <f t="shared" si="0"/>
        <v>2.6543865923076924</v>
      </c>
      <c r="AN9" s="109">
        <v>1</v>
      </c>
      <c r="AO9" s="103">
        <f t="shared" si="1"/>
        <v>530.87731846153849</v>
      </c>
      <c r="AP9" s="102">
        <f t="shared" si="2"/>
        <v>530.87731846153849</v>
      </c>
      <c r="AQ9" s="1018">
        <f>VLOOKUP(AJ9,Marination_Ordering!$A:$J,6,FALSE)</f>
        <v>1</v>
      </c>
      <c r="AR9" s="1018">
        <f>VLOOKUP(AJ9,Marination_Ordering!$A:$J,10,FALSE)</f>
        <v>2.1621621621621623</v>
      </c>
      <c r="AS9" s="156">
        <f t="shared" si="5"/>
        <v>530.87731846153849</v>
      </c>
      <c r="AT9" s="1018">
        <f t="shared" si="6"/>
        <v>1.147842850727651</v>
      </c>
    </row>
    <row r="10" spans="1:46" ht="14.25" customHeight="1" x14ac:dyDescent="0.25">
      <c r="A10" s="1472"/>
      <c r="B10" s="84"/>
      <c r="C10" s="152"/>
      <c r="D10" s="152"/>
      <c r="E10" s="322"/>
      <c r="F10" s="84"/>
      <c r="G10" s="152"/>
      <c r="L10" s="274"/>
      <c r="M10" s="275"/>
      <c r="P10" s="375">
        <v>47350</v>
      </c>
      <c r="AI10" s="63" t="s">
        <v>94</v>
      </c>
      <c r="AJ10" s="299" t="s">
        <v>93</v>
      </c>
      <c r="AK10" s="106" t="s">
        <v>14</v>
      </c>
      <c r="AL10" s="98">
        <v>25</v>
      </c>
      <c r="AM10" s="108">
        <f t="shared" si="0"/>
        <v>2.6543865923076924</v>
      </c>
      <c r="AN10" s="109">
        <v>1</v>
      </c>
      <c r="AO10" s="103">
        <f t="shared" si="1"/>
        <v>66.359664807692312</v>
      </c>
      <c r="AP10" s="102">
        <f t="shared" si="2"/>
        <v>66.359664807692312</v>
      </c>
      <c r="AQ10" s="1018">
        <f>VLOOKUP(AJ10,Marination_Ordering!$A:$J,6,FALSE)</f>
        <v>1</v>
      </c>
      <c r="AR10" s="1018">
        <f>VLOOKUP(AJ10,Marination_Ordering!$A:$J,10,FALSE)</f>
        <v>0.74</v>
      </c>
      <c r="AS10" s="156">
        <f t="shared" ref="AS10:AS16" si="7">AP10/AQ10</f>
        <v>66.359664807692312</v>
      </c>
      <c r="AT10" s="1018">
        <f t="shared" ref="AT10:AT16" si="8">AR10*(AS10/1000)</f>
        <v>4.9106151957692315E-2</v>
      </c>
    </row>
    <row r="11" spans="1:46" ht="14.25" customHeight="1" x14ac:dyDescent="0.25">
      <c r="A11" s="1472"/>
      <c r="L11" s="274"/>
      <c r="AI11" s="63" t="s">
        <v>94</v>
      </c>
      <c r="AJ11" s="350" t="s">
        <v>110</v>
      </c>
      <c r="AK11" s="106" t="s">
        <v>14</v>
      </c>
      <c r="AL11" s="98">
        <v>25</v>
      </c>
      <c r="AM11" s="108">
        <f t="shared" si="0"/>
        <v>2.6543865923076924</v>
      </c>
      <c r="AN11" s="109">
        <v>1</v>
      </c>
      <c r="AO11" s="103">
        <f t="shared" si="1"/>
        <v>66.359664807692312</v>
      </c>
      <c r="AP11" s="102">
        <f t="shared" si="2"/>
        <v>66.359664807692312</v>
      </c>
      <c r="AQ11" s="1018">
        <f>VLOOKUP(AJ11,Marination_Ordering!$A:$J,6,FALSE)</f>
        <v>1</v>
      </c>
      <c r="AR11" s="1018">
        <f>VLOOKUP(AJ11,Marination_Ordering!$A:$J,10,FALSE)</f>
        <v>64.243759177679877</v>
      </c>
      <c r="AS11" s="156">
        <f t="shared" si="7"/>
        <v>66.359664807692312</v>
      </c>
      <c r="AT11" s="1018">
        <f t="shared" si="8"/>
        <v>4.2631943250169435</v>
      </c>
    </row>
    <row r="12" spans="1:46" ht="30" customHeight="1" x14ac:dyDescent="0.25">
      <c r="A12" s="1472"/>
      <c r="L12" s="274"/>
      <c r="AI12" s="63" t="s">
        <v>94</v>
      </c>
      <c r="AJ12" s="299" t="s">
        <v>105</v>
      </c>
      <c r="AK12" s="106" t="s">
        <v>14</v>
      </c>
      <c r="AL12" s="98">
        <v>30</v>
      </c>
      <c r="AM12" s="108">
        <f t="shared" si="0"/>
        <v>2.6543865923076924</v>
      </c>
      <c r="AN12" s="109">
        <v>1</v>
      </c>
      <c r="AO12" s="103">
        <f t="shared" si="1"/>
        <v>79.631597769230765</v>
      </c>
      <c r="AP12" s="102">
        <f t="shared" si="2"/>
        <v>79.631597769230765</v>
      </c>
      <c r="AQ12" s="1018">
        <f>VLOOKUP(AJ12,Marination_Ordering!$A:$J,6,FALSE)</f>
        <v>1</v>
      </c>
      <c r="AR12" s="1018">
        <f>VLOOKUP(AJ12,Marination_Ordering!$A:$J,10,FALSE)</f>
        <v>15</v>
      </c>
      <c r="AS12" s="156">
        <f t="shared" si="7"/>
        <v>79.631597769230765</v>
      </c>
      <c r="AT12" s="1018">
        <f t="shared" si="8"/>
        <v>1.1944739665384614</v>
      </c>
    </row>
    <row r="13" spans="1:46" ht="14.25" customHeight="1" x14ac:dyDescent="0.25">
      <c r="A13" s="1472"/>
      <c r="L13" s="274"/>
      <c r="P13" s="14" t="s">
        <v>358</v>
      </c>
      <c r="Q13" s="14" t="s">
        <v>368</v>
      </c>
      <c r="R13" s="14" t="s">
        <v>369</v>
      </c>
      <c r="S13" s="14" t="s">
        <v>370</v>
      </c>
      <c r="T13" s="14" t="s">
        <v>6</v>
      </c>
      <c r="AI13" s="63" t="s">
        <v>94</v>
      </c>
      <c r="AJ13" s="382" t="s">
        <v>107</v>
      </c>
      <c r="AK13" s="106" t="s">
        <v>14</v>
      </c>
      <c r="AL13" s="107">
        <v>40</v>
      </c>
      <c r="AM13" s="108">
        <f t="shared" si="0"/>
        <v>2.6543865923076924</v>
      </c>
      <c r="AN13" s="109">
        <v>1</v>
      </c>
      <c r="AO13" s="103">
        <f t="shared" si="1"/>
        <v>106.17546369230769</v>
      </c>
      <c r="AP13" s="102">
        <f t="shared" si="2"/>
        <v>106.17546369230769</v>
      </c>
      <c r="AQ13" s="1018">
        <f>VLOOKUP(AJ13,Marination_Ordering!$A:$J,6,FALSE)</f>
        <v>1</v>
      </c>
      <c r="AR13" s="1018">
        <f>VLOOKUP(AJ13,Marination_Ordering!$A:$J,10,FALSE)</f>
        <v>8</v>
      </c>
      <c r="AS13" s="156">
        <f t="shared" si="7"/>
        <v>106.17546369230769</v>
      </c>
      <c r="AT13" s="1018">
        <f t="shared" si="8"/>
        <v>0.84940370953846145</v>
      </c>
    </row>
    <row r="14" spans="1:46" ht="14.25" customHeight="1" x14ac:dyDescent="0.25">
      <c r="A14" s="1472"/>
      <c r="L14" s="274"/>
      <c r="P14" s="383">
        <v>41100</v>
      </c>
      <c r="Q14" s="383">
        <v>10540</v>
      </c>
      <c r="R14" s="383">
        <f>P14+Q14</f>
        <v>51640</v>
      </c>
      <c r="S14" s="14">
        <v>39100</v>
      </c>
      <c r="T14" s="275">
        <f>S14/R14</f>
        <v>0.75716498838109991</v>
      </c>
      <c r="AI14" s="63" t="s">
        <v>94</v>
      </c>
      <c r="AJ14" s="382" t="s">
        <v>122</v>
      </c>
      <c r="AK14" s="106" t="s">
        <v>14</v>
      </c>
      <c r="AL14" s="202">
        <v>5</v>
      </c>
      <c r="AM14" s="108">
        <f t="shared" si="0"/>
        <v>2.6543865923076924</v>
      </c>
      <c r="AN14" s="109">
        <v>1</v>
      </c>
      <c r="AO14" s="103">
        <f t="shared" si="1"/>
        <v>13.271932961538461</v>
      </c>
      <c r="AP14" s="102">
        <f t="shared" si="2"/>
        <v>13.271932961538461</v>
      </c>
      <c r="AQ14" s="1018">
        <f>VLOOKUP(AJ14,Marination_Ordering!$A:$J,6,FALSE)</f>
        <v>1</v>
      </c>
      <c r="AR14" s="1018">
        <f>VLOOKUP(AJ14,Marination_Ordering!$A:$J,10,FALSE)</f>
        <v>14</v>
      </c>
      <c r="AS14" s="156">
        <f t="shared" si="7"/>
        <v>13.271932961538461</v>
      </c>
      <c r="AT14" s="1018">
        <f t="shared" si="8"/>
        <v>0.18580706146153844</v>
      </c>
    </row>
    <row r="15" spans="1:46" ht="14.25" customHeight="1" x14ac:dyDescent="0.25">
      <c r="A15" s="1472"/>
      <c r="L15" s="274"/>
      <c r="AI15" s="63" t="s">
        <v>94</v>
      </c>
      <c r="AJ15" s="382" t="s">
        <v>113</v>
      </c>
      <c r="AK15" s="106" t="s">
        <v>14</v>
      </c>
      <c r="AL15" s="202">
        <v>25</v>
      </c>
      <c r="AM15" s="108">
        <f t="shared" si="0"/>
        <v>2.6543865923076924</v>
      </c>
      <c r="AN15" s="109">
        <v>1</v>
      </c>
      <c r="AO15" s="103">
        <f t="shared" si="1"/>
        <v>66.359664807692312</v>
      </c>
      <c r="AP15" s="102">
        <f t="shared" si="2"/>
        <v>66.359664807692312</v>
      </c>
      <c r="AQ15" s="1018">
        <f>VLOOKUP(AJ15,Marination_Ordering!$A:$J,6,FALSE)</f>
        <v>1</v>
      </c>
      <c r="AR15" s="1018">
        <f>VLOOKUP(AJ15,Marination_Ordering!$A:$J,10,FALSE)</f>
        <v>20</v>
      </c>
      <c r="AS15" s="156">
        <f t="shared" si="7"/>
        <v>66.359664807692312</v>
      </c>
      <c r="AT15" s="1018">
        <f t="shared" si="8"/>
        <v>1.3271932961538462</v>
      </c>
    </row>
    <row r="16" spans="1:46" ht="14.25" customHeight="1" x14ac:dyDescent="0.25">
      <c r="A16" s="1472"/>
      <c r="L16" s="274"/>
      <c r="P16" s="14">
        <f>P14/R14</f>
        <v>0.79589465530596437</v>
      </c>
      <c r="Q16" s="14">
        <f>Q14/R14</f>
        <v>0.20410534469403563</v>
      </c>
      <c r="AJ16" s="382" t="s">
        <v>837</v>
      </c>
      <c r="AK16" s="106" t="s">
        <v>14</v>
      </c>
      <c r="AL16" s="202">
        <v>3</v>
      </c>
      <c r="AM16" s="108">
        <f t="shared" si="0"/>
        <v>2.6543865923076924</v>
      </c>
      <c r="AN16" s="109">
        <v>1</v>
      </c>
      <c r="AO16" s="103">
        <f>AL16*AM16</f>
        <v>7.9631597769230771</v>
      </c>
      <c r="AP16" s="102">
        <f>AO16*AN16</f>
        <v>7.9631597769230771</v>
      </c>
      <c r="AQ16" s="1018">
        <f>VLOOKUP(AJ16,Marination_Ordering!$A:$J,6,FALSE)</f>
        <v>1</v>
      </c>
      <c r="AR16" s="1018">
        <f>VLOOKUP(AJ16,Marination_Ordering!$A:$J,10,FALSE)</f>
        <v>22.5</v>
      </c>
      <c r="AS16" s="156">
        <f t="shared" si="7"/>
        <v>7.9631597769230771</v>
      </c>
      <c r="AT16" s="1018">
        <f t="shared" si="8"/>
        <v>0.17917109498076925</v>
      </c>
    </row>
    <row r="17" spans="1:31" x14ac:dyDescent="0.25">
      <c r="A17" s="1472"/>
    </row>
    <row r="18" spans="1:31" x14ac:dyDescent="0.25">
      <c r="A18" s="1472"/>
    </row>
    <row r="19" spans="1:31" ht="14.25" customHeight="1" x14ac:dyDescent="0.25">
      <c r="A19" s="1472"/>
      <c r="R19" s="384" t="s">
        <v>371</v>
      </c>
    </row>
    <row r="20" spans="1:31" x14ac:dyDescent="0.25">
      <c r="A20" s="1472"/>
    </row>
    <row r="21" spans="1:31" x14ac:dyDescent="0.25">
      <c r="A21" s="1472"/>
    </row>
    <row r="22" spans="1:31" x14ac:dyDescent="0.25">
      <c r="A22" s="1472"/>
    </row>
    <row r="23" spans="1:31" ht="14.25" customHeight="1" x14ac:dyDescent="0.25">
      <c r="A23" s="1472"/>
    </row>
    <row r="24" spans="1:31" ht="14.25" customHeight="1" x14ac:dyDescent="0.25">
      <c r="A24" s="1472"/>
      <c r="Z24" s="1073"/>
    </row>
    <row r="25" spans="1:31" ht="14.25" customHeight="1" x14ac:dyDescent="0.25">
      <c r="A25" s="1472"/>
      <c r="R25" s="1640" t="s">
        <v>953</v>
      </c>
      <c r="S25" s="1633"/>
      <c r="T25" s="1633"/>
      <c r="U25" s="1633"/>
      <c r="V25" s="997"/>
      <c r="Z25" s="122" t="s">
        <v>252</v>
      </c>
      <c r="AA25" s="123">
        <v>1</v>
      </c>
      <c r="AB25" s="122" t="s">
        <v>249</v>
      </c>
      <c r="AC25" s="124">
        <f>(AA25)*AE30+(AA30*(AB28/R1))</f>
        <v>2.8476999755582703E-2</v>
      </c>
    </row>
    <row r="26" spans="1:31" ht="14.25" customHeight="1" x14ac:dyDescent="0.25">
      <c r="A26" s="1472"/>
      <c r="R26" s="1654" t="s">
        <v>291</v>
      </c>
      <c r="S26" s="1633"/>
      <c r="T26" s="1633"/>
      <c r="U26" s="1633"/>
      <c r="V26" s="997"/>
    </row>
    <row r="27" spans="1:31" ht="14.25" customHeight="1" thickBot="1" x14ac:dyDescent="0.3">
      <c r="A27" s="1472"/>
      <c r="R27" s="126" t="s">
        <v>254</v>
      </c>
      <c r="S27" s="127" t="s">
        <v>255</v>
      </c>
      <c r="T27" s="127" t="s">
        <v>372</v>
      </c>
      <c r="U27" s="127" t="s">
        <v>257</v>
      </c>
      <c r="V27" s="127" t="s">
        <v>772</v>
      </c>
      <c r="W27" s="127" t="s">
        <v>779</v>
      </c>
      <c r="Z27" s="122" t="s">
        <v>258</v>
      </c>
      <c r="AA27" s="1031" t="s">
        <v>312</v>
      </c>
      <c r="AB27" s="128" t="s">
        <v>259</v>
      </c>
      <c r="AC27" s="128" t="s">
        <v>372</v>
      </c>
      <c r="AD27" s="1032" t="s">
        <v>779</v>
      </c>
      <c r="AE27" s="128" t="s">
        <v>262</v>
      </c>
    </row>
    <row r="28" spans="1:31" ht="16.5" customHeight="1" thickBot="1" x14ac:dyDescent="0.3">
      <c r="A28" s="1472"/>
      <c r="R28" s="129" t="s">
        <v>263</v>
      </c>
      <c r="S28" s="690">
        <f>U28*S40</f>
        <v>19864.628420000001</v>
      </c>
      <c r="T28" s="690">
        <f>U28*U40</f>
        <v>3795.3557277999998</v>
      </c>
      <c r="U28" s="696">
        <f>$Z$1</f>
        <v>23660</v>
      </c>
      <c r="V28" s="130">
        <f>SUM(AP5:AP13)</f>
        <v>2734.018190076923</v>
      </c>
      <c r="W28" s="130">
        <f>H37</f>
        <v>157</v>
      </c>
      <c r="Z28" s="132"/>
      <c r="AA28" s="1034"/>
      <c r="AB28" s="133">
        <f>AA25*S40</f>
        <v>0.83958699999999997</v>
      </c>
      <c r="AC28" s="133">
        <f>AA25*U40</f>
        <v>0.16041232999999999</v>
      </c>
      <c r="AD28" s="1034"/>
      <c r="AE28" s="135">
        <f>SUM(AB28:AC28)</f>
        <v>0.99999932999999996</v>
      </c>
    </row>
    <row r="29" spans="1:31" ht="17.25" customHeight="1" thickBot="1" x14ac:dyDescent="0.3">
      <c r="A29" s="1472"/>
      <c r="R29" s="129" t="s">
        <v>264</v>
      </c>
      <c r="S29" s="692"/>
      <c r="T29" s="690"/>
      <c r="U29" s="130">
        <f>T29</f>
        <v>0</v>
      </c>
      <c r="V29" s="130"/>
      <c r="W29" s="130"/>
      <c r="Z29" s="132"/>
      <c r="AA29" s="1038"/>
      <c r="AB29" s="137">
        <f>AB28/$AE$28</f>
        <v>0.83958756252366684</v>
      </c>
      <c r="AC29" s="137">
        <f>AC28/$AE$28</f>
        <v>0.1604124374763331</v>
      </c>
      <c r="AD29" s="1038"/>
      <c r="AE29" s="137">
        <f>AE28/$AE$28</f>
        <v>1</v>
      </c>
    </row>
    <row r="30" spans="1:31" ht="14.25" customHeight="1" thickBot="1" x14ac:dyDescent="0.3">
      <c r="A30" s="1472"/>
      <c r="R30" s="129" t="s">
        <v>265</v>
      </c>
      <c r="S30" s="1162">
        <f>U30*S40</f>
        <v>839.58699999999999</v>
      </c>
      <c r="T30" s="1162">
        <f>U30*U40</f>
        <v>160.41233</v>
      </c>
      <c r="U30" s="696">
        <f>$AB$1</f>
        <v>1000</v>
      </c>
      <c r="V30" s="989"/>
      <c r="W30" s="989"/>
      <c r="Z30" s="122" t="s">
        <v>266</v>
      </c>
      <c r="AA30" s="1042">
        <f>V35/(S32/R1)</f>
        <v>7.8191241130238555E-4</v>
      </c>
      <c r="AB30" s="138">
        <f>S35/(S32)</f>
        <v>2.5491949910554566E-2</v>
      </c>
      <c r="AC30" s="138">
        <f>T35/(T32)</f>
        <v>3.6106093979442005E-2</v>
      </c>
      <c r="AD30" s="1045">
        <f>W35/U32</f>
        <v>4.4076361594609767E-4</v>
      </c>
      <c r="AE30" s="1047">
        <f>SUMPRODUCT(AB30:AC30,AB29:AC29)+AD30</f>
        <v>2.7635354248315862E-2</v>
      </c>
    </row>
    <row r="31" spans="1:31" ht="14.25" customHeight="1" thickBot="1" x14ac:dyDescent="0.3">
      <c r="A31" s="1472"/>
      <c r="R31" s="129" t="s">
        <v>267</v>
      </c>
      <c r="S31" s="136"/>
      <c r="T31" s="130"/>
      <c r="U31" s="130"/>
      <c r="V31" s="130"/>
      <c r="W31" s="130"/>
    </row>
    <row r="32" spans="1:31" ht="14.25" customHeight="1" thickBot="1" x14ac:dyDescent="0.3">
      <c r="A32" s="1472"/>
      <c r="R32" s="141" t="s">
        <v>257</v>
      </c>
      <c r="S32" s="130">
        <f>S28+S30</f>
        <v>20704.21542</v>
      </c>
      <c r="T32" s="130">
        <f>SUM(T28:T30)</f>
        <v>3955.7680578</v>
      </c>
      <c r="U32" s="130">
        <f>U28+U30</f>
        <v>24660</v>
      </c>
      <c r="V32" s="130"/>
      <c r="W32" s="130">
        <f>SUM(W28:W30)</f>
        <v>157</v>
      </c>
    </row>
    <row r="33" spans="1:23" ht="14.25" customHeight="1" thickBot="1" x14ac:dyDescent="0.3">
      <c r="A33" s="1472"/>
      <c r="R33" s="142" t="s">
        <v>268</v>
      </c>
      <c r="S33" s="136"/>
      <c r="T33" s="136"/>
      <c r="U33" s="136"/>
      <c r="V33" s="136"/>
      <c r="W33" s="136"/>
    </row>
    <row r="34" spans="1:23" ht="14.25" customHeight="1" thickBot="1" x14ac:dyDescent="0.3">
      <c r="A34" s="1472"/>
      <c r="R34" s="143" t="s">
        <v>269</v>
      </c>
      <c r="S34" s="136"/>
      <c r="T34" s="130"/>
      <c r="U34" s="136"/>
      <c r="V34" s="136"/>
      <c r="W34" s="136"/>
    </row>
    <row r="35" spans="1:23" ht="14.25" customHeight="1" thickBot="1" x14ac:dyDescent="0.3">
      <c r="A35" s="1472"/>
      <c r="B35" s="1681" t="s">
        <v>636</v>
      </c>
      <c r="C35" s="1681"/>
      <c r="D35" s="1681"/>
      <c r="E35" s="1681"/>
      <c r="F35" s="1681"/>
      <c r="G35" s="797"/>
      <c r="H35" s="797"/>
      <c r="I35" s="803"/>
      <c r="J35" s="803"/>
      <c r="K35" s="803"/>
      <c r="L35" s="803"/>
      <c r="R35" s="144" t="s">
        <v>249</v>
      </c>
      <c r="S35" s="990">
        <f>$L$5</f>
        <v>527.79082242397146</v>
      </c>
      <c r="T35" s="990">
        <f>SUM(L6:L8)</f>
        <v>142.82733325580156</v>
      </c>
      <c r="U35" s="990">
        <f>S35+T35+V35+W35</f>
        <v>702.24236465820411</v>
      </c>
      <c r="V35" s="990">
        <f>SUM(AT6:AT16)</f>
        <v>20.754978209200299</v>
      </c>
      <c r="W35" s="990">
        <f>L37</f>
        <v>10.869230769230768</v>
      </c>
    </row>
    <row r="36" spans="1:23" ht="47.25"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1472"/>
      <c r="B37" s="772" t="s">
        <v>686</v>
      </c>
      <c r="C37" s="773" t="s">
        <v>14</v>
      </c>
      <c r="D37" s="774">
        <v>1</v>
      </c>
      <c r="E37" s="772">
        <f>$AD$1</f>
        <v>157</v>
      </c>
      <c r="F37" s="772">
        <f>D37*E37</f>
        <v>157</v>
      </c>
      <c r="H37" s="772">
        <f>F37</f>
        <v>157</v>
      </c>
      <c r="I37" s="772">
        <f>VLOOKUP(B37,All_Ingredients!$A$1:$F$156,6,FALSE())</f>
        <v>0.65</v>
      </c>
      <c r="J37" s="772">
        <f>VLOOKUP(B37,All_Ingredients!$A$1:$J$156,10,FALSE())</f>
        <v>45</v>
      </c>
      <c r="K37" s="772">
        <f>(H37/I37)/1000</f>
        <v>0.24153846153846151</v>
      </c>
      <c r="L37" s="772">
        <f t="shared" ref="L37" si="9">K37*J37</f>
        <v>10.869230769230768</v>
      </c>
    </row>
    <row r="38" spans="1:23" ht="14.25" customHeight="1" x14ac:dyDescent="0.25">
      <c r="A38" s="1472"/>
      <c r="U38" s="627"/>
    </row>
    <row r="39" spans="1:23" ht="14.25" customHeight="1" x14ac:dyDescent="0.25">
      <c r="A39" s="1472"/>
      <c r="S39" s="628"/>
    </row>
    <row r="40" spans="1:23" ht="16.5" customHeight="1" x14ac:dyDescent="0.25">
      <c r="A40" s="1472"/>
      <c r="R40" s="146" t="s">
        <v>270</v>
      </c>
      <c r="S40" s="217">
        <v>0.83958699999999997</v>
      </c>
      <c r="T40" s="146" t="s">
        <v>271</v>
      </c>
      <c r="U40" s="217">
        <v>0.16041232999999999</v>
      </c>
      <c r="V40" s="149">
        <f>S40+U40</f>
        <v>0.99999932999999996</v>
      </c>
    </row>
    <row r="41" spans="1:23" ht="14.25" customHeight="1" x14ac:dyDescent="0.25">
      <c r="A41" s="1472"/>
      <c r="U41" s="150"/>
    </row>
    <row r="42" spans="1:23" ht="14.25" customHeight="1"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48995</v>
      </c>
      <c r="R44" s="154">
        <f>D51</f>
        <v>10000</v>
      </c>
      <c r="S44" s="155">
        <v>1</v>
      </c>
      <c r="T44" s="155">
        <v>0</v>
      </c>
      <c r="U44" s="220">
        <f>R44*S44</f>
        <v>10000</v>
      </c>
      <c r="V44" s="157">
        <f>R44*T44</f>
        <v>0</v>
      </c>
      <c r="W44" s="237">
        <f>Q44-U44</f>
        <v>38995</v>
      </c>
    </row>
    <row r="45" spans="1:23" x14ac:dyDescent="0.25">
      <c r="A45" s="1472"/>
    </row>
    <row r="46" spans="1:23" ht="14.25" customHeight="1" x14ac:dyDescent="0.25">
      <c r="A46" s="1472"/>
      <c r="H46" s="280"/>
    </row>
    <row r="47" spans="1:23" x14ac:dyDescent="0.25">
      <c r="A47" s="1472"/>
    </row>
    <row r="48" spans="1:23" x14ac:dyDescent="0.25">
      <c r="A48" s="1472"/>
    </row>
    <row r="49" spans="1:10" x14ac:dyDescent="0.25">
      <c r="A49" s="1472"/>
    </row>
    <row r="50" spans="1:10" x14ac:dyDescent="0.25">
      <c r="A50" s="1472"/>
      <c r="B50" s="253"/>
      <c r="C50" s="126" t="s">
        <v>233</v>
      </c>
      <c r="D50" s="126" t="s">
        <v>279</v>
      </c>
      <c r="E50" s="385"/>
      <c r="F50" s="84"/>
      <c r="G50" s="126" t="s">
        <v>280</v>
      </c>
      <c r="H50" s="126" t="s">
        <v>233</v>
      </c>
      <c r="I50" s="126" t="s">
        <v>281</v>
      </c>
      <c r="J50" s="126" t="s">
        <v>282</v>
      </c>
    </row>
    <row r="51" spans="1:10" x14ac:dyDescent="0.25">
      <c r="A51" s="1472"/>
      <c r="B51" s="161" t="s">
        <v>283</v>
      </c>
      <c r="C51" s="162">
        <f>10/$K$1</f>
        <v>16.666666666666668</v>
      </c>
      <c r="D51" s="163">
        <f>$C$1*10</f>
        <v>10000</v>
      </c>
      <c r="E51" s="164"/>
      <c r="F51" s="84"/>
      <c r="G51" s="161" t="s">
        <v>283</v>
      </c>
      <c r="H51" s="254">
        <f>I51/$D$5</f>
        <v>10</v>
      </c>
      <c r="I51" s="162">
        <f>J51/$R$1</f>
        <v>49993.589743589742</v>
      </c>
      <c r="J51" s="162">
        <f>$W$44</f>
        <v>38995</v>
      </c>
    </row>
    <row r="52" spans="1:10" x14ac:dyDescent="0.25">
      <c r="A52" s="1472"/>
      <c r="B52" s="209" t="s">
        <v>262</v>
      </c>
      <c r="C52" s="210">
        <f>$I$1</f>
        <v>3.9557680577999998</v>
      </c>
      <c r="D52" s="211">
        <f>$E$1</f>
        <v>3955.7680578</v>
      </c>
      <c r="E52" s="84"/>
      <c r="F52" s="84"/>
      <c r="G52" s="129" t="s">
        <v>262</v>
      </c>
      <c r="H52" s="190">
        <f>I52/$D$5</f>
        <v>5.3094538838312602</v>
      </c>
      <c r="I52" s="157">
        <f>J52/$R$1</f>
        <v>26543.865923076923</v>
      </c>
      <c r="J52" s="165">
        <f>$S$32</f>
        <v>20704.21542</v>
      </c>
    </row>
    <row r="53" spans="1:10" x14ac:dyDescent="0.25">
      <c r="A53" s="1472"/>
      <c r="B53" s="209" t="s">
        <v>284</v>
      </c>
      <c r="C53" s="212">
        <f>MIN(C52, C51)</f>
        <v>3.9557680577999998</v>
      </c>
      <c r="D53" s="211">
        <f>(C53*$K$1)*$C$1</f>
        <v>2373.4608346800001</v>
      </c>
      <c r="E53" s="84"/>
      <c r="F53" s="84"/>
      <c r="G53" s="129" t="s">
        <v>284</v>
      </c>
      <c r="H53" s="168">
        <f>MIN(H52,H51)</f>
        <v>5.3094538838312602</v>
      </c>
      <c r="I53" s="157">
        <f>J53/$R$1</f>
        <v>26543.865923076923</v>
      </c>
      <c r="J53" s="157">
        <f>MIN(J52,J51)</f>
        <v>20704.21542</v>
      </c>
    </row>
    <row r="54" spans="1:10" ht="14.25" customHeight="1"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0" ht="14.25" customHeight="1"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2"/>
    </row>
    <row r="63" spans="1:10" ht="18" customHeight="1" x14ac:dyDescent="0.25">
      <c r="A63" s="1472"/>
    </row>
    <row r="64" spans="1:10" ht="25.5" customHeight="1" x14ac:dyDescent="0.25">
      <c r="A64" s="1472"/>
    </row>
    <row r="65" spans="1:1" ht="14.25" customHeight="1" x14ac:dyDescent="0.25">
      <c r="A65" s="1472"/>
    </row>
    <row r="66" spans="1:1" ht="14.25" customHeight="1" x14ac:dyDescent="0.25">
      <c r="A66" s="1472"/>
    </row>
    <row r="67" spans="1:1" ht="14.25" customHeight="1" x14ac:dyDescent="0.25">
      <c r="A67" s="1472"/>
    </row>
    <row r="68" spans="1:1" ht="14.25" customHeight="1" x14ac:dyDescent="0.25">
      <c r="A68" s="1472"/>
    </row>
    <row r="69" spans="1:1" ht="20.25" customHeight="1" x14ac:dyDescent="0.25">
      <c r="A69" s="1472"/>
    </row>
    <row r="70" spans="1:1" ht="14.25" customHeight="1" x14ac:dyDescent="0.25">
      <c r="A70" s="1472"/>
    </row>
    <row r="71" spans="1:1" x14ac:dyDescent="0.25">
      <c r="A71" s="1472"/>
    </row>
    <row r="72" spans="1:1" x14ac:dyDescent="0.25">
      <c r="A72" s="1472"/>
    </row>
    <row r="73" spans="1:1" ht="18" customHeight="1" x14ac:dyDescent="0.25">
      <c r="A73" s="1472"/>
    </row>
    <row r="74" spans="1:1" ht="18" customHeight="1" x14ac:dyDescent="0.25">
      <c r="A74" s="1472"/>
    </row>
    <row r="75" spans="1:1" ht="25.5" customHeight="1" x14ac:dyDescent="0.25">
      <c r="A75" s="1472"/>
    </row>
    <row r="76" spans="1:1" ht="14.25" customHeight="1" x14ac:dyDescent="0.25">
      <c r="A76" s="1472"/>
    </row>
    <row r="77" spans="1:1" ht="14.25" customHeight="1" x14ac:dyDescent="0.25">
      <c r="A77" s="1472"/>
    </row>
    <row r="78" spans="1:1" ht="14.25" customHeight="1" x14ac:dyDescent="0.25">
      <c r="A78" s="1472"/>
    </row>
    <row r="79" spans="1:1" ht="14.25" customHeight="1" x14ac:dyDescent="0.25">
      <c r="A79" s="1472"/>
    </row>
    <row r="80" spans="1:1" ht="20.25" customHeight="1" x14ac:dyDescent="0.25">
      <c r="A80" s="1472"/>
    </row>
    <row r="81" spans="1:1" x14ac:dyDescent="0.25">
      <c r="A81" s="1472"/>
    </row>
    <row r="82" spans="1:1" x14ac:dyDescent="0.25">
      <c r="A82" s="1472"/>
    </row>
    <row r="83" spans="1:1" x14ac:dyDescent="0.25">
      <c r="A83" s="1472"/>
    </row>
    <row r="84" spans="1:1" x14ac:dyDescent="0.25">
      <c r="A84" s="1472"/>
    </row>
    <row r="85" spans="1:1" x14ac:dyDescent="0.25">
      <c r="A85" s="1472"/>
    </row>
    <row r="86" spans="1:1" x14ac:dyDescent="0.25">
      <c r="A86" s="1472"/>
    </row>
    <row r="87" spans="1:1" x14ac:dyDescent="0.25">
      <c r="A87" s="1472"/>
    </row>
    <row r="88" spans="1:1" x14ac:dyDescent="0.25">
      <c r="A88" s="1472"/>
    </row>
    <row r="89" spans="1:1" x14ac:dyDescent="0.25">
      <c r="A89" s="1472"/>
    </row>
    <row r="90" spans="1:1" x14ac:dyDescent="0.25">
      <c r="A90" s="1472"/>
    </row>
    <row r="91" spans="1:1" x14ac:dyDescent="0.25">
      <c r="A91" s="1472"/>
    </row>
    <row r="92" spans="1:1" x14ac:dyDescent="0.25">
      <c r="A92" s="1472"/>
    </row>
    <row r="93" spans="1:1" x14ac:dyDescent="0.25">
      <c r="A93" s="1472"/>
    </row>
    <row r="94" spans="1:1" x14ac:dyDescent="0.25">
      <c r="A94" s="1472"/>
    </row>
    <row r="95" spans="1:1" x14ac:dyDescent="0.25">
      <c r="A95" s="1472"/>
    </row>
    <row r="96" spans="1:1" x14ac:dyDescent="0.25">
      <c r="A96" s="1472"/>
    </row>
    <row r="97" spans="1:1" x14ac:dyDescent="0.25">
      <c r="A97" s="1472"/>
    </row>
    <row r="98" spans="1:1" x14ac:dyDescent="0.25">
      <c r="A98" s="1472"/>
    </row>
    <row r="99" spans="1:1" x14ac:dyDescent="0.25">
      <c r="A99" s="1472"/>
    </row>
    <row r="100" spans="1:1" x14ac:dyDescent="0.25">
      <c r="A100" s="1472"/>
    </row>
    <row r="101" spans="1:1" x14ac:dyDescent="0.25">
      <c r="A101" s="1472"/>
    </row>
    <row r="102" spans="1:1" x14ac:dyDescent="0.25">
      <c r="A102" s="1472"/>
    </row>
    <row r="103" spans="1:1" x14ac:dyDescent="0.25">
      <c r="A103" s="1472"/>
    </row>
    <row r="104" spans="1:1" x14ac:dyDescent="0.25">
      <c r="A104" s="1472"/>
    </row>
    <row r="105" spans="1:1" x14ac:dyDescent="0.25">
      <c r="A105" s="1472"/>
    </row>
    <row r="106" spans="1:1" x14ac:dyDescent="0.25">
      <c r="A106" s="1472"/>
    </row>
    <row r="107" spans="1:1" x14ac:dyDescent="0.25">
      <c r="A107" s="1472"/>
    </row>
    <row r="108" spans="1:1" x14ac:dyDescent="0.25">
      <c r="A108" s="1472"/>
    </row>
    <row r="109" spans="1:1" x14ac:dyDescent="0.25">
      <c r="A109" s="1472"/>
    </row>
    <row r="110" spans="1:1" x14ac:dyDescent="0.25">
      <c r="A110" s="1472"/>
    </row>
    <row r="111" spans="1:1" x14ac:dyDescent="0.25">
      <c r="A111" s="1472"/>
    </row>
    <row r="112" spans="1:1"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6">
    <mergeCell ref="B35:F35"/>
    <mergeCell ref="AK2:AM2"/>
    <mergeCell ref="AE2:AG3"/>
    <mergeCell ref="R26:U26"/>
    <mergeCell ref="R25:U25"/>
    <mergeCell ref="B2:H3"/>
  </mergeCells>
  <printOptions horizontalCentered="1"/>
  <pageMargins left="0.4" right="0.4" top="1" bottom="0.5" header="0.3" footer="0.511811023622047"/>
  <pageSetup paperSize="9" scale="48" orientation="landscape"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BF9000"/>
    <pageSetUpPr fitToPage="1"/>
  </sheetPr>
  <dimension ref="A1:AT174"/>
  <sheetViews>
    <sheetView zoomScale="25" zoomScaleNormal="25" workbookViewId="0">
      <selection activeCell="R36" sqref="R36"/>
    </sheetView>
  </sheetViews>
  <sheetFormatPr defaultColWidth="12.5" defaultRowHeight="15" x14ac:dyDescent="0.25"/>
  <cols>
    <col min="1" max="1" width="12.5" style="63" customWidth="1"/>
    <col min="2" max="2" width="38.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20.625" style="14" customWidth="1"/>
    <col min="13" max="13" width="14.625" style="14" customWidth="1"/>
    <col min="14" max="17" width="12.5" style="14" customWidth="1"/>
    <col min="18" max="18" width="32.875" style="14" customWidth="1"/>
    <col min="19" max="19" width="12.5" style="14" customWidth="1"/>
    <col min="20" max="27" width="12.5" style="14"/>
    <col min="28" max="28" width="10.875" style="14" bestFit="1" customWidth="1"/>
    <col min="29" max="29" width="11.625" style="14" bestFit="1" customWidth="1"/>
    <col min="30" max="30" width="9.875" style="14" bestFit="1" customWidth="1"/>
    <col min="31" max="31" width="11" style="14" bestFit="1" customWidth="1"/>
    <col min="32" max="34" width="5.625" style="14" customWidth="1"/>
    <col min="35" max="35" width="12.5" style="14"/>
    <col min="36" max="36" width="34.125" style="14" customWidth="1"/>
    <col min="37" max="16384" width="12.5" style="14"/>
  </cols>
  <sheetData>
    <row r="1" spans="1:46" ht="44.25" customHeight="1" x14ac:dyDescent="0.25">
      <c r="B1" s="64" t="s">
        <v>231</v>
      </c>
      <c r="C1" s="65">
        <v>1000</v>
      </c>
      <c r="D1" s="66" t="s">
        <v>232</v>
      </c>
      <c r="E1" s="99">
        <f>T32</f>
        <v>3456.9230769230803</v>
      </c>
      <c r="F1" s="64" t="s">
        <v>233</v>
      </c>
      <c r="G1" s="65">
        <f>E1/C1</f>
        <v>3.4569230769230801</v>
      </c>
      <c r="H1" s="64" t="s">
        <v>234</v>
      </c>
      <c r="I1" s="227">
        <f>(G1/K1)</f>
        <v>3.4918414918414951</v>
      </c>
      <c r="J1" s="70" t="s">
        <v>235</v>
      </c>
      <c r="K1" s="65">
        <v>0.99</v>
      </c>
      <c r="L1" s="84"/>
      <c r="M1" s="195"/>
      <c r="N1" s="196"/>
      <c r="O1" s="75" t="s">
        <v>236</v>
      </c>
      <c r="P1" s="76" t="s">
        <v>237</v>
      </c>
      <c r="Q1" s="77" t="s">
        <v>238</v>
      </c>
      <c r="R1" s="76">
        <v>0.59</v>
      </c>
      <c r="Y1" s="75" t="s">
        <v>453</v>
      </c>
      <c r="Z1" s="766">
        <v>14980</v>
      </c>
      <c r="AA1" s="75" t="s">
        <v>556</v>
      </c>
      <c r="AB1" s="766">
        <v>0</v>
      </c>
      <c r="AC1" s="75" t="s">
        <v>546</v>
      </c>
      <c r="AD1" s="766">
        <v>105</v>
      </c>
      <c r="AE1" s="228"/>
      <c r="AF1" s="230"/>
      <c r="AG1" s="76"/>
      <c r="AI1" s="63"/>
      <c r="AJ1" s="93" t="s">
        <v>250</v>
      </c>
      <c r="AK1" s="78">
        <v>10000</v>
      </c>
      <c r="AL1" s="561" t="s">
        <v>483</v>
      </c>
      <c r="AM1" s="562">
        <f>$S$32</f>
        <v>11523.07692307692</v>
      </c>
      <c r="AN1" s="78" t="s">
        <v>239</v>
      </c>
      <c r="AO1" s="80">
        <f>($S$32/$R$1)/$AK$1</f>
        <v>1.9530638852672746</v>
      </c>
      <c r="AP1" s="79"/>
    </row>
    <row r="2" spans="1:46" ht="12.75" customHeight="1" x14ac:dyDescent="0.25">
      <c r="A2" s="81"/>
      <c r="B2" s="1645" t="s">
        <v>374</v>
      </c>
      <c r="C2" s="1655"/>
      <c r="D2" s="1655"/>
      <c r="E2" s="1655"/>
      <c r="F2" s="1655"/>
      <c r="G2" s="1655"/>
      <c r="H2" s="1655"/>
      <c r="I2" s="1655"/>
      <c r="J2" s="1655"/>
      <c r="K2" s="1657"/>
      <c r="L2" s="1699"/>
      <c r="M2" s="1652"/>
      <c r="N2" s="1652"/>
      <c r="O2" s="84"/>
      <c r="P2" s="84"/>
      <c r="Q2" s="84"/>
      <c r="R2" s="84"/>
      <c r="AC2" s="83"/>
      <c r="AD2" s="83"/>
      <c r="AE2" s="1652"/>
      <c r="AF2" s="1655"/>
      <c r="AG2" s="1655"/>
      <c r="AI2" s="63"/>
      <c r="AJ2" s="85"/>
      <c r="AK2" s="1631" t="s">
        <v>374</v>
      </c>
      <c r="AL2" s="1631"/>
      <c r="AM2" s="1631"/>
      <c r="AN2" s="86"/>
      <c r="AO2" s="85"/>
      <c r="AP2" s="85"/>
    </row>
    <row r="3" spans="1:46" ht="12.75" customHeight="1" x14ac:dyDescent="0.25">
      <c r="A3" s="81"/>
      <c r="B3" s="1633"/>
      <c r="C3" s="1633"/>
      <c r="D3" s="1633"/>
      <c r="E3" s="1633"/>
      <c r="F3" s="1633"/>
      <c r="G3" s="1633"/>
      <c r="H3" s="1633"/>
      <c r="I3" s="1633"/>
      <c r="J3" s="1633"/>
      <c r="K3" s="1658"/>
      <c r="L3" s="1700"/>
      <c r="M3" s="1653"/>
      <c r="N3" s="1653"/>
      <c r="O3" s="84"/>
      <c r="P3" s="84"/>
      <c r="Q3" s="84"/>
      <c r="R3" s="84"/>
      <c r="AC3" s="83"/>
      <c r="AD3" s="83"/>
      <c r="AE3" s="1655"/>
      <c r="AF3" s="1655"/>
      <c r="AG3" s="1655"/>
      <c r="AI3" s="63"/>
      <c r="AJ3" s="349"/>
      <c r="AK3" s="88"/>
      <c r="AL3" s="89"/>
      <c r="AM3" s="89"/>
      <c r="AN3" s="89"/>
      <c r="AO3" s="88"/>
      <c r="AP3" s="88"/>
    </row>
    <row r="4" spans="1:46" ht="69" customHeight="1" x14ac:dyDescent="0.25">
      <c r="A4" s="75" t="s">
        <v>903</v>
      </c>
      <c r="B4" s="75" t="s">
        <v>241</v>
      </c>
      <c r="C4" s="90" t="s">
        <v>242</v>
      </c>
      <c r="D4" s="75" t="s">
        <v>231</v>
      </c>
      <c r="E4" s="91" t="s">
        <v>234</v>
      </c>
      <c r="F4" s="91" t="s">
        <v>243</v>
      </c>
      <c r="G4" s="75" t="s">
        <v>244</v>
      </c>
      <c r="H4" s="307" t="s">
        <v>335</v>
      </c>
      <c r="I4" s="75" t="s">
        <v>246</v>
      </c>
      <c r="J4" s="75" t="s">
        <v>247</v>
      </c>
      <c r="K4" s="75" t="s">
        <v>248</v>
      </c>
      <c r="L4" s="73" t="s">
        <v>249</v>
      </c>
      <c r="M4" s="347"/>
      <c r="N4" s="347"/>
      <c r="O4" s="84"/>
      <c r="P4" s="84"/>
      <c r="Q4" s="84"/>
      <c r="R4" s="84"/>
      <c r="AC4" s="229"/>
      <c r="AD4" s="231"/>
      <c r="AE4" s="229"/>
      <c r="AF4" s="229"/>
      <c r="AG4" s="229"/>
      <c r="AI4" s="63"/>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286" t="s">
        <v>220</v>
      </c>
      <c r="C5" s="97" t="s">
        <v>14</v>
      </c>
      <c r="D5" s="103">
        <f>I51/10</f>
        <v>5649.8305084745762</v>
      </c>
      <c r="E5" s="69">
        <f>H52</f>
        <v>3.456853939844279</v>
      </c>
      <c r="F5" s="109">
        <v>1</v>
      </c>
      <c r="G5" s="103">
        <f t="shared" ref="G5:G20" si="0">D5*E5</f>
        <v>19530.638852672746</v>
      </c>
      <c r="H5" s="102">
        <f t="shared" ref="H5:H20" si="1">G5*F5</f>
        <v>19530.638852672746</v>
      </c>
      <c r="I5" s="65">
        <f>VLOOKUP(B5,All_Ingredients!$A$1:$F$156,6,FALSE())</f>
        <v>0.86</v>
      </c>
      <c r="J5" s="103">
        <f>VLOOKUP(B5,All_Ingredients!$A$1:$J$156,10,FALSE())</f>
        <v>17.100000000000001</v>
      </c>
      <c r="K5" s="104">
        <f>(H5/I5)/1000</f>
        <v>22.71004517752645</v>
      </c>
      <c r="L5" s="104">
        <f>K5*J5</f>
        <v>388.34177253570232</v>
      </c>
      <c r="M5" s="112"/>
      <c r="N5" s="112"/>
      <c r="O5" s="84"/>
      <c r="P5" s="84"/>
      <c r="Q5" s="84"/>
      <c r="R5" s="84"/>
      <c r="AC5" s="76"/>
      <c r="AD5" s="114"/>
      <c r="AE5" s="232"/>
      <c r="AF5" s="116"/>
      <c r="AG5" s="117"/>
      <c r="AI5" s="63"/>
      <c r="AJ5" s="105" t="s">
        <v>220</v>
      </c>
      <c r="AK5" s="106" t="s">
        <v>227</v>
      </c>
      <c r="AL5" s="98">
        <v>10</v>
      </c>
      <c r="AM5" s="177">
        <f t="shared" ref="AM5:AM12" si="2">$AO$1</f>
        <v>1.9530638852672746</v>
      </c>
      <c r="AN5" s="109">
        <v>1</v>
      </c>
      <c r="AO5" s="103">
        <f t="shared" ref="AO5:AO12" si="3">AL5*AM5</f>
        <v>19.530638852672745</v>
      </c>
      <c r="AP5" s="102">
        <f t="shared" ref="AP5:AP12" si="4">AO5*AN5</f>
        <v>19.530638852672745</v>
      </c>
      <c r="AQ5" s="272"/>
      <c r="AR5" s="1017"/>
      <c r="AS5" s="156"/>
      <c r="AT5" s="1018"/>
    </row>
    <row r="6" spans="1:46" ht="14.25" customHeight="1" x14ac:dyDescent="0.25">
      <c r="A6" s="1471" t="s">
        <v>907</v>
      </c>
      <c r="B6" s="374" t="s">
        <v>727</v>
      </c>
      <c r="C6" s="106" t="s">
        <v>14</v>
      </c>
      <c r="D6" s="107">
        <v>20</v>
      </c>
      <c r="E6" s="177">
        <f t="shared" ref="E6:E20" si="5">$I$1</f>
        <v>3.4918414918414951</v>
      </c>
      <c r="F6" s="109">
        <v>1</v>
      </c>
      <c r="G6" s="103">
        <f t="shared" si="0"/>
        <v>69.836829836829907</v>
      </c>
      <c r="H6" s="102">
        <f t="shared" si="1"/>
        <v>69.836829836829907</v>
      </c>
      <c r="I6" s="65">
        <f>VLOOKUP(B6,All_Ingredients!$A$1:$F$156,6,FALSE())</f>
        <v>1</v>
      </c>
      <c r="J6" s="103">
        <f>VLOOKUP(B6,All_Ingredients!$A$1:$J$156,10,FALSE())</f>
        <v>10.5</v>
      </c>
      <c r="K6" s="104">
        <f t="shared" ref="K6:K20" si="6">(H6/I6)/1000</f>
        <v>6.98368298368299E-2</v>
      </c>
      <c r="L6" s="104">
        <f>K6*J6</f>
        <v>0.73328671328671391</v>
      </c>
      <c r="M6" s="112"/>
      <c r="N6" s="112"/>
      <c r="AI6" s="63" t="s">
        <v>55</v>
      </c>
      <c r="AJ6" s="65" t="s">
        <v>54</v>
      </c>
      <c r="AK6" s="106" t="s">
        <v>14</v>
      </c>
      <c r="AL6" s="98">
        <v>100</v>
      </c>
      <c r="AM6" s="177">
        <f t="shared" si="2"/>
        <v>1.9530638852672746</v>
      </c>
      <c r="AN6" s="109">
        <v>1</v>
      </c>
      <c r="AO6" s="103">
        <f t="shared" si="3"/>
        <v>195.30638852672746</v>
      </c>
      <c r="AP6" s="102">
        <f t="shared" si="4"/>
        <v>195.30638852672746</v>
      </c>
      <c r="AQ6" s="1018">
        <f>VLOOKUP(AJ6,Marination_Ordering!$A:$J,6,FALSE)</f>
        <v>0.87</v>
      </c>
      <c r="AR6" s="1018">
        <f>VLOOKUP(AJ6,Marination_Ordering!$A:$J,10,FALSE)</f>
        <v>7</v>
      </c>
      <c r="AS6" s="156">
        <f>AP6/AQ6</f>
        <v>224.49010175485915</v>
      </c>
      <c r="AT6" s="1018">
        <f>AR6*(AS6/1000)</f>
        <v>1.5714307122840141</v>
      </c>
    </row>
    <row r="7" spans="1:46" ht="14.25" customHeight="1" x14ac:dyDescent="0.25">
      <c r="A7" s="1471" t="s">
        <v>906</v>
      </c>
      <c r="B7" s="374" t="s">
        <v>54</v>
      </c>
      <c r="C7" s="106" t="s">
        <v>14</v>
      </c>
      <c r="D7" s="107">
        <v>20</v>
      </c>
      <c r="E7" s="177">
        <f t="shared" si="5"/>
        <v>3.4918414918414951</v>
      </c>
      <c r="F7" s="109">
        <v>1</v>
      </c>
      <c r="G7" s="103">
        <f t="shared" si="0"/>
        <v>69.836829836829907</v>
      </c>
      <c r="H7" s="102">
        <f t="shared" si="1"/>
        <v>69.836829836829907</v>
      </c>
      <c r="I7" s="65">
        <f>VLOOKUP(B7,All_Ingredients!$A$1:$F$156,6,FALSE())</f>
        <v>0.87</v>
      </c>
      <c r="J7" s="103">
        <f>VLOOKUP(B7,All_Ingredients!$A$1:$J$156,10,FALSE())</f>
        <v>7</v>
      </c>
      <c r="K7" s="104">
        <f t="shared" si="6"/>
        <v>8.0272218203252768E-2</v>
      </c>
      <c r="L7" s="104">
        <f t="shared" ref="L7:L20" si="7">K7*J7</f>
        <v>0.56190552742276934</v>
      </c>
      <c r="M7" s="112"/>
      <c r="N7" s="112"/>
      <c r="AI7" s="63" t="s">
        <v>13</v>
      </c>
      <c r="AJ7" s="65" t="s">
        <v>727</v>
      </c>
      <c r="AK7" s="106" t="s">
        <v>14</v>
      </c>
      <c r="AL7" s="98">
        <v>200</v>
      </c>
      <c r="AM7" s="177">
        <f t="shared" si="2"/>
        <v>1.9530638852672746</v>
      </c>
      <c r="AN7" s="109">
        <v>1</v>
      </c>
      <c r="AO7" s="103">
        <f t="shared" si="3"/>
        <v>390.61277705345492</v>
      </c>
      <c r="AP7" s="102">
        <f t="shared" si="4"/>
        <v>390.61277705345492</v>
      </c>
      <c r="AQ7" s="1018">
        <f>VLOOKUP(AJ7,Marination_Ordering!$A:$J,6,FALSE)</f>
        <v>1</v>
      </c>
      <c r="AR7" s="1018">
        <f>VLOOKUP(AJ7,Marination_Ordering!$A:$J,10,FALSE)</f>
        <v>10.5</v>
      </c>
      <c r="AS7" s="156">
        <f t="shared" ref="AS7:AS9" si="8">AP7/AQ7</f>
        <v>390.61277705345492</v>
      </c>
      <c r="AT7" s="1018">
        <f t="shared" ref="AT7:AT9" si="9">AR7*(AS7/1000)</f>
        <v>4.1014341590612764</v>
      </c>
    </row>
    <row r="8" spans="1:46" x14ac:dyDescent="0.25">
      <c r="A8" s="1471"/>
      <c r="B8" s="374" t="s">
        <v>183</v>
      </c>
      <c r="C8" s="106" t="s">
        <v>14</v>
      </c>
      <c r="D8" s="107">
        <v>50</v>
      </c>
      <c r="E8" s="177">
        <f t="shared" si="5"/>
        <v>3.4918414918414951</v>
      </c>
      <c r="F8" s="109">
        <v>1</v>
      </c>
      <c r="G8" s="103">
        <f t="shared" si="0"/>
        <v>174.59207459207477</v>
      </c>
      <c r="H8" s="102">
        <f t="shared" si="1"/>
        <v>174.59207459207477</v>
      </c>
      <c r="I8" s="65">
        <f>VLOOKUP(B8,All_Ingredients!$A$1:$F$156,6,FALSE())</f>
        <v>1</v>
      </c>
      <c r="J8" s="103">
        <f>VLOOKUP(B8,All_Ingredients!$A$1:$J$156,10,FALSE())</f>
        <v>17</v>
      </c>
      <c r="K8" s="104">
        <f t="shared" si="6"/>
        <v>0.17459207459207476</v>
      </c>
      <c r="L8" s="104">
        <f t="shared" si="7"/>
        <v>2.968065268065271</v>
      </c>
      <c r="M8" s="112"/>
      <c r="N8" s="112"/>
      <c r="AI8" s="63" t="s">
        <v>204</v>
      </c>
      <c r="AJ8" s="65" t="s">
        <v>212</v>
      </c>
      <c r="AK8" s="106" t="s">
        <v>160</v>
      </c>
      <c r="AL8" s="201">
        <v>350</v>
      </c>
      <c r="AM8" s="177">
        <f t="shared" si="2"/>
        <v>1.9530638852672746</v>
      </c>
      <c r="AN8" s="109">
        <v>1</v>
      </c>
      <c r="AO8" s="103">
        <f t="shared" si="3"/>
        <v>683.57235984354611</v>
      </c>
      <c r="AP8" s="102">
        <f t="shared" si="4"/>
        <v>683.57235984354611</v>
      </c>
      <c r="AQ8" s="1018">
        <f>VLOOKUP(AJ8,Marination_Ordering!$A:$J,6,FALSE)</f>
        <v>1</v>
      </c>
      <c r="AR8" s="1018">
        <f>VLOOKUP(AJ8,Marination_Ordering!$A:$J,10,FALSE)</f>
        <v>5</v>
      </c>
      <c r="AS8" s="156">
        <f t="shared" si="8"/>
        <v>683.57235984354611</v>
      </c>
      <c r="AT8" s="1018">
        <f t="shared" si="9"/>
        <v>3.4178617992177305</v>
      </c>
    </row>
    <row r="9" spans="1:46" ht="14.25" customHeight="1" x14ac:dyDescent="0.25">
      <c r="A9" s="1471"/>
      <c r="B9" s="374" t="s">
        <v>198</v>
      </c>
      <c r="C9" s="906" t="s">
        <v>160</v>
      </c>
      <c r="D9" s="107">
        <v>200</v>
      </c>
      <c r="E9" s="177">
        <f t="shared" si="5"/>
        <v>3.4918414918414951</v>
      </c>
      <c r="F9" s="109">
        <v>1</v>
      </c>
      <c r="G9" s="103">
        <f t="shared" si="0"/>
        <v>698.36829836829907</v>
      </c>
      <c r="H9" s="102">
        <f t="shared" si="1"/>
        <v>698.36829836829907</v>
      </c>
      <c r="I9" s="65">
        <f>VLOOKUP(B9,All_Ingredients!$A$1:$F$156,6,FALSE())</f>
        <v>1</v>
      </c>
      <c r="J9" s="103">
        <f>VLOOKUP(B9,All_Ingredients!$A$1:$J$156,10,FALSE())</f>
        <v>3.25</v>
      </c>
      <c r="K9" s="104">
        <f t="shared" si="6"/>
        <v>0.69836829836829906</v>
      </c>
      <c r="L9" s="104">
        <f t="shared" si="7"/>
        <v>2.2696969696969718</v>
      </c>
      <c r="M9" s="112"/>
      <c r="N9" s="112"/>
      <c r="AI9" s="63" t="s">
        <v>204</v>
      </c>
      <c r="AJ9" s="65" t="s">
        <v>208</v>
      </c>
      <c r="AK9" s="106" t="s">
        <v>160</v>
      </c>
      <c r="AL9" s="98">
        <v>70</v>
      </c>
      <c r="AM9" s="177">
        <f t="shared" si="2"/>
        <v>1.9530638852672746</v>
      </c>
      <c r="AN9" s="109">
        <v>1</v>
      </c>
      <c r="AO9" s="103">
        <f t="shared" si="3"/>
        <v>136.71447196870923</v>
      </c>
      <c r="AP9" s="102">
        <f t="shared" si="4"/>
        <v>136.71447196870923</v>
      </c>
      <c r="AQ9" s="1018">
        <f>VLOOKUP(AJ9,Marination_Ordering!$A:$J,6,FALSE)</f>
        <v>1</v>
      </c>
      <c r="AR9" s="1018">
        <f>VLOOKUP(AJ9,Marination_Ordering!$A:$J,10,FALSE)</f>
        <v>2.1621621621621623</v>
      </c>
      <c r="AS9" s="156">
        <f t="shared" si="8"/>
        <v>136.71447196870923</v>
      </c>
      <c r="AT9" s="1018">
        <f t="shared" si="9"/>
        <v>0.29559885831072269</v>
      </c>
    </row>
    <row r="10" spans="1:46" ht="14.25" customHeight="1" x14ac:dyDescent="0.25">
      <c r="A10" s="1471"/>
      <c r="B10" s="96" t="s">
        <v>698</v>
      </c>
      <c r="C10" s="106" t="s">
        <v>14</v>
      </c>
      <c r="D10" s="107">
        <v>20</v>
      </c>
      <c r="E10" s="177">
        <f t="shared" si="5"/>
        <v>3.4918414918414951</v>
      </c>
      <c r="F10" s="109">
        <v>1</v>
      </c>
      <c r="G10" s="103">
        <f t="shared" si="0"/>
        <v>69.836829836829907</v>
      </c>
      <c r="H10" s="102">
        <f t="shared" si="1"/>
        <v>69.836829836829907</v>
      </c>
      <c r="I10" s="65">
        <f>VLOOKUP(B10,All_Ingredients!$A$1:$F$156,6,FALSE())</f>
        <v>1</v>
      </c>
      <c r="J10" s="103">
        <f>VLOOKUP(B10,All_Ingredients!$A$1:$J$156,10,FALSE())</f>
        <v>8.1520833333333336</v>
      </c>
      <c r="K10" s="104">
        <f>(H10/I10)/1000</f>
        <v>6.98368298368299E-2</v>
      </c>
      <c r="L10" s="104">
        <f t="shared" si="7"/>
        <v>0.56931565656565708</v>
      </c>
      <c r="M10" s="112"/>
      <c r="N10" s="112"/>
      <c r="AI10" s="63" t="s">
        <v>94</v>
      </c>
      <c r="AJ10" s="65" t="s">
        <v>93</v>
      </c>
      <c r="AK10" s="106" t="s">
        <v>14</v>
      </c>
      <c r="AL10" s="98">
        <v>2</v>
      </c>
      <c r="AM10" s="177">
        <f t="shared" si="2"/>
        <v>1.9530638852672746</v>
      </c>
      <c r="AN10" s="109">
        <v>1</v>
      </c>
      <c r="AO10" s="103">
        <f t="shared" si="3"/>
        <v>3.9061277705345492</v>
      </c>
      <c r="AP10" s="102">
        <f t="shared" si="4"/>
        <v>3.9061277705345492</v>
      </c>
      <c r="AQ10" s="1018">
        <f>VLOOKUP(AJ10,Marination_Ordering!$A:$J,6,FALSE)</f>
        <v>1</v>
      </c>
      <c r="AR10" s="1018">
        <f>VLOOKUP(AJ10,Marination_Ordering!$A:$J,10,FALSE)</f>
        <v>0.74</v>
      </c>
      <c r="AS10" s="156">
        <f t="shared" ref="AS10:AS12" si="10">AP10/AQ10</f>
        <v>3.9061277705345492</v>
      </c>
      <c r="AT10" s="1018">
        <f t="shared" ref="AT10:AT12" si="11">AR10*(AS10/1000)</f>
        <v>2.8905345501955663E-3</v>
      </c>
    </row>
    <row r="11" spans="1:46" x14ac:dyDescent="0.25">
      <c r="A11" s="1471"/>
      <c r="B11" s="374" t="s">
        <v>139</v>
      </c>
      <c r="C11" s="106" t="s">
        <v>14</v>
      </c>
      <c r="D11" s="107">
        <v>10</v>
      </c>
      <c r="E11" s="177">
        <f t="shared" si="5"/>
        <v>3.4918414918414951</v>
      </c>
      <c r="F11" s="109">
        <v>0.75</v>
      </c>
      <c r="G11" s="103">
        <f t="shared" si="0"/>
        <v>34.918414918414953</v>
      </c>
      <c r="H11" s="102">
        <f t="shared" si="1"/>
        <v>26.188811188811215</v>
      </c>
      <c r="I11" s="65">
        <f>VLOOKUP(B11,All_Ingredients!$A$1:$F$156,6,FALSE())</f>
        <v>1</v>
      </c>
      <c r="J11" s="103">
        <f>VLOOKUP(B11,All_Ingredients!$A$1:$J$156,10,FALSE())</f>
        <v>15.277777777777779</v>
      </c>
      <c r="K11" s="104">
        <f t="shared" si="6"/>
        <v>2.6188811188811216E-2</v>
      </c>
      <c r="L11" s="104">
        <f t="shared" si="7"/>
        <v>0.40010683760683802</v>
      </c>
      <c r="M11" s="112"/>
      <c r="N11" s="112"/>
      <c r="AI11" s="63" t="s">
        <v>94</v>
      </c>
      <c r="AJ11" s="65" t="s">
        <v>99</v>
      </c>
      <c r="AK11" s="106" t="s">
        <v>14</v>
      </c>
      <c r="AL11" s="98">
        <v>3</v>
      </c>
      <c r="AM11" s="177">
        <f t="shared" si="2"/>
        <v>1.9530638852672746</v>
      </c>
      <c r="AN11" s="109">
        <v>1</v>
      </c>
      <c r="AO11" s="103">
        <f t="shared" si="3"/>
        <v>5.8591916558018236</v>
      </c>
      <c r="AP11" s="102">
        <f t="shared" si="4"/>
        <v>5.8591916558018236</v>
      </c>
      <c r="AQ11" s="1018">
        <f>VLOOKUP(AJ11,Marination_Ordering!$A:$J,6,FALSE)</f>
        <v>1</v>
      </c>
      <c r="AR11" s="1018">
        <f>VLOOKUP(AJ11,Marination_Ordering!$A:$J,10,FALSE)</f>
        <v>31</v>
      </c>
      <c r="AS11" s="156">
        <f t="shared" si="10"/>
        <v>5.8591916558018236</v>
      </c>
      <c r="AT11" s="1018">
        <f t="shared" si="11"/>
        <v>0.18163494132985653</v>
      </c>
    </row>
    <row r="12" spans="1:46" ht="14.25" customHeight="1" x14ac:dyDescent="0.25">
      <c r="A12" s="1471"/>
      <c r="B12" s="374" t="s">
        <v>159</v>
      </c>
      <c r="C12" s="106" t="s">
        <v>160</v>
      </c>
      <c r="D12" s="107">
        <v>100</v>
      </c>
      <c r="E12" s="177">
        <f t="shared" si="5"/>
        <v>3.4918414918414951</v>
      </c>
      <c r="F12" s="109">
        <v>1</v>
      </c>
      <c r="G12" s="103">
        <f t="shared" si="0"/>
        <v>349.18414918414953</v>
      </c>
      <c r="H12" s="102">
        <f t="shared" si="1"/>
        <v>349.18414918414953</v>
      </c>
      <c r="I12" s="65">
        <f>VLOOKUP(B12,All_Ingredients!$A$1:$F$156,6,FALSE())</f>
        <v>1</v>
      </c>
      <c r="J12" s="103">
        <f>VLOOKUP(B12,All_Ingredients!$A$1:$J$156,10,FALSE())</f>
        <v>4.2033333333333331</v>
      </c>
      <c r="K12" s="104">
        <f t="shared" si="6"/>
        <v>0.34918414918414953</v>
      </c>
      <c r="L12" s="104">
        <f t="shared" si="7"/>
        <v>1.4677373737373751</v>
      </c>
      <c r="M12" s="112"/>
      <c r="N12" s="112"/>
      <c r="AI12" s="63" t="s">
        <v>213</v>
      </c>
      <c r="AJ12" s="271" t="s">
        <v>837</v>
      </c>
      <c r="AK12" s="106" t="s">
        <v>14</v>
      </c>
      <c r="AL12" s="107">
        <v>5</v>
      </c>
      <c r="AM12" s="177">
        <f t="shared" si="2"/>
        <v>1.9530638852672746</v>
      </c>
      <c r="AN12" s="109">
        <v>1</v>
      </c>
      <c r="AO12" s="103">
        <f t="shared" si="3"/>
        <v>9.7653194263363723</v>
      </c>
      <c r="AP12" s="102">
        <f t="shared" si="4"/>
        <v>9.7653194263363723</v>
      </c>
      <c r="AQ12" s="1018">
        <f>VLOOKUP(AJ12,Marination_Ordering!$A:$J,6,FALSE)</f>
        <v>1</v>
      </c>
      <c r="AR12" s="1018">
        <f>VLOOKUP(AJ12,Marination_Ordering!$A:$J,10,FALSE)</f>
        <v>22.5</v>
      </c>
      <c r="AS12" s="156">
        <f t="shared" si="10"/>
        <v>9.7653194263363723</v>
      </c>
      <c r="AT12" s="1018">
        <f t="shared" si="11"/>
        <v>0.21971968709256837</v>
      </c>
    </row>
    <row r="13" spans="1:46" ht="14.25" customHeight="1" x14ac:dyDescent="0.25">
      <c r="A13" s="1471"/>
      <c r="B13" s="374" t="s">
        <v>202</v>
      </c>
      <c r="C13" s="106" t="s">
        <v>14</v>
      </c>
      <c r="D13" s="107">
        <v>25</v>
      </c>
      <c r="E13" s="177">
        <f t="shared" si="5"/>
        <v>3.4918414918414951</v>
      </c>
      <c r="F13" s="109">
        <v>1</v>
      </c>
      <c r="G13" s="103">
        <f t="shared" si="0"/>
        <v>87.296037296037383</v>
      </c>
      <c r="H13" s="102">
        <f t="shared" si="1"/>
        <v>87.296037296037383</v>
      </c>
      <c r="I13" s="65">
        <f>VLOOKUP(B13,All_Ingredients!$A$1:$F$156,6,FALSE())</f>
        <v>1</v>
      </c>
      <c r="J13" s="103">
        <f>VLOOKUP(B13,All_Ingredients!$A$1:$J$156,10,FALSE())</f>
        <v>11.243386243386244</v>
      </c>
      <c r="K13" s="104">
        <f t="shared" si="6"/>
        <v>8.7296037296037382E-2</v>
      </c>
      <c r="L13" s="104">
        <f t="shared" si="7"/>
        <v>0.98150306483639915</v>
      </c>
      <c r="M13" s="112"/>
      <c r="N13" s="112"/>
    </row>
    <row r="14" spans="1:46" ht="14.25" customHeight="1" x14ac:dyDescent="0.25">
      <c r="A14" s="1471"/>
      <c r="B14" s="374" t="s">
        <v>192</v>
      </c>
      <c r="C14" s="106" t="s">
        <v>160</v>
      </c>
      <c r="D14" s="107">
        <v>30</v>
      </c>
      <c r="E14" s="177">
        <f t="shared" si="5"/>
        <v>3.4918414918414951</v>
      </c>
      <c r="F14" s="109">
        <v>0.75</v>
      </c>
      <c r="G14" s="103">
        <f t="shared" si="0"/>
        <v>104.75524475524485</v>
      </c>
      <c r="H14" s="102">
        <f t="shared" si="1"/>
        <v>78.566433566433631</v>
      </c>
      <c r="I14" s="65">
        <f>VLOOKUP(B14,All_Ingredients!$A$1:$F$156,6,FALSE())</f>
        <v>1</v>
      </c>
      <c r="J14" s="103">
        <f>VLOOKUP(B14,All_Ingredients!$A$1:$J$156,10,FALSE())</f>
        <v>58.685446009389672</v>
      </c>
      <c r="K14" s="104">
        <f t="shared" si="6"/>
        <v>7.8566433566433627E-2</v>
      </c>
      <c r="L14" s="104">
        <f t="shared" si="7"/>
        <v>4.6107061952132407</v>
      </c>
      <c r="M14" s="112"/>
      <c r="N14" s="112"/>
    </row>
    <row r="15" spans="1:46" ht="14.25" customHeight="1" x14ac:dyDescent="0.25">
      <c r="A15" s="1471"/>
      <c r="B15" s="374" t="s">
        <v>166</v>
      </c>
      <c r="C15" s="106" t="s">
        <v>160</v>
      </c>
      <c r="D15" s="107">
        <v>500</v>
      </c>
      <c r="E15" s="177">
        <f t="shared" si="5"/>
        <v>3.4918414918414951</v>
      </c>
      <c r="F15" s="109">
        <v>1</v>
      </c>
      <c r="G15" s="103">
        <f t="shared" si="0"/>
        <v>1745.9207459207475</v>
      </c>
      <c r="H15" s="102">
        <f t="shared" si="1"/>
        <v>1745.9207459207475</v>
      </c>
      <c r="I15" s="65">
        <f>VLOOKUP(B15,All_Ingredients!$A$1:$F$156,6,FALSE())</f>
        <v>1</v>
      </c>
      <c r="J15" s="103">
        <f>VLOOKUP(B15,All_Ingredients!$A$1:$J$156,10,FALSE())</f>
        <v>12.666666666666666</v>
      </c>
      <c r="K15" s="104">
        <f t="shared" si="6"/>
        <v>1.7459207459207475</v>
      </c>
      <c r="L15" s="104">
        <f t="shared" si="7"/>
        <v>22.114996114996135</v>
      </c>
      <c r="M15" s="112"/>
      <c r="N15" s="112"/>
    </row>
    <row r="16" spans="1:46" ht="14.25" customHeight="1" x14ac:dyDescent="0.25">
      <c r="A16" s="1471" t="s">
        <v>905</v>
      </c>
      <c r="B16" s="374" t="s">
        <v>12</v>
      </c>
      <c r="C16" s="106" t="s">
        <v>14</v>
      </c>
      <c r="D16" s="107">
        <v>100</v>
      </c>
      <c r="E16" s="177">
        <f t="shared" si="5"/>
        <v>3.4918414918414951</v>
      </c>
      <c r="F16" s="109">
        <v>0.95</v>
      </c>
      <c r="G16" s="103">
        <f t="shared" si="0"/>
        <v>349.18414918414953</v>
      </c>
      <c r="H16" s="102">
        <f t="shared" si="1"/>
        <v>331.72494172494203</v>
      </c>
      <c r="I16" s="65">
        <f>VLOOKUP(B16,All_Ingredients!$A$1:$F$156,6,FALSE())</f>
        <v>0.9</v>
      </c>
      <c r="J16" s="103">
        <f>VLOOKUP(B16,All_Ingredients!$A$1:$J$156,10,FALSE())</f>
        <v>3</v>
      </c>
      <c r="K16" s="104">
        <f t="shared" si="6"/>
        <v>0.36858326858326895</v>
      </c>
      <c r="L16" s="104">
        <f t="shared" si="7"/>
        <v>1.1057498057498067</v>
      </c>
      <c r="M16" s="112"/>
      <c r="N16" s="112"/>
    </row>
    <row r="17" spans="1:31" ht="14.25" customHeight="1" x14ac:dyDescent="0.25">
      <c r="A17" s="1471"/>
      <c r="B17" s="374" t="s">
        <v>93</v>
      </c>
      <c r="C17" s="106" t="s">
        <v>14</v>
      </c>
      <c r="D17" s="107">
        <v>6</v>
      </c>
      <c r="E17" s="177">
        <f t="shared" si="5"/>
        <v>3.4918414918414951</v>
      </c>
      <c r="F17" s="109">
        <v>0.75</v>
      </c>
      <c r="G17" s="103">
        <f t="shared" si="0"/>
        <v>20.951048951048971</v>
      </c>
      <c r="H17" s="102">
        <f t="shared" si="1"/>
        <v>15.713286713286728</v>
      </c>
      <c r="I17" s="65">
        <f>VLOOKUP(B17,All_Ingredients!$A$1:$F$156,6,FALSE())</f>
        <v>1</v>
      </c>
      <c r="J17" s="103">
        <f>VLOOKUP(B17,All_Ingredients!$A$1:$J$156,10,FALSE())</f>
        <v>0.74</v>
      </c>
      <c r="K17" s="104">
        <f t="shared" si="6"/>
        <v>1.5713286713286728E-2</v>
      </c>
      <c r="L17" s="104">
        <f t="shared" si="7"/>
        <v>1.1627832167832178E-2</v>
      </c>
      <c r="M17" s="112"/>
      <c r="N17" s="112"/>
    </row>
    <row r="18" spans="1:31" ht="14.25" customHeight="1" x14ac:dyDescent="0.25">
      <c r="A18" s="1471"/>
      <c r="B18" s="200" t="s">
        <v>837</v>
      </c>
      <c r="C18" s="106" t="s">
        <v>14</v>
      </c>
      <c r="D18" s="107">
        <v>2</v>
      </c>
      <c r="E18" s="177">
        <f t="shared" si="5"/>
        <v>3.4918414918414951</v>
      </c>
      <c r="F18" s="109">
        <v>1</v>
      </c>
      <c r="G18" s="103">
        <f t="shared" si="0"/>
        <v>6.9836829836829901</v>
      </c>
      <c r="H18" s="102">
        <f t="shared" si="1"/>
        <v>6.9836829836829901</v>
      </c>
      <c r="I18" s="65">
        <f>VLOOKUP(B18,All_Ingredients!$A$1:$F$156,6,FALSE())</f>
        <v>1</v>
      </c>
      <c r="J18" s="103">
        <f>VLOOKUP(B18,All_Ingredients!$A$1:$J$156,10,FALSE())</f>
        <v>22.5</v>
      </c>
      <c r="K18" s="104">
        <f t="shared" si="6"/>
        <v>6.9836829836829898E-3</v>
      </c>
      <c r="L18" s="104">
        <f t="shared" si="7"/>
        <v>0.15713286713286728</v>
      </c>
      <c r="M18" s="112"/>
      <c r="N18" s="112"/>
    </row>
    <row r="19" spans="1:31" ht="14.25" customHeight="1" x14ac:dyDescent="0.25">
      <c r="A19" s="1471"/>
      <c r="B19" s="388" t="s">
        <v>152</v>
      </c>
      <c r="C19" s="389" t="s">
        <v>14</v>
      </c>
      <c r="D19" s="390">
        <v>20</v>
      </c>
      <c r="E19" s="391">
        <f t="shared" si="5"/>
        <v>3.4918414918414951</v>
      </c>
      <c r="F19" s="109">
        <v>1</v>
      </c>
      <c r="G19" s="103">
        <f t="shared" si="0"/>
        <v>69.836829836829907</v>
      </c>
      <c r="H19" s="102">
        <f t="shared" si="1"/>
        <v>69.836829836829907</v>
      </c>
      <c r="I19" s="65">
        <f>VLOOKUP(B19,All_Ingredients!$A$1:$F$156,6,FALSE())</f>
        <v>1</v>
      </c>
      <c r="J19" s="103">
        <f>VLOOKUP(B19,All_Ingredients!$A$1:$J$156,10,FALSE())</f>
        <v>30</v>
      </c>
      <c r="K19" s="104">
        <f t="shared" si="6"/>
        <v>6.98368298368299E-2</v>
      </c>
      <c r="L19" s="104">
        <f t="shared" si="7"/>
        <v>2.0951048951048969</v>
      </c>
      <c r="M19" s="112"/>
      <c r="N19" s="112"/>
    </row>
    <row r="20" spans="1:31" ht="14.25" customHeight="1" x14ac:dyDescent="0.25">
      <c r="A20" s="1472"/>
      <c r="B20" s="200" t="s">
        <v>187</v>
      </c>
      <c r="C20" s="106" t="s">
        <v>14</v>
      </c>
      <c r="D20" s="107">
        <v>30</v>
      </c>
      <c r="E20" s="201">
        <f t="shared" si="5"/>
        <v>3.4918414918414951</v>
      </c>
      <c r="F20" s="109">
        <v>0.75</v>
      </c>
      <c r="G20" s="101">
        <f t="shared" si="0"/>
        <v>104.75524475524485</v>
      </c>
      <c r="H20" s="102">
        <f t="shared" si="1"/>
        <v>78.566433566433631</v>
      </c>
      <c r="I20" s="65">
        <f>VLOOKUP(B20,All_Ingredients!$A$1:$F$156,6,FALSE())</f>
        <v>0.9</v>
      </c>
      <c r="J20" s="101">
        <f>VLOOKUP(B20,All_Ingredients!$A$1:$J$156,10,FALSE())</f>
        <v>2.3199999999999998</v>
      </c>
      <c r="K20" s="104">
        <f t="shared" si="6"/>
        <v>8.7296037296037368E-2</v>
      </c>
      <c r="L20" s="104">
        <f t="shared" si="7"/>
        <v>0.20252680652680669</v>
      </c>
    </row>
    <row r="21" spans="1:31" ht="14.25" customHeight="1" x14ac:dyDescent="0.25">
      <c r="A21" s="1472"/>
      <c r="L21" s="274"/>
    </row>
    <row r="22" spans="1:31" ht="14.25" customHeight="1" x14ac:dyDescent="0.25">
      <c r="A22" s="1472"/>
      <c r="B22" s="76"/>
      <c r="C22" s="114"/>
      <c r="D22" s="232"/>
      <c r="E22" s="273"/>
      <c r="F22" s="117"/>
      <c r="G22" s="118"/>
      <c r="H22" s="119"/>
      <c r="L22" s="274"/>
      <c r="R22"/>
    </row>
    <row r="23" spans="1:31" ht="14.25" customHeight="1" x14ac:dyDescent="0.25">
      <c r="A23" s="1472"/>
      <c r="B23" s="76"/>
      <c r="C23" s="114"/>
      <c r="D23" s="232"/>
      <c r="E23" s="273"/>
      <c r="F23" s="117"/>
      <c r="G23" s="118"/>
      <c r="H23" s="119"/>
      <c r="L23" s="274"/>
    </row>
    <row r="24" spans="1:31" ht="14.25" customHeight="1" x14ac:dyDescent="0.25">
      <c r="A24" s="1472"/>
      <c r="L24" s="274"/>
      <c r="Z24" s="1073"/>
    </row>
    <row r="25" spans="1:31" ht="14.25" customHeight="1" x14ac:dyDescent="0.25">
      <c r="A25" s="1472"/>
      <c r="L25" s="274"/>
      <c r="R25" s="1640" t="s">
        <v>374</v>
      </c>
      <c r="S25" s="1633"/>
      <c r="T25" s="1633"/>
      <c r="U25" s="1633"/>
      <c r="V25" s="997"/>
      <c r="Z25" s="122" t="s">
        <v>252</v>
      </c>
      <c r="AA25" s="123">
        <v>1</v>
      </c>
      <c r="AB25" s="122" t="s">
        <v>249</v>
      </c>
      <c r="AC25" s="124">
        <f>(AA25*AE30)+(AA30*(AB28/R1))</f>
        <v>3.0005514359904714E-2</v>
      </c>
    </row>
    <row r="26" spans="1:31" ht="14.25" customHeight="1" x14ac:dyDescent="0.25">
      <c r="A26" s="1472"/>
      <c r="L26" s="274"/>
      <c r="R26" s="1638" t="s">
        <v>297</v>
      </c>
      <c r="S26" s="1639"/>
      <c r="T26" s="1639"/>
      <c r="U26" s="1639"/>
      <c r="V26" s="997"/>
    </row>
    <row r="27" spans="1:31" ht="14.25" customHeight="1" thickBot="1" x14ac:dyDescent="0.3">
      <c r="A27" s="1472"/>
      <c r="R27" s="126" t="s">
        <v>254</v>
      </c>
      <c r="S27" s="127" t="s">
        <v>255</v>
      </c>
      <c r="T27" s="127" t="s">
        <v>256</v>
      </c>
      <c r="U27" s="127" t="s">
        <v>257</v>
      </c>
      <c r="V27" s="127" t="s">
        <v>772</v>
      </c>
      <c r="W27" s="127" t="s">
        <v>779</v>
      </c>
      <c r="Z27" s="122" t="s">
        <v>258</v>
      </c>
      <c r="AA27" s="1031" t="s">
        <v>312</v>
      </c>
      <c r="AB27" s="128" t="s">
        <v>259</v>
      </c>
      <c r="AC27" s="128" t="s">
        <v>260</v>
      </c>
      <c r="AD27" s="1032" t="s">
        <v>779</v>
      </c>
      <c r="AE27" s="128" t="s">
        <v>262</v>
      </c>
    </row>
    <row r="28" spans="1:31" ht="20.25" customHeight="1" thickBot="1" x14ac:dyDescent="0.3">
      <c r="A28" s="1472"/>
      <c r="R28" s="129" t="s">
        <v>263</v>
      </c>
      <c r="S28" s="690">
        <f>U28*S40</f>
        <v>11523.07692307692</v>
      </c>
      <c r="T28" s="690">
        <f>U28*U40</f>
        <v>3456.9230769230803</v>
      </c>
      <c r="U28" s="696">
        <f>$Z$1</f>
        <v>14980</v>
      </c>
      <c r="V28" s="130">
        <f>SUM(AP5:AP13)</f>
        <v>1445.2672750977833</v>
      </c>
      <c r="W28" s="130">
        <f>SUM(H37:H39)</f>
        <v>1152.9000000000001</v>
      </c>
      <c r="Z28" s="132"/>
      <c r="AA28" s="1034"/>
      <c r="AB28" s="133">
        <f>AA25*$S$40</f>
        <v>0.76923076923076905</v>
      </c>
      <c r="AC28" s="133">
        <f>AA25*$U$40</f>
        <v>0.230769230769231</v>
      </c>
      <c r="AD28" s="1034"/>
      <c r="AE28" s="135">
        <f>SUM(AB28:AC28)</f>
        <v>1</v>
      </c>
    </row>
    <row r="29" spans="1:31" ht="14.25" customHeight="1" thickBot="1" x14ac:dyDescent="0.3">
      <c r="A29" s="1472"/>
      <c r="R29" s="129" t="s">
        <v>264</v>
      </c>
      <c r="S29" s="692"/>
      <c r="T29" s="690"/>
      <c r="U29" s="130">
        <f>T29</f>
        <v>0</v>
      </c>
      <c r="V29" s="130"/>
      <c r="W29" s="130"/>
      <c r="Z29" s="132"/>
      <c r="AA29" s="1038"/>
      <c r="AB29" s="137">
        <f>AB28/$AE$28</f>
        <v>0.76923076923076905</v>
      </c>
      <c r="AC29" s="137">
        <f>AC28/$AE$28</f>
        <v>0.230769230769231</v>
      </c>
      <c r="AD29" s="1038"/>
      <c r="AE29" s="137">
        <f>AE28/$AE$28</f>
        <v>1</v>
      </c>
    </row>
    <row r="30" spans="1:31" ht="14.25" customHeight="1" thickBot="1" x14ac:dyDescent="0.3">
      <c r="A30" s="1472"/>
      <c r="R30" s="129" t="s">
        <v>265</v>
      </c>
      <c r="S30" s="1162">
        <f>U30*S40</f>
        <v>0</v>
      </c>
      <c r="T30" s="690">
        <f>U30*U40</f>
        <v>0</v>
      </c>
      <c r="U30" s="696">
        <f>$AB$1</f>
        <v>0</v>
      </c>
      <c r="V30" s="989"/>
      <c r="W30" s="989"/>
      <c r="Z30" s="122" t="s">
        <v>266</v>
      </c>
      <c r="AA30" s="1042">
        <f>V35/(S32/R1)</f>
        <v>5.0129290525007767E-4</v>
      </c>
      <c r="AB30" s="138">
        <f>S35/(S32)</f>
        <v>3.3701221915648408E-2</v>
      </c>
      <c r="AC30" s="139">
        <f>T35/T32</f>
        <v>1.158456067157489E-2</v>
      </c>
      <c r="AD30" s="1045">
        <f>W35/U32</f>
        <v>7.5456119908151576E-4</v>
      </c>
      <c r="AE30" s="1047">
        <f>SUMPRODUCT(AB30:AC30,AB29:AC29)+AD30</f>
        <v>2.9351938212251419E-2</v>
      </c>
    </row>
    <row r="31" spans="1:31" ht="14.25" customHeight="1" thickBot="1" x14ac:dyDescent="0.3">
      <c r="A31" s="1472"/>
      <c r="R31" s="129" t="s">
        <v>267</v>
      </c>
      <c r="S31" s="136"/>
      <c r="T31" s="130"/>
      <c r="U31" s="130"/>
      <c r="V31" s="130"/>
      <c r="W31" s="130"/>
    </row>
    <row r="32" spans="1:31" ht="14.25" customHeight="1" thickBot="1" x14ac:dyDescent="0.3">
      <c r="A32" s="1472"/>
      <c r="R32" s="141" t="s">
        <v>257</v>
      </c>
      <c r="S32" s="130">
        <f>S28+S30</f>
        <v>11523.07692307692</v>
      </c>
      <c r="T32" s="130">
        <f>SUM(T28:T30)</f>
        <v>3456.9230769230803</v>
      </c>
      <c r="U32" s="130">
        <f>SUM(U28:U30)</f>
        <v>14980</v>
      </c>
      <c r="V32" s="130"/>
      <c r="W32" s="130">
        <f>SUM(W28:W30)</f>
        <v>1152.9000000000001</v>
      </c>
    </row>
    <row r="33" spans="1:23" ht="14.25" customHeight="1" thickBot="1" x14ac:dyDescent="0.3">
      <c r="A33" s="1472"/>
      <c r="R33" s="142" t="s">
        <v>268</v>
      </c>
      <c r="S33" s="136"/>
      <c r="T33" s="136"/>
      <c r="U33" s="136"/>
      <c r="V33" s="136"/>
      <c r="W33" s="136"/>
    </row>
    <row r="34" spans="1:23" ht="14.25" customHeight="1" thickBot="1" x14ac:dyDescent="0.3">
      <c r="A34" s="1472"/>
      <c r="R34" s="143" t="s">
        <v>269</v>
      </c>
      <c r="S34" s="136"/>
      <c r="T34" s="130"/>
      <c r="U34" s="136"/>
      <c r="V34" s="136"/>
      <c r="W34" s="136"/>
    </row>
    <row r="35" spans="1:23" ht="18.75" customHeight="1" thickBot="1" x14ac:dyDescent="0.3">
      <c r="A35" s="1472"/>
      <c r="B35" s="1681" t="s">
        <v>694</v>
      </c>
      <c r="C35" s="1681"/>
      <c r="D35" s="1681"/>
      <c r="E35" s="1681"/>
      <c r="F35" s="1681"/>
      <c r="G35" s="797"/>
      <c r="H35" s="797"/>
      <c r="I35" s="803"/>
      <c r="J35" s="803"/>
      <c r="K35" s="803"/>
      <c r="L35" s="803"/>
      <c r="R35" s="144" t="s">
        <v>249</v>
      </c>
      <c r="S35" s="990">
        <f>$L$5</f>
        <v>388.34177253570232</v>
      </c>
      <c r="T35" s="990">
        <f>SUM(L6:L19)</f>
        <v>40.046935121582777</v>
      </c>
      <c r="U35" s="1049">
        <f>S35+T35+V35+W35</f>
        <v>449.48260511137255</v>
      </c>
      <c r="V35" s="990">
        <f>SUM(AT6:AT13)</f>
        <v>9.790570691846364</v>
      </c>
      <c r="W35" s="130">
        <f>SUM(L37:L39)</f>
        <v>11.303326762241106</v>
      </c>
    </row>
    <row r="36" spans="1:23" ht="47.25"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1472"/>
      <c r="B37" s="772" t="s">
        <v>28</v>
      </c>
      <c r="C37" s="773" t="s">
        <v>14</v>
      </c>
      <c r="D37" s="774">
        <v>3.66</v>
      </c>
      <c r="E37" s="772">
        <f>$AD$1</f>
        <v>105</v>
      </c>
      <c r="F37" s="1016">
        <f>D37*E37</f>
        <v>384.3</v>
      </c>
      <c r="H37" s="772">
        <f>F37</f>
        <v>384.3</v>
      </c>
      <c r="I37" s="772">
        <f>VLOOKUP(B37,All_Ingredients!$A$1:$F$156,6,FALSE())</f>
        <v>0.73</v>
      </c>
      <c r="J37" s="772">
        <f>VLOOKUP(B37,All_Ingredients!$A$1:$J$156,10,FALSE())</f>
        <v>8.5</v>
      </c>
      <c r="K37" s="772">
        <f>(H37/I37)/1000</f>
        <v>0.5264383561643835</v>
      </c>
      <c r="L37" s="772">
        <f t="shared" ref="L37" si="12">K37*J37</f>
        <v>4.47472602739726</v>
      </c>
    </row>
    <row r="38" spans="1:23" x14ac:dyDescent="0.25">
      <c r="A38" s="1472"/>
      <c r="B38" s="772" t="s">
        <v>30</v>
      </c>
      <c r="C38" s="773" t="s">
        <v>14</v>
      </c>
      <c r="D38" s="774">
        <v>3.66</v>
      </c>
      <c r="E38" s="772">
        <f>$AD$1</f>
        <v>105</v>
      </c>
      <c r="F38" s="1016">
        <f>D38*E38</f>
        <v>384.3</v>
      </c>
      <c r="H38" s="772">
        <f>F38</f>
        <v>384.3</v>
      </c>
      <c r="I38" s="772">
        <f>VLOOKUP(B38,All_Ingredients!$A$1:$F$156,6,FALSE())</f>
        <v>0.71</v>
      </c>
      <c r="J38" s="772">
        <f>VLOOKUP(B38,All_Ingredients!$A$1:$J$156,10,FALSE())</f>
        <v>8.5</v>
      </c>
      <c r="K38" s="772">
        <f t="shared" ref="K38:K39" si="13">(H38/I38)/1000</f>
        <v>0.54126760563380283</v>
      </c>
      <c r="L38" s="772">
        <f t="shared" ref="L38:L39" si="14">K38*J38</f>
        <v>4.6007746478873237</v>
      </c>
    </row>
    <row r="39" spans="1:23" x14ac:dyDescent="0.25">
      <c r="A39" s="1472"/>
      <c r="B39" s="772" t="s">
        <v>32</v>
      </c>
      <c r="C39" s="773" t="s">
        <v>14</v>
      </c>
      <c r="D39" s="774">
        <v>3.66</v>
      </c>
      <c r="E39" s="772">
        <f>$AD$1</f>
        <v>105</v>
      </c>
      <c r="F39" s="1016">
        <f>D39*E39</f>
        <v>384.3</v>
      </c>
      <c r="H39" s="772">
        <f>F39</f>
        <v>384.3</v>
      </c>
      <c r="I39" s="772">
        <f>VLOOKUP(B39,All_Ingredients!$A$1:$F$156,6,FALSE())</f>
        <v>0.69</v>
      </c>
      <c r="J39" s="772">
        <f>VLOOKUP(B39,All_Ingredients!$A$1:$J$156,10,FALSE())</f>
        <v>4</v>
      </c>
      <c r="K39" s="772">
        <f t="shared" si="13"/>
        <v>0.55695652173913046</v>
      </c>
      <c r="L39" s="772">
        <f t="shared" si="14"/>
        <v>2.2278260869565218</v>
      </c>
    </row>
    <row r="40" spans="1:23" ht="19.5" customHeight="1" x14ac:dyDescent="0.25">
      <c r="A40" s="1472"/>
      <c r="R40" s="146" t="s">
        <v>270</v>
      </c>
      <c r="S40" s="147">
        <v>0.76923076923076905</v>
      </c>
      <c r="T40" s="146" t="s">
        <v>271</v>
      </c>
      <c r="U40" s="148">
        <v>0.230769230769231</v>
      </c>
      <c r="V40" s="149">
        <f>S40+U40</f>
        <v>1</v>
      </c>
    </row>
    <row r="41" spans="1:23" ht="14.25" customHeight="1" x14ac:dyDescent="0.25">
      <c r="A41" s="1472"/>
      <c r="U41" s="150"/>
    </row>
    <row r="42" spans="1:23"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43334</v>
      </c>
      <c r="R44" s="154">
        <f>D51</f>
        <v>10000</v>
      </c>
      <c r="S44" s="219">
        <v>1</v>
      </c>
      <c r="T44" s="155">
        <v>0</v>
      </c>
      <c r="U44" s="220">
        <f>R44*S44</f>
        <v>10000</v>
      </c>
      <c r="V44" s="157">
        <f>R44*T44</f>
        <v>0</v>
      </c>
      <c r="W44" s="237">
        <f>Q44-U44</f>
        <v>33334</v>
      </c>
    </row>
    <row r="45" spans="1:23" x14ac:dyDescent="0.25">
      <c r="A45" s="1472"/>
    </row>
    <row r="46" spans="1:23" x14ac:dyDescent="0.25">
      <c r="A46" s="1472"/>
    </row>
    <row r="47" spans="1:23" x14ac:dyDescent="0.25">
      <c r="A47" s="1472"/>
    </row>
    <row r="48" spans="1:23" ht="14.25" customHeight="1" x14ac:dyDescent="0.25">
      <c r="A48" s="1472"/>
    </row>
    <row r="49" spans="1:10" ht="14.25" customHeight="1" x14ac:dyDescent="0.25">
      <c r="A49" s="1472"/>
    </row>
    <row r="50" spans="1:10" x14ac:dyDescent="0.25">
      <c r="A50" s="1472"/>
      <c r="B50" s="253"/>
      <c r="C50" s="126" t="s">
        <v>233</v>
      </c>
      <c r="D50" s="126" t="s">
        <v>279</v>
      </c>
      <c r="E50" s="164"/>
      <c r="F50" s="84"/>
      <c r="G50" s="126" t="s">
        <v>280</v>
      </c>
      <c r="H50" s="126" t="s">
        <v>233</v>
      </c>
      <c r="I50" s="126" t="s">
        <v>281</v>
      </c>
      <c r="J50" s="126" t="s">
        <v>282</v>
      </c>
    </row>
    <row r="51" spans="1:10" ht="14.25" customHeight="1" x14ac:dyDescent="0.25">
      <c r="A51" s="1472"/>
      <c r="B51" s="161" t="s">
        <v>283</v>
      </c>
      <c r="C51" s="162">
        <f>10/$K$1</f>
        <v>10.1010101010101</v>
      </c>
      <c r="D51" s="163">
        <f>$C$1*10</f>
        <v>10000</v>
      </c>
      <c r="E51" s="164"/>
      <c r="F51" s="84"/>
      <c r="G51" s="161" t="s">
        <v>283</v>
      </c>
      <c r="H51" s="254">
        <f>I51/$D$5</f>
        <v>10</v>
      </c>
      <c r="I51" s="162">
        <f>J51/$R$1</f>
        <v>56498.305084745763</v>
      </c>
      <c r="J51" s="162">
        <f>$W$44</f>
        <v>33334</v>
      </c>
    </row>
    <row r="52" spans="1:10" ht="14.25" customHeight="1" x14ac:dyDescent="0.25">
      <c r="A52" s="1472"/>
      <c r="B52" s="209" t="s">
        <v>262</v>
      </c>
      <c r="C52" s="210">
        <f>$I$1</f>
        <v>3.4918414918414951</v>
      </c>
      <c r="D52" s="211">
        <f>$E$1</f>
        <v>3456.9230769230803</v>
      </c>
      <c r="E52" s="84"/>
      <c r="F52" s="84"/>
      <c r="G52" s="129" t="s">
        <v>262</v>
      </c>
      <c r="H52" s="190">
        <f>I52/$D$5</f>
        <v>3.456853939844279</v>
      </c>
      <c r="I52" s="157">
        <f>J52/$R$1</f>
        <v>19530.638852672746</v>
      </c>
      <c r="J52" s="165">
        <f>$S$32</f>
        <v>11523.07692307692</v>
      </c>
    </row>
    <row r="53" spans="1:10" ht="14.25" customHeight="1" x14ac:dyDescent="0.25">
      <c r="A53" s="1472"/>
      <c r="B53" s="209" t="s">
        <v>284</v>
      </c>
      <c r="C53" s="212">
        <f>MIN(C52, C51)</f>
        <v>3.4918414918414951</v>
      </c>
      <c r="D53" s="211">
        <f>(C53*$K$1)*$C$1</f>
        <v>3456.9230769230803</v>
      </c>
      <c r="E53" s="84"/>
      <c r="F53" s="84"/>
      <c r="G53" s="129" t="s">
        <v>284</v>
      </c>
      <c r="H53" s="168">
        <f>MIN(H52,H51)</f>
        <v>3.456853939844279</v>
      </c>
      <c r="I53" s="157">
        <f>J53/$R$1</f>
        <v>19530.638852672746</v>
      </c>
      <c r="J53" s="157">
        <f>MIN(J52,J51)</f>
        <v>11523.07692307692</v>
      </c>
    </row>
    <row r="54" spans="1:10" ht="14.25" customHeight="1"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0" ht="14.25" customHeight="1"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ht="14.25" customHeight="1" x14ac:dyDescent="0.25">
      <c r="A56" s="1472"/>
    </row>
    <row r="57" spans="1:10" x14ac:dyDescent="0.25">
      <c r="A57" s="1472"/>
    </row>
    <row r="58" spans="1:10" x14ac:dyDescent="0.25">
      <c r="A58" s="1472"/>
    </row>
    <row r="59" spans="1:10" x14ac:dyDescent="0.25">
      <c r="A59" s="1472"/>
    </row>
    <row r="60" spans="1:10" x14ac:dyDescent="0.25">
      <c r="A60" s="1472"/>
    </row>
    <row r="61" spans="1:10" ht="18" x14ac:dyDescent="0.25">
      <c r="A61" s="1472"/>
      <c r="I61" s="239"/>
      <c r="J61" s="239"/>
    </row>
    <row r="62" spans="1:10" ht="18" customHeight="1" x14ac:dyDescent="0.25">
      <c r="A62" s="1473"/>
      <c r="B62" s="1701" t="str">
        <f>"  دجاج مكروني بالخضار 1 / " &amp; COUNTIF($C$53:$C$55, "&gt;0")</f>
        <v xml:space="preserve">  دجاج مكروني بالخضار 1 / 1</v>
      </c>
      <c r="C62" s="1637"/>
      <c r="D62" s="1637"/>
      <c r="E62" s="1637"/>
      <c r="F62" s="1637"/>
      <c r="G62" s="1637"/>
      <c r="H62" s="1702"/>
      <c r="I62" s="239"/>
      <c r="J62" s="239"/>
    </row>
    <row r="63" spans="1:10" ht="30" customHeight="1" x14ac:dyDescent="0.25">
      <c r="A63" s="1473"/>
      <c r="B63" s="1697" t="str">
        <f>" Chicken Pasta with Vegetables 1 / " &amp; COUNTIF($C$53:$C$55, "&gt;0")</f>
        <v xml:space="preserve"> Chicken Pasta with Vegetables 1 / 1</v>
      </c>
      <c r="C63" s="1635"/>
      <c r="D63" s="1635"/>
      <c r="E63" s="1635"/>
      <c r="F63" s="1635"/>
      <c r="G63" s="1635"/>
      <c r="H63" s="1698"/>
      <c r="I63" s="347"/>
      <c r="J63" s="347"/>
    </row>
    <row r="64" spans="1:10" ht="53.25" customHeight="1" x14ac:dyDescent="0.2">
      <c r="A64" s="1457"/>
      <c r="B64" s="75" t="s">
        <v>241</v>
      </c>
      <c r="C64" s="90" t="s">
        <v>242</v>
      </c>
      <c r="D64" s="75" t="s">
        <v>231</v>
      </c>
      <c r="E64" s="91" t="s">
        <v>234</v>
      </c>
      <c r="F64" s="91" t="s">
        <v>243</v>
      </c>
      <c r="G64" s="73" t="s">
        <v>244</v>
      </c>
      <c r="H64" s="92" t="s">
        <v>245</v>
      </c>
      <c r="I64" s="76"/>
      <c r="J64" s="120"/>
    </row>
    <row r="65" spans="1:10" ht="14.25" customHeight="1" x14ac:dyDescent="0.25">
      <c r="A65" s="1471"/>
      <c r="B65" s="65" t="str">
        <f t="shared" ref="B65:D78" si="15">B5</f>
        <v>Chicken - دجاج</v>
      </c>
      <c r="C65" s="65" t="str">
        <f t="shared" si="15"/>
        <v>gm</v>
      </c>
      <c r="D65" s="101">
        <f t="shared" si="15"/>
        <v>5649.8305084745762</v>
      </c>
      <c r="E65" s="108">
        <f>H53</f>
        <v>3.456853939844279</v>
      </c>
      <c r="F65" s="109">
        <f t="shared" ref="F65:F80" si="16">F5</f>
        <v>1</v>
      </c>
      <c r="G65" s="394">
        <f t="shared" ref="G65:G78" si="17">D65*E65</f>
        <v>19530.638852672746</v>
      </c>
      <c r="H65" s="102">
        <f t="shared" ref="H65:H78" si="18">G65*F65</f>
        <v>19530.638852672746</v>
      </c>
      <c r="I65" s="76"/>
      <c r="J65" s="120"/>
    </row>
    <row r="66" spans="1:10" ht="14.25" customHeight="1" x14ac:dyDescent="0.25">
      <c r="A66" s="1471" t="s">
        <v>907</v>
      </c>
      <c r="B66" s="65" t="str">
        <f t="shared" si="15"/>
        <v>Garlic - ثوم مقشر</v>
      </c>
      <c r="C66" s="65" t="str">
        <f t="shared" si="15"/>
        <v>gm</v>
      </c>
      <c r="D66" s="65">
        <f t="shared" si="15"/>
        <v>20</v>
      </c>
      <c r="E66" s="108">
        <f t="shared" ref="E66:E80" si="19">$C$53</f>
        <v>3.4918414918414951</v>
      </c>
      <c r="F66" s="109">
        <f t="shared" si="16"/>
        <v>1</v>
      </c>
      <c r="G66" s="394">
        <f t="shared" si="17"/>
        <v>69.836829836829907</v>
      </c>
      <c r="H66" s="102">
        <f t="shared" si="18"/>
        <v>69.836829836829907</v>
      </c>
      <c r="I66" s="76"/>
      <c r="J66" s="120"/>
    </row>
    <row r="67" spans="1:10" ht="14.25" customHeight="1" x14ac:dyDescent="0.25">
      <c r="A67" s="1471" t="s">
        <v>906</v>
      </c>
      <c r="B67" s="65" t="str">
        <f t="shared" si="15"/>
        <v>Ginger - زنجبيل</v>
      </c>
      <c r="C67" s="65" t="str">
        <f t="shared" si="15"/>
        <v>gm</v>
      </c>
      <c r="D67" s="65">
        <f t="shared" si="15"/>
        <v>20</v>
      </c>
      <c r="E67" s="108">
        <f t="shared" si="19"/>
        <v>3.4918414918414951</v>
      </c>
      <c r="F67" s="109">
        <f t="shared" si="16"/>
        <v>1</v>
      </c>
      <c r="G67" s="394">
        <f t="shared" si="17"/>
        <v>69.836829836829907</v>
      </c>
      <c r="H67" s="102">
        <f t="shared" si="18"/>
        <v>69.836829836829907</v>
      </c>
      <c r="I67" s="76"/>
      <c r="J67" s="120"/>
    </row>
    <row r="68" spans="1:10" ht="14.25" customHeight="1" x14ac:dyDescent="0.25">
      <c r="A68" s="1471"/>
      <c r="B68" s="65" t="str">
        <f t="shared" si="15"/>
        <v>Honey - عسل</v>
      </c>
      <c r="C68" s="65" t="str">
        <f t="shared" si="15"/>
        <v>gm</v>
      </c>
      <c r="D68" s="65">
        <f t="shared" si="15"/>
        <v>50</v>
      </c>
      <c r="E68" s="108">
        <f t="shared" si="19"/>
        <v>3.4918414918414951</v>
      </c>
      <c r="F68" s="109">
        <f t="shared" si="16"/>
        <v>1</v>
      </c>
      <c r="G68" s="394">
        <f t="shared" si="17"/>
        <v>174.59207459207477</v>
      </c>
      <c r="H68" s="102">
        <f t="shared" si="18"/>
        <v>174.59207459207477</v>
      </c>
      <c r="I68" s="76"/>
      <c r="J68" s="120"/>
    </row>
    <row r="69" spans="1:10" ht="14.25" customHeight="1" x14ac:dyDescent="0.25">
      <c r="A69" s="1471"/>
      <c r="B69" s="65" t="str">
        <f t="shared" si="15"/>
        <v>Tomato Ketchup - كاتشب طماطم</v>
      </c>
      <c r="C69" s="65" t="str">
        <f t="shared" si="15"/>
        <v>ml</v>
      </c>
      <c r="D69" s="65">
        <f t="shared" si="15"/>
        <v>200</v>
      </c>
      <c r="E69" s="108">
        <f>$C$53</f>
        <v>3.4918414918414951</v>
      </c>
      <c r="F69" s="109">
        <f t="shared" si="16"/>
        <v>1</v>
      </c>
      <c r="G69" s="394">
        <f t="shared" si="17"/>
        <v>698.36829836829907</v>
      </c>
      <c r="H69" s="102">
        <f t="shared" si="18"/>
        <v>698.36829836829907</v>
      </c>
      <c r="I69" s="76"/>
      <c r="J69" s="120"/>
    </row>
    <row r="70" spans="1:10" ht="14.25" customHeight="1" x14ac:dyDescent="0.25">
      <c r="A70" s="1471"/>
      <c r="B70" s="65" t="str">
        <f t="shared" si="15"/>
        <v>Tomato Paste - صلصة طماطم</v>
      </c>
      <c r="C70" s="65" t="str">
        <f t="shared" si="15"/>
        <v>gm</v>
      </c>
      <c r="D70" s="65">
        <f t="shared" si="15"/>
        <v>20</v>
      </c>
      <c r="E70" s="108">
        <f t="shared" si="19"/>
        <v>3.4918414918414951</v>
      </c>
      <c r="F70" s="109">
        <f t="shared" si="16"/>
        <v>1</v>
      </c>
      <c r="G70" s="394">
        <f t="shared" si="17"/>
        <v>69.836829836829907</v>
      </c>
      <c r="H70" s="102">
        <f t="shared" si="18"/>
        <v>69.836829836829907</v>
      </c>
      <c r="I70" s="76"/>
      <c r="J70" s="120"/>
    </row>
    <row r="71" spans="1:10" ht="14.25" customHeight="1" x14ac:dyDescent="0.25">
      <c r="A71" s="1471"/>
      <c r="B71" s="65" t="str">
        <f t="shared" si="15"/>
        <v>Maggi Cubes - مكعبات ماجي</v>
      </c>
      <c r="C71" s="65" t="str">
        <f t="shared" si="15"/>
        <v>gm</v>
      </c>
      <c r="D71" s="65">
        <f t="shared" si="15"/>
        <v>10</v>
      </c>
      <c r="E71" s="108">
        <f t="shared" si="19"/>
        <v>3.4918414918414951</v>
      </c>
      <c r="F71" s="109">
        <f t="shared" si="16"/>
        <v>0.75</v>
      </c>
      <c r="G71" s="394">
        <f t="shared" si="17"/>
        <v>34.918414918414953</v>
      </c>
      <c r="H71" s="102">
        <f t="shared" si="18"/>
        <v>26.188811188811215</v>
      </c>
      <c r="I71" s="76"/>
      <c r="J71" s="120"/>
    </row>
    <row r="72" spans="1:10" ht="14.25" customHeight="1" x14ac:dyDescent="0.25">
      <c r="A72" s="1471"/>
      <c r="B72" s="65" t="str">
        <f t="shared" si="15"/>
        <v>Milk - حليب</v>
      </c>
      <c r="C72" s="65" t="str">
        <f t="shared" si="15"/>
        <v>ml</v>
      </c>
      <c r="D72" s="65">
        <f t="shared" si="15"/>
        <v>100</v>
      </c>
      <c r="E72" s="108">
        <f t="shared" si="19"/>
        <v>3.4918414918414951</v>
      </c>
      <c r="F72" s="109">
        <f t="shared" si="16"/>
        <v>1</v>
      </c>
      <c r="G72" s="394">
        <f t="shared" si="17"/>
        <v>349.18414918414953</v>
      </c>
      <c r="H72" s="102">
        <f t="shared" si="18"/>
        <v>349.18414918414953</v>
      </c>
      <c r="I72" s="76"/>
      <c r="J72" s="120"/>
    </row>
    <row r="73" spans="1:10" ht="14.25" customHeight="1" x14ac:dyDescent="0.25">
      <c r="A73" s="1471"/>
      <c r="B73" s="65" t="str">
        <f t="shared" si="15"/>
        <v>Mustard - خردل</v>
      </c>
      <c r="C73" s="65" t="str">
        <f t="shared" si="15"/>
        <v>gm</v>
      </c>
      <c r="D73" s="65">
        <f t="shared" si="15"/>
        <v>25</v>
      </c>
      <c r="E73" s="108">
        <f t="shared" si="19"/>
        <v>3.4918414918414951</v>
      </c>
      <c r="F73" s="109">
        <f t="shared" si="16"/>
        <v>1</v>
      </c>
      <c r="G73" s="394">
        <f t="shared" si="17"/>
        <v>87.296037296037383</v>
      </c>
      <c r="H73" s="102">
        <f t="shared" si="18"/>
        <v>87.296037296037383</v>
      </c>
      <c r="I73" s="76"/>
      <c r="J73" s="120"/>
    </row>
    <row r="74" spans="1:10" ht="14.25" customHeight="1" x14ac:dyDescent="0.25">
      <c r="A74" s="1471"/>
      <c r="B74" s="65" t="str">
        <f t="shared" si="15"/>
        <v>Sriracha Sauce - صوص سريراتشا</v>
      </c>
      <c r="C74" s="65" t="str">
        <f t="shared" si="15"/>
        <v>ml</v>
      </c>
      <c r="D74" s="65">
        <f t="shared" si="15"/>
        <v>30</v>
      </c>
      <c r="E74" s="108">
        <f t="shared" si="19"/>
        <v>3.4918414918414951</v>
      </c>
      <c r="F74" s="109">
        <f t="shared" si="16"/>
        <v>0.75</v>
      </c>
      <c r="G74" s="394">
        <f t="shared" si="17"/>
        <v>104.75524475524485</v>
      </c>
      <c r="H74" s="102">
        <f t="shared" si="18"/>
        <v>78.566433566433631</v>
      </c>
      <c r="I74" s="76"/>
      <c r="J74" s="120"/>
    </row>
    <row r="75" spans="1:10" ht="14.25" customHeight="1" x14ac:dyDescent="0.25">
      <c r="A75" s="1471"/>
      <c r="B75" s="65" t="str">
        <f t="shared" si="15"/>
        <v>Cooking Cream - كريمة طبخ</v>
      </c>
      <c r="C75" s="65" t="str">
        <f t="shared" si="15"/>
        <v>ml</v>
      </c>
      <c r="D75" s="65">
        <f t="shared" si="15"/>
        <v>500</v>
      </c>
      <c r="E75" s="108">
        <f t="shared" si="19"/>
        <v>3.4918414918414951</v>
      </c>
      <c r="F75" s="109">
        <f t="shared" si="16"/>
        <v>1</v>
      </c>
      <c r="G75" s="394">
        <f t="shared" si="17"/>
        <v>1745.9207459207475</v>
      </c>
      <c r="H75" s="102">
        <f t="shared" si="18"/>
        <v>1745.9207459207475</v>
      </c>
      <c r="I75" s="76"/>
      <c r="J75" s="120"/>
    </row>
    <row r="76" spans="1:10" ht="14.25" customHeight="1" x14ac:dyDescent="0.25">
      <c r="A76" s="1471" t="s">
        <v>905</v>
      </c>
      <c r="B76" s="65" t="str">
        <f t="shared" si="15"/>
        <v>Onion - بصل</v>
      </c>
      <c r="C76" s="65" t="str">
        <f t="shared" si="15"/>
        <v>gm</v>
      </c>
      <c r="D76" s="65">
        <f t="shared" si="15"/>
        <v>100</v>
      </c>
      <c r="E76" s="108">
        <f t="shared" si="19"/>
        <v>3.4918414918414951</v>
      </c>
      <c r="F76" s="109">
        <f t="shared" si="16"/>
        <v>0.95</v>
      </c>
      <c r="G76" s="394">
        <f t="shared" si="17"/>
        <v>349.18414918414953</v>
      </c>
      <c r="H76" s="102">
        <f t="shared" si="18"/>
        <v>331.72494172494203</v>
      </c>
      <c r="I76" s="76"/>
      <c r="J76" s="120"/>
    </row>
    <row r="77" spans="1:10" ht="14.25" customHeight="1" x14ac:dyDescent="0.25">
      <c r="A77" s="1471"/>
      <c r="B77" s="65" t="str">
        <f t="shared" si="15"/>
        <v>Salt - ملح</v>
      </c>
      <c r="C77" s="65" t="str">
        <f t="shared" si="15"/>
        <v>gm</v>
      </c>
      <c r="D77" s="65">
        <f t="shared" si="15"/>
        <v>6</v>
      </c>
      <c r="E77" s="108">
        <f t="shared" si="19"/>
        <v>3.4918414918414951</v>
      </c>
      <c r="F77" s="109">
        <f t="shared" si="16"/>
        <v>0.75</v>
      </c>
      <c r="G77" s="394">
        <f t="shared" si="17"/>
        <v>20.951048951048971</v>
      </c>
      <c r="H77" s="102">
        <f t="shared" si="18"/>
        <v>15.713286713286728</v>
      </c>
      <c r="I77" s="76"/>
      <c r="J77" s="120"/>
    </row>
    <row r="78" spans="1:10" ht="14.25" customHeight="1" x14ac:dyDescent="0.25">
      <c r="A78" s="1471"/>
      <c r="B78" s="65" t="str">
        <f t="shared" si="15"/>
        <v>Saffron yellow color powder - لون صفار زعفران بودر</v>
      </c>
      <c r="C78" s="65" t="str">
        <f t="shared" si="15"/>
        <v>gm</v>
      </c>
      <c r="D78" s="65">
        <f t="shared" si="15"/>
        <v>2</v>
      </c>
      <c r="E78" s="108">
        <f t="shared" si="19"/>
        <v>3.4918414918414951</v>
      </c>
      <c r="F78" s="109">
        <f t="shared" si="16"/>
        <v>1</v>
      </c>
      <c r="G78" s="394">
        <f t="shared" si="17"/>
        <v>6.9836829836829901</v>
      </c>
      <c r="H78" s="102">
        <f t="shared" si="18"/>
        <v>6.9836829836829901</v>
      </c>
      <c r="I78" s="76"/>
      <c r="J78" s="120"/>
    </row>
    <row r="79" spans="1:10" ht="14.25" customHeight="1" x14ac:dyDescent="0.3">
      <c r="A79" s="1471"/>
      <c r="B79" s="65" t="str">
        <f t="shared" ref="B79:D79" si="20">B19</f>
        <v>Butter - زبدة</v>
      </c>
      <c r="C79" s="65" t="str">
        <f t="shared" si="20"/>
        <v>gm</v>
      </c>
      <c r="D79" s="65">
        <f t="shared" si="20"/>
        <v>20</v>
      </c>
      <c r="E79" s="108">
        <f t="shared" si="19"/>
        <v>3.4918414918414951</v>
      </c>
      <c r="F79" s="109">
        <f t="shared" si="16"/>
        <v>1</v>
      </c>
      <c r="G79" s="394">
        <f t="shared" ref="G79:G80" si="21">D79*E79</f>
        <v>69.836829836829907</v>
      </c>
      <c r="H79" s="102">
        <f t="shared" ref="H79:H80" si="22">G79*F79</f>
        <v>69.836829836829907</v>
      </c>
      <c r="J79" s="183"/>
    </row>
    <row r="80" spans="1:10" ht="20.25" customHeight="1" x14ac:dyDescent="0.25">
      <c r="A80" s="1471"/>
      <c r="B80" s="65" t="str">
        <f t="shared" ref="B80:D80" si="23">B20</f>
        <v>Corn Starch - نشا ذرة</v>
      </c>
      <c r="C80" s="65" t="str">
        <f t="shared" si="23"/>
        <v>gm</v>
      </c>
      <c r="D80" s="65">
        <f t="shared" si="23"/>
        <v>30</v>
      </c>
      <c r="E80" s="108">
        <f t="shared" si="19"/>
        <v>3.4918414918414951</v>
      </c>
      <c r="F80" s="109">
        <f t="shared" si="16"/>
        <v>0.75</v>
      </c>
      <c r="G80" s="394">
        <f t="shared" si="21"/>
        <v>104.75524475524485</v>
      </c>
      <c r="H80" s="102">
        <f t="shared" si="22"/>
        <v>78.566433566433631</v>
      </c>
    </row>
    <row r="81" spans="1:8" ht="18" x14ac:dyDescent="0.25">
      <c r="A81" s="1458"/>
      <c r="B81" s="178" t="s">
        <v>287</v>
      </c>
      <c r="C81" s="180" t="s">
        <v>273</v>
      </c>
      <c r="E81" s="180" t="s">
        <v>288</v>
      </c>
      <c r="G81" s="804" t="s">
        <v>264</v>
      </c>
      <c r="H81" s="804" t="s">
        <v>673</v>
      </c>
    </row>
    <row r="82" spans="1:8" ht="20.25" x14ac:dyDescent="0.3">
      <c r="A82" s="1458"/>
      <c r="B82" s="179">
        <f>$J$53</f>
        <v>11523.07692307692</v>
      </c>
      <c r="C82" s="179">
        <f>E82+G82</f>
        <v>3456.9230769230803</v>
      </c>
      <c r="D82" s="839"/>
      <c r="E82" s="179">
        <f>$D$53*$S$44</f>
        <v>3456.9230769230803</v>
      </c>
      <c r="F82" s="843"/>
      <c r="G82" s="179">
        <f>$D$53*$T$44</f>
        <v>0</v>
      </c>
      <c r="H82" s="179">
        <f>B82+E82</f>
        <v>14980</v>
      </c>
    </row>
    <row r="83" spans="1:8" x14ac:dyDescent="0.25">
      <c r="A83" s="1472"/>
    </row>
    <row r="84" spans="1:8" x14ac:dyDescent="0.25">
      <c r="A84" s="1472"/>
    </row>
    <row r="85" spans="1:8" x14ac:dyDescent="0.25">
      <c r="A85" s="1472"/>
    </row>
    <row r="86" spans="1:8" x14ac:dyDescent="0.25">
      <c r="A86" s="1472"/>
    </row>
    <row r="87" spans="1:8" x14ac:dyDescent="0.25">
      <c r="A87" s="1472"/>
    </row>
    <row r="88" spans="1:8" x14ac:dyDescent="0.25">
      <c r="A88" s="1472"/>
    </row>
    <row r="89" spans="1:8" x14ac:dyDescent="0.25">
      <c r="A89" s="1472"/>
    </row>
    <row r="90" spans="1:8" x14ac:dyDescent="0.25">
      <c r="A90" s="1472"/>
    </row>
    <row r="91" spans="1:8" x14ac:dyDescent="0.25">
      <c r="A91" s="1472"/>
    </row>
    <row r="92" spans="1:8" x14ac:dyDescent="0.25">
      <c r="A92" s="1472"/>
    </row>
    <row r="93" spans="1:8" x14ac:dyDescent="0.25">
      <c r="A93" s="1472"/>
    </row>
    <row r="94" spans="1:8" x14ac:dyDescent="0.25">
      <c r="A94" s="1472"/>
    </row>
    <row r="95" spans="1:8" x14ac:dyDescent="0.25">
      <c r="A95" s="1472"/>
    </row>
    <row r="96" spans="1:8" x14ac:dyDescent="0.25">
      <c r="A96" s="1472"/>
    </row>
    <row r="97" spans="1:1" x14ac:dyDescent="0.25">
      <c r="A97" s="1472"/>
    </row>
    <row r="98" spans="1:1" x14ac:dyDescent="0.25">
      <c r="A98" s="1472"/>
    </row>
    <row r="99" spans="1:1" x14ac:dyDescent="0.25">
      <c r="A99" s="1472"/>
    </row>
    <row r="100" spans="1:1" x14ac:dyDescent="0.25">
      <c r="A100" s="1472"/>
    </row>
    <row r="101" spans="1:1" x14ac:dyDescent="0.25">
      <c r="A101" s="1472"/>
    </row>
    <row r="102" spans="1:1" x14ac:dyDescent="0.25">
      <c r="A102" s="1472"/>
    </row>
    <row r="103" spans="1:1" x14ac:dyDescent="0.25">
      <c r="A103" s="1472"/>
    </row>
    <row r="104" spans="1:1" x14ac:dyDescent="0.25">
      <c r="A104" s="1472"/>
    </row>
    <row r="105" spans="1:1" x14ac:dyDescent="0.25">
      <c r="A105" s="1472"/>
    </row>
    <row r="106" spans="1:1" x14ac:dyDescent="0.25">
      <c r="A106" s="1472"/>
    </row>
    <row r="107" spans="1:1" x14ac:dyDescent="0.25">
      <c r="A107" s="1472"/>
    </row>
    <row r="108" spans="1:1" x14ac:dyDescent="0.25">
      <c r="A108" s="1472"/>
    </row>
    <row r="109" spans="1:1" x14ac:dyDescent="0.25">
      <c r="A109" s="1472"/>
    </row>
    <row r="110" spans="1:1" x14ac:dyDescent="0.25">
      <c r="A110" s="1472"/>
    </row>
    <row r="111" spans="1:1" x14ac:dyDescent="0.25">
      <c r="A111" s="1472"/>
    </row>
    <row r="112" spans="1:1"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2">
    <mergeCell ref="AK2:AM2"/>
    <mergeCell ref="B63:H63"/>
    <mergeCell ref="L2:L3"/>
    <mergeCell ref="B2:J3"/>
    <mergeCell ref="AE2:AG3"/>
    <mergeCell ref="R26:U26"/>
    <mergeCell ref="R25:U25"/>
    <mergeCell ref="M2:M3"/>
    <mergeCell ref="B62:H62"/>
    <mergeCell ref="N2:N3"/>
    <mergeCell ref="K2:K3"/>
    <mergeCell ref="B35:F35"/>
  </mergeCells>
  <printOptions horizontalCentered="1"/>
  <pageMargins left="0.4" right="0.4" top="1" bottom="0.5" header="0.3" footer="0.511811023622047"/>
  <pageSetup paperSize="9" scale="65" orientation="landscape" r:id="rId1"/>
  <headerFooter>
    <oddHeader>&amp;C&amp;B&amp;16Chicken Pasta with Vegetable</oddHeader>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BF9000"/>
    <pageSetUpPr fitToPage="1"/>
  </sheetPr>
  <dimension ref="A1:AG174"/>
  <sheetViews>
    <sheetView topLeftCell="H1" zoomScale="55" zoomScaleNormal="55" workbookViewId="0">
      <selection activeCell="H59" sqref="H59"/>
    </sheetView>
  </sheetViews>
  <sheetFormatPr defaultColWidth="12.5" defaultRowHeight="15" x14ac:dyDescent="0.25"/>
  <cols>
    <col min="1" max="1" width="12.5" style="63" customWidth="1"/>
    <col min="2" max="2" width="38.8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5" style="14" customWidth="1"/>
    <col min="15" max="17" width="12.5" style="14" customWidth="1"/>
    <col min="18" max="18" width="43.125" style="14" customWidth="1"/>
    <col min="19" max="19" width="12.5" style="14" customWidth="1"/>
    <col min="20" max="27" width="12.5" style="14"/>
    <col min="28" max="28" width="11.625" style="14" bestFit="1" customWidth="1"/>
    <col min="29" max="16384" width="12.5" style="14"/>
  </cols>
  <sheetData>
    <row r="1" spans="1:33" ht="40.5" customHeight="1" x14ac:dyDescent="0.25">
      <c r="B1" s="64" t="s">
        <v>231</v>
      </c>
      <c r="C1" s="65">
        <v>1000</v>
      </c>
      <c r="D1" s="66" t="s">
        <v>232</v>
      </c>
      <c r="E1" s="99">
        <f>T32</f>
        <v>6392</v>
      </c>
      <c r="F1" s="64" t="s">
        <v>233</v>
      </c>
      <c r="G1" s="227">
        <f>E1/C1</f>
        <v>6.3920000000000003</v>
      </c>
      <c r="H1" s="64" t="s">
        <v>234</v>
      </c>
      <c r="I1" s="227">
        <f>(G1/K1)</f>
        <v>6.4565656565656573</v>
      </c>
      <c r="J1" s="70" t="s">
        <v>235</v>
      </c>
      <c r="K1" s="65">
        <v>0.99</v>
      </c>
      <c r="L1" s="84"/>
      <c r="M1" s="73"/>
      <c r="N1" s="74"/>
      <c r="O1" s="75" t="s">
        <v>236</v>
      </c>
      <c r="P1" s="84"/>
      <c r="Q1" s="77" t="s">
        <v>513</v>
      </c>
      <c r="R1" s="14">
        <v>2.5</v>
      </c>
      <c r="Y1" s="75" t="s">
        <v>453</v>
      </c>
      <c r="Z1" s="766">
        <v>14980</v>
      </c>
      <c r="AA1" s="75" t="s">
        <v>556</v>
      </c>
      <c r="AB1" s="766">
        <v>1000</v>
      </c>
      <c r="AC1" s="75" t="s">
        <v>546</v>
      </c>
      <c r="AD1" s="766">
        <v>105</v>
      </c>
      <c r="AE1" s="228"/>
      <c r="AF1" s="230"/>
      <c r="AG1" s="76"/>
    </row>
    <row r="2" spans="1:33" ht="12.75" customHeight="1" x14ac:dyDescent="0.25">
      <c r="A2" s="81"/>
      <c r="B2" s="1645" t="s">
        <v>375</v>
      </c>
      <c r="C2" s="1655"/>
      <c r="D2" s="1655"/>
      <c r="E2" s="1655"/>
      <c r="F2" s="1655"/>
      <c r="G2" s="1655"/>
      <c r="H2" s="1655"/>
      <c r="I2" s="1655"/>
      <c r="J2" s="1655"/>
      <c r="K2" s="1657"/>
      <c r="L2" s="1657"/>
      <c r="M2" s="84"/>
      <c r="N2" s="84"/>
      <c r="O2" s="84"/>
      <c r="P2" s="84"/>
      <c r="Q2" s="84"/>
      <c r="R2" s="84"/>
      <c r="AC2" s="83"/>
      <c r="AD2" s="83"/>
      <c r="AE2" s="1652"/>
      <c r="AF2" s="1655"/>
      <c r="AG2" s="1655"/>
    </row>
    <row r="3" spans="1:33" ht="12.75" customHeight="1" x14ac:dyDescent="0.25">
      <c r="A3" s="81"/>
      <c r="B3" s="1633"/>
      <c r="C3" s="1633"/>
      <c r="D3" s="1633"/>
      <c r="E3" s="1633"/>
      <c r="F3" s="1633"/>
      <c r="G3" s="1633"/>
      <c r="H3" s="1633"/>
      <c r="I3" s="1633"/>
      <c r="J3" s="1633"/>
      <c r="K3" s="1658"/>
      <c r="L3" s="1658"/>
      <c r="M3" s="84"/>
      <c r="N3" s="84"/>
      <c r="O3" s="84"/>
      <c r="P3" s="84"/>
      <c r="Q3" s="84"/>
      <c r="R3" s="84"/>
      <c r="AC3" s="83"/>
      <c r="AD3" s="83"/>
      <c r="AE3" s="1655"/>
      <c r="AF3" s="1655"/>
      <c r="AG3" s="1655"/>
    </row>
    <row r="4" spans="1:33" ht="35.25"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c r="P4" s="84"/>
      <c r="AA4" s="229"/>
      <c r="AB4" s="231"/>
      <c r="AC4" s="229"/>
      <c r="AD4" s="229"/>
      <c r="AE4" s="229"/>
    </row>
    <row r="5" spans="1:33" ht="14.25" customHeight="1" x14ac:dyDescent="0.2">
      <c r="A5" s="1454"/>
      <c r="B5" s="374" t="s">
        <v>514</v>
      </c>
      <c r="C5" s="97" t="s">
        <v>14</v>
      </c>
      <c r="D5" s="103">
        <f>I51/H51</f>
        <v>600</v>
      </c>
      <c r="E5" s="177">
        <f>$I$1</f>
        <v>6.4565656565656573</v>
      </c>
      <c r="F5" s="100">
        <v>1</v>
      </c>
      <c r="G5" s="103">
        <f>D5*E5</f>
        <v>3873.9393939393944</v>
      </c>
      <c r="H5" s="102">
        <f>G5*F5</f>
        <v>3873.9393939393944</v>
      </c>
      <c r="I5" s="65">
        <f>VLOOKUP(B5,All_Ingredients!$A$1:$F$156,6,FALSE())</f>
        <v>1</v>
      </c>
      <c r="J5" s="101">
        <f>VLOOKUP(B5,All_Ingredients!$A$1:$J$156,10,FALSE())</f>
        <v>9.2592592592592595</v>
      </c>
      <c r="K5" s="104">
        <f t="shared" ref="K5" si="0">(H5/I5)/1000</f>
        <v>3.8739393939393945</v>
      </c>
      <c r="L5" s="104">
        <f>J5*K5</f>
        <v>35.869809203142545</v>
      </c>
      <c r="M5" s="84"/>
      <c r="N5" s="84"/>
      <c r="O5" s="84"/>
      <c r="P5" s="84"/>
      <c r="AA5" s="76"/>
      <c r="AB5" s="114"/>
      <c r="AC5" s="232"/>
      <c r="AD5" s="116"/>
      <c r="AE5" s="117"/>
    </row>
    <row r="6" spans="1:33" ht="14.25" customHeight="1" x14ac:dyDescent="0.25">
      <c r="A6" s="1471"/>
      <c r="B6" s="374" t="s">
        <v>727</v>
      </c>
      <c r="C6" s="106" t="s">
        <v>14</v>
      </c>
      <c r="D6" s="107">
        <v>20</v>
      </c>
      <c r="E6" s="177">
        <f t="shared" ref="E6:E19" si="1">$I$1</f>
        <v>6.4565656565656573</v>
      </c>
      <c r="F6" s="109">
        <v>1</v>
      </c>
      <c r="G6" s="103">
        <f t="shared" ref="G6:G19" si="2">D6*E6</f>
        <v>129.13131313131314</v>
      </c>
      <c r="H6" s="102">
        <f t="shared" ref="H6:H19" si="3">G6*F6</f>
        <v>129.13131313131314</v>
      </c>
      <c r="I6" s="65">
        <f>VLOOKUP(B6,All_Ingredients!$A$1:$F$156,6,FALSE())</f>
        <v>1</v>
      </c>
      <c r="J6" s="101">
        <f>VLOOKUP(B6,All_Ingredients!$A$1:$J$156,10,FALSE())</f>
        <v>10.5</v>
      </c>
      <c r="K6" s="104">
        <f t="shared" ref="K6:K19" si="4">(H6/I6)/1000</f>
        <v>0.12913131313131312</v>
      </c>
      <c r="L6" s="104">
        <f>J6*K6</f>
        <v>1.3558787878787879</v>
      </c>
    </row>
    <row r="7" spans="1:33" ht="14.25" customHeight="1" x14ac:dyDescent="0.25">
      <c r="A7" s="1471"/>
      <c r="B7" s="374" t="s">
        <v>54</v>
      </c>
      <c r="C7" s="106" t="s">
        <v>14</v>
      </c>
      <c r="D7" s="107">
        <v>20</v>
      </c>
      <c r="E7" s="177">
        <f t="shared" si="1"/>
        <v>6.4565656565656573</v>
      </c>
      <c r="F7" s="109">
        <v>1</v>
      </c>
      <c r="G7" s="103">
        <f t="shared" si="2"/>
        <v>129.13131313131314</v>
      </c>
      <c r="H7" s="102">
        <f t="shared" si="3"/>
        <v>129.13131313131314</v>
      </c>
      <c r="I7" s="65">
        <f>VLOOKUP(B7,All_Ingredients!$A$1:$F$156,6,FALSE())</f>
        <v>0.87</v>
      </c>
      <c r="J7" s="101">
        <f>VLOOKUP(B7,All_Ingredients!$A$1:$J$156,10,FALSE())</f>
        <v>7</v>
      </c>
      <c r="K7" s="104">
        <f t="shared" si="4"/>
        <v>0.14842679670265876</v>
      </c>
      <c r="L7" s="104">
        <f t="shared" ref="L7:L19" si="5">J7*K7</f>
        <v>1.0389875769186114</v>
      </c>
    </row>
    <row r="8" spans="1:33" ht="14.25" customHeight="1" x14ac:dyDescent="0.25">
      <c r="A8" s="1471"/>
      <c r="B8" s="374" t="s">
        <v>183</v>
      </c>
      <c r="C8" s="106" t="s">
        <v>14</v>
      </c>
      <c r="D8" s="107">
        <v>50</v>
      </c>
      <c r="E8" s="177">
        <f t="shared" si="1"/>
        <v>6.4565656565656573</v>
      </c>
      <c r="F8" s="109">
        <v>1</v>
      </c>
      <c r="G8" s="103">
        <f t="shared" si="2"/>
        <v>322.82828282828285</v>
      </c>
      <c r="H8" s="102">
        <f t="shared" si="3"/>
        <v>322.82828282828285</v>
      </c>
      <c r="I8" s="65">
        <f>VLOOKUP(B8,All_Ingredients!$A$1:$F$156,6,FALSE())</f>
        <v>1</v>
      </c>
      <c r="J8" s="101">
        <f>VLOOKUP(B8,All_Ingredients!$A$1:$J$156,10,FALSE())</f>
        <v>17</v>
      </c>
      <c r="K8" s="104">
        <f t="shared" si="4"/>
        <v>0.32282828282828285</v>
      </c>
      <c r="L8" s="104">
        <f t="shared" si="5"/>
        <v>5.4880808080808086</v>
      </c>
    </row>
    <row r="9" spans="1:33" ht="14.25" customHeight="1" x14ac:dyDescent="0.25">
      <c r="A9" s="1471"/>
      <c r="B9" s="374" t="s">
        <v>198</v>
      </c>
      <c r="C9" s="906" t="s">
        <v>160</v>
      </c>
      <c r="D9" s="107">
        <v>200</v>
      </c>
      <c r="E9" s="177">
        <f t="shared" si="1"/>
        <v>6.4565656565656573</v>
      </c>
      <c r="F9" s="109">
        <v>1</v>
      </c>
      <c r="G9" s="103">
        <f t="shared" si="2"/>
        <v>1291.3131313131314</v>
      </c>
      <c r="H9" s="102">
        <f t="shared" si="3"/>
        <v>1291.3131313131314</v>
      </c>
      <c r="I9" s="65">
        <f>VLOOKUP(B9,All_Ingredients!$A$1:$F$156,6,FALSE())</f>
        <v>1</v>
      </c>
      <c r="J9" s="101">
        <f>VLOOKUP(B9,All_Ingredients!$A$1:$J$156,10,FALSE())</f>
        <v>3.25</v>
      </c>
      <c r="K9" s="104">
        <f t="shared" si="4"/>
        <v>1.2913131313131314</v>
      </c>
      <c r="L9" s="104">
        <f t="shared" si="5"/>
        <v>4.1967676767676769</v>
      </c>
    </row>
    <row r="10" spans="1:33" ht="14.25" customHeight="1" x14ac:dyDescent="0.25">
      <c r="A10" s="1471"/>
      <c r="B10" s="96" t="s">
        <v>698</v>
      </c>
      <c r="C10" s="106" t="s">
        <v>14</v>
      </c>
      <c r="D10" s="107">
        <v>20</v>
      </c>
      <c r="E10" s="177">
        <f t="shared" si="1"/>
        <v>6.4565656565656573</v>
      </c>
      <c r="F10" s="109">
        <v>1</v>
      </c>
      <c r="G10" s="103">
        <f t="shared" si="2"/>
        <v>129.13131313131314</v>
      </c>
      <c r="H10" s="102">
        <f t="shared" si="3"/>
        <v>129.13131313131314</v>
      </c>
      <c r="I10" s="65">
        <f>VLOOKUP(B10,All_Ingredients!$A$1:$F$156,6,FALSE())</f>
        <v>1</v>
      </c>
      <c r="J10" s="101">
        <f>VLOOKUP(B10,All_Ingredients!$A$1:$J$156,10,FALSE())</f>
        <v>8.1520833333333336</v>
      </c>
      <c r="K10" s="104">
        <f t="shared" si="4"/>
        <v>0.12913131313131312</v>
      </c>
      <c r="L10" s="104">
        <f t="shared" si="5"/>
        <v>1.0526892255892255</v>
      </c>
    </row>
    <row r="11" spans="1:33" ht="14.25" customHeight="1" x14ac:dyDescent="0.25">
      <c r="A11" s="1471"/>
      <c r="B11" s="374" t="s">
        <v>139</v>
      </c>
      <c r="C11" s="106" t="s">
        <v>14</v>
      </c>
      <c r="D11" s="107">
        <v>10</v>
      </c>
      <c r="E11" s="177">
        <f t="shared" si="1"/>
        <v>6.4565656565656573</v>
      </c>
      <c r="F11" s="109">
        <v>0.75</v>
      </c>
      <c r="G11" s="103">
        <f t="shared" si="2"/>
        <v>64.565656565656568</v>
      </c>
      <c r="H11" s="102">
        <f t="shared" si="3"/>
        <v>48.424242424242422</v>
      </c>
      <c r="I11" s="65">
        <f>VLOOKUP(B11,All_Ingredients!$A$1:$F$156,6,FALSE())</f>
        <v>1</v>
      </c>
      <c r="J11" s="101">
        <f>VLOOKUP(B11,All_Ingredients!$A$1:$J$156,10,FALSE())</f>
        <v>15.277777777777779</v>
      </c>
      <c r="K11" s="104">
        <f t="shared" si="4"/>
        <v>4.8424242424242425E-2</v>
      </c>
      <c r="L11" s="104">
        <f t="shared" si="5"/>
        <v>0.73981481481481481</v>
      </c>
    </row>
    <row r="12" spans="1:33" ht="14.25" customHeight="1" x14ac:dyDescent="0.25">
      <c r="A12" s="1471"/>
      <c r="B12" s="374" t="s">
        <v>159</v>
      </c>
      <c r="C12" s="106" t="s">
        <v>160</v>
      </c>
      <c r="D12" s="107">
        <v>100</v>
      </c>
      <c r="E12" s="177">
        <f t="shared" si="1"/>
        <v>6.4565656565656573</v>
      </c>
      <c r="F12" s="109">
        <v>1</v>
      </c>
      <c r="G12" s="103">
        <f t="shared" si="2"/>
        <v>645.6565656565657</v>
      </c>
      <c r="H12" s="102">
        <f t="shared" si="3"/>
        <v>645.6565656565657</v>
      </c>
      <c r="I12" s="65">
        <f>VLOOKUP(B12,All_Ingredients!$A$1:$F$156,6,FALSE())</f>
        <v>1</v>
      </c>
      <c r="J12" s="101">
        <f>VLOOKUP(B12,All_Ingredients!$A$1:$J$156,10,FALSE())</f>
        <v>4.2033333333333331</v>
      </c>
      <c r="K12" s="104">
        <f t="shared" si="4"/>
        <v>0.64565656565656571</v>
      </c>
      <c r="L12" s="104">
        <f t="shared" si="5"/>
        <v>2.7139097643097645</v>
      </c>
    </row>
    <row r="13" spans="1:33" ht="14.25" customHeight="1" x14ac:dyDescent="0.25">
      <c r="A13" s="1471"/>
      <c r="B13" s="374" t="s">
        <v>202</v>
      </c>
      <c r="C13" s="106" t="s">
        <v>14</v>
      </c>
      <c r="D13" s="107">
        <v>25</v>
      </c>
      <c r="E13" s="177">
        <f t="shared" si="1"/>
        <v>6.4565656565656573</v>
      </c>
      <c r="F13" s="109">
        <v>1</v>
      </c>
      <c r="G13" s="103">
        <f t="shared" si="2"/>
        <v>161.41414141414143</v>
      </c>
      <c r="H13" s="102">
        <f t="shared" si="3"/>
        <v>161.41414141414143</v>
      </c>
      <c r="I13" s="65">
        <f>VLOOKUP(B13,All_Ingredients!$A$1:$F$156,6,FALSE())</f>
        <v>1</v>
      </c>
      <c r="J13" s="101">
        <f>VLOOKUP(B13,All_Ingredients!$A$1:$J$156,10,FALSE())</f>
        <v>11.243386243386244</v>
      </c>
      <c r="K13" s="104">
        <f t="shared" si="4"/>
        <v>0.16141414141414143</v>
      </c>
      <c r="L13" s="104">
        <f t="shared" si="5"/>
        <v>1.8148415370637594</v>
      </c>
    </row>
    <row r="14" spans="1:33" ht="14.25" customHeight="1" x14ac:dyDescent="0.25">
      <c r="A14" s="1471"/>
      <c r="B14" s="374" t="s">
        <v>192</v>
      </c>
      <c r="C14" s="106" t="s">
        <v>160</v>
      </c>
      <c r="D14" s="107">
        <v>30</v>
      </c>
      <c r="E14" s="177">
        <f t="shared" si="1"/>
        <v>6.4565656565656573</v>
      </c>
      <c r="F14" s="109">
        <v>0.75</v>
      </c>
      <c r="G14" s="103">
        <f t="shared" si="2"/>
        <v>193.69696969696972</v>
      </c>
      <c r="H14" s="102">
        <f t="shared" si="3"/>
        <v>145.27272727272728</v>
      </c>
      <c r="I14" s="65">
        <f>VLOOKUP(B14,All_Ingredients!$A$1:$F$156,6,FALSE())</f>
        <v>1</v>
      </c>
      <c r="J14" s="101">
        <f>VLOOKUP(B14,All_Ingredients!$A$1:$J$156,10,FALSE())</f>
        <v>58.685446009389672</v>
      </c>
      <c r="K14" s="104">
        <f t="shared" si="4"/>
        <v>0.14527272727272728</v>
      </c>
      <c r="L14" s="104">
        <f t="shared" si="5"/>
        <v>8.5253947930004266</v>
      </c>
    </row>
    <row r="15" spans="1:33" ht="14.25" customHeight="1" x14ac:dyDescent="0.25">
      <c r="A15" s="1471"/>
      <c r="B15" s="374" t="s">
        <v>166</v>
      </c>
      <c r="C15" s="106" t="s">
        <v>160</v>
      </c>
      <c r="D15" s="107">
        <v>500</v>
      </c>
      <c r="E15" s="177">
        <f t="shared" si="1"/>
        <v>6.4565656565656573</v>
      </c>
      <c r="F15" s="109">
        <v>1</v>
      </c>
      <c r="G15" s="103">
        <f t="shared" si="2"/>
        <v>3228.2828282828286</v>
      </c>
      <c r="H15" s="102">
        <f t="shared" si="3"/>
        <v>3228.2828282828286</v>
      </c>
      <c r="I15" s="65">
        <f>VLOOKUP(B15,All_Ingredients!$A$1:$F$156,6,FALSE())</f>
        <v>1</v>
      </c>
      <c r="J15" s="101">
        <f>VLOOKUP(B15,All_Ingredients!$A$1:$J$156,10,FALSE())</f>
        <v>12.666666666666666</v>
      </c>
      <c r="K15" s="104">
        <f t="shared" si="4"/>
        <v>3.2282828282828286</v>
      </c>
      <c r="L15" s="104">
        <f t="shared" si="5"/>
        <v>40.891582491582497</v>
      </c>
    </row>
    <row r="16" spans="1:33" ht="14.25" customHeight="1" x14ac:dyDescent="0.25">
      <c r="A16" s="1471"/>
      <c r="B16" s="374" t="s">
        <v>12</v>
      </c>
      <c r="C16" s="106" t="s">
        <v>14</v>
      </c>
      <c r="D16" s="107">
        <v>100</v>
      </c>
      <c r="E16" s="177">
        <f t="shared" si="1"/>
        <v>6.4565656565656573</v>
      </c>
      <c r="F16" s="109">
        <v>0.95</v>
      </c>
      <c r="G16" s="103">
        <f t="shared" si="2"/>
        <v>645.6565656565657</v>
      </c>
      <c r="H16" s="102">
        <f t="shared" si="3"/>
        <v>613.37373737373741</v>
      </c>
      <c r="I16" s="65">
        <f>VLOOKUP(B16,All_Ingredients!$A$1:$F$156,6,FALSE())</f>
        <v>0.9</v>
      </c>
      <c r="J16" s="101">
        <f>VLOOKUP(B16,All_Ingredients!$A$1:$J$156,10,FALSE())</f>
        <v>3</v>
      </c>
      <c r="K16" s="104">
        <f t="shared" si="4"/>
        <v>0.68152637485970824</v>
      </c>
      <c r="L16" s="104">
        <f t="shared" si="5"/>
        <v>2.0445791245791245</v>
      </c>
    </row>
    <row r="17" spans="1:29" ht="14.25" customHeight="1" x14ac:dyDescent="0.25">
      <c r="A17" s="1471"/>
      <c r="B17" s="374" t="s">
        <v>93</v>
      </c>
      <c r="C17" s="106" t="s">
        <v>14</v>
      </c>
      <c r="D17" s="107">
        <v>6</v>
      </c>
      <c r="E17" s="177">
        <f t="shared" si="1"/>
        <v>6.4565656565656573</v>
      </c>
      <c r="F17" s="109">
        <v>0.75</v>
      </c>
      <c r="G17" s="103">
        <f t="shared" si="2"/>
        <v>38.739393939393942</v>
      </c>
      <c r="H17" s="102">
        <f t="shared" si="3"/>
        <v>29.054545454545455</v>
      </c>
      <c r="I17" s="65">
        <f>VLOOKUP(B17,All_Ingredients!$A$1:$F$156,6,FALSE())</f>
        <v>1</v>
      </c>
      <c r="J17" s="101">
        <f>VLOOKUP(B17,All_Ingredients!$A$1:$J$156,10,FALSE())</f>
        <v>0.74</v>
      </c>
      <c r="K17" s="104">
        <f t="shared" si="4"/>
        <v>2.9054545454545454E-2</v>
      </c>
      <c r="L17" s="104">
        <f t="shared" si="5"/>
        <v>2.1500363636363637E-2</v>
      </c>
    </row>
    <row r="18" spans="1:29" ht="14.25" customHeight="1" x14ac:dyDescent="0.25">
      <c r="A18" s="1471"/>
      <c r="B18" s="200" t="s">
        <v>837</v>
      </c>
      <c r="C18" s="106" t="s">
        <v>14</v>
      </c>
      <c r="D18" s="107">
        <v>2</v>
      </c>
      <c r="E18" s="177">
        <f t="shared" si="1"/>
        <v>6.4565656565656573</v>
      </c>
      <c r="F18" s="109">
        <v>1</v>
      </c>
      <c r="G18" s="103">
        <f t="shared" si="2"/>
        <v>12.913131313131315</v>
      </c>
      <c r="H18" s="102">
        <f t="shared" si="3"/>
        <v>12.913131313131315</v>
      </c>
      <c r="I18" s="65">
        <f>VLOOKUP(B18,All_Ingredients!$A$1:$F$156,6,FALSE())</f>
        <v>1</v>
      </c>
      <c r="J18" s="101">
        <f>VLOOKUP(B18,All_Ingredients!$A$1:$J$156,10,FALSE())</f>
        <v>22.5</v>
      </c>
      <c r="K18" s="104">
        <f t="shared" si="4"/>
        <v>1.2913131313131314E-2</v>
      </c>
      <c r="L18" s="104">
        <f t="shared" si="5"/>
        <v>0.29054545454545455</v>
      </c>
    </row>
    <row r="19" spans="1:29" ht="14.25" customHeight="1" x14ac:dyDescent="0.25">
      <c r="A19" s="1471"/>
      <c r="B19" s="374" t="s">
        <v>152</v>
      </c>
      <c r="C19" s="106" t="s">
        <v>14</v>
      </c>
      <c r="D19" s="107">
        <v>20</v>
      </c>
      <c r="E19" s="177">
        <f t="shared" si="1"/>
        <v>6.4565656565656573</v>
      </c>
      <c r="F19" s="109">
        <v>1</v>
      </c>
      <c r="G19" s="103">
        <f t="shared" si="2"/>
        <v>129.13131313131314</v>
      </c>
      <c r="H19" s="102">
        <f t="shared" si="3"/>
        <v>129.13131313131314</v>
      </c>
      <c r="I19" s="65">
        <f>VLOOKUP(B19,All_Ingredients!$A$1:$F$156,6,FALSE())</f>
        <v>1</v>
      </c>
      <c r="J19" s="101">
        <f>VLOOKUP(B19,All_Ingredients!$A$1:$J$156,10,FALSE())</f>
        <v>30</v>
      </c>
      <c r="K19" s="104">
        <f t="shared" si="4"/>
        <v>0.12913131313131312</v>
      </c>
      <c r="L19" s="104">
        <f t="shared" si="5"/>
        <v>3.8739393939393936</v>
      </c>
    </row>
    <row r="20" spans="1:29" ht="14.25" customHeight="1" x14ac:dyDescent="0.25">
      <c r="A20" s="1472"/>
      <c r="B20" s="84"/>
      <c r="C20" s="152"/>
      <c r="D20" s="152"/>
      <c r="E20" s="84"/>
      <c r="F20" s="84"/>
      <c r="G20" s="152"/>
      <c r="L20" s="274"/>
    </row>
    <row r="21" spans="1:29" ht="14.25" customHeight="1" x14ac:dyDescent="0.25">
      <c r="A21" s="1472"/>
      <c r="K21" s="274"/>
      <c r="L21" s="274"/>
    </row>
    <row r="22" spans="1:29" ht="14.25" customHeight="1" x14ac:dyDescent="0.25">
      <c r="A22" s="1472"/>
      <c r="K22" s="274"/>
      <c r="L22" s="274"/>
    </row>
    <row r="23" spans="1:29" ht="14.25" customHeight="1" x14ac:dyDescent="0.25">
      <c r="A23" s="1472"/>
      <c r="K23" s="274"/>
      <c r="L23" s="274"/>
      <c r="R23"/>
    </row>
    <row r="24" spans="1:29" ht="14.25" customHeight="1" x14ac:dyDescent="0.25">
      <c r="A24" s="1472"/>
      <c r="K24" s="274"/>
      <c r="L24" s="274"/>
      <c r="Z24" s="1073"/>
    </row>
    <row r="25" spans="1:29" ht="14.25" customHeight="1" x14ac:dyDescent="0.25">
      <c r="A25" s="1472"/>
      <c r="K25" s="274"/>
      <c r="L25" s="274"/>
      <c r="R25" s="1640" t="s">
        <v>376</v>
      </c>
      <c r="S25" s="1633"/>
      <c r="T25" s="1633"/>
      <c r="U25" s="1633"/>
      <c r="Z25" s="122" t="s">
        <v>252</v>
      </c>
      <c r="AA25" s="123">
        <v>1</v>
      </c>
      <c r="AB25" s="122" t="s">
        <v>249</v>
      </c>
      <c r="AC25" s="124">
        <f>AC30*AA25</f>
        <v>6.8784931799655349E-3</v>
      </c>
    </row>
    <row r="26" spans="1:29" ht="14.25" customHeight="1" x14ac:dyDescent="0.25">
      <c r="A26" s="1472"/>
      <c r="K26" s="274"/>
      <c r="L26" s="274"/>
      <c r="R26" s="1638" t="s">
        <v>297</v>
      </c>
      <c r="S26" s="1639"/>
      <c r="T26" s="1639"/>
      <c r="U26" s="1639"/>
    </row>
    <row r="27" spans="1:29" ht="14.25" customHeight="1" x14ac:dyDescent="0.25">
      <c r="A27" s="1472"/>
      <c r="B27" s="84"/>
      <c r="E27" s="84"/>
      <c r="F27" s="84"/>
      <c r="R27" s="126" t="s">
        <v>254</v>
      </c>
      <c r="S27" s="127" t="s">
        <v>352</v>
      </c>
      <c r="T27" s="127" t="s">
        <v>256</v>
      </c>
      <c r="U27" s="127" t="s">
        <v>257</v>
      </c>
      <c r="Z27" s="122" t="s">
        <v>258</v>
      </c>
      <c r="AA27" s="128" t="s">
        <v>259</v>
      </c>
      <c r="AB27" s="128" t="s">
        <v>260</v>
      </c>
      <c r="AC27" s="128" t="s">
        <v>262</v>
      </c>
    </row>
    <row r="28" spans="1:29" ht="14.25" customHeight="1" x14ac:dyDescent="0.25">
      <c r="A28" s="1472"/>
      <c r="B28" s="84"/>
      <c r="E28" s="84"/>
      <c r="F28" s="84"/>
      <c r="R28" s="129" t="s">
        <v>263</v>
      </c>
      <c r="S28" s="690">
        <f>U28*S40</f>
        <v>8988</v>
      </c>
      <c r="T28" s="690">
        <f>U28*U40</f>
        <v>5992</v>
      </c>
      <c r="U28" s="696">
        <f>$Z$1</f>
        <v>14980</v>
      </c>
      <c r="Z28" s="132"/>
      <c r="AA28" s="133">
        <f>AA25*$S$40</f>
        <v>0.6</v>
      </c>
      <c r="AB28" s="133">
        <f>AA25*$U$40</f>
        <v>0.4</v>
      </c>
      <c r="AC28" s="135">
        <f>SUM(AA28:AB28)</f>
        <v>1</v>
      </c>
    </row>
    <row r="29" spans="1:29" ht="22.5" customHeight="1" x14ac:dyDescent="0.25">
      <c r="A29" s="1472"/>
      <c r="B29" s="84"/>
      <c r="E29" s="84"/>
      <c r="F29" s="84"/>
      <c r="R29" s="129" t="s">
        <v>264</v>
      </c>
      <c r="S29" s="692"/>
      <c r="T29" s="690"/>
      <c r="U29" s="1163">
        <f>T29</f>
        <v>0</v>
      </c>
      <c r="Z29" s="132"/>
      <c r="AA29" s="1068">
        <f>AA28/$AC$28</f>
        <v>0.6</v>
      </c>
      <c r="AB29" s="137">
        <f>AB28/$AC$28</f>
        <v>0.4</v>
      </c>
      <c r="AC29" s="137">
        <f>AC28/$AC$28</f>
        <v>1</v>
      </c>
    </row>
    <row r="30" spans="1:29" ht="14.25" customHeight="1" x14ac:dyDescent="0.25">
      <c r="A30" s="1472"/>
      <c r="B30" s="84"/>
      <c r="E30" s="84"/>
      <c r="F30" s="84"/>
      <c r="R30" s="129" t="s">
        <v>265</v>
      </c>
      <c r="S30" s="1164">
        <f>U30*S40</f>
        <v>600</v>
      </c>
      <c r="T30" s="1165">
        <f>U30*U40</f>
        <v>400</v>
      </c>
      <c r="U30" s="696">
        <f>$AB$1</f>
        <v>1000</v>
      </c>
      <c r="Z30" s="122" t="s">
        <v>266</v>
      </c>
      <c r="AA30" s="138">
        <f>S35/(S32)</f>
        <v>3.7411148522259641E-3</v>
      </c>
      <c r="AB30" s="139">
        <f>T35/T32</f>
        <v>1.1584560671574892E-2</v>
      </c>
      <c r="AC30" s="1131">
        <f>SUMPRODUCT(AA30:AB30,AA29:AB29)</f>
        <v>6.8784931799655349E-3</v>
      </c>
    </row>
    <row r="31" spans="1:29" ht="14.25" customHeight="1" x14ac:dyDescent="0.25">
      <c r="A31" s="1472"/>
      <c r="B31" s="84"/>
      <c r="E31" s="84"/>
      <c r="F31" s="84"/>
      <c r="R31" s="129" t="s">
        <v>267</v>
      </c>
      <c r="S31" s="136"/>
      <c r="T31" s="130"/>
      <c r="U31" s="130"/>
      <c r="AA31" s="1027"/>
    </row>
    <row r="32" spans="1:29" ht="14.25" customHeight="1" x14ac:dyDescent="0.25">
      <c r="A32" s="1472"/>
      <c r="B32" s="84"/>
      <c r="E32" s="84"/>
      <c r="F32" s="84"/>
      <c r="R32" s="141" t="s">
        <v>257</v>
      </c>
      <c r="S32" s="130">
        <f>SUM(S28:S30)</f>
        <v>9588</v>
      </c>
      <c r="T32" s="130">
        <f>SUM(T28:T30)</f>
        <v>6392</v>
      </c>
      <c r="U32" s="130">
        <f>SUM(U28:U30)</f>
        <v>15980</v>
      </c>
    </row>
    <row r="33" spans="1:23" ht="14.25" customHeight="1" x14ac:dyDescent="0.25">
      <c r="A33" s="1472"/>
      <c r="R33" s="142" t="s">
        <v>268</v>
      </c>
      <c r="S33" s="136"/>
      <c r="T33" s="136"/>
      <c r="U33" s="136"/>
    </row>
    <row r="34" spans="1:23" ht="14.25" customHeight="1" x14ac:dyDescent="0.25">
      <c r="A34" s="1472"/>
      <c r="R34" s="143" t="s">
        <v>269</v>
      </c>
      <c r="S34" s="136"/>
      <c r="T34" s="130"/>
      <c r="U34" s="136"/>
    </row>
    <row r="35" spans="1:23" ht="14.25" customHeight="1" x14ac:dyDescent="0.25">
      <c r="A35" s="1472"/>
      <c r="R35" s="144" t="s">
        <v>249</v>
      </c>
      <c r="S35" s="990">
        <f>$L$5</f>
        <v>35.869809203142545</v>
      </c>
      <c r="T35" s="990">
        <f>SUM(L6:L19)</f>
        <v>74.048511812706707</v>
      </c>
      <c r="U35" s="1049">
        <f>S35+T35</f>
        <v>109.91832101584924</v>
      </c>
    </row>
    <row r="36" spans="1:23" x14ac:dyDescent="0.25">
      <c r="A36" s="1472"/>
    </row>
    <row r="37" spans="1:23" x14ac:dyDescent="0.25">
      <c r="A37" s="1472"/>
    </row>
    <row r="38" spans="1:23" x14ac:dyDescent="0.25">
      <c r="A38" s="1472"/>
    </row>
    <row r="39" spans="1:23" x14ac:dyDescent="0.25">
      <c r="A39" s="1472"/>
    </row>
    <row r="40" spans="1:23" ht="51.75" x14ac:dyDescent="0.25">
      <c r="A40" s="1472"/>
      <c r="R40" s="146" t="s">
        <v>270</v>
      </c>
      <c r="S40" s="147">
        <v>0.6</v>
      </c>
      <c r="T40" s="146" t="s">
        <v>271</v>
      </c>
      <c r="U40" s="148">
        <v>0.4</v>
      </c>
      <c r="V40" s="149">
        <f>S40+U40</f>
        <v>1</v>
      </c>
    </row>
    <row r="41" spans="1:23" x14ac:dyDescent="0.25">
      <c r="A41" s="1472"/>
      <c r="U41" s="150"/>
    </row>
    <row r="42" spans="1:23" x14ac:dyDescent="0.25">
      <c r="A42" s="1472"/>
    </row>
    <row r="43" spans="1:23" x14ac:dyDescent="0.25">
      <c r="A43" s="1472"/>
      <c r="Q43" s="151" t="s">
        <v>272</v>
      </c>
      <c r="R43" s="151" t="s">
        <v>273</v>
      </c>
      <c r="S43" s="151" t="s">
        <v>274</v>
      </c>
      <c r="T43" s="151" t="s">
        <v>275</v>
      </c>
      <c r="U43" s="151" t="s">
        <v>276</v>
      </c>
      <c r="V43" s="151" t="s">
        <v>277</v>
      </c>
      <c r="W43" s="235" t="s">
        <v>507</v>
      </c>
    </row>
    <row r="44" spans="1:23" x14ac:dyDescent="0.25">
      <c r="A44" s="1472"/>
      <c r="Q44" s="511">
        <v>25000</v>
      </c>
      <c r="R44" s="154">
        <f>D51</f>
        <v>10000</v>
      </c>
      <c r="S44" s="155">
        <v>1</v>
      </c>
      <c r="T44" s="155">
        <v>0</v>
      </c>
      <c r="U44" s="220">
        <f>R44*S44</f>
        <v>10000</v>
      </c>
      <c r="V44" s="157">
        <f>R44*T44</f>
        <v>0</v>
      </c>
      <c r="W44" s="583">
        <f>Q44-U44</f>
        <v>15000</v>
      </c>
    </row>
    <row r="45" spans="1:23" ht="14.25" customHeight="1" x14ac:dyDescent="0.25">
      <c r="A45" s="1472"/>
      <c r="M45"/>
    </row>
    <row r="46" spans="1:23" x14ac:dyDescent="0.25">
      <c r="A46" s="1472"/>
    </row>
    <row r="47" spans="1:23" x14ac:dyDescent="0.25">
      <c r="A47" s="1472"/>
    </row>
    <row r="48" spans="1:23" x14ac:dyDescent="0.25">
      <c r="A48" s="1472"/>
    </row>
    <row r="49" spans="1:10" ht="14.25" customHeight="1" x14ac:dyDescent="0.25">
      <c r="A49" s="1472"/>
    </row>
    <row r="50" spans="1:10" ht="14.25" customHeight="1" x14ac:dyDescent="0.25">
      <c r="A50" s="1472"/>
      <c r="B50" s="126"/>
      <c r="C50" s="126" t="s">
        <v>233</v>
      </c>
      <c r="D50" s="126" t="s">
        <v>279</v>
      </c>
      <c r="E50" s="84"/>
      <c r="F50" s="84"/>
      <c r="G50" s="126" t="s">
        <v>280</v>
      </c>
      <c r="H50" s="126" t="s">
        <v>233</v>
      </c>
      <c r="I50" s="126" t="s">
        <v>506</v>
      </c>
      <c r="J50" s="126" t="s">
        <v>505</v>
      </c>
    </row>
    <row r="51" spans="1:10" x14ac:dyDescent="0.25">
      <c r="A51" s="1472"/>
      <c r="B51" s="161" t="s">
        <v>283</v>
      </c>
      <c r="C51" s="162">
        <f>10/$K$1</f>
        <v>10.1010101010101</v>
      </c>
      <c r="D51" s="163">
        <f>$C$1*10</f>
        <v>10000</v>
      </c>
      <c r="E51" s="84"/>
      <c r="F51" s="84"/>
      <c r="G51" s="161" t="s">
        <v>283</v>
      </c>
      <c r="H51" s="254">
        <v>10</v>
      </c>
      <c r="I51" s="162">
        <f>J51/$R$1</f>
        <v>6000</v>
      </c>
      <c r="J51" s="162">
        <f>$W$44</f>
        <v>15000</v>
      </c>
    </row>
    <row r="52" spans="1:10" x14ac:dyDescent="0.25">
      <c r="A52" s="1472"/>
      <c r="B52" s="126" t="s">
        <v>262</v>
      </c>
      <c r="C52" s="165">
        <f>$I$1</f>
        <v>6.4565656565656573</v>
      </c>
      <c r="D52" s="166">
        <f>$E$1</f>
        <v>6392</v>
      </c>
      <c r="E52" s="84"/>
      <c r="F52" s="84"/>
      <c r="G52" s="129" t="s">
        <v>262</v>
      </c>
      <c r="H52" s="527">
        <f>I52/$D$5</f>
        <v>6.3919999999999995</v>
      </c>
      <c r="I52" s="157">
        <f>J52/$R$1</f>
        <v>3835.2</v>
      </c>
      <c r="J52" s="165">
        <f>$S$32</f>
        <v>9588</v>
      </c>
    </row>
    <row r="53" spans="1:10" x14ac:dyDescent="0.25">
      <c r="A53" s="1472"/>
      <c r="B53" s="126" t="s">
        <v>284</v>
      </c>
      <c r="C53" s="395">
        <f>MIN($C$52, C51)</f>
        <v>6.4565656565656573</v>
      </c>
      <c r="D53" s="166">
        <f>(C53*$K$1)*$C$1</f>
        <v>6392</v>
      </c>
      <c r="E53" s="84"/>
      <c r="F53" s="84"/>
      <c r="G53" s="129" t="s">
        <v>284</v>
      </c>
      <c r="H53" s="168">
        <f>MIN(H52,H51)</f>
        <v>6.3919999999999995</v>
      </c>
      <c r="I53" s="157">
        <f>J53/$R$1</f>
        <v>3835.2</v>
      </c>
      <c r="J53" s="157">
        <f>MIN(J52,J51)</f>
        <v>9588</v>
      </c>
    </row>
    <row r="54" spans="1:10" x14ac:dyDescent="0.25">
      <c r="A54" s="1472"/>
      <c r="B54" s="126"/>
      <c r="C54" s="212">
        <f>MIN(MAX(C52-C53,0),C51)</f>
        <v>0</v>
      </c>
      <c r="D54" s="166">
        <f>(C54*$K$1)*$C$1</f>
        <v>0</v>
      </c>
      <c r="E54" s="84"/>
      <c r="F54" s="84"/>
      <c r="G54" s="129" t="s">
        <v>285</v>
      </c>
      <c r="H54" s="168">
        <f>MIN(MAX(H52-H53),H51)</f>
        <v>0</v>
      </c>
      <c r="I54" s="157">
        <f>J54/$R$1</f>
        <v>0</v>
      </c>
      <c r="J54" s="157">
        <f>MIN(MAX(J52-J53),J51)</f>
        <v>0</v>
      </c>
    </row>
    <row r="55" spans="1:10" x14ac:dyDescent="0.25">
      <c r="A55" s="1472"/>
      <c r="B55" s="126"/>
      <c r="C55" s="167">
        <f>MIN(MAX($C$53-C53-C54,0),C51)</f>
        <v>0</v>
      </c>
      <c r="D55" s="166">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36" t="str">
        <f>"  باستا مكروني بالخضار 1 / " &amp; COUNTIF($C$53:$C$55, "&gt;0")</f>
        <v xml:space="preserve">  باستا مكروني بالخضار 1 / 1</v>
      </c>
      <c r="C62" s="1637"/>
      <c r="D62" s="1637"/>
      <c r="E62" s="1637"/>
      <c r="F62" s="1637"/>
      <c r="G62" s="1637"/>
      <c r="H62" s="1637"/>
    </row>
    <row r="63" spans="1:10" ht="18" customHeight="1" x14ac:dyDescent="0.25">
      <c r="A63" s="1473"/>
      <c r="B63" s="1634" t="str">
        <f>" Pasta with Vegetables 1 / " &amp; COUNTIF($C$53:$C$55, "&gt;0")</f>
        <v xml:space="preserve"> Pasta with Vegetables 1 / 1</v>
      </c>
      <c r="C63" s="1635"/>
      <c r="D63" s="1635"/>
      <c r="E63" s="1635"/>
      <c r="F63" s="1635"/>
      <c r="G63" s="1635"/>
      <c r="H63" s="1635"/>
    </row>
    <row r="64" spans="1:10" ht="56.25" customHeight="1" x14ac:dyDescent="0.2">
      <c r="A64" s="1457"/>
      <c r="B64" s="75" t="s">
        <v>241</v>
      </c>
      <c r="C64" s="90" t="s">
        <v>242</v>
      </c>
      <c r="D64" s="75" t="s">
        <v>231</v>
      </c>
      <c r="E64" s="91" t="s">
        <v>234</v>
      </c>
      <c r="F64" s="91" t="s">
        <v>243</v>
      </c>
      <c r="G64" s="75" t="s">
        <v>244</v>
      </c>
      <c r="H64" s="92" t="s">
        <v>245</v>
      </c>
    </row>
    <row r="65" spans="1:8" ht="14.25" customHeight="1" x14ac:dyDescent="0.25">
      <c r="A65" s="1471"/>
      <c r="B65" s="65" t="str">
        <f t="shared" ref="B65:D79" si="6">B5</f>
        <v>Pasta Penne - مكرونة أقلام</v>
      </c>
      <c r="C65" s="106" t="str">
        <f t="shared" si="6"/>
        <v>gm</v>
      </c>
      <c r="D65" s="107">
        <f t="shared" si="6"/>
        <v>600</v>
      </c>
      <c r="E65" s="108">
        <f>$H$53</f>
        <v>6.3919999999999995</v>
      </c>
      <c r="F65" s="109">
        <f t="shared" ref="F65:F79" si="7">F5</f>
        <v>1</v>
      </c>
      <c r="G65" s="101">
        <f t="shared" ref="G65:G79" si="8">D65*E65</f>
        <v>3835.2</v>
      </c>
      <c r="H65" s="102">
        <f t="shared" ref="H65:H79" si="9">G65*F65</f>
        <v>3835.2</v>
      </c>
    </row>
    <row r="66" spans="1:8" ht="14.25" customHeight="1" x14ac:dyDescent="0.25">
      <c r="A66" s="1471"/>
      <c r="B66" s="65" t="str">
        <f t="shared" si="6"/>
        <v>Garlic - ثوم مقشر</v>
      </c>
      <c r="C66" s="106" t="str">
        <f t="shared" si="6"/>
        <v>gm</v>
      </c>
      <c r="D66" s="107">
        <f t="shared" si="6"/>
        <v>20</v>
      </c>
      <c r="E66" s="108">
        <f>$C$53</f>
        <v>6.4565656565656573</v>
      </c>
      <c r="F66" s="109">
        <f t="shared" si="7"/>
        <v>1</v>
      </c>
      <c r="G66" s="101">
        <f t="shared" si="8"/>
        <v>129.13131313131314</v>
      </c>
      <c r="H66" s="102">
        <f t="shared" si="9"/>
        <v>129.13131313131314</v>
      </c>
    </row>
    <row r="67" spans="1:8" ht="14.25" customHeight="1" x14ac:dyDescent="0.25">
      <c r="A67" s="1471"/>
      <c r="B67" s="65" t="str">
        <f t="shared" si="6"/>
        <v>Ginger - زنجبيل</v>
      </c>
      <c r="C67" s="106" t="str">
        <f t="shared" si="6"/>
        <v>gm</v>
      </c>
      <c r="D67" s="107">
        <f t="shared" si="6"/>
        <v>20</v>
      </c>
      <c r="E67" s="108">
        <f t="shared" ref="E67:E79" si="10">$C$53</f>
        <v>6.4565656565656573</v>
      </c>
      <c r="F67" s="109">
        <f t="shared" si="7"/>
        <v>1</v>
      </c>
      <c r="G67" s="101">
        <f t="shared" si="8"/>
        <v>129.13131313131314</v>
      </c>
      <c r="H67" s="102">
        <f t="shared" si="9"/>
        <v>129.13131313131314</v>
      </c>
    </row>
    <row r="68" spans="1:8" ht="14.25" customHeight="1" x14ac:dyDescent="0.25">
      <c r="A68" s="1471"/>
      <c r="B68" s="65" t="str">
        <f t="shared" si="6"/>
        <v>Honey - عسل</v>
      </c>
      <c r="C68" s="106" t="str">
        <f t="shared" si="6"/>
        <v>gm</v>
      </c>
      <c r="D68" s="107">
        <f t="shared" si="6"/>
        <v>50</v>
      </c>
      <c r="E68" s="108">
        <f t="shared" si="10"/>
        <v>6.4565656565656573</v>
      </c>
      <c r="F68" s="109">
        <f t="shared" si="7"/>
        <v>1</v>
      </c>
      <c r="G68" s="101">
        <f t="shared" si="8"/>
        <v>322.82828282828285</v>
      </c>
      <c r="H68" s="102">
        <f t="shared" si="9"/>
        <v>322.82828282828285</v>
      </c>
    </row>
    <row r="69" spans="1:8" ht="14.25" customHeight="1" x14ac:dyDescent="0.25">
      <c r="A69" s="1471"/>
      <c r="B69" s="65" t="str">
        <f t="shared" si="6"/>
        <v>Tomato Ketchup - كاتشب طماطم</v>
      </c>
      <c r="C69" s="106" t="str">
        <f t="shared" si="6"/>
        <v>ml</v>
      </c>
      <c r="D69" s="107">
        <f t="shared" si="6"/>
        <v>200</v>
      </c>
      <c r="E69" s="108">
        <f t="shared" si="10"/>
        <v>6.4565656565656573</v>
      </c>
      <c r="F69" s="109">
        <f t="shared" si="7"/>
        <v>1</v>
      </c>
      <c r="G69" s="101">
        <f t="shared" si="8"/>
        <v>1291.3131313131314</v>
      </c>
      <c r="H69" s="102">
        <f t="shared" si="9"/>
        <v>1291.3131313131314</v>
      </c>
    </row>
    <row r="70" spans="1:8" ht="14.25" customHeight="1" x14ac:dyDescent="0.25">
      <c r="A70" s="1471"/>
      <c r="B70" s="65" t="str">
        <f t="shared" si="6"/>
        <v>Tomato Paste - صلصة طماطم</v>
      </c>
      <c r="C70" s="106" t="str">
        <f t="shared" si="6"/>
        <v>gm</v>
      </c>
      <c r="D70" s="107">
        <f t="shared" si="6"/>
        <v>20</v>
      </c>
      <c r="E70" s="108">
        <f t="shared" si="10"/>
        <v>6.4565656565656573</v>
      </c>
      <c r="F70" s="109">
        <f t="shared" si="7"/>
        <v>1</v>
      </c>
      <c r="G70" s="101">
        <f t="shared" si="8"/>
        <v>129.13131313131314</v>
      </c>
      <c r="H70" s="102">
        <f t="shared" si="9"/>
        <v>129.13131313131314</v>
      </c>
    </row>
    <row r="71" spans="1:8" ht="14.25" customHeight="1" x14ac:dyDescent="0.25">
      <c r="A71" s="1471"/>
      <c r="B71" s="65" t="str">
        <f t="shared" si="6"/>
        <v>Maggi Cubes - مكعبات ماجي</v>
      </c>
      <c r="C71" s="106" t="str">
        <f t="shared" si="6"/>
        <v>gm</v>
      </c>
      <c r="D71" s="107">
        <f t="shared" si="6"/>
        <v>10</v>
      </c>
      <c r="E71" s="108">
        <f t="shared" si="10"/>
        <v>6.4565656565656573</v>
      </c>
      <c r="F71" s="109">
        <f t="shared" si="7"/>
        <v>0.75</v>
      </c>
      <c r="G71" s="101">
        <f t="shared" si="8"/>
        <v>64.565656565656568</v>
      </c>
      <c r="H71" s="102">
        <f t="shared" si="9"/>
        <v>48.424242424242422</v>
      </c>
    </row>
    <row r="72" spans="1:8" ht="14.25" customHeight="1" x14ac:dyDescent="0.25">
      <c r="A72" s="1471"/>
      <c r="B72" s="65" t="str">
        <f t="shared" si="6"/>
        <v>Milk - حليب</v>
      </c>
      <c r="C72" s="106" t="str">
        <f t="shared" si="6"/>
        <v>ml</v>
      </c>
      <c r="D72" s="107">
        <f t="shared" si="6"/>
        <v>100</v>
      </c>
      <c r="E72" s="108">
        <f t="shared" si="10"/>
        <v>6.4565656565656573</v>
      </c>
      <c r="F72" s="109">
        <f t="shared" si="7"/>
        <v>1</v>
      </c>
      <c r="G72" s="101">
        <f t="shared" si="8"/>
        <v>645.6565656565657</v>
      </c>
      <c r="H72" s="102">
        <f t="shared" si="9"/>
        <v>645.6565656565657</v>
      </c>
    </row>
    <row r="73" spans="1:8" ht="14.25" customHeight="1" x14ac:dyDescent="0.25">
      <c r="A73" s="1471"/>
      <c r="B73" s="65" t="str">
        <f t="shared" si="6"/>
        <v>Mustard - خردل</v>
      </c>
      <c r="C73" s="106" t="str">
        <f t="shared" si="6"/>
        <v>gm</v>
      </c>
      <c r="D73" s="107">
        <f t="shared" si="6"/>
        <v>25</v>
      </c>
      <c r="E73" s="108">
        <f t="shared" si="10"/>
        <v>6.4565656565656573</v>
      </c>
      <c r="F73" s="109">
        <f t="shared" si="7"/>
        <v>1</v>
      </c>
      <c r="G73" s="101">
        <f t="shared" si="8"/>
        <v>161.41414141414143</v>
      </c>
      <c r="H73" s="102">
        <f t="shared" si="9"/>
        <v>161.41414141414143</v>
      </c>
    </row>
    <row r="74" spans="1:8" ht="14.25" customHeight="1" x14ac:dyDescent="0.25">
      <c r="A74" s="1471"/>
      <c r="B74" s="65" t="str">
        <f t="shared" si="6"/>
        <v>Sriracha Sauce - صوص سريراتشا</v>
      </c>
      <c r="C74" s="106" t="str">
        <f t="shared" si="6"/>
        <v>ml</v>
      </c>
      <c r="D74" s="107">
        <f t="shared" si="6"/>
        <v>30</v>
      </c>
      <c r="E74" s="108">
        <f t="shared" si="10"/>
        <v>6.4565656565656573</v>
      </c>
      <c r="F74" s="109">
        <f t="shared" si="7"/>
        <v>0.75</v>
      </c>
      <c r="G74" s="101">
        <f t="shared" si="8"/>
        <v>193.69696969696972</v>
      </c>
      <c r="H74" s="102">
        <f t="shared" si="9"/>
        <v>145.27272727272728</v>
      </c>
    </row>
    <row r="75" spans="1:8" ht="14.25" customHeight="1" x14ac:dyDescent="0.25">
      <c r="A75" s="1471"/>
      <c r="B75" s="65" t="str">
        <f t="shared" si="6"/>
        <v>Cooking Cream - كريمة طبخ</v>
      </c>
      <c r="C75" s="106" t="str">
        <f t="shared" si="6"/>
        <v>ml</v>
      </c>
      <c r="D75" s="107">
        <f t="shared" si="6"/>
        <v>500</v>
      </c>
      <c r="E75" s="108">
        <f t="shared" si="10"/>
        <v>6.4565656565656573</v>
      </c>
      <c r="F75" s="109">
        <f t="shared" si="7"/>
        <v>1</v>
      </c>
      <c r="G75" s="101">
        <f t="shared" si="8"/>
        <v>3228.2828282828286</v>
      </c>
      <c r="H75" s="102">
        <f t="shared" si="9"/>
        <v>3228.2828282828286</v>
      </c>
    </row>
    <row r="76" spans="1:8" ht="14.25" customHeight="1" x14ac:dyDescent="0.25">
      <c r="A76" s="1471"/>
      <c r="B76" s="65" t="str">
        <f t="shared" si="6"/>
        <v>Onion - بصل</v>
      </c>
      <c r="C76" s="106" t="str">
        <f t="shared" si="6"/>
        <v>gm</v>
      </c>
      <c r="D76" s="107">
        <f t="shared" si="6"/>
        <v>100</v>
      </c>
      <c r="E76" s="108">
        <f t="shared" si="10"/>
        <v>6.4565656565656573</v>
      </c>
      <c r="F76" s="109">
        <f t="shared" si="7"/>
        <v>0.95</v>
      </c>
      <c r="G76" s="101">
        <f t="shared" si="8"/>
        <v>645.6565656565657</v>
      </c>
      <c r="H76" s="102">
        <f t="shared" si="9"/>
        <v>613.37373737373741</v>
      </c>
    </row>
    <row r="77" spans="1:8" ht="14.25" customHeight="1" x14ac:dyDescent="0.25">
      <c r="A77" s="1471"/>
      <c r="B77" s="65" t="str">
        <f t="shared" si="6"/>
        <v>Salt - ملح</v>
      </c>
      <c r="C77" s="106" t="str">
        <f t="shared" si="6"/>
        <v>gm</v>
      </c>
      <c r="D77" s="107">
        <f t="shared" si="6"/>
        <v>6</v>
      </c>
      <c r="E77" s="108">
        <f t="shared" si="10"/>
        <v>6.4565656565656573</v>
      </c>
      <c r="F77" s="109">
        <f t="shared" si="7"/>
        <v>0.75</v>
      </c>
      <c r="G77" s="101">
        <f t="shared" si="8"/>
        <v>38.739393939393942</v>
      </c>
      <c r="H77" s="102">
        <f t="shared" si="9"/>
        <v>29.054545454545455</v>
      </c>
    </row>
    <row r="78" spans="1:8" ht="14.25" customHeight="1" x14ac:dyDescent="0.25">
      <c r="A78" s="1471"/>
      <c r="B78" s="65" t="str">
        <f t="shared" si="6"/>
        <v>Saffron yellow color powder - لون صفار زعفران بودر</v>
      </c>
      <c r="C78" s="106" t="str">
        <f t="shared" si="6"/>
        <v>gm</v>
      </c>
      <c r="D78" s="107">
        <f t="shared" si="6"/>
        <v>2</v>
      </c>
      <c r="E78" s="108">
        <f t="shared" si="10"/>
        <v>6.4565656565656573</v>
      </c>
      <c r="F78" s="109">
        <f t="shared" si="7"/>
        <v>1</v>
      </c>
      <c r="G78" s="101">
        <f t="shared" si="8"/>
        <v>12.913131313131315</v>
      </c>
      <c r="H78" s="102">
        <f t="shared" si="9"/>
        <v>12.913131313131315</v>
      </c>
    </row>
    <row r="79" spans="1:8" ht="14.25" customHeight="1" x14ac:dyDescent="0.25">
      <c r="A79" s="1471"/>
      <c r="B79" s="65" t="str">
        <f t="shared" si="6"/>
        <v>Butter - زبدة</v>
      </c>
      <c r="C79" s="106" t="str">
        <f t="shared" si="6"/>
        <v>gm</v>
      </c>
      <c r="D79" s="107">
        <f t="shared" si="6"/>
        <v>20</v>
      </c>
      <c r="E79" s="108">
        <f t="shared" si="10"/>
        <v>6.4565656565656573</v>
      </c>
      <c r="F79" s="109">
        <f t="shared" si="7"/>
        <v>1</v>
      </c>
      <c r="G79" s="101">
        <f t="shared" si="8"/>
        <v>129.13131313131314</v>
      </c>
      <c r="H79" s="102">
        <f t="shared" si="9"/>
        <v>129.13131313131314</v>
      </c>
    </row>
    <row r="80" spans="1:8" ht="20.25" customHeight="1" x14ac:dyDescent="0.25">
      <c r="A80" s="1458"/>
      <c r="B80" s="178" t="s">
        <v>702</v>
      </c>
      <c r="C80" s="180" t="s">
        <v>273</v>
      </c>
      <c r="E80" s="180" t="s">
        <v>288</v>
      </c>
      <c r="G80" s="804" t="s">
        <v>264</v>
      </c>
      <c r="H80" s="804" t="s">
        <v>684</v>
      </c>
    </row>
    <row r="81" spans="1:8" ht="20.25" x14ac:dyDescent="0.3">
      <c r="A81" s="1458"/>
      <c r="B81" s="179">
        <f>$J$53</f>
        <v>9588</v>
      </c>
      <c r="C81" s="179">
        <f>E81+G81</f>
        <v>6392</v>
      </c>
      <c r="D81" s="839"/>
      <c r="E81" s="179">
        <f>$D$53*$S$44</f>
        <v>6392</v>
      </c>
      <c r="F81" s="843"/>
      <c r="G81" s="179">
        <f>$D$53*$T$44</f>
        <v>0</v>
      </c>
      <c r="H81" s="179">
        <f>B81+E81</f>
        <v>15980</v>
      </c>
    </row>
    <row r="82" spans="1:8" x14ac:dyDescent="0.25">
      <c r="A82" s="1472"/>
    </row>
    <row r="83" spans="1:8" x14ac:dyDescent="0.25">
      <c r="A83" s="1472"/>
    </row>
    <row r="84" spans="1:8" x14ac:dyDescent="0.25">
      <c r="A84" s="1472"/>
    </row>
    <row r="85" spans="1:8" x14ac:dyDescent="0.25">
      <c r="A85" s="1473"/>
      <c r="B85" s="1636" t="str">
        <f>"  باستا مكروني بالخضار 2 / " &amp; COUNTIF($C$53:$C$55, "&gt;0")</f>
        <v xml:space="preserve">  باستا مكروني بالخضار 2 / 1</v>
      </c>
      <c r="C85" s="1637"/>
      <c r="D85" s="1637"/>
      <c r="E85" s="1637"/>
      <c r="F85" s="1637"/>
      <c r="G85" s="1637"/>
      <c r="H85" s="1637"/>
    </row>
    <row r="86" spans="1:8" x14ac:dyDescent="0.25">
      <c r="A86" s="1473"/>
      <c r="B86" s="1634" t="str">
        <f>" Pasta with Vegetables 2 / " &amp; COUNTIF($C$53:$C$55, "&gt;0")</f>
        <v xml:space="preserve"> Pasta with Vegetables 2 / 1</v>
      </c>
      <c r="C86" s="1635"/>
      <c r="D86" s="1635"/>
      <c r="E86" s="1635"/>
      <c r="F86" s="1635"/>
      <c r="G86" s="1635"/>
      <c r="H86" s="1635"/>
    </row>
    <row r="87" spans="1:8" ht="25.5" x14ac:dyDescent="0.2">
      <c r="A87" s="1457"/>
      <c r="B87" s="75" t="s">
        <v>241</v>
      </c>
      <c r="C87" s="90" t="s">
        <v>242</v>
      </c>
      <c r="D87" s="75" t="s">
        <v>231</v>
      </c>
      <c r="E87" s="91" t="s">
        <v>234</v>
      </c>
      <c r="F87" s="91" t="s">
        <v>243</v>
      </c>
      <c r="G87" s="75" t="s">
        <v>244</v>
      </c>
      <c r="H87" s="92" t="s">
        <v>245</v>
      </c>
    </row>
    <row r="88" spans="1:8" x14ac:dyDescent="0.25">
      <c r="A88" s="1471"/>
      <c r="B88" s="65" t="str">
        <f t="shared" ref="B88:D102" si="11">B5</f>
        <v>Pasta Penne - مكرونة أقلام</v>
      </c>
      <c r="C88" s="65" t="str">
        <f t="shared" si="11"/>
        <v>gm</v>
      </c>
      <c r="D88" s="65">
        <f t="shared" si="11"/>
        <v>600</v>
      </c>
      <c r="E88" s="108">
        <f>$H$54</f>
        <v>0</v>
      </c>
      <c r="F88" s="109">
        <f>F5</f>
        <v>1</v>
      </c>
      <c r="G88" s="101">
        <f t="shared" ref="G88:G102" si="12">D88*E88</f>
        <v>0</v>
      </c>
      <c r="H88" s="102">
        <f t="shared" ref="H88:H102" si="13">G88*F88</f>
        <v>0</v>
      </c>
    </row>
    <row r="89" spans="1:8" x14ac:dyDescent="0.25">
      <c r="A89" s="1471"/>
      <c r="B89" s="65" t="str">
        <f t="shared" si="11"/>
        <v>Garlic - ثوم مقشر</v>
      </c>
      <c r="C89" s="65" t="str">
        <f t="shared" si="11"/>
        <v>gm</v>
      </c>
      <c r="D89" s="65">
        <f t="shared" si="11"/>
        <v>20</v>
      </c>
      <c r="E89" s="108">
        <f t="shared" ref="E89:E102" si="14">$C$54</f>
        <v>0</v>
      </c>
      <c r="F89" s="109">
        <f t="shared" ref="F89:F102" si="15">F6</f>
        <v>1</v>
      </c>
      <c r="G89" s="101">
        <f t="shared" si="12"/>
        <v>0</v>
      </c>
      <c r="H89" s="102">
        <f t="shared" si="13"/>
        <v>0</v>
      </c>
    </row>
    <row r="90" spans="1:8" x14ac:dyDescent="0.25">
      <c r="A90" s="1471"/>
      <c r="B90" s="65" t="str">
        <f t="shared" si="11"/>
        <v>Ginger - زنجبيل</v>
      </c>
      <c r="C90" s="65" t="str">
        <f t="shared" si="11"/>
        <v>gm</v>
      </c>
      <c r="D90" s="65">
        <f t="shared" si="11"/>
        <v>20</v>
      </c>
      <c r="E90" s="108">
        <f t="shared" si="14"/>
        <v>0</v>
      </c>
      <c r="F90" s="109">
        <f t="shared" si="15"/>
        <v>1</v>
      </c>
      <c r="G90" s="101">
        <f t="shared" si="12"/>
        <v>0</v>
      </c>
      <c r="H90" s="102">
        <f t="shared" si="13"/>
        <v>0</v>
      </c>
    </row>
    <row r="91" spans="1:8" x14ac:dyDescent="0.25">
      <c r="A91" s="1471"/>
      <c r="B91" s="65" t="str">
        <f t="shared" si="11"/>
        <v>Honey - عسل</v>
      </c>
      <c r="C91" s="65" t="str">
        <f t="shared" si="11"/>
        <v>gm</v>
      </c>
      <c r="D91" s="65">
        <f t="shared" si="11"/>
        <v>50</v>
      </c>
      <c r="E91" s="108">
        <f t="shared" si="14"/>
        <v>0</v>
      </c>
      <c r="F91" s="109">
        <f t="shared" si="15"/>
        <v>1</v>
      </c>
      <c r="G91" s="101">
        <f t="shared" si="12"/>
        <v>0</v>
      </c>
      <c r="H91" s="102">
        <f t="shared" si="13"/>
        <v>0</v>
      </c>
    </row>
    <row r="92" spans="1:8" x14ac:dyDescent="0.25">
      <c r="A92" s="1471"/>
      <c r="B92" s="65" t="str">
        <f t="shared" si="11"/>
        <v>Tomato Ketchup - كاتشب طماطم</v>
      </c>
      <c r="C92" s="65" t="str">
        <f t="shared" si="11"/>
        <v>ml</v>
      </c>
      <c r="D92" s="65">
        <f t="shared" si="11"/>
        <v>200</v>
      </c>
      <c r="E92" s="108">
        <f t="shared" si="14"/>
        <v>0</v>
      </c>
      <c r="F92" s="109">
        <f t="shared" si="15"/>
        <v>1</v>
      </c>
      <c r="G92" s="101">
        <f t="shared" si="12"/>
        <v>0</v>
      </c>
      <c r="H92" s="102">
        <f t="shared" si="13"/>
        <v>0</v>
      </c>
    </row>
    <row r="93" spans="1:8" x14ac:dyDescent="0.25">
      <c r="A93" s="1471"/>
      <c r="B93" s="65" t="str">
        <f t="shared" si="11"/>
        <v>Tomato Paste - صلصة طماطم</v>
      </c>
      <c r="C93" s="65" t="str">
        <f t="shared" si="11"/>
        <v>gm</v>
      </c>
      <c r="D93" s="65">
        <f t="shared" si="11"/>
        <v>20</v>
      </c>
      <c r="E93" s="108">
        <f t="shared" si="14"/>
        <v>0</v>
      </c>
      <c r="F93" s="109">
        <f t="shared" si="15"/>
        <v>1</v>
      </c>
      <c r="G93" s="101">
        <f t="shared" si="12"/>
        <v>0</v>
      </c>
      <c r="H93" s="102">
        <f t="shared" si="13"/>
        <v>0</v>
      </c>
    </row>
    <row r="94" spans="1:8" x14ac:dyDescent="0.25">
      <c r="A94" s="1471"/>
      <c r="B94" s="65" t="str">
        <f t="shared" si="11"/>
        <v>Maggi Cubes - مكعبات ماجي</v>
      </c>
      <c r="C94" s="65" t="str">
        <f t="shared" si="11"/>
        <v>gm</v>
      </c>
      <c r="D94" s="65">
        <f t="shared" si="11"/>
        <v>10</v>
      </c>
      <c r="E94" s="108">
        <f t="shared" si="14"/>
        <v>0</v>
      </c>
      <c r="F94" s="109">
        <f t="shared" si="15"/>
        <v>0.75</v>
      </c>
      <c r="G94" s="101">
        <f t="shared" si="12"/>
        <v>0</v>
      </c>
      <c r="H94" s="102">
        <f t="shared" si="13"/>
        <v>0</v>
      </c>
    </row>
    <row r="95" spans="1:8" x14ac:dyDescent="0.25">
      <c r="A95" s="1471"/>
      <c r="B95" s="65" t="str">
        <f t="shared" si="11"/>
        <v>Milk - حليب</v>
      </c>
      <c r="C95" s="65" t="str">
        <f t="shared" si="11"/>
        <v>ml</v>
      </c>
      <c r="D95" s="65">
        <f t="shared" si="11"/>
        <v>100</v>
      </c>
      <c r="E95" s="108">
        <f t="shared" si="14"/>
        <v>0</v>
      </c>
      <c r="F95" s="109">
        <f t="shared" si="15"/>
        <v>1</v>
      </c>
      <c r="G95" s="101">
        <f t="shared" si="12"/>
        <v>0</v>
      </c>
      <c r="H95" s="102">
        <f t="shared" si="13"/>
        <v>0</v>
      </c>
    </row>
    <row r="96" spans="1:8" x14ac:dyDescent="0.25">
      <c r="A96" s="1471"/>
      <c r="B96" s="65" t="str">
        <f t="shared" si="11"/>
        <v>Mustard - خردل</v>
      </c>
      <c r="C96" s="65" t="str">
        <f t="shared" si="11"/>
        <v>gm</v>
      </c>
      <c r="D96" s="65">
        <f t="shared" si="11"/>
        <v>25</v>
      </c>
      <c r="E96" s="108">
        <f t="shared" si="14"/>
        <v>0</v>
      </c>
      <c r="F96" s="109">
        <f t="shared" si="15"/>
        <v>1</v>
      </c>
      <c r="G96" s="101">
        <f t="shared" si="12"/>
        <v>0</v>
      </c>
      <c r="H96" s="102">
        <f t="shared" si="13"/>
        <v>0</v>
      </c>
    </row>
    <row r="97" spans="1:8" x14ac:dyDescent="0.25">
      <c r="A97" s="1471"/>
      <c r="B97" s="65" t="str">
        <f t="shared" si="11"/>
        <v>Sriracha Sauce - صوص سريراتشا</v>
      </c>
      <c r="C97" s="65" t="str">
        <f t="shared" si="11"/>
        <v>ml</v>
      </c>
      <c r="D97" s="65">
        <f t="shared" si="11"/>
        <v>30</v>
      </c>
      <c r="E97" s="108">
        <f t="shared" si="14"/>
        <v>0</v>
      </c>
      <c r="F97" s="109">
        <f t="shared" si="15"/>
        <v>0.75</v>
      </c>
      <c r="G97" s="101">
        <f t="shared" si="12"/>
        <v>0</v>
      </c>
      <c r="H97" s="102">
        <f t="shared" si="13"/>
        <v>0</v>
      </c>
    </row>
    <row r="98" spans="1:8" x14ac:dyDescent="0.25">
      <c r="A98" s="1471"/>
      <c r="B98" s="65" t="str">
        <f t="shared" si="11"/>
        <v>Cooking Cream - كريمة طبخ</v>
      </c>
      <c r="C98" s="65" t="str">
        <f t="shared" si="11"/>
        <v>ml</v>
      </c>
      <c r="D98" s="65">
        <f t="shared" si="11"/>
        <v>500</v>
      </c>
      <c r="E98" s="108">
        <f t="shared" si="14"/>
        <v>0</v>
      </c>
      <c r="F98" s="109">
        <f t="shared" si="15"/>
        <v>1</v>
      </c>
      <c r="G98" s="101">
        <f t="shared" si="12"/>
        <v>0</v>
      </c>
      <c r="H98" s="102">
        <f t="shared" si="13"/>
        <v>0</v>
      </c>
    </row>
    <row r="99" spans="1:8" x14ac:dyDescent="0.25">
      <c r="A99" s="1471"/>
      <c r="B99" s="65" t="str">
        <f t="shared" si="11"/>
        <v>Onion - بصل</v>
      </c>
      <c r="C99" s="65" t="str">
        <f t="shared" si="11"/>
        <v>gm</v>
      </c>
      <c r="D99" s="65">
        <f t="shared" si="11"/>
        <v>100</v>
      </c>
      <c r="E99" s="108">
        <f t="shared" si="14"/>
        <v>0</v>
      </c>
      <c r="F99" s="109">
        <f t="shared" si="15"/>
        <v>0.95</v>
      </c>
      <c r="G99" s="101">
        <f t="shared" si="12"/>
        <v>0</v>
      </c>
      <c r="H99" s="102">
        <f t="shared" si="13"/>
        <v>0</v>
      </c>
    </row>
    <row r="100" spans="1:8" x14ac:dyDescent="0.25">
      <c r="A100" s="1471"/>
      <c r="B100" s="65" t="str">
        <f t="shared" si="11"/>
        <v>Salt - ملح</v>
      </c>
      <c r="C100" s="65" t="str">
        <f t="shared" si="11"/>
        <v>gm</v>
      </c>
      <c r="D100" s="65">
        <f t="shared" si="11"/>
        <v>6</v>
      </c>
      <c r="E100" s="108">
        <f t="shared" si="14"/>
        <v>0</v>
      </c>
      <c r="F100" s="109">
        <f t="shared" si="15"/>
        <v>0.75</v>
      </c>
      <c r="G100" s="101">
        <f t="shared" si="12"/>
        <v>0</v>
      </c>
      <c r="H100" s="102">
        <f t="shared" si="13"/>
        <v>0</v>
      </c>
    </row>
    <row r="101" spans="1:8" x14ac:dyDescent="0.25">
      <c r="A101" s="1471"/>
      <c r="B101" s="65" t="str">
        <f t="shared" si="11"/>
        <v>Saffron yellow color powder - لون صفار زعفران بودر</v>
      </c>
      <c r="C101" s="65" t="str">
        <f t="shared" si="11"/>
        <v>gm</v>
      </c>
      <c r="D101" s="65">
        <f t="shared" si="11"/>
        <v>2</v>
      </c>
      <c r="E101" s="108">
        <f t="shared" si="14"/>
        <v>0</v>
      </c>
      <c r="F101" s="109">
        <f t="shared" si="15"/>
        <v>1</v>
      </c>
      <c r="G101" s="101">
        <f t="shared" si="12"/>
        <v>0</v>
      </c>
      <c r="H101" s="102">
        <f t="shared" si="13"/>
        <v>0</v>
      </c>
    </row>
    <row r="102" spans="1:8" x14ac:dyDescent="0.25">
      <c r="A102" s="1471"/>
      <c r="B102" s="65" t="str">
        <f t="shared" si="11"/>
        <v>Butter - زبدة</v>
      </c>
      <c r="C102" s="65" t="str">
        <f t="shared" si="11"/>
        <v>gm</v>
      </c>
      <c r="D102" s="65">
        <f t="shared" si="11"/>
        <v>20</v>
      </c>
      <c r="E102" s="108">
        <f t="shared" si="14"/>
        <v>0</v>
      </c>
      <c r="F102" s="109">
        <f t="shared" si="15"/>
        <v>1</v>
      </c>
      <c r="G102" s="101">
        <f t="shared" si="12"/>
        <v>0</v>
      </c>
      <c r="H102" s="102">
        <f t="shared" si="13"/>
        <v>0</v>
      </c>
    </row>
    <row r="103" spans="1:8" ht="18" x14ac:dyDescent="0.25">
      <c r="A103" s="1458"/>
      <c r="B103" s="178" t="s">
        <v>702</v>
      </c>
      <c r="C103" s="180" t="s">
        <v>273</v>
      </c>
      <c r="E103" s="180" t="s">
        <v>288</v>
      </c>
      <c r="G103" s="804" t="s">
        <v>264</v>
      </c>
      <c r="H103" s="804" t="s">
        <v>684</v>
      </c>
    </row>
    <row r="104" spans="1:8" ht="20.25" x14ac:dyDescent="0.3">
      <c r="A104" s="1458"/>
      <c r="B104" s="179">
        <f>$J$54</f>
        <v>0</v>
      </c>
      <c r="C104" s="179">
        <f>E104+G104</f>
        <v>0</v>
      </c>
      <c r="D104" s="839"/>
      <c r="E104" s="179">
        <f>$D$54*$S$44</f>
        <v>0</v>
      </c>
      <c r="F104" s="843"/>
      <c r="G104" s="179">
        <f>$D$54*$T$44</f>
        <v>0</v>
      </c>
      <c r="H104" s="179">
        <f>B104+E104</f>
        <v>0</v>
      </c>
    </row>
    <row r="105" spans="1:8" x14ac:dyDescent="0.25">
      <c r="A105" s="1472"/>
    </row>
    <row r="106" spans="1:8" x14ac:dyDescent="0.25">
      <c r="A106" s="1472"/>
    </row>
    <row r="107" spans="1:8" x14ac:dyDescent="0.25">
      <c r="A107" s="1472"/>
    </row>
    <row r="108" spans="1:8" x14ac:dyDescent="0.25">
      <c r="A108" s="1472"/>
    </row>
    <row r="109" spans="1:8" x14ac:dyDescent="0.25">
      <c r="A109" s="1472"/>
    </row>
    <row r="110" spans="1:8" x14ac:dyDescent="0.25">
      <c r="A110" s="1472"/>
    </row>
    <row r="111" spans="1:8" x14ac:dyDescent="0.25">
      <c r="A111" s="1472"/>
    </row>
    <row r="112" spans="1:8"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0">
    <mergeCell ref="B85:H85"/>
    <mergeCell ref="B86:H86"/>
    <mergeCell ref="B63:H63"/>
    <mergeCell ref="L2:L3"/>
    <mergeCell ref="B2:J3"/>
    <mergeCell ref="AE2:AG3"/>
    <mergeCell ref="R26:U26"/>
    <mergeCell ref="R25:U25"/>
    <mergeCell ref="B62:H62"/>
    <mergeCell ref="K2:K3"/>
  </mergeCells>
  <printOptions horizontalCentered="1"/>
  <pageMargins left="0.4" right="0.4" top="1" bottom="0.5" header="0.3" footer="0.511811023622047"/>
  <pageSetup paperSize="9" scale="65" fitToHeight="0" orientation="landscape" r:id="rId1"/>
  <headerFooter>
    <oddHeader>&amp;C&amp;B&amp;16Pasta with Vegetable(Pasta)&amp;R&amp;B Day 3</oddHeader>
    <oddFooter>&amp;CPage &amp;P of &amp;N</oddFooter>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7" tint="-0.249977111117893"/>
    <pageSetUpPr fitToPage="1"/>
  </sheetPr>
  <dimension ref="A1:AT174"/>
  <sheetViews>
    <sheetView topLeftCell="A28" zoomScale="85" zoomScaleNormal="85" workbookViewId="0">
      <selection activeCell="R36" sqref="R36"/>
    </sheetView>
  </sheetViews>
  <sheetFormatPr defaultColWidth="29.125" defaultRowHeight="15" x14ac:dyDescent="0.25"/>
  <cols>
    <col min="1" max="1" width="14.875" style="63" customWidth="1"/>
    <col min="2" max="2" width="41.875" style="14" customWidth="1"/>
    <col min="3" max="3" width="18.375" style="14" customWidth="1"/>
    <col min="4" max="4" width="29.125" style="14" customWidth="1"/>
    <col min="5" max="5" width="20" style="228" customWidth="1"/>
    <col min="6" max="8" width="29.125" style="14" customWidth="1"/>
    <col min="9" max="9" width="14.5" style="14" customWidth="1"/>
    <col min="10" max="10" width="29.125" style="14" customWidth="1"/>
    <col min="11" max="11" width="22.125" style="14" customWidth="1"/>
    <col min="12" max="12" width="8.375" style="14" customWidth="1"/>
    <col min="13" max="13" width="29.125" style="14" customWidth="1"/>
    <col min="14" max="15" width="11.5" style="14" customWidth="1"/>
    <col min="16" max="16" width="13.875" style="14" customWidth="1"/>
    <col min="17" max="17" width="18.375" style="14" customWidth="1"/>
    <col min="18" max="18" width="41.375" style="14" customWidth="1"/>
    <col min="19" max="19" width="11.375" style="14" customWidth="1"/>
    <col min="20" max="20" width="14.5" style="14" customWidth="1"/>
    <col min="21" max="21" width="12" style="14" customWidth="1"/>
    <col min="22" max="22" width="29.125" style="14" customWidth="1"/>
    <col min="23" max="23" width="31.875" style="14" bestFit="1" customWidth="1"/>
    <col min="24" max="24" width="12.375" style="14" customWidth="1"/>
    <col min="25" max="25" width="15.375" style="14" customWidth="1"/>
    <col min="26" max="26" width="13.625" style="14" customWidth="1"/>
    <col min="27" max="27" width="15.875" style="14" customWidth="1"/>
    <col min="28" max="28" width="11.875" style="14" bestFit="1" customWidth="1"/>
    <col min="29" max="30" width="13.375" style="14" bestFit="1" customWidth="1"/>
    <col min="31" max="31" width="11.625" style="14" bestFit="1" customWidth="1"/>
    <col min="32" max="32" width="13.625" style="14" customWidth="1"/>
    <col min="33" max="34" width="7.375" style="14" customWidth="1"/>
    <col min="35" max="36" width="29.125" style="14"/>
    <col min="37" max="37" width="5.625" style="14" bestFit="1" customWidth="1"/>
    <col min="38" max="38" width="26.375" style="14" customWidth="1"/>
    <col min="39" max="39" width="24.375" style="14" bestFit="1" customWidth="1"/>
    <col min="40" max="40" width="14.875" style="14" bestFit="1" customWidth="1"/>
    <col min="41" max="41" width="13.625" style="14" customWidth="1"/>
    <col min="42" max="42" width="16.5" style="14" customWidth="1"/>
    <col min="43" max="16384" width="29.125" style="14"/>
  </cols>
  <sheetData>
    <row r="1" spans="1:46" s="228" customFormat="1" ht="20.25" customHeight="1" x14ac:dyDescent="0.25">
      <c r="A1" s="226"/>
      <c r="B1" s="64" t="s">
        <v>231</v>
      </c>
      <c r="C1" s="65">
        <v>1000</v>
      </c>
      <c r="D1" s="66" t="s">
        <v>232</v>
      </c>
      <c r="E1" s="99">
        <f>T32</f>
        <v>15614.35897435898</v>
      </c>
      <c r="F1" s="64" t="s">
        <v>233</v>
      </c>
      <c r="G1" s="68">
        <f>E1/C1</f>
        <v>15.61435897435898</v>
      </c>
      <c r="H1" s="64" t="s">
        <v>234</v>
      </c>
      <c r="I1" s="69">
        <f>(G1/K1)</f>
        <v>15.933019361590796</v>
      </c>
      <c r="J1" s="70" t="s">
        <v>235</v>
      </c>
      <c r="K1" s="65">
        <v>0.98</v>
      </c>
      <c r="L1" s="76"/>
      <c r="M1" s="73"/>
      <c r="N1" s="74"/>
      <c r="O1" s="75" t="s">
        <v>236</v>
      </c>
      <c r="P1" s="76" t="s">
        <v>237</v>
      </c>
      <c r="Q1" s="77" t="s">
        <v>238</v>
      </c>
      <c r="R1" s="76">
        <v>0.59</v>
      </c>
      <c r="S1" s="76"/>
      <c r="T1" s="76"/>
      <c r="Y1" s="75" t="s">
        <v>453</v>
      </c>
      <c r="Z1" s="766">
        <v>27680</v>
      </c>
      <c r="AA1" s="75" t="s">
        <v>556</v>
      </c>
      <c r="AB1" s="766">
        <v>0</v>
      </c>
      <c r="AC1" s="75" t="s">
        <v>546</v>
      </c>
      <c r="AD1" s="766">
        <v>206</v>
      </c>
      <c r="AF1" s="230"/>
      <c r="AG1" s="76"/>
      <c r="AI1" s="63"/>
      <c r="AJ1" s="93" t="s">
        <v>250</v>
      </c>
      <c r="AK1" s="78">
        <v>10000</v>
      </c>
      <c r="AL1" s="561" t="s">
        <v>483</v>
      </c>
      <c r="AM1" s="562">
        <f>$S$32</f>
        <v>21292.307692307688</v>
      </c>
      <c r="AN1" s="78" t="s">
        <v>239</v>
      </c>
      <c r="AO1" s="80">
        <f>($S$32/$R$1)/$AK$1</f>
        <v>3.6088657105606252</v>
      </c>
      <c r="AP1" s="79"/>
    </row>
    <row r="2" spans="1:46" ht="15.75" customHeight="1" x14ac:dyDescent="0.25">
      <c r="A2" s="81"/>
      <c r="B2" s="1645" t="s">
        <v>65</v>
      </c>
      <c r="C2" s="1655"/>
      <c r="D2" s="1655"/>
      <c r="E2" s="1703"/>
      <c r="F2" s="1655"/>
      <c r="G2" s="1655"/>
      <c r="H2" s="1655"/>
      <c r="I2" s="1655"/>
      <c r="J2" s="1655"/>
      <c r="K2" s="1645"/>
      <c r="L2" s="1645"/>
      <c r="O2" s="84"/>
      <c r="P2" s="84"/>
      <c r="Q2" s="84"/>
      <c r="R2" s="84"/>
      <c r="S2" s="84"/>
      <c r="T2" s="84"/>
      <c r="U2" s="84"/>
      <c r="AC2" s="83"/>
      <c r="AD2" s="83"/>
      <c r="AE2" s="1652"/>
      <c r="AF2" s="1655"/>
      <c r="AG2" s="1655"/>
      <c r="AI2" s="63"/>
      <c r="AJ2" s="349"/>
      <c r="AK2" s="1631" t="s">
        <v>377</v>
      </c>
      <c r="AL2" s="1631"/>
      <c r="AM2" s="1631"/>
      <c r="AN2" s="86"/>
      <c r="AO2" s="85"/>
      <c r="AP2" s="85"/>
    </row>
    <row r="3" spans="1:46" ht="15.75" customHeight="1" x14ac:dyDescent="0.25">
      <c r="A3" s="81"/>
      <c r="B3" s="1633"/>
      <c r="C3" s="1633"/>
      <c r="D3" s="1633"/>
      <c r="E3" s="1633"/>
      <c r="F3" s="1633"/>
      <c r="G3" s="1633"/>
      <c r="H3" s="1633"/>
      <c r="I3" s="1633"/>
      <c r="J3" s="1633"/>
      <c r="K3" s="1633"/>
      <c r="L3" s="1633"/>
      <c r="O3" s="84"/>
      <c r="P3" s="84"/>
      <c r="Q3" s="84"/>
      <c r="R3" s="84"/>
      <c r="S3" s="84"/>
      <c r="T3" s="84"/>
      <c r="U3" s="84"/>
      <c r="AC3" s="83"/>
      <c r="AD3" s="83"/>
      <c r="AE3" s="1655"/>
      <c r="AF3" s="1655"/>
      <c r="AG3" s="1655"/>
      <c r="AI3" s="63"/>
      <c r="AJ3" s="349"/>
      <c r="AK3" s="88"/>
      <c r="AL3" s="89"/>
      <c r="AM3" s="89"/>
      <c r="AN3" s="89"/>
      <c r="AO3" s="88"/>
      <c r="AP3" s="88"/>
    </row>
    <row r="4" spans="1:46" ht="35.25" customHeight="1" x14ac:dyDescent="0.25">
      <c r="A4" s="75" t="s">
        <v>903</v>
      </c>
      <c r="B4" s="75" t="s">
        <v>241</v>
      </c>
      <c r="C4" s="90" t="s">
        <v>242</v>
      </c>
      <c r="D4" s="75" t="s">
        <v>231</v>
      </c>
      <c r="E4" s="91" t="s">
        <v>234</v>
      </c>
      <c r="F4" s="91" t="s">
        <v>243</v>
      </c>
      <c r="G4" s="75" t="s">
        <v>244</v>
      </c>
      <c r="H4" s="307" t="s">
        <v>335</v>
      </c>
      <c r="I4" s="75" t="s">
        <v>246</v>
      </c>
      <c r="J4" s="75" t="s">
        <v>247</v>
      </c>
      <c r="K4" s="75" t="s">
        <v>248</v>
      </c>
      <c r="L4" s="75" t="s">
        <v>249</v>
      </c>
      <c r="M4" s="347"/>
      <c r="N4" s="347"/>
      <c r="Q4" s="84"/>
      <c r="R4" s="84"/>
      <c r="S4" s="84"/>
      <c r="T4" s="84"/>
      <c r="U4" s="84"/>
      <c r="AC4" s="229"/>
      <c r="AD4" s="231"/>
      <c r="AE4" s="229"/>
      <c r="AF4" s="229"/>
      <c r="AG4" s="229"/>
      <c r="AI4" s="63"/>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286" t="s">
        <v>220</v>
      </c>
      <c r="C5" s="97" t="s">
        <v>14</v>
      </c>
      <c r="D5" s="103">
        <f>I51/10</f>
        <v>2311.5254237288136</v>
      </c>
      <c r="E5" s="69">
        <f>H52</f>
        <v>15.61248547610184</v>
      </c>
      <c r="F5" s="109">
        <v>1</v>
      </c>
      <c r="G5" s="227">
        <f t="shared" ref="G5:G25" si="0">D5*E5</f>
        <v>36088.657105606253</v>
      </c>
      <c r="H5" s="187">
        <f t="shared" ref="H5:H25" si="1">G5*F5</f>
        <v>36088.657105606253</v>
      </c>
      <c r="I5" s="65">
        <f>VLOOKUP(B5,All_Ingredients!$A$1:$F$156,6,FALSE())</f>
        <v>0.86</v>
      </c>
      <c r="J5" s="101">
        <f>VLOOKUP(B5,All_Ingredients!$A$1:$J$156,10,FALSE())</f>
        <v>17.100000000000001</v>
      </c>
      <c r="K5" s="104">
        <f t="shared" ref="K5" si="2">(H5/I5)/1000</f>
        <v>41.963554773960759</v>
      </c>
      <c r="L5" s="104">
        <f t="shared" ref="L5" si="3">K5*J5</f>
        <v>717.57678663472905</v>
      </c>
      <c r="M5" s="112"/>
      <c r="N5" s="112"/>
      <c r="O5" s="84"/>
      <c r="P5" s="84"/>
      <c r="Q5" s="84"/>
      <c r="R5" s="84"/>
      <c r="S5" s="84"/>
      <c r="T5" s="84"/>
      <c r="U5" s="84"/>
      <c r="AC5" s="76"/>
      <c r="AD5" s="114"/>
      <c r="AE5" s="232"/>
      <c r="AF5" s="116"/>
      <c r="AG5" s="117"/>
      <c r="AI5" s="63"/>
      <c r="AJ5" s="62" t="s">
        <v>220</v>
      </c>
      <c r="AK5" s="106" t="s">
        <v>227</v>
      </c>
      <c r="AL5" s="98">
        <v>10</v>
      </c>
      <c r="AM5" s="177">
        <f t="shared" ref="AM5:AM19" si="4">$AO$1</f>
        <v>3.6088657105606252</v>
      </c>
      <c r="AN5" s="276">
        <v>1</v>
      </c>
      <c r="AO5" s="369">
        <f t="shared" ref="AO5:AO19" si="5">AL5*AM5</f>
        <v>36.088657105606252</v>
      </c>
      <c r="AP5" s="187">
        <f t="shared" ref="AP5:AP19" si="6">AO5*AN5</f>
        <v>36.088657105606252</v>
      </c>
      <c r="AQ5" s="272"/>
      <c r="AR5" s="1017"/>
      <c r="AS5" s="156"/>
      <c r="AT5" s="1018"/>
    </row>
    <row r="6" spans="1:46" ht="14.25" customHeight="1" x14ac:dyDescent="0.25">
      <c r="A6" s="1471" t="s">
        <v>905</v>
      </c>
      <c r="B6" s="96" t="s">
        <v>12</v>
      </c>
      <c r="C6" s="97" t="s">
        <v>14</v>
      </c>
      <c r="D6" s="107">
        <v>200</v>
      </c>
      <c r="E6" s="177">
        <f t="shared" ref="E6:E25" si="7">$I$1</f>
        <v>15.933019361590796</v>
      </c>
      <c r="F6" s="276">
        <v>0.95</v>
      </c>
      <c r="G6" s="227">
        <f t="shared" si="0"/>
        <v>3186.6038723181591</v>
      </c>
      <c r="H6" s="187">
        <f t="shared" si="1"/>
        <v>3027.2736787022509</v>
      </c>
      <c r="I6" s="65">
        <f>VLOOKUP(B6,All_Ingredients!$A$1:$F$156,6,FALSE())</f>
        <v>0.9</v>
      </c>
      <c r="J6" s="101">
        <f>VLOOKUP(B6,All_Ingredients!$A$1:$J$156,10,FALSE())</f>
        <v>3</v>
      </c>
      <c r="K6" s="104">
        <f t="shared" ref="K6:K25" si="8">(H6/I6)/1000</f>
        <v>3.3636374207802788</v>
      </c>
      <c r="L6" s="104">
        <f t="shared" ref="L6:L25" si="9">K6*J6</f>
        <v>10.090912262340836</v>
      </c>
      <c r="M6" s="112"/>
      <c r="N6" s="112"/>
      <c r="AI6" s="63" t="s">
        <v>94</v>
      </c>
      <c r="AJ6" s="299" t="s">
        <v>105</v>
      </c>
      <c r="AK6" s="106" t="s">
        <v>14</v>
      </c>
      <c r="AL6" s="98">
        <v>20</v>
      </c>
      <c r="AM6" s="177">
        <f t="shared" si="4"/>
        <v>3.6088657105606252</v>
      </c>
      <c r="AN6" s="276">
        <v>1</v>
      </c>
      <c r="AO6" s="227">
        <f t="shared" si="5"/>
        <v>72.177314211212504</v>
      </c>
      <c r="AP6" s="187">
        <f t="shared" si="6"/>
        <v>72.177314211212504</v>
      </c>
      <c r="AQ6" s="1018">
        <f>VLOOKUP(AJ6,Marination_Ordering!$A:$J,6,FALSE)</f>
        <v>1</v>
      </c>
      <c r="AR6" s="1018">
        <f>VLOOKUP(AJ6,Marination_Ordering!$A:$J,10,FALSE)</f>
        <v>15</v>
      </c>
      <c r="AS6" s="156">
        <f>AP6/AQ6</f>
        <v>72.177314211212504</v>
      </c>
      <c r="AT6" s="1018">
        <f>AR6*(AS6/1000)</f>
        <v>1.0826597131681874</v>
      </c>
    </row>
    <row r="7" spans="1:46" ht="14.25" customHeight="1" x14ac:dyDescent="0.25">
      <c r="A7" s="1471" t="s">
        <v>909</v>
      </c>
      <c r="B7" s="96" t="s">
        <v>17</v>
      </c>
      <c r="C7" s="97" t="s">
        <v>14</v>
      </c>
      <c r="D7" s="107">
        <v>450</v>
      </c>
      <c r="E7" s="177">
        <f t="shared" si="7"/>
        <v>15.933019361590796</v>
      </c>
      <c r="F7" s="276">
        <v>1</v>
      </c>
      <c r="G7" s="227">
        <f t="shared" si="0"/>
        <v>7169.858712715858</v>
      </c>
      <c r="H7" s="187">
        <f t="shared" si="1"/>
        <v>7169.858712715858</v>
      </c>
      <c r="I7" s="65">
        <f>VLOOKUP(B7,All_Ingredients!$A$1:$F$156,6,FALSE())</f>
        <v>0.98</v>
      </c>
      <c r="J7" s="101">
        <f>VLOOKUP(B7,All_Ingredients!$A$1:$J$156,10,FALSE())</f>
        <v>3.5</v>
      </c>
      <c r="K7" s="104">
        <f t="shared" si="8"/>
        <v>7.3161823599141407</v>
      </c>
      <c r="L7" s="104">
        <f t="shared" si="9"/>
        <v>25.606638259699494</v>
      </c>
      <c r="M7" s="112"/>
      <c r="N7" s="112"/>
      <c r="AI7" s="63" t="s">
        <v>94</v>
      </c>
      <c r="AJ7" s="299" t="s">
        <v>107</v>
      </c>
      <c r="AK7" s="106" t="s">
        <v>14</v>
      </c>
      <c r="AL7" s="98">
        <v>10</v>
      </c>
      <c r="AM7" s="177">
        <f t="shared" si="4"/>
        <v>3.6088657105606252</v>
      </c>
      <c r="AN7" s="276">
        <v>1</v>
      </c>
      <c r="AO7" s="227">
        <f t="shared" si="5"/>
        <v>36.088657105606252</v>
      </c>
      <c r="AP7" s="187">
        <f t="shared" si="6"/>
        <v>36.088657105606252</v>
      </c>
      <c r="AQ7" s="1018">
        <f>VLOOKUP(AJ7,Marination_Ordering!$A:$J,6,FALSE)</f>
        <v>1</v>
      </c>
      <c r="AR7" s="1018">
        <f>VLOOKUP(AJ7,Marination_Ordering!$A:$J,10,FALSE)</f>
        <v>8</v>
      </c>
      <c r="AS7" s="156">
        <f t="shared" ref="AS7:AS8" si="10">AP7/AQ7</f>
        <v>36.088657105606252</v>
      </c>
      <c r="AT7" s="1018">
        <f t="shared" ref="AT7:AT8" si="11">AR7*(AS7/1000)</f>
        <v>0.28870925684484999</v>
      </c>
    </row>
    <row r="8" spans="1:46" ht="14.25" customHeight="1" x14ac:dyDescent="0.25">
      <c r="A8" s="1471" t="s">
        <v>906</v>
      </c>
      <c r="B8" s="96" t="s">
        <v>54</v>
      </c>
      <c r="C8" s="97" t="s">
        <v>14</v>
      </c>
      <c r="D8" s="107">
        <v>20</v>
      </c>
      <c r="E8" s="177">
        <f t="shared" si="7"/>
        <v>15.933019361590796</v>
      </c>
      <c r="F8" s="276">
        <v>0.9</v>
      </c>
      <c r="G8" s="227">
        <f t="shared" si="0"/>
        <v>318.66038723181595</v>
      </c>
      <c r="H8" s="187">
        <f t="shared" si="1"/>
        <v>286.79434850863436</v>
      </c>
      <c r="I8" s="65">
        <f>VLOOKUP(B8,All_Ingredients!$A$1:$F$156,6,FALSE())</f>
        <v>0.87</v>
      </c>
      <c r="J8" s="101">
        <f>VLOOKUP(B8,All_Ingredients!$A$1:$J$156,10,FALSE())</f>
        <v>7</v>
      </c>
      <c r="K8" s="104">
        <f t="shared" si="8"/>
        <v>0.32964867644670615</v>
      </c>
      <c r="L8" s="104">
        <f t="shared" si="9"/>
        <v>2.3075407351269428</v>
      </c>
      <c r="M8" s="112"/>
      <c r="N8" s="112"/>
      <c r="AI8" s="63" t="s">
        <v>153</v>
      </c>
      <c r="AJ8" s="350" t="s">
        <v>163</v>
      </c>
      <c r="AK8" s="106" t="s">
        <v>14</v>
      </c>
      <c r="AL8" s="201">
        <v>250</v>
      </c>
      <c r="AM8" s="177">
        <f t="shared" si="4"/>
        <v>3.6088657105606252</v>
      </c>
      <c r="AN8" s="276">
        <v>1</v>
      </c>
      <c r="AO8" s="227">
        <f t="shared" si="5"/>
        <v>902.21642764015633</v>
      </c>
      <c r="AP8" s="187">
        <f t="shared" si="6"/>
        <v>902.21642764015633</v>
      </c>
      <c r="AQ8" s="1018">
        <f>VLOOKUP(AJ8,Marination_Ordering!$A:$J,6,FALSE)</f>
        <v>1</v>
      </c>
      <c r="AR8" s="1018">
        <f>VLOOKUP(AJ8,Marination_Ordering!$A:$J,10,FALSE)</f>
        <v>6.6959999999999997</v>
      </c>
      <c r="AS8" s="156">
        <f t="shared" si="10"/>
        <v>902.21642764015633</v>
      </c>
      <c r="AT8" s="1018">
        <f t="shared" si="11"/>
        <v>6.0412411994784865</v>
      </c>
    </row>
    <row r="9" spans="1:46" ht="14.25" customHeight="1" x14ac:dyDescent="0.25">
      <c r="A9" s="1471" t="s">
        <v>907</v>
      </c>
      <c r="B9" s="96" t="s">
        <v>727</v>
      </c>
      <c r="C9" s="97" t="s">
        <v>14</v>
      </c>
      <c r="D9" s="107">
        <v>20</v>
      </c>
      <c r="E9" s="177">
        <f t="shared" si="7"/>
        <v>15.933019361590796</v>
      </c>
      <c r="F9" s="276">
        <v>0.9</v>
      </c>
      <c r="G9" s="227">
        <f t="shared" si="0"/>
        <v>318.66038723181595</v>
      </c>
      <c r="H9" s="187">
        <f t="shared" si="1"/>
        <v>286.79434850863436</v>
      </c>
      <c r="I9" s="65">
        <f>VLOOKUP(B9,All_Ingredients!$A$1:$F$156,6,FALSE())</f>
        <v>1</v>
      </c>
      <c r="J9" s="101">
        <f>VLOOKUP(B9,All_Ingredients!$A$1:$J$156,10,FALSE())</f>
        <v>10.5</v>
      </c>
      <c r="K9" s="104">
        <f t="shared" si="8"/>
        <v>0.28679434850863433</v>
      </c>
      <c r="L9" s="104">
        <f t="shared" si="9"/>
        <v>3.0113406593406604</v>
      </c>
      <c r="M9" s="112"/>
      <c r="N9" s="112"/>
      <c r="AI9" s="63" t="s">
        <v>94</v>
      </c>
      <c r="AJ9" s="350" t="s">
        <v>113</v>
      </c>
      <c r="AK9" s="106" t="s">
        <v>14</v>
      </c>
      <c r="AL9" s="98">
        <v>7</v>
      </c>
      <c r="AM9" s="177">
        <f t="shared" si="4"/>
        <v>3.6088657105606252</v>
      </c>
      <c r="AN9" s="276">
        <v>1</v>
      </c>
      <c r="AO9" s="227">
        <f t="shared" si="5"/>
        <v>25.262059973924377</v>
      </c>
      <c r="AP9" s="187">
        <f t="shared" si="6"/>
        <v>25.262059973924377</v>
      </c>
      <c r="AQ9" s="1018">
        <f>VLOOKUP(AJ9,Marination_Ordering!$A:$J,6,FALSE)</f>
        <v>1</v>
      </c>
      <c r="AR9" s="1018">
        <f>VLOOKUP(AJ9,Marination_Ordering!$A:$J,10,FALSE)</f>
        <v>20</v>
      </c>
      <c r="AS9" s="156">
        <f t="shared" ref="AS9:AS19" si="12">AP9/AQ9</f>
        <v>25.262059973924377</v>
      </c>
      <c r="AT9" s="1018">
        <f t="shared" ref="AT9:AT19" si="13">AR9*(AS9/1000)</f>
        <v>0.50524119947848756</v>
      </c>
    </row>
    <row r="10" spans="1:46" ht="14.25" customHeight="1" x14ac:dyDescent="0.25">
      <c r="A10" s="1471" t="s">
        <v>923</v>
      </c>
      <c r="B10" s="96" t="s">
        <v>34</v>
      </c>
      <c r="C10" s="97" t="s">
        <v>14</v>
      </c>
      <c r="D10" s="107">
        <v>10</v>
      </c>
      <c r="E10" s="177">
        <f t="shared" si="7"/>
        <v>15.933019361590796</v>
      </c>
      <c r="F10" s="276">
        <v>0.75</v>
      </c>
      <c r="G10" s="227">
        <f t="shared" si="0"/>
        <v>159.33019361590797</v>
      </c>
      <c r="H10" s="187">
        <f t="shared" si="1"/>
        <v>119.49764521193097</v>
      </c>
      <c r="I10" s="65">
        <f>VLOOKUP(B10,All_Ingredients!$A$1:$F$156,6,FALSE())</f>
        <v>0.86</v>
      </c>
      <c r="J10" s="101">
        <f>VLOOKUP(B10,All_Ingredients!$A$1:$J$156,10,FALSE())</f>
        <v>14</v>
      </c>
      <c r="K10" s="104">
        <f t="shared" si="8"/>
        <v>0.13895075024643136</v>
      </c>
      <c r="L10" s="104">
        <f t="shared" si="9"/>
        <v>1.9453105034500391</v>
      </c>
      <c r="M10" s="112"/>
      <c r="N10" s="112"/>
      <c r="AI10" s="63" t="s">
        <v>94</v>
      </c>
      <c r="AJ10" s="350" t="s">
        <v>118</v>
      </c>
      <c r="AK10" s="106" t="s">
        <v>14</v>
      </c>
      <c r="AL10" s="98">
        <v>20</v>
      </c>
      <c r="AM10" s="177">
        <f t="shared" si="4"/>
        <v>3.6088657105606252</v>
      </c>
      <c r="AN10" s="276">
        <v>1</v>
      </c>
      <c r="AO10" s="227">
        <f t="shared" si="5"/>
        <v>72.177314211212504</v>
      </c>
      <c r="AP10" s="187">
        <f t="shared" si="6"/>
        <v>72.177314211212504</v>
      </c>
      <c r="AQ10" s="1018">
        <f>VLOOKUP(AJ10,Marination_Ordering!$A:$J,6,FALSE)</f>
        <v>1</v>
      </c>
      <c r="AR10" s="1018">
        <f>VLOOKUP(AJ10,Marination_Ordering!$A:$J,10,FALSE)</f>
        <v>15</v>
      </c>
      <c r="AS10" s="156">
        <f t="shared" si="12"/>
        <v>72.177314211212504</v>
      </c>
      <c r="AT10" s="1018">
        <f t="shared" si="13"/>
        <v>1.0826597131681874</v>
      </c>
    </row>
    <row r="11" spans="1:46" ht="14.25" customHeight="1" x14ac:dyDescent="0.25">
      <c r="A11" s="1471"/>
      <c r="B11" s="96" t="s">
        <v>178</v>
      </c>
      <c r="C11" s="97" t="s">
        <v>14</v>
      </c>
      <c r="D11" s="107">
        <v>25</v>
      </c>
      <c r="E11" s="177">
        <f t="shared" si="7"/>
        <v>15.933019361590796</v>
      </c>
      <c r="F11" s="276">
        <v>1</v>
      </c>
      <c r="G11" s="227">
        <f t="shared" si="0"/>
        <v>398.32548403976989</v>
      </c>
      <c r="H11" s="187">
        <f t="shared" si="1"/>
        <v>398.32548403976989</v>
      </c>
      <c r="I11" s="65">
        <f>VLOOKUP(B11,All_Ingredients!$A$1:$F$156,6,FALSE())</f>
        <v>1</v>
      </c>
      <c r="J11" s="101">
        <f>VLOOKUP(B11,All_Ingredients!$A$1:$J$156,10,FALSE())</f>
        <v>40</v>
      </c>
      <c r="K11" s="104">
        <f t="shared" si="8"/>
        <v>0.39832548403976992</v>
      </c>
      <c r="L11" s="104">
        <f t="shared" si="9"/>
        <v>15.933019361590796</v>
      </c>
      <c r="M11" s="112"/>
      <c r="N11" s="112"/>
      <c r="AI11" s="63" t="s">
        <v>94</v>
      </c>
      <c r="AJ11" s="350" t="s">
        <v>724</v>
      </c>
      <c r="AK11" s="106" t="s">
        <v>14</v>
      </c>
      <c r="AL11" s="98">
        <v>10</v>
      </c>
      <c r="AM11" s="177">
        <f t="shared" si="4"/>
        <v>3.6088657105606252</v>
      </c>
      <c r="AN11" s="276">
        <v>1</v>
      </c>
      <c r="AO11" s="227">
        <f t="shared" si="5"/>
        <v>36.088657105606252</v>
      </c>
      <c r="AP11" s="187">
        <f t="shared" si="6"/>
        <v>36.088657105606252</v>
      </c>
      <c r="AQ11" s="1018">
        <f>VLOOKUP(AJ11,Marination_Ordering!$A:$J,6,FALSE)</f>
        <v>1</v>
      </c>
      <c r="AR11" s="1018">
        <f>VLOOKUP(AJ11,Marination_Ordering!$A:$J,10,FALSE)</f>
        <v>52</v>
      </c>
      <c r="AS11" s="156">
        <f t="shared" si="12"/>
        <v>36.088657105606252</v>
      </c>
      <c r="AT11" s="1018">
        <f t="shared" si="13"/>
        <v>1.8766101694915249</v>
      </c>
    </row>
    <row r="12" spans="1:46" ht="14.25" customHeight="1" x14ac:dyDescent="0.25">
      <c r="A12" s="1471"/>
      <c r="B12" s="96" t="s">
        <v>113</v>
      </c>
      <c r="C12" s="97" t="s">
        <v>14</v>
      </c>
      <c r="D12" s="107">
        <v>3</v>
      </c>
      <c r="E12" s="177">
        <f t="shared" si="7"/>
        <v>15.933019361590796</v>
      </c>
      <c r="F12" s="276">
        <v>0.9</v>
      </c>
      <c r="G12" s="227">
        <f t="shared" si="0"/>
        <v>47.79905808477239</v>
      </c>
      <c r="H12" s="187">
        <f t="shared" si="1"/>
        <v>43.019152276295152</v>
      </c>
      <c r="I12" s="65">
        <f>VLOOKUP(B12,All_Ingredients!$A$1:$F$156,6,FALSE())</f>
        <v>1</v>
      </c>
      <c r="J12" s="101">
        <f>VLOOKUP(B12,All_Ingredients!$A$1:$J$156,10,FALSE())</f>
        <v>20</v>
      </c>
      <c r="K12" s="104">
        <f t="shared" si="8"/>
        <v>4.3019152276295151E-2</v>
      </c>
      <c r="L12" s="104">
        <f t="shared" si="9"/>
        <v>0.86038304552590306</v>
      </c>
      <c r="M12" s="112"/>
      <c r="N12" s="112"/>
      <c r="AI12" s="63" t="s">
        <v>94</v>
      </c>
      <c r="AJ12" s="350" t="s">
        <v>93</v>
      </c>
      <c r="AK12" s="106" t="s">
        <v>14</v>
      </c>
      <c r="AL12" s="107">
        <v>5</v>
      </c>
      <c r="AM12" s="177">
        <f t="shared" si="4"/>
        <v>3.6088657105606252</v>
      </c>
      <c r="AN12" s="276">
        <v>1</v>
      </c>
      <c r="AO12" s="227">
        <f t="shared" si="5"/>
        <v>18.044328552803126</v>
      </c>
      <c r="AP12" s="187">
        <f t="shared" si="6"/>
        <v>18.044328552803126</v>
      </c>
      <c r="AQ12" s="1018">
        <f>VLOOKUP(AJ12,Marination_Ordering!$A:$J,6,FALSE)</f>
        <v>1</v>
      </c>
      <c r="AR12" s="1018">
        <f>VLOOKUP(AJ12,Marination_Ordering!$A:$J,10,FALSE)</f>
        <v>0.74</v>
      </c>
      <c r="AS12" s="156">
        <f t="shared" si="12"/>
        <v>18.044328552803126</v>
      </c>
      <c r="AT12" s="1018">
        <f t="shared" si="13"/>
        <v>1.3352803129074312E-2</v>
      </c>
    </row>
    <row r="13" spans="1:46" ht="14.25" customHeight="1" x14ac:dyDescent="0.25">
      <c r="A13" s="1471"/>
      <c r="B13" s="96" t="s">
        <v>163</v>
      </c>
      <c r="C13" s="97" t="s">
        <v>14</v>
      </c>
      <c r="D13" s="107">
        <v>300</v>
      </c>
      <c r="E13" s="177">
        <f t="shared" si="7"/>
        <v>15.933019361590796</v>
      </c>
      <c r="F13" s="276">
        <v>0.75</v>
      </c>
      <c r="G13" s="227">
        <f t="shared" si="0"/>
        <v>4779.9058084772387</v>
      </c>
      <c r="H13" s="187">
        <f t="shared" si="1"/>
        <v>3584.929356357929</v>
      </c>
      <c r="I13" s="65">
        <f>VLOOKUP(B13,All_Ingredients!$A$1:$F$156,6,FALSE())</f>
        <v>1</v>
      </c>
      <c r="J13" s="101">
        <f>VLOOKUP(B13,All_Ingredients!$A$1:$J$156,10,FALSE())</f>
        <v>6.6959999999999997</v>
      </c>
      <c r="K13" s="104">
        <f t="shared" si="8"/>
        <v>3.5849293563579292</v>
      </c>
      <c r="L13" s="104">
        <f t="shared" si="9"/>
        <v>24.004686970172692</v>
      </c>
      <c r="M13" s="112"/>
      <c r="N13" s="112"/>
      <c r="AI13" s="63" t="s">
        <v>213</v>
      </c>
      <c r="AJ13" s="350" t="s">
        <v>214</v>
      </c>
      <c r="AK13" s="106" t="s">
        <v>14</v>
      </c>
      <c r="AL13" s="98">
        <v>2</v>
      </c>
      <c r="AM13" s="177">
        <f t="shared" si="4"/>
        <v>3.6088657105606252</v>
      </c>
      <c r="AN13" s="276">
        <v>1</v>
      </c>
      <c r="AO13" s="227">
        <f t="shared" si="5"/>
        <v>7.2177314211212504</v>
      </c>
      <c r="AP13" s="187">
        <f t="shared" si="6"/>
        <v>7.2177314211212504</v>
      </c>
      <c r="AQ13" s="1018">
        <f>VLOOKUP(AJ13,Marination_Ordering!$A:$J,6,FALSE)</f>
        <v>1</v>
      </c>
      <c r="AR13" s="1018">
        <f>VLOOKUP(AJ13,Marination_Ordering!$A:$J,10,FALSE)</f>
        <v>35</v>
      </c>
      <c r="AS13" s="156">
        <f t="shared" si="12"/>
        <v>7.2177314211212504</v>
      </c>
      <c r="AT13" s="1018">
        <f t="shared" si="13"/>
        <v>0.25262059973924378</v>
      </c>
    </row>
    <row r="14" spans="1:46" ht="14.25" customHeight="1" x14ac:dyDescent="0.25">
      <c r="A14" s="1471"/>
      <c r="B14" s="96" t="s">
        <v>108</v>
      </c>
      <c r="C14" s="97" t="s">
        <v>14</v>
      </c>
      <c r="D14" s="107">
        <v>10</v>
      </c>
      <c r="E14" s="177">
        <f t="shared" si="7"/>
        <v>15.933019361590796</v>
      </c>
      <c r="F14" s="276">
        <v>0.75</v>
      </c>
      <c r="G14" s="227">
        <f t="shared" si="0"/>
        <v>159.33019361590797</v>
      </c>
      <c r="H14" s="187">
        <f t="shared" si="1"/>
        <v>119.49764521193097</v>
      </c>
      <c r="I14" s="65">
        <f>VLOOKUP(B14,All_Ingredients!$A$1:$F$156,6,FALSE())</f>
        <v>1</v>
      </c>
      <c r="J14" s="101">
        <f>VLOOKUP(B14,All_Ingredients!$A$1:$J$156,10,FALSE())</f>
        <v>26.5</v>
      </c>
      <c r="K14" s="104">
        <f t="shared" si="8"/>
        <v>0.11949764521193097</v>
      </c>
      <c r="L14" s="104">
        <f t="shared" si="9"/>
        <v>3.1666875981161708</v>
      </c>
      <c r="M14" s="112"/>
      <c r="N14" s="112"/>
      <c r="AI14" s="63" t="s">
        <v>94</v>
      </c>
      <c r="AJ14" s="350" t="s">
        <v>126</v>
      </c>
      <c r="AK14" s="106" t="s">
        <v>14</v>
      </c>
      <c r="AL14" s="98">
        <v>10</v>
      </c>
      <c r="AM14" s="177">
        <f t="shared" si="4"/>
        <v>3.6088657105606252</v>
      </c>
      <c r="AN14" s="276">
        <v>1</v>
      </c>
      <c r="AO14" s="227">
        <f t="shared" si="5"/>
        <v>36.088657105606252</v>
      </c>
      <c r="AP14" s="187">
        <f t="shared" si="6"/>
        <v>36.088657105606252</v>
      </c>
      <c r="AQ14" s="1018">
        <f>VLOOKUP(AJ14,Marination_Ordering!$A:$J,6,FALSE)</f>
        <v>1</v>
      </c>
      <c r="AR14" s="1018">
        <f>VLOOKUP(AJ14,Marination_Ordering!$A:$J,10,FALSE)</f>
        <v>125</v>
      </c>
      <c r="AS14" s="156">
        <f t="shared" si="12"/>
        <v>36.088657105606252</v>
      </c>
      <c r="AT14" s="1018">
        <f t="shared" si="13"/>
        <v>4.5110821382007815</v>
      </c>
    </row>
    <row r="15" spans="1:46" ht="14.25" customHeight="1" x14ac:dyDescent="0.25">
      <c r="A15" s="1471"/>
      <c r="B15" s="96" t="s">
        <v>105</v>
      </c>
      <c r="C15" s="97" t="s">
        <v>14</v>
      </c>
      <c r="D15" s="107">
        <v>10</v>
      </c>
      <c r="E15" s="177">
        <f t="shared" si="7"/>
        <v>15.933019361590796</v>
      </c>
      <c r="F15" s="276">
        <v>0.75</v>
      </c>
      <c r="G15" s="227">
        <f t="shared" si="0"/>
        <v>159.33019361590797</v>
      </c>
      <c r="H15" s="187">
        <f t="shared" si="1"/>
        <v>119.49764521193097</v>
      </c>
      <c r="I15" s="65">
        <f>VLOOKUP(B15,All_Ingredients!$A$1:$F$156,6,FALSE())</f>
        <v>1</v>
      </c>
      <c r="J15" s="101">
        <f>VLOOKUP(B15,All_Ingredients!$A$1:$J$156,10,FALSE())</f>
        <v>15</v>
      </c>
      <c r="K15" s="104">
        <f t="shared" si="8"/>
        <v>0.11949764521193097</v>
      </c>
      <c r="L15" s="104">
        <f t="shared" si="9"/>
        <v>1.7924646781789646</v>
      </c>
      <c r="M15" s="112"/>
      <c r="N15" s="112"/>
      <c r="AI15" s="63" t="s">
        <v>94</v>
      </c>
      <c r="AJ15" s="350" t="s">
        <v>122</v>
      </c>
      <c r="AK15" s="106" t="s">
        <v>14</v>
      </c>
      <c r="AL15" s="98">
        <v>5</v>
      </c>
      <c r="AM15" s="177">
        <f t="shared" si="4"/>
        <v>3.6088657105606252</v>
      </c>
      <c r="AN15" s="276">
        <v>1</v>
      </c>
      <c r="AO15" s="227">
        <f t="shared" si="5"/>
        <v>18.044328552803126</v>
      </c>
      <c r="AP15" s="187">
        <f t="shared" si="6"/>
        <v>18.044328552803126</v>
      </c>
      <c r="AQ15" s="1018">
        <f>VLOOKUP(AJ15,Marination_Ordering!$A:$J,6,FALSE)</f>
        <v>1</v>
      </c>
      <c r="AR15" s="1018">
        <f>VLOOKUP(AJ15,Marination_Ordering!$A:$J,10,FALSE)</f>
        <v>14</v>
      </c>
      <c r="AS15" s="156">
        <f t="shared" si="12"/>
        <v>18.044328552803126</v>
      </c>
      <c r="AT15" s="1018">
        <f t="shared" si="13"/>
        <v>0.25262059973924372</v>
      </c>
    </row>
    <row r="16" spans="1:46" ht="14.25" customHeight="1" x14ac:dyDescent="0.25">
      <c r="A16" s="1471"/>
      <c r="B16" s="96" t="s">
        <v>107</v>
      </c>
      <c r="C16" s="97" t="s">
        <v>14</v>
      </c>
      <c r="D16" s="107">
        <v>10</v>
      </c>
      <c r="E16" s="177">
        <f t="shared" si="7"/>
        <v>15.933019361590796</v>
      </c>
      <c r="F16" s="276">
        <v>0.75</v>
      </c>
      <c r="G16" s="227">
        <f t="shared" si="0"/>
        <v>159.33019361590797</v>
      </c>
      <c r="H16" s="187">
        <f t="shared" si="1"/>
        <v>119.49764521193097</v>
      </c>
      <c r="I16" s="65">
        <f>VLOOKUP(B16,All_Ingredients!$A$1:$F$156,6,FALSE())</f>
        <v>1</v>
      </c>
      <c r="J16" s="101">
        <f>VLOOKUP(B16,All_Ingredients!$A$1:$J$156,10,FALSE())</f>
        <v>8</v>
      </c>
      <c r="K16" s="104">
        <f t="shared" si="8"/>
        <v>0.11949764521193097</v>
      </c>
      <c r="L16" s="104">
        <f t="shared" si="9"/>
        <v>0.95598116169544778</v>
      </c>
      <c r="M16" s="112"/>
      <c r="N16" s="112"/>
      <c r="AI16" s="63" t="s">
        <v>55</v>
      </c>
      <c r="AJ16" s="350" t="s">
        <v>54</v>
      </c>
      <c r="AK16" s="106" t="s">
        <v>14</v>
      </c>
      <c r="AL16" s="107">
        <v>100</v>
      </c>
      <c r="AM16" s="177">
        <f t="shared" si="4"/>
        <v>3.6088657105606252</v>
      </c>
      <c r="AN16" s="276">
        <v>1</v>
      </c>
      <c r="AO16" s="227">
        <f t="shared" si="5"/>
        <v>360.88657105606251</v>
      </c>
      <c r="AP16" s="187">
        <f t="shared" si="6"/>
        <v>360.88657105606251</v>
      </c>
      <c r="AQ16" s="1018">
        <f>VLOOKUP(AJ16,Marination_Ordering!$A:$J,6,FALSE)</f>
        <v>0.87</v>
      </c>
      <c r="AR16" s="1018">
        <f>VLOOKUP(AJ16,Marination_Ordering!$A:$J,10,FALSE)</f>
        <v>7</v>
      </c>
      <c r="AS16" s="156">
        <f t="shared" si="12"/>
        <v>414.81215063915232</v>
      </c>
      <c r="AT16" s="1018">
        <f t="shared" si="13"/>
        <v>2.9036850544740664</v>
      </c>
    </row>
    <row r="17" spans="1:46" ht="14.25" customHeight="1" x14ac:dyDescent="0.25">
      <c r="A17" s="1471" t="s">
        <v>908</v>
      </c>
      <c r="B17" s="96" t="s">
        <v>60</v>
      </c>
      <c r="C17" s="97" t="s">
        <v>14</v>
      </c>
      <c r="D17" s="107">
        <v>5</v>
      </c>
      <c r="E17" s="177">
        <f t="shared" si="7"/>
        <v>15.933019361590796</v>
      </c>
      <c r="F17" s="276">
        <v>1</v>
      </c>
      <c r="G17" s="227">
        <f t="shared" si="0"/>
        <v>79.665096807953987</v>
      </c>
      <c r="H17" s="187">
        <f t="shared" si="1"/>
        <v>79.665096807953987</v>
      </c>
      <c r="I17" s="65">
        <f>VLOOKUP(B17,All_Ingredients!$A$1:$F$156,6,FALSE())</f>
        <v>0.94</v>
      </c>
      <c r="J17" s="101">
        <f>VLOOKUP(B17,All_Ingredients!$A$1:$J$156,10,FALSE())</f>
        <v>3.6363636363636367</v>
      </c>
      <c r="K17" s="104">
        <f t="shared" si="8"/>
        <v>8.4750102987185105E-2</v>
      </c>
      <c r="L17" s="104">
        <f t="shared" si="9"/>
        <v>0.30818219268067315</v>
      </c>
      <c r="M17" s="112"/>
      <c r="N17" s="112"/>
      <c r="AI17" s="63" t="s">
        <v>13</v>
      </c>
      <c r="AJ17" s="350" t="s">
        <v>727</v>
      </c>
      <c r="AK17" s="106" t="s">
        <v>14</v>
      </c>
      <c r="AL17" s="98">
        <v>150</v>
      </c>
      <c r="AM17" s="177">
        <f t="shared" si="4"/>
        <v>3.6088657105606252</v>
      </c>
      <c r="AN17" s="276">
        <v>1</v>
      </c>
      <c r="AO17" s="227">
        <f t="shared" si="5"/>
        <v>541.32985658409382</v>
      </c>
      <c r="AP17" s="187">
        <f t="shared" si="6"/>
        <v>541.32985658409382</v>
      </c>
      <c r="AQ17" s="1018">
        <f>VLOOKUP(AJ17,Marination_Ordering!$A:$J,6,FALSE)</f>
        <v>1</v>
      </c>
      <c r="AR17" s="1018">
        <f>VLOOKUP(AJ17,Marination_Ordering!$A:$J,10,FALSE)</f>
        <v>10.5</v>
      </c>
      <c r="AS17" s="156">
        <f t="shared" si="12"/>
        <v>541.32985658409382</v>
      </c>
      <c r="AT17" s="1018">
        <f t="shared" si="13"/>
        <v>5.6839634941329855</v>
      </c>
    </row>
    <row r="18" spans="1:46" ht="14.25" customHeight="1" x14ac:dyDescent="0.25">
      <c r="A18" s="1471"/>
      <c r="B18" s="263" t="s">
        <v>837</v>
      </c>
      <c r="C18" s="97" t="s">
        <v>14</v>
      </c>
      <c r="D18" s="107">
        <v>2</v>
      </c>
      <c r="E18" s="177">
        <f t="shared" si="7"/>
        <v>15.933019361590796</v>
      </c>
      <c r="F18" s="276">
        <v>0.9</v>
      </c>
      <c r="G18" s="227">
        <f t="shared" si="0"/>
        <v>31.866038723181592</v>
      </c>
      <c r="H18" s="187">
        <f t="shared" si="1"/>
        <v>28.679434850863434</v>
      </c>
      <c r="I18" s="65">
        <f>VLOOKUP(B18,All_Ingredients!$A$1:$F$156,6,FALSE())</f>
        <v>1</v>
      </c>
      <c r="J18" s="101">
        <f>VLOOKUP(B18,All_Ingredients!$A$1:$J$156,10,FALSE())</f>
        <v>22.5</v>
      </c>
      <c r="K18" s="104">
        <f t="shared" si="8"/>
        <v>2.8679434850863432E-2</v>
      </c>
      <c r="L18" s="104">
        <f t="shared" si="9"/>
        <v>0.64528728414442726</v>
      </c>
      <c r="M18" s="112"/>
      <c r="N18" s="112"/>
      <c r="AI18" s="63" t="s">
        <v>204</v>
      </c>
      <c r="AJ18" s="350" t="s">
        <v>212</v>
      </c>
      <c r="AK18" s="106" t="s">
        <v>160</v>
      </c>
      <c r="AL18" s="98">
        <v>300</v>
      </c>
      <c r="AM18" s="177">
        <f t="shared" si="4"/>
        <v>3.6088657105606252</v>
      </c>
      <c r="AN18" s="276">
        <v>1</v>
      </c>
      <c r="AO18" s="227">
        <f t="shared" si="5"/>
        <v>1082.6597131681876</v>
      </c>
      <c r="AP18" s="187">
        <f t="shared" si="6"/>
        <v>1082.6597131681876</v>
      </c>
      <c r="AQ18" s="1018">
        <f>VLOOKUP(AJ18,Marination_Ordering!$A:$J,6,FALSE)</f>
        <v>1</v>
      </c>
      <c r="AR18" s="1018">
        <f>VLOOKUP(AJ18,Marination_Ordering!$A:$J,10,FALSE)</f>
        <v>5</v>
      </c>
      <c r="AS18" s="156">
        <f t="shared" si="12"/>
        <v>1082.6597131681876</v>
      </c>
      <c r="AT18" s="1018">
        <f t="shared" si="13"/>
        <v>5.4132985658409378</v>
      </c>
    </row>
    <row r="19" spans="1:46" ht="14.25" customHeight="1" x14ac:dyDescent="0.25">
      <c r="A19" s="1471"/>
      <c r="B19" s="96" t="s">
        <v>214</v>
      </c>
      <c r="C19" s="97" t="s">
        <v>14</v>
      </c>
      <c r="D19" s="107">
        <v>1</v>
      </c>
      <c r="E19" s="177">
        <f t="shared" si="7"/>
        <v>15.933019361590796</v>
      </c>
      <c r="F19" s="276">
        <v>1</v>
      </c>
      <c r="G19" s="227">
        <f t="shared" si="0"/>
        <v>15.933019361590796</v>
      </c>
      <c r="H19" s="187">
        <f t="shared" si="1"/>
        <v>15.933019361590796</v>
      </c>
      <c r="I19" s="65">
        <f>VLOOKUP(B19,All_Ingredients!$A$1:$F$156,6,FALSE())</f>
        <v>1</v>
      </c>
      <c r="J19" s="101">
        <f>VLOOKUP(B19,All_Ingredients!$A$1:$J$156,10,FALSE())</f>
        <v>35</v>
      </c>
      <c r="K19" s="104">
        <f t="shared" si="8"/>
        <v>1.5933019361590795E-2</v>
      </c>
      <c r="L19" s="104">
        <f t="shared" si="9"/>
        <v>0.55765567765567781</v>
      </c>
      <c r="M19" s="112"/>
      <c r="N19" s="112"/>
      <c r="AI19" s="63" t="s">
        <v>204</v>
      </c>
      <c r="AJ19" s="299" t="s">
        <v>208</v>
      </c>
      <c r="AK19" s="106" t="s">
        <v>160</v>
      </c>
      <c r="AL19" s="98">
        <v>50</v>
      </c>
      <c r="AM19" s="177">
        <f t="shared" si="4"/>
        <v>3.6088657105606252</v>
      </c>
      <c r="AN19" s="276">
        <v>1</v>
      </c>
      <c r="AO19" s="227">
        <f t="shared" si="5"/>
        <v>180.44328552803125</v>
      </c>
      <c r="AP19" s="187">
        <f t="shared" si="6"/>
        <v>180.44328552803125</v>
      </c>
      <c r="AQ19" s="1018">
        <f>VLOOKUP(AJ19,Marination_Ordering!$A:$J,6,FALSE)</f>
        <v>1</v>
      </c>
      <c r="AR19" s="1018">
        <f>VLOOKUP(AJ19,Marination_Ordering!$A:$J,10,FALSE)</f>
        <v>2.1621621621621623</v>
      </c>
      <c r="AS19" s="156">
        <f t="shared" si="12"/>
        <v>180.44328552803125</v>
      </c>
      <c r="AT19" s="1018">
        <f t="shared" si="13"/>
        <v>0.39014764438493249</v>
      </c>
    </row>
    <row r="20" spans="1:46" ht="14.25" customHeight="1" x14ac:dyDescent="0.25">
      <c r="A20" s="1471"/>
      <c r="B20" s="96" t="s">
        <v>217</v>
      </c>
      <c r="C20" s="97" t="s">
        <v>14</v>
      </c>
      <c r="D20" s="107">
        <v>10</v>
      </c>
      <c r="E20" s="177">
        <f t="shared" si="7"/>
        <v>15.933019361590796</v>
      </c>
      <c r="F20" s="276">
        <v>0.5</v>
      </c>
      <c r="G20" s="227">
        <f t="shared" si="0"/>
        <v>159.33019361590797</v>
      </c>
      <c r="H20" s="187">
        <f t="shared" si="1"/>
        <v>79.665096807953987</v>
      </c>
      <c r="I20" s="65">
        <f>VLOOKUP(B20,All_Ingredients!$A$1:$F$156,6,FALSE())</f>
        <v>1</v>
      </c>
      <c r="J20" s="101">
        <f>VLOOKUP(B20,All_Ingredients!$A$1:$J$156,10,FALSE())</f>
        <v>3</v>
      </c>
      <c r="K20" s="104">
        <f t="shared" si="8"/>
        <v>7.9665096807953986E-2</v>
      </c>
      <c r="L20" s="104">
        <f t="shared" si="9"/>
        <v>0.23899529042386197</v>
      </c>
      <c r="M20" s="112"/>
      <c r="N20" s="112"/>
    </row>
    <row r="21" spans="1:46" ht="14.25" customHeight="1" x14ac:dyDescent="0.25">
      <c r="A21" s="1471"/>
      <c r="B21" s="96" t="s">
        <v>93</v>
      </c>
      <c r="C21" s="97" t="s">
        <v>14</v>
      </c>
      <c r="D21" s="107">
        <v>11</v>
      </c>
      <c r="E21" s="177">
        <f t="shared" si="7"/>
        <v>15.933019361590796</v>
      </c>
      <c r="F21" s="276">
        <v>0.75</v>
      </c>
      <c r="G21" s="227">
        <f t="shared" si="0"/>
        <v>175.26321297749877</v>
      </c>
      <c r="H21" s="187">
        <f t="shared" si="1"/>
        <v>131.44740973312406</v>
      </c>
      <c r="I21" s="65">
        <f>VLOOKUP(B21,All_Ingredients!$A$1:$F$156,6,FALSE())</f>
        <v>1</v>
      </c>
      <c r="J21" s="101">
        <f>VLOOKUP(B21,All_Ingredients!$A$1:$J$156,10,FALSE())</f>
        <v>0.74</v>
      </c>
      <c r="K21" s="104">
        <f t="shared" si="8"/>
        <v>0.13144740973312405</v>
      </c>
      <c r="L21" s="104">
        <f t="shared" si="9"/>
        <v>9.7271083202511793E-2</v>
      </c>
      <c r="M21" s="112"/>
      <c r="N21" s="112"/>
    </row>
    <row r="22" spans="1:46" ht="14.25" customHeight="1" x14ac:dyDescent="0.25">
      <c r="A22" s="1471"/>
      <c r="B22" s="96" t="s">
        <v>152</v>
      </c>
      <c r="C22" s="97" t="s">
        <v>14</v>
      </c>
      <c r="D22" s="107">
        <v>40</v>
      </c>
      <c r="E22" s="177">
        <f t="shared" si="7"/>
        <v>15.933019361590796</v>
      </c>
      <c r="F22" s="276">
        <v>0.9</v>
      </c>
      <c r="G22" s="227">
        <f t="shared" si="0"/>
        <v>637.32077446363189</v>
      </c>
      <c r="H22" s="187">
        <f t="shared" si="1"/>
        <v>573.58869701726871</v>
      </c>
      <c r="I22" s="65">
        <f>VLOOKUP(B22,All_Ingredients!$A$1:$F$156,6,FALSE())</f>
        <v>1</v>
      </c>
      <c r="J22" s="101">
        <f>VLOOKUP(B22,All_Ingredients!$A$1:$J$156,10,FALSE())</f>
        <v>30</v>
      </c>
      <c r="K22" s="104">
        <f t="shared" si="8"/>
        <v>0.57358869701726867</v>
      </c>
      <c r="L22" s="104">
        <f t="shared" si="9"/>
        <v>17.207660910518062</v>
      </c>
      <c r="M22" s="112"/>
      <c r="N22" s="112"/>
    </row>
    <row r="23" spans="1:46" ht="14.25" customHeight="1" x14ac:dyDescent="0.25">
      <c r="A23" s="1471"/>
      <c r="B23" s="96" t="s">
        <v>166</v>
      </c>
      <c r="C23" s="97" t="s">
        <v>160</v>
      </c>
      <c r="D23" s="107">
        <v>250</v>
      </c>
      <c r="E23" s="177">
        <f t="shared" si="7"/>
        <v>15.933019361590796</v>
      </c>
      <c r="F23" s="276">
        <v>1</v>
      </c>
      <c r="G23" s="227">
        <f t="shared" si="0"/>
        <v>3983.2548403976989</v>
      </c>
      <c r="H23" s="187">
        <f t="shared" si="1"/>
        <v>3983.2548403976989</v>
      </c>
      <c r="I23" s="65">
        <f>VLOOKUP(B23,All_Ingredients!$A$1:$F$156,6,FALSE())</f>
        <v>1</v>
      </c>
      <c r="J23" s="101">
        <f>VLOOKUP(B23,All_Ingredients!$A$1:$J$156,10,FALSE())</f>
        <v>12.666666666666666</v>
      </c>
      <c r="K23" s="104">
        <f t="shared" si="8"/>
        <v>3.9832548403976991</v>
      </c>
      <c r="L23" s="104">
        <f t="shared" si="9"/>
        <v>50.454561311704182</v>
      </c>
      <c r="M23" s="112"/>
      <c r="N23" s="112"/>
    </row>
    <row r="24" spans="1:46" ht="14.25" customHeight="1" x14ac:dyDescent="0.25">
      <c r="A24" s="1471"/>
      <c r="B24" s="96" t="s">
        <v>724</v>
      </c>
      <c r="C24" s="97" t="s">
        <v>14</v>
      </c>
      <c r="D24" s="107">
        <v>2</v>
      </c>
      <c r="E24" s="177">
        <f t="shared" si="7"/>
        <v>15.933019361590796</v>
      </c>
      <c r="F24" s="276">
        <v>1</v>
      </c>
      <c r="G24" s="227">
        <f t="shared" si="0"/>
        <v>31.866038723181592</v>
      </c>
      <c r="H24" s="187">
        <f t="shared" si="1"/>
        <v>31.866038723181592</v>
      </c>
      <c r="I24" s="65">
        <f>VLOOKUP(B24,All_Ingredients!$A$1:$F$156,6,FALSE())</f>
        <v>1</v>
      </c>
      <c r="J24" s="101">
        <f>VLOOKUP(B24,All_Ingredients!$A$1:$J$156,10,FALSE())</f>
        <v>52</v>
      </c>
      <c r="K24" s="104">
        <f t="shared" si="8"/>
        <v>3.186603872318159E-2</v>
      </c>
      <c r="L24" s="104">
        <f t="shared" si="9"/>
        <v>1.6570340136054427</v>
      </c>
      <c r="M24" s="112"/>
      <c r="N24" s="112"/>
      <c r="R24"/>
      <c r="Z24" s="1073"/>
    </row>
    <row r="25" spans="1:46" ht="14.25" customHeight="1" x14ac:dyDescent="0.25">
      <c r="A25" s="1472"/>
      <c r="B25" s="200" t="s">
        <v>187</v>
      </c>
      <c r="C25" s="106" t="s">
        <v>14</v>
      </c>
      <c r="D25" s="107">
        <v>20</v>
      </c>
      <c r="E25" s="201">
        <f t="shared" si="7"/>
        <v>15.933019361590796</v>
      </c>
      <c r="F25" s="109">
        <v>0.75</v>
      </c>
      <c r="G25" s="101">
        <f t="shared" si="0"/>
        <v>318.66038723181595</v>
      </c>
      <c r="H25" s="102">
        <f t="shared" si="1"/>
        <v>238.99529042386195</v>
      </c>
      <c r="I25" s="65">
        <f>VLOOKUP(B25,All_Ingredients!$A$1:$F$156,6,FALSE())</f>
        <v>0.9</v>
      </c>
      <c r="J25" s="101">
        <f>VLOOKUP(B25,All_Ingredients!$A$1:$J$156,10,FALSE())</f>
        <v>2.3199999999999998</v>
      </c>
      <c r="K25" s="104">
        <f t="shared" si="8"/>
        <v>0.26555032269317991</v>
      </c>
      <c r="L25" s="104">
        <f t="shared" si="9"/>
        <v>0.6160767486481773</v>
      </c>
      <c r="R25" s="1705" t="s">
        <v>377</v>
      </c>
      <c r="S25" s="1633"/>
      <c r="T25" s="1633"/>
      <c r="U25" s="1633"/>
      <c r="V25" s="997"/>
      <c r="Z25" s="122" t="s">
        <v>252</v>
      </c>
      <c r="AA25" s="123">
        <v>1</v>
      </c>
      <c r="AB25" s="122" t="s">
        <v>249</v>
      </c>
      <c r="AC25" s="124">
        <f>(AA25*(4/3))*AF30+(AA30*(AB28/R1))</f>
        <v>3.3119591466227345E-2</v>
      </c>
    </row>
    <row r="26" spans="1:46" ht="14.25" customHeight="1" x14ac:dyDescent="0.25">
      <c r="A26" s="1472"/>
      <c r="L26" s="274"/>
      <c r="R26" s="1704" t="s">
        <v>253</v>
      </c>
      <c r="S26" s="1633"/>
      <c r="T26" s="1633"/>
      <c r="U26" s="1633"/>
      <c r="V26" s="997"/>
    </row>
    <row r="27" spans="1:46" ht="14.25" customHeight="1" thickBot="1" x14ac:dyDescent="0.3">
      <c r="A27" s="1472"/>
      <c r="R27" s="397" t="s">
        <v>254</v>
      </c>
      <c r="S27" s="398" t="s">
        <v>255</v>
      </c>
      <c r="T27" s="398" t="s">
        <v>256</v>
      </c>
      <c r="U27" s="398" t="s">
        <v>257</v>
      </c>
      <c r="V27" s="127" t="s">
        <v>772</v>
      </c>
      <c r="W27" s="127" t="s">
        <v>779</v>
      </c>
      <c r="Z27" s="122" t="s">
        <v>258</v>
      </c>
      <c r="AA27" s="1031" t="s">
        <v>312</v>
      </c>
      <c r="AB27" s="128" t="s">
        <v>259</v>
      </c>
      <c r="AC27" s="128" t="s">
        <v>260</v>
      </c>
      <c r="AD27" s="128" t="s">
        <v>261</v>
      </c>
      <c r="AE27" s="1032" t="s">
        <v>779</v>
      </c>
      <c r="AF27" s="128" t="s">
        <v>262</v>
      </c>
    </row>
    <row r="28" spans="1:46" ht="14.25" customHeight="1" thickBot="1" x14ac:dyDescent="0.3">
      <c r="A28" s="1472"/>
      <c r="R28" s="399" t="s">
        <v>263</v>
      </c>
      <c r="S28" s="1166">
        <f>U28*S40</f>
        <v>21292.307692307688</v>
      </c>
      <c r="T28" s="1166">
        <f>U28*U40</f>
        <v>6387.692307692314</v>
      </c>
      <c r="U28" s="1183">
        <f>$Z$1</f>
        <v>27680</v>
      </c>
      <c r="V28" s="130">
        <f>SUM(AP5:AP13)</f>
        <v>1205.3611473272488</v>
      </c>
      <c r="W28" s="130">
        <f>SUM(H37:H38)</f>
        <v>412</v>
      </c>
      <c r="Z28" s="132"/>
      <c r="AA28" s="1034"/>
      <c r="AB28" s="133">
        <f>AA25*$S$40</f>
        <v>0.76923076923076905</v>
      </c>
      <c r="AC28" s="133">
        <f>AA25-AB28</f>
        <v>0.23076923076923095</v>
      </c>
      <c r="AD28" s="134">
        <f>AA25*(1/3)</f>
        <v>0.33333333333333331</v>
      </c>
      <c r="AE28" s="1034"/>
      <c r="AF28" s="135">
        <f>SUM(AB28:AD28)</f>
        <v>1.3333333333333333</v>
      </c>
    </row>
    <row r="29" spans="1:46" ht="14.25" customHeight="1" thickBot="1" x14ac:dyDescent="0.3">
      <c r="A29" s="1472"/>
      <c r="R29" s="399" t="s">
        <v>264</v>
      </c>
      <c r="S29" s="1083"/>
      <c r="T29" s="1082">
        <f>U28*(1/3)</f>
        <v>9226.6666666666661</v>
      </c>
      <c r="U29" s="1166">
        <f>T29</f>
        <v>9226.6666666666661</v>
      </c>
      <c r="V29" s="130"/>
      <c r="W29" s="130"/>
      <c r="Z29" s="132"/>
      <c r="AA29" s="1038"/>
      <c r="AB29" s="137">
        <f>AB28/$AF$28</f>
        <v>0.57692307692307687</v>
      </c>
      <c r="AC29" s="137">
        <f>AC28/$AF$28</f>
        <v>0.17307692307692321</v>
      </c>
      <c r="AD29" s="137">
        <f>AD28/$AF$28</f>
        <v>0.25</v>
      </c>
      <c r="AE29" s="1038"/>
      <c r="AF29" s="137">
        <f>AF28/$AF$28</f>
        <v>1</v>
      </c>
    </row>
    <row r="30" spans="1:46" ht="14.25" customHeight="1" thickBot="1" x14ac:dyDescent="0.3">
      <c r="A30" s="1472"/>
      <c r="R30" s="399" t="s">
        <v>265</v>
      </c>
      <c r="S30" s="1181">
        <f>U30*S40</f>
        <v>0</v>
      </c>
      <c r="T30" s="130">
        <f>(U30*U40)+(U30*(1/3))</f>
        <v>0</v>
      </c>
      <c r="U30" s="1180">
        <f>$AB$1</f>
        <v>0</v>
      </c>
      <c r="V30" s="989"/>
      <c r="W30" s="989"/>
      <c r="Z30" s="122" t="s">
        <v>266</v>
      </c>
      <c r="AA30" s="1042">
        <f>V35/(S32/R1)</f>
        <v>8.395405809257532E-4</v>
      </c>
      <c r="AB30" s="138">
        <f>S35/(S32)</f>
        <v>3.3701221915648408E-2</v>
      </c>
      <c r="AC30" s="139">
        <f>T35/T32</f>
        <v>1.0300878394258632E-2</v>
      </c>
      <c r="AD30" s="139">
        <f>T35/T32</f>
        <v>1.0300878394258632E-2</v>
      </c>
      <c r="AE30" s="1045">
        <f>W35/U32</f>
        <v>2.1768424855491325E-4</v>
      </c>
      <c r="AF30" s="1047">
        <f>SUMPRODUCT(AB30:AD30,AB29:AD29)+AE30</f>
        <v>2.4018760828230724E-2</v>
      </c>
    </row>
    <row r="31" spans="1:46" ht="14.25" customHeight="1" thickBot="1" x14ac:dyDescent="0.3">
      <c r="A31" s="1472"/>
      <c r="R31" s="399" t="s">
        <v>267</v>
      </c>
      <c r="S31" s="1083"/>
      <c r="T31" s="1082"/>
      <c r="U31" s="1082"/>
      <c r="V31" s="130"/>
      <c r="W31" s="130"/>
    </row>
    <row r="32" spans="1:46" ht="14.25" customHeight="1" thickBot="1" x14ac:dyDescent="0.3">
      <c r="A32" s="1472"/>
      <c r="R32" s="400" t="s">
        <v>257</v>
      </c>
      <c r="S32" s="1082">
        <f>S28+S30</f>
        <v>21292.307692307688</v>
      </c>
      <c r="T32" s="1082">
        <f>SUM(T28:T30)</f>
        <v>15614.35897435898</v>
      </c>
      <c r="U32" s="1085">
        <f>S32+T32</f>
        <v>36906.666666666672</v>
      </c>
      <c r="V32" s="130"/>
      <c r="W32" s="130">
        <f>SUM(W28:W30)</f>
        <v>412</v>
      </c>
    </row>
    <row r="33" spans="1:25" ht="14.25" customHeight="1" thickBot="1" x14ac:dyDescent="0.3">
      <c r="A33" s="1472"/>
      <c r="R33" s="401" t="s">
        <v>268</v>
      </c>
      <c r="S33" s="1083"/>
      <c r="T33" s="1083"/>
      <c r="U33" s="1083"/>
      <c r="V33" s="136"/>
      <c r="W33" s="136"/>
    </row>
    <row r="34" spans="1:25" ht="14.25" customHeight="1" thickBot="1" x14ac:dyDescent="0.3">
      <c r="A34" s="1472"/>
      <c r="R34" s="396" t="s">
        <v>269</v>
      </c>
      <c r="S34" s="1083"/>
      <c r="T34" s="1082"/>
      <c r="U34" s="1083"/>
      <c r="V34" s="136"/>
      <c r="W34" s="136"/>
    </row>
    <row r="35" spans="1:25" ht="14.25" customHeight="1" thickBot="1" x14ac:dyDescent="0.3">
      <c r="A35" s="1472"/>
      <c r="B35" s="1681" t="s">
        <v>637</v>
      </c>
      <c r="C35" s="1681"/>
      <c r="D35" s="1681"/>
      <c r="E35" s="1681"/>
      <c r="F35" s="1681"/>
      <c r="G35" s="797"/>
      <c r="H35" s="797"/>
      <c r="I35" s="803"/>
      <c r="J35" s="803"/>
      <c r="K35" s="803"/>
      <c r="L35" s="803"/>
      <c r="R35" s="144" t="s">
        <v>249</v>
      </c>
      <c r="S35" s="990">
        <f>$L$5</f>
        <v>717.57678663472905</v>
      </c>
      <c r="T35" s="990">
        <f>SUM(L6:L24)</f>
        <v>160.84161299917278</v>
      </c>
      <c r="U35" s="1049">
        <f>S35+T35+V35+W35</f>
        <v>916.75029178517275</v>
      </c>
      <c r="V35" s="990">
        <f>SUM(AT6:AT19)</f>
        <v>30.297892151270986</v>
      </c>
      <c r="W35" s="990" cm="1">
        <f t="array" ref="W35:W36">L37:L38</f>
        <v>8.0339999999999989</v>
      </c>
    </row>
    <row r="36" spans="1:25" ht="31.5" x14ac:dyDescent="0.25">
      <c r="A36" s="1472"/>
      <c r="B36" s="776" t="s">
        <v>241</v>
      </c>
      <c r="C36" s="776" t="s">
        <v>317</v>
      </c>
      <c r="D36" s="778" t="s">
        <v>622</v>
      </c>
      <c r="E36" s="775" t="s">
        <v>623</v>
      </c>
      <c r="F36" s="778" t="s">
        <v>624</v>
      </c>
      <c r="G36" s="797"/>
      <c r="H36" s="778" t="s">
        <v>624</v>
      </c>
      <c r="I36" s="778" t="s">
        <v>246</v>
      </c>
      <c r="J36" s="778" t="s">
        <v>247</v>
      </c>
      <c r="K36" s="778" t="s">
        <v>248</v>
      </c>
      <c r="L36" s="778" t="s">
        <v>249</v>
      </c>
      <c r="W36" s="14">
        <v>0.6695000000000001</v>
      </c>
    </row>
    <row r="37" spans="1:25" x14ac:dyDescent="0.25">
      <c r="A37" s="1472"/>
      <c r="B37" s="772" t="s">
        <v>176</v>
      </c>
      <c r="C37" s="773" t="s">
        <v>14</v>
      </c>
      <c r="D37" s="774">
        <v>1</v>
      </c>
      <c r="E37" s="772">
        <f>$AD$1</f>
        <v>206</v>
      </c>
      <c r="F37" s="772">
        <f>D37*E37</f>
        <v>206</v>
      </c>
      <c r="H37" s="772">
        <f>F37</f>
        <v>206</v>
      </c>
      <c r="I37" s="772">
        <f>VLOOKUP(B37,All_Ingredients!$A$1:$F$156,6,FALSE())</f>
        <v>1</v>
      </c>
      <c r="J37" s="772">
        <f>VLOOKUP(B37,All_Ingredients!$A$1:$J$156,10,FALSE())</f>
        <v>39</v>
      </c>
      <c r="K37" s="772">
        <f>(H37/I37)/1000</f>
        <v>0.20599999999999999</v>
      </c>
      <c r="L37" s="772">
        <f t="shared" ref="L37" si="14">K37*J37</f>
        <v>8.0339999999999989</v>
      </c>
    </row>
    <row r="38" spans="1:25" x14ac:dyDescent="0.25">
      <c r="A38" s="1472"/>
      <c r="B38" s="772" t="s">
        <v>19</v>
      </c>
      <c r="C38" s="773" t="s">
        <v>14</v>
      </c>
      <c r="D38" s="774">
        <v>1</v>
      </c>
      <c r="E38" s="772">
        <f>$AD$1</f>
        <v>206</v>
      </c>
      <c r="F38" s="772">
        <f>D38*E38</f>
        <v>206</v>
      </c>
      <c r="H38" s="772">
        <f>F38</f>
        <v>206</v>
      </c>
      <c r="I38" s="772">
        <f>VLOOKUP(B38,All_Ingredients!$A$1:$F$156,6,FALSE())</f>
        <v>0.8</v>
      </c>
      <c r="J38" s="772">
        <f>VLOOKUP(B38,All_Ingredients!$A$1:$J$156,10,FALSE())</f>
        <v>2.6</v>
      </c>
      <c r="K38" s="772">
        <f>(H38/I38)/1000</f>
        <v>0.25750000000000001</v>
      </c>
      <c r="L38" s="772">
        <f t="shared" ref="L38" si="15">K38*J38</f>
        <v>0.6695000000000001</v>
      </c>
    </row>
    <row r="39" spans="1:25" x14ac:dyDescent="0.25">
      <c r="A39" s="1472"/>
    </row>
    <row r="40" spans="1:25" ht="15.75" customHeight="1" x14ac:dyDescent="0.25">
      <c r="A40" s="1472"/>
      <c r="R40" s="146" t="s">
        <v>270</v>
      </c>
      <c r="S40" s="147">
        <v>0.76923076923076905</v>
      </c>
      <c r="T40" s="146" t="s">
        <v>271</v>
      </c>
      <c r="U40" s="148">
        <v>0.230769230769231</v>
      </c>
      <c r="V40" s="149">
        <f>S40+U40</f>
        <v>1</v>
      </c>
    </row>
    <row r="41" spans="1:25" ht="14.25" customHeight="1" x14ac:dyDescent="0.25">
      <c r="A41" s="1472"/>
      <c r="U41" s="150"/>
    </row>
    <row r="42" spans="1:25" x14ac:dyDescent="0.25">
      <c r="A42" s="1472"/>
    </row>
    <row r="43" spans="1:25" ht="14.25" customHeight="1" x14ac:dyDescent="0.25">
      <c r="A43" s="1472"/>
      <c r="Q43" s="151" t="s">
        <v>272</v>
      </c>
      <c r="R43" s="151" t="s">
        <v>273</v>
      </c>
      <c r="S43" s="151" t="s">
        <v>274</v>
      </c>
      <c r="T43" s="151" t="s">
        <v>275</v>
      </c>
      <c r="U43" s="151" t="s">
        <v>276</v>
      </c>
      <c r="V43" s="151" t="s">
        <v>277</v>
      </c>
      <c r="W43" s="235" t="s">
        <v>278</v>
      </c>
      <c r="X43" s="298"/>
      <c r="Y43" s="298"/>
    </row>
    <row r="44" spans="1:25" ht="14.25" customHeight="1" x14ac:dyDescent="0.25">
      <c r="A44" s="1472"/>
      <c r="Q44" s="153">
        <v>17728</v>
      </c>
      <c r="R44" s="154">
        <f>D51</f>
        <v>10000</v>
      </c>
      <c r="S44" s="155">
        <v>0.40899999999999997</v>
      </c>
      <c r="T44" s="155">
        <v>0.59099999999999997</v>
      </c>
      <c r="U44" s="220">
        <f>R44*S44</f>
        <v>4089.9999999999995</v>
      </c>
      <c r="V44" s="157">
        <f>R44*T44</f>
        <v>5910</v>
      </c>
      <c r="W44" s="237">
        <f>Q44-U44</f>
        <v>13638</v>
      </c>
      <c r="X44" s="275"/>
    </row>
    <row r="45" spans="1:25" x14ac:dyDescent="0.25">
      <c r="A45" s="1472"/>
      <c r="B45" s="14" t="s">
        <v>310</v>
      </c>
    </row>
    <row r="46" spans="1:25" x14ac:dyDescent="0.25">
      <c r="A46" s="1472"/>
    </row>
    <row r="47" spans="1:25" x14ac:dyDescent="0.25">
      <c r="A47" s="1472"/>
    </row>
    <row r="48" spans="1:25" x14ac:dyDescent="0.25">
      <c r="A48" s="1472"/>
    </row>
    <row r="49" spans="1:10" ht="14.25" customHeight="1" x14ac:dyDescent="0.25">
      <c r="A49" s="1472"/>
    </row>
    <row r="50" spans="1:10" ht="14.25" customHeight="1" x14ac:dyDescent="0.25">
      <c r="A50" s="1472"/>
      <c r="B50" s="126"/>
      <c r="C50" s="126" t="s">
        <v>233</v>
      </c>
      <c r="D50" s="126" t="s">
        <v>279</v>
      </c>
      <c r="E50" s="402"/>
      <c r="F50" s="84"/>
      <c r="G50" s="126" t="s">
        <v>280</v>
      </c>
      <c r="H50" s="126" t="s">
        <v>233</v>
      </c>
      <c r="I50" s="126" t="s">
        <v>281</v>
      </c>
      <c r="J50" s="126" t="s">
        <v>282</v>
      </c>
    </row>
    <row r="51" spans="1:10" ht="14.25" customHeight="1" x14ac:dyDescent="0.25">
      <c r="A51" s="1472"/>
      <c r="B51" s="161" t="s">
        <v>283</v>
      </c>
      <c r="C51" s="162">
        <f>10/$K$1</f>
        <v>10.204081632653061</v>
      </c>
      <c r="D51" s="163">
        <f>$C$1*10</f>
        <v>10000</v>
      </c>
      <c r="E51" s="164"/>
      <c r="F51" s="84"/>
      <c r="G51" s="161" t="s">
        <v>283</v>
      </c>
      <c r="H51" s="254">
        <f>I51/$D$5</f>
        <v>10</v>
      </c>
      <c r="I51" s="162">
        <f>J51/$R$1</f>
        <v>23115.254237288136</v>
      </c>
      <c r="J51" s="162">
        <f>$W$44</f>
        <v>13638</v>
      </c>
    </row>
    <row r="52" spans="1:10" ht="14.25" customHeight="1" x14ac:dyDescent="0.25">
      <c r="A52" s="1472"/>
      <c r="B52" s="209" t="s">
        <v>262</v>
      </c>
      <c r="C52" s="210">
        <f>$I$1</f>
        <v>15.933019361590796</v>
      </c>
      <c r="D52" s="211">
        <f>$E$1</f>
        <v>15614.35897435898</v>
      </c>
      <c r="E52" s="84"/>
      <c r="F52" s="84"/>
      <c r="G52" s="129" t="s">
        <v>262</v>
      </c>
      <c r="H52" s="190">
        <f>I52/$D$5</f>
        <v>15.61248547610184</v>
      </c>
      <c r="I52" s="157">
        <f>J52/$R$1</f>
        <v>36088.657105606253</v>
      </c>
      <c r="J52" s="165">
        <f>$S$32</f>
        <v>21292.307692307688</v>
      </c>
    </row>
    <row r="53" spans="1:10" ht="14.25" customHeight="1" x14ac:dyDescent="0.25">
      <c r="A53" s="1472"/>
      <c r="B53" s="209" t="s">
        <v>284</v>
      </c>
      <c r="C53" s="212">
        <f>MIN(C52, C51)</f>
        <v>10.204081632653061</v>
      </c>
      <c r="D53" s="211">
        <f>(C53*$K$1)*$C$1</f>
        <v>10000</v>
      </c>
      <c r="E53" s="84"/>
      <c r="F53" s="84"/>
      <c r="G53" s="129" t="s">
        <v>284</v>
      </c>
      <c r="H53" s="168">
        <f>MIN(H52,H51)</f>
        <v>10</v>
      </c>
      <c r="I53" s="157">
        <f>J53/$R$1</f>
        <v>23115.254237288136</v>
      </c>
      <c r="J53" s="157">
        <f>MIN(J52,J51)</f>
        <v>13638</v>
      </c>
    </row>
    <row r="54" spans="1:10" ht="14.25" customHeight="1" x14ac:dyDescent="0.25">
      <c r="A54" s="1472"/>
      <c r="B54" s="209" t="s">
        <v>285</v>
      </c>
      <c r="C54" s="212">
        <f>MIN(MAX(C52-C53,0),C51)</f>
        <v>5.7289377289377352</v>
      </c>
      <c r="D54" s="211">
        <f>(C54*$K$1)*$C$1</f>
        <v>5614.35897435898</v>
      </c>
      <c r="E54" s="84"/>
      <c r="F54" s="84"/>
      <c r="G54" s="129" t="s">
        <v>285</v>
      </c>
      <c r="H54" s="168">
        <f>MIN(MAX(H52-H53),H51)</f>
        <v>5.6124854761018401</v>
      </c>
      <c r="I54" s="157">
        <f>J54/$R$1</f>
        <v>12973.402868318115</v>
      </c>
      <c r="J54" s="157">
        <f>MIN(MAX(J52-J53),J51)</f>
        <v>7654.3076923076878</v>
      </c>
    </row>
    <row r="55" spans="1:10" x14ac:dyDescent="0.25">
      <c r="A55" s="1472"/>
      <c r="B55" s="209" t="s">
        <v>286</v>
      </c>
      <c r="C55" s="212">
        <f>MIN(MAX(C52-C53-C54,0),C51)</f>
        <v>0</v>
      </c>
      <c r="D55" s="211">
        <f>(C55*$K$1)*$C$1</f>
        <v>0</v>
      </c>
      <c r="E55" s="84"/>
      <c r="F55" s="84"/>
      <c r="G55" s="126" t="s">
        <v>286</v>
      </c>
      <c r="H55" s="522">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36" t="str">
        <f>" دجاج تشانجيزي 1 / " &amp; COUNTIF($C$53:$C$55, "&gt;0")</f>
        <v xml:space="preserve"> دجاج تشانجيزي 1 / 2</v>
      </c>
      <c r="C62" s="1637"/>
      <c r="D62" s="1637"/>
      <c r="E62" s="1637"/>
      <c r="F62" s="1637"/>
      <c r="G62" s="1637"/>
      <c r="H62" s="1637"/>
    </row>
    <row r="63" spans="1:10" ht="18" customHeight="1" x14ac:dyDescent="0.25">
      <c r="A63" s="1473"/>
      <c r="B63" s="1634" t="str">
        <f>" Changezi Chicken 1 / " &amp; COUNTIF($C$53:$C$55, "&gt;0")</f>
        <v xml:space="preserve"> Changezi Chicken 1 / 2</v>
      </c>
      <c r="C63" s="1635"/>
      <c r="D63" s="1635"/>
      <c r="E63" s="1635"/>
      <c r="F63" s="1635"/>
      <c r="G63" s="1635"/>
      <c r="H63" s="1635"/>
    </row>
    <row r="64" spans="1:10" ht="36.75" customHeight="1" x14ac:dyDescent="0.2">
      <c r="A64" s="1457"/>
      <c r="B64" s="221" t="s">
        <v>241</v>
      </c>
      <c r="C64" s="222" t="s">
        <v>242</v>
      </c>
      <c r="D64" s="223" t="s">
        <v>231</v>
      </c>
      <c r="E64" s="197" t="s">
        <v>234</v>
      </c>
      <c r="F64" s="197" t="s">
        <v>243</v>
      </c>
      <c r="G64" s="223" t="s">
        <v>244</v>
      </c>
      <c r="H64" s="197" t="s">
        <v>245</v>
      </c>
    </row>
    <row r="65" spans="1:8" ht="14.25" customHeight="1" x14ac:dyDescent="0.25">
      <c r="A65" s="1471"/>
      <c r="B65" s="105" t="str">
        <f t="shared" ref="B65:D83" si="16">B5</f>
        <v>Chicken - دجاج</v>
      </c>
      <c r="C65" s="105" t="str">
        <f t="shared" si="16"/>
        <v>gm</v>
      </c>
      <c r="D65" s="240">
        <f t="shared" si="16"/>
        <v>2311.5254237288136</v>
      </c>
      <c r="E65" s="403">
        <f>H53</f>
        <v>10</v>
      </c>
      <c r="F65" s="276">
        <f t="shared" ref="F65:F85" si="17">F5</f>
        <v>1</v>
      </c>
      <c r="G65" s="101">
        <f t="shared" ref="G65:G83" si="18">D65*E65</f>
        <v>23115.254237288136</v>
      </c>
      <c r="H65" s="187">
        <f t="shared" ref="H65:H83" si="19">G65*F65</f>
        <v>23115.254237288136</v>
      </c>
    </row>
    <row r="66" spans="1:8" ht="14.25" customHeight="1" x14ac:dyDescent="0.25">
      <c r="A66" s="1471" t="s">
        <v>905</v>
      </c>
      <c r="B66" s="105" t="str">
        <f t="shared" si="16"/>
        <v>Onion - بصل</v>
      </c>
      <c r="C66" s="105" t="str">
        <f t="shared" si="16"/>
        <v>gm</v>
      </c>
      <c r="D66" s="105">
        <f t="shared" si="16"/>
        <v>200</v>
      </c>
      <c r="E66" s="403">
        <f t="shared" ref="E66:E85" si="20">$C$53</f>
        <v>10.204081632653061</v>
      </c>
      <c r="F66" s="276">
        <f t="shared" si="17"/>
        <v>0.95</v>
      </c>
      <c r="G66" s="101">
        <f t="shared" si="18"/>
        <v>2040.8163265306123</v>
      </c>
      <c r="H66" s="187">
        <f t="shared" si="19"/>
        <v>1938.7755102040817</v>
      </c>
    </row>
    <row r="67" spans="1:8" ht="14.25" customHeight="1" x14ac:dyDescent="0.25">
      <c r="A67" s="1471" t="s">
        <v>909</v>
      </c>
      <c r="B67" s="105" t="str">
        <f t="shared" si="16"/>
        <v>Tomato - طماطم</v>
      </c>
      <c r="C67" s="105" t="str">
        <f t="shared" si="16"/>
        <v>gm</v>
      </c>
      <c r="D67" s="105">
        <f t="shared" si="16"/>
        <v>450</v>
      </c>
      <c r="E67" s="403">
        <f t="shared" si="20"/>
        <v>10.204081632653061</v>
      </c>
      <c r="F67" s="276">
        <f t="shared" si="17"/>
        <v>1</v>
      </c>
      <c r="G67" s="101">
        <f t="shared" si="18"/>
        <v>4591.8367346938776</v>
      </c>
      <c r="H67" s="187">
        <f t="shared" si="19"/>
        <v>4591.8367346938776</v>
      </c>
    </row>
    <row r="68" spans="1:8" ht="14.25" customHeight="1" x14ac:dyDescent="0.25">
      <c r="A68" s="1471" t="s">
        <v>906</v>
      </c>
      <c r="B68" s="105" t="str">
        <f t="shared" si="16"/>
        <v>Ginger - زنجبيل</v>
      </c>
      <c r="C68" s="105" t="str">
        <f t="shared" si="16"/>
        <v>gm</v>
      </c>
      <c r="D68" s="105">
        <f t="shared" si="16"/>
        <v>20</v>
      </c>
      <c r="E68" s="403">
        <f t="shared" si="20"/>
        <v>10.204081632653061</v>
      </c>
      <c r="F68" s="276">
        <f t="shared" si="17"/>
        <v>0.9</v>
      </c>
      <c r="G68" s="101">
        <f t="shared" si="18"/>
        <v>204.08163265306121</v>
      </c>
      <c r="H68" s="187">
        <f t="shared" si="19"/>
        <v>183.67346938775509</v>
      </c>
    </row>
    <row r="69" spans="1:8" ht="14.25" customHeight="1" x14ac:dyDescent="0.25">
      <c r="A69" s="1471" t="s">
        <v>907</v>
      </c>
      <c r="B69" s="105" t="str">
        <f t="shared" si="16"/>
        <v>Garlic - ثوم مقشر</v>
      </c>
      <c r="C69" s="105" t="str">
        <f t="shared" si="16"/>
        <v>gm</v>
      </c>
      <c r="D69" s="105">
        <f t="shared" si="16"/>
        <v>20</v>
      </c>
      <c r="E69" s="403">
        <f t="shared" si="20"/>
        <v>10.204081632653061</v>
      </c>
      <c r="F69" s="276">
        <f t="shared" si="17"/>
        <v>0.9</v>
      </c>
      <c r="G69" s="101">
        <f t="shared" si="18"/>
        <v>204.08163265306121</v>
      </c>
      <c r="H69" s="187">
        <f t="shared" si="19"/>
        <v>183.67346938775509</v>
      </c>
    </row>
    <row r="70" spans="1:8" ht="14.25" customHeight="1" x14ac:dyDescent="0.25">
      <c r="A70" s="1471" t="s">
        <v>923</v>
      </c>
      <c r="B70" s="105" t="str">
        <f t="shared" si="16"/>
        <v>Green Chilli Pepper - فلفل أخضر حار</v>
      </c>
      <c r="C70" s="105" t="str">
        <f t="shared" si="16"/>
        <v>gm</v>
      </c>
      <c r="D70" s="105">
        <f t="shared" si="16"/>
        <v>10</v>
      </c>
      <c r="E70" s="403">
        <f t="shared" si="20"/>
        <v>10.204081632653061</v>
      </c>
      <c r="F70" s="276">
        <f t="shared" si="17"/>
        <v>0.75</v>
      </c>
      <c r="G70" s="101">
        <f t="shared" si="18"/>
        <v>102.0408163265306</v>
      </c>
      <c r="H70" s="187">
        <f t="shared" si="19"/>
        <v>76.530612244897952</v>
      </c>
    </row>
    <row r="71" spans="1:8" ht="14.25" customHeight="1" x14ac:dyDescent="0.25">
      <c r="A71" s="1471"/>
      <c r="B71" s="105" t="str">
        <f t="shared" si="16"/>
        <v>Cashew Nut - كاجو</v>
      </c>
      <c r="C71" s="105" t="str">
        <f t="shared" si="16"/>
        <v>gm</v>
      </c>
      <c r="D71" s="105">
        <f t="shared" si="16"/>
        <v>25</v>
      </c>
      <c r="E71" s="403">
        <f t="shared" si="20"/>
        <v>10.204081632653061</v>
      </c>
      <c r="F71" s="276">
        <f t="shared" si="17"/>
        <v>1</v>
      </c>
      <c r="G71" s="101">
        <f t="shared" si="18"/>
        <v>255.10204081632654</v>
      </c>
      <c r="H71" s="187">
        <f t="shared" si="19"/>
        <v>255.10204081632654</v>
      </c>
    </row>
    <row r="72" spans="1:8" ht="14.25" customHeight="1" x14ac:dyDescent="0.25">
      <c r="A72" s="1471"/>
      <c r="B72" s="105" t="str">
        <f t="shared" si="16"/>
        <v>Red Chilli Powder - شطة حمراء مطحونة</v>
      </c>
      <c r="C72" s="105" t="str">
        <f t="shared" si="16"/>
        <v>gm</v>
      </c>
      <c r="D72" s="105">
        <f t="shared" si="16"/>
        <v>3</v>
      </c>
      <c r="E72" s="403">
        <f t="shared" si="20"/>
        <v>10.204081632653061</v>
      </c>
      <c r="F72" s="276">
        <f t="shared" si="17"/>
        <v>0.9</v>
      </c>
      <c r="G72" s="101">
        <f t="shared" si="18"/>
        <v>30.612244897959183</v>
      </c>
      <c r="H72" s="187">
        <f t="shared" si="19"/>
        <v>27.551020408163264</v>
      </c>
    </row>
    <row r="73" spans="1:8" ht="14.25" customHeight="1" x14ac:dyDescent="0.25">
      <c r="A73" s="1471"/>
      <c r="B73" s="105" t="str">
        <f t="shared" si="16"/>
        <v>Yogurt - زبادي</v>
      </c>
      <c r="C73" s="105" t="str">
        <f t="shared" si="16"/>
        <v>gm</v>
      </c>
      <c r="D73" s="105">
        <f t="shared" si="16"/>
        <v>300</v>
      </c>
      <c r="E73" s="403">
        <f t="shared" si="20"/>
        <v>10.204081632653061</v>
      </c>
      <c r="F73" s="276">
        <f t="shared" si="17"/>
        <v>0.75</v>
      </c>
      <c r="G73" s="101">
        <f t="shared" si="18"/>
        <v>3061.2244897959181</v>
      </c>
      <c r="H73" s="187">
        <f t="shared" si="19"/>
        <v>2295.9183673469388</v>
      </c>
    </row>
    <row r="74" spans="1:8" ht="14.25" customHeight="1" x14ac:dyDescent="0.25">
      <c r="A74" s="1471"/>
      <c r="B74" s="105" t="str">
        <f t="shared" si="16"/>
        <v>Curry Powder - كاري بودرة</v>
      </c>
      <c r="C74" s="105" t="str">
        <f t="shared" si="16"/>
        <v>gm</v>
      </c>
      <c r="D74" s="105">
        <f t="shared" si="16"/>
        <v>10</v>
      </c>
      <c r="E74" s="403">
        <f t="shared" si="20"/>
        <v>10.204081632653061</v>
      </c>
      <c r="F74" s="276">
        <f t="shared" si="17"/>
        <v>0.75</v>
      </c>
      <c r="G74" s="101">
        <f t="shared" si="18"/>
        <v>102.0408163265306</v>
      </c>
      <c r="H74" s="187">
        <f t="shared" si="19"/>
        <v>76.530612244897952</v>
      </c>
    </row>
    <row r="75" spans="1:8" ht="14.25" customHeight="1" x14ac:dyDescent="0.25">
      <c r="A75" s="1471"/>
      <c r="B75" s="105" t="str">
        <f t="shared" si="16"/>
        <v>Cumin Powder - كمون مطحون</v>
      </c>
      <c r="C75" s="105" t="str">
        <f t="shared" si="16"/>
        <v>gm</v>
      </c>
      <c r="D75" s="105">
        <f t="shared" si="16"/>
        <v>10</v>
      </c>
      <c r="E75" s="403">
        <f t="shared" si="20"/>
        <v>10.204081632653061</v>
      </c>
      <c r="F75" s="276">
        <f t="shared" si="17"/>
        <v>0.75</v>
      </c>
      <c r="G75" s="101">
        <f t="shared" si="18"/>
        <v>102.0408163265306</v>
      </c>
      <c r="H75" s="187">
        <f t="shared" si="19"/>
        <v>76.530612244897952</v>
      </c>
    </row>
    <row r="76" spans="1:8" ht="14.25" customHeight="1" x14ac:dyDescent="0.25">
      <c r="A76" s="1471"/>
      <c r="B76" s="105" t="str">
        <f t="shared" si="16"/>
        <v>Coriander Powder - كزبرة مطحونة</v>
      </c>
      <c r="C76" s="105" t="str">
        <f t="shared" si="16"/>
        <v>gm</v>
      </c>
      <c r="D76" s="105">
        <f t="shared" si="16"/>
        <v>10</v>
      </c>
      <c r="E76" s="403">
        <f t="shared" si="20"/>
        <v>10.204081632653061</v>
      </c>
      <c r="F76" s="276">
        <f t="shared" si="17"/>
        <v>0.75</v>
      </c>
      <c r="G76" s="101">
        <f t="shared" si="18"/>
        <v>102.0408163265306</v>
      </c>
      <c r="H76" s="187">
        <f t="shared" si="19"/>
        <v>76.530612244897952</v>
      </c>
    </row>
    <row r="77" spans="1:8" ht="14.25" customHeight="1" x14ac:dyDescent="0.25">
      <c r="A77" s="1471" t="s">
        <v>908</v>
      </c>
      <c r="B77" s="105" t="str">
        <f t="shared" si="16"/>
        <v>Coriander Leaves - كزبرة خضراء</v>
      </c>
      <c r="C77" s="105" t="str">
        <f t="shared" si="16"/>
        <v>gm</v>
      </c>
      <c r="D77" s="105">
        <f t="shared" si="16"/>
        <v>5</v>
      </c>
      <c r="E77" s="403">
        <f t="shared" si="20"/>
        <v>10.204081632653061</v>
      </c>
      <c r="F77" s="276">
        <f t="shared" si="17"/>
        <v>1</v>
      </c>
      <c r="G77" s="101">
        <f t="shared" si="18"/>
        <v>51.020408163265301</v>
      </c>
      <c r="H77" s="187">
        <f t="shared" si="19"/>
        <v>51.020408163265301</v>
      </c>
    </row>
    <row r="78" spans="1:8" ht="14.25" customHeight="1" x14ac:dyDescent="0.25">
      <c r="A78" s="1471"/>
      <c r="B78" s="105" t="str">
        <f t="shared" si="16"/>
        <v>Saffron yellow color powder - لون صفار زعفران بودر</v>
      </c>
      <c r="C78" s="105" t="str">
        <f t="shared" si="16"/>
        <v>gm</v>
      </c>
      <c r="D78" s="105">
        <f t="shared" si="16"/>
        <v>2</v>
      </c>
      <c r="E78" s="403">
        <f t="shared" si="20"/>
        <v>10.204081632653061</v>
      </c>
      <c r="F78" s="276">
        <f t="shared" si="17"/>
        <v>0.9</v>
      </c>
      <c r="G78" s="101">
        <f t="shared" si="18"/>
        <v>20.408163265306122</v>
      </c>
      <c r="H78" s="187">
        <f t="shared" si="19"/>
        <v>18.367346938775512</v>
      </c>
    </row>
    <row r="79" spans="1:8" ht="14.25" customHeight="1" x14ac:dyDescent="0.25">
      <c r="A79" s="1471"/>
      <c r="B79" s="105" t="str">
        <f t="shared" si="16"/>
        <v>Orange Color - لون برتقالي</v>
      </c>
      <c r="C79" s="105" t="str">
        <f t="shared" si="16"/>
        <v>gm</v>
      </c>
      <c r="D79" s="105">
        <f t="shared" si="16"/>
        <v>1</v>
      </c>
      <c r="E79" s="403">
        <f t="shared" si="20"/>
        <v>10.204081632653061</v>
      </c>
      <c r="F79" s="276">
        <f t="shared" si="17"/>
        <v>1</v>
      </c>
      <c r="G79" s="101">
        <f t="shared" si="18"/>
        <v>10.204081632653061</v>
      </c>
      <c r="H79" s="187">
        <f t="shared" si="19"/>
        <v>10.204081632653061</v>
      </c>
    </row>
    <row r="80" spans="1:8" ht="14.25" customHeight="1" x14ac:dyDescent="0.25">
      <c r="A80" s="1471"/>
      <c r="B80" s="105" t="str">
        <f t="shared" si="16"/>
        <v>Charcoal - فحم</v>
      </c>
      <c r="C80" s="105" t="str">
        <f t="shared" si="16"/>
        <v>gm</v>
      </c>
      <c r="D80" s="105">
        <f t="shared" si="16"/>
        <v>10</v>
      </c>
      <c r="E80" s="403">
        <f t="shared" si="20"/>
        <v>10.204081632653061</v>
      </c>
      <c r="F80" s="276">
        <f t="shared" si="17"/>
        <v>0.5</v>
      </c>
      <c r="G80" s="101">
        <f t="shared" si="18"/>
        <v>102.0408163265306</v>
      </c>
      <c r="H80" s="187">
        <f t="shared" si="19"/>
        <v>51.020408163265301</v>
      </c>
    </row>
    <row r="81" spans="1:8" ht="14.25" customHeight="1" x14ac:dyDescent="0.25">
      <c r="A81" s="1471"/>
      <c r="B81" s="105" t="str">
        <f t="shared" si="16"/>
        <v>Salt - ملح</v>
      </c>
      <c r="C81" s="105" t="str">
        <f t="shared" si="16"/>
        <v>gm</v>
      </c>
      <c r="D81" s="105">
        <f t="shared" si="16"/>
        <v>11</v>
      </c>
      <c r="E81" s="403">
        <f t="shared" si="20"/>
        <v>10.204081632653061</v>
      </c>
      <c r="F81" s="276">
        <f t="shared" si="17"/>
        <v>0.75</v>
      </c>
      <c r="G81" s="101">
        <f t="shared" si="18"/>
        <v>112.24489795918367</v>
      </c>
      <c r="H81" s="187">
        <f t="shared" si="19"/>
        <v>84.183673469387756</v>
      </c>
    </row>
    <row r="82" spans="1:8" ht="14.25" customHeight="1" x14ac:dyDescent="0.25">
      <c r="A82" s="1471"/>
      <c r="B82" s="105" t="str">
        <f t="shared" si="16"/>
        <v>Butter - زبدة</v>
      </c>
      <c r="C82" s="105" t="str">
        <f t="shared" si="16"/>
        <v>gm</v>
      </c>
      <c r="D82" s="105">
        <f t="shared" si="16"/>
        <v>40</v>
      </c>
      <c r="E82" s="403">
        <f t="shared" si="20"/>
        <v>10.204081632653061</v>
      </c>
      <c r="F82" s="276">
        <f t="shared" si="17"/>
        <v>0.9</v>
      </c>
      <c r="G82" s="101">
        <f t="shared" si="18"/>
        <v>408.16326530612241</v>
      </c>
      <c r="H82" s="187">
        <f t="shared" si="19"/>
        <v>367.34693877551018</v>
      </c>
    </row>
    <row r="83" spans="1:8" ht="14.25" customHeight="1" x14ac:dyDescent="0.25">
      <c r="A83" s="1471"/>
      <c r="B83" s="105" t="str">
        <f t="shared" si="16"/>
        <v>Cooking Cream - كريمة طبخ</v>
      </c>
      <c r="C83" s="105" t="str">
        <f t="shared" si="16"/>
        <v>ml</v>
      </c>
      <c r="D83" s="105">
        <f t="shared" si="16"/>
        <v>250</v>
      </c>
      <c r="E83" s="403">
        <f t="shared" si="20"/>
        <v>10.204081632653061</v>
      </c>
      <c r="F83" s="276">
        <f t="shared" si="17"/>
        <v>1</v>
      </c>
      <c r="G83" s="101">
        <f t="shared" si="18"/>
        <v>2551.0204081632651</v>
      </c>
      <c r="H83" s="187">
        <f t="shared" si="19"/>
        <v>2551.0204081632651</v>
      </c>
    </row>
    <row r="84" spans="1:8" ht="14.25" customHeight="1" x14ac:dyDescent="0.25">
      <c r="A84" s="1471"/>
      <c r="B84" s="105" t="str">
        <f t="shared" ref="B84:D84" si="21">B24</f>
        <v>Kasuri Methi - ورق حلبة مجففة</v>
      </c>
      <c r="C84" s="105" t="str">
        <f t="shared" si="21"/>
        <v>gm</v>
      </c>
      <c r="D84" s="105">
        <f t="shared" si="21"/>
        <v>2</v>
      </c>
      <c r="E84" s="403">
        <f t="shared" si="20"/>
        <v>10.204081632653061</v>
      </c>
      <c r="F84" s="276">
        <f t="shared" si="17"/>
        <v>1</v>
      </c>
      <c r="G84" s="101">
        <f t="shared" ref="G84:G85" si="22">D84*E84</f>
        <v>20.408163265306122</v>
      </c>
      <c r="H84" s="187">
        <f t="shared" ref="H84:H85" si="23">G84*F84</f>
        <v>20.408163265306122</v>
      </c>
    </row>
    <row r="85" spans="1:8" ht="20.25" customHeight="1" x14ac:dyDescent="0.25">
      <c r="A85" s="1471"/>
      <c r="B85" s="105" t="str">
        <f t="shared" ref="B85:D85" si="24">B25</f>
        <v>Corn Starch - نشا ذرة</v>
      </c>
      <c r="C85" s="105" t="str">
        <f t="shared" si="24"/>
        <v>gm</v>
      </c>
      <c r="D85" s="105">
        <f t="shared" si="24"/>
        <v>20</v>
      </c>
      <c r="E85" s="403">
        <f t="shared" si="20"/>
        <v>10.204081632653061</v>
      </c>
      <c r="F85" s="276">
        <f t="shared" si="17"/>
        <v>0.75</v>
      </c>
      <c r="G85" s="101">
        <f t="shared" si="22"/>
        <v>204.08163265306121</v>
      </c>
      <c r="H85" s="187">
        <f t="shared" si="23"/>
        <v>153.0612244897959</v>
      </c>
    </row>
    <row r="86" spans="1:8" ht="19.5" customHeight="1" x14ac:dyDescent="0.25">
      <c r="A86" s="1458"/>
      <c r="B86" s="178" t="s">
        <v>287</v>
      </c>
      <c r="C86" s="180" t="s">
        <v>273</v>
      </c>
      <c r="E86" s="180" t="s">
        <v>288</v>
      </c>
      <c r="G86" s="804" t="s">
        <v>264</v>
      </c>
      <c r="H86" s="804" t="s">
        <v>673</v>
      </c>
    </row>
    <row r="87" spans="1:8" ht="14.25" customHeight="1" x14ac:dyDescent="0.3">
      <c r="A87" s="1458"/>
      <c r="B87" s="179">
        <f>$J$53</f>
        <v>13638</v>
      </c>
      <c r="C87" s="179">
        <f>E87+G87</f>
        <v>10000</v>
      </c>
      <c r="D87" s="839"/>
      <c r="E87" s="179">
        <f>$D$53*$S$44</f>
        <v>4089.9999999999995</v>
      </c>
      <c r="F87" s="843"/>
      <c r="G87" s="179">
        <f>$D$53*$T$44</f>
        <v>5910</v>
      </c>
      <c r="H87" s="179">
        <f>B87+E87</f>
        <v>17728</v>
      </c>
    </row>
    <row r="88" spans="1:8" ht="18" customHeight="1" x14ac:dyDescent="0.25">
      <c r="A88" s="1472"/>
      <c r="B88" s="84"/>
      <c r="E88" s="76"/>
      <c r="F88" s="84"/>
    </row>
    <row r="89" spans="1:8" ht="18" customHeight="1" x14ac:dyDescent="0.25">
      <c r="A89" s="1473"/>
      <c r="B89" s="1636" t="str">
        <f>" دجاج تشانجيزي 2 / " &amp; COUNTIF($C$53:$C$55, "&gt;0")</f>
        <v xml:space="preserve"> دجاج تشانجيزي 2 / 2</v>
      </c>
      <c r="C89" s="1637"/>
      <c r="D89" s="1637"/>
      <c r="E89" s="1637"/>
      <c r="F89" s="1637"/>
      <c r="G89" s="1637"/>
      <c r="H89" s="1637"/>
    </row>
    <row r="90" spans="1:8" ht="36.75" customHeight="1" x14ac:dyDescent="0.25">
      <c r="A90" s="1473"/>
      <c r="B90" s="1634" t="str">
        <f>" Changezi Chicken 2 / " &amp; COUNTIF($C$53:$C$55, "&gt;0")</f>
        <v xml:space="preserve"> Changezi Chicken 2 / 2</v>
      </c>
      <c r="C90" s="1635"/>
      <c r="D90" s="1635"/>
      <c r="E90" s="1635"/>
      <c r="F90" s="1635"/>
      <c r="G90" s="1635"/>
      <c r="H90" s="1635"/>
    </row>
    <row r="91" spans="1:8" ht="14.25" customHeight="1" x14ac:dyDescent="0.2">
      <c r="A91" s="1457"/>
      <c r="B91" s="221" t="s">
        <v>241</v>
      </c>
      <c r="C91" s="222" t="s">
        <v>242</v>
      </c>
      <c r="D91" s="223" t="s">
        <v>231</v>
      </c>
      <c r="E91" s="197" t="s">
        <v>234</v>
      </c>
      <c r="F91" s="197" t="s">
        <v>243</v>
      </c>
      <c r="G91" s="223" t="s">
        <v>244</v>
      </c>
      <c r="H91" s="197" t="s">
        <v>245</v>
      </c>
    </row>
    <row r="92" spans="1:8" ht="14.25" customHeight="1" x14ac:dyDescent="0.25">
      <c r="A92" s="1471"/>
      <c r="B92" s="105" t="str">
        <f t="shared" ref="B92:D112" si="25">B5</f>
        <v>Chicken - دجاج</v>
      </c>
      <c r="C92" s="105" t="str">
        <f t="shared" si="25"/>
        <v>gm</v>
      </c>
      <c r="D92" s="240">
        <f t="shared" si="25"/>
        <v>2311.5254237288136</v>
      </c>
      <c r="E92" s="177">
        <f>$H$54</f>
        <v>5.6124854761018401</v>
      </c>
      <c r="F92" s="276">
        <f t="shared" ref="F92:F112" si="26">F5</f>
        <v>1</v>
      </c>
      <c r="G92" s="101">
        <f t="shared" ref="G92:G110" si="27">D92*E92</f>
        <v>12973.402868318119</v>
      </c>
      <c r="H92" s="187">
        <f t="shared" ref="H92:H110" si="28">G92*F92</f>
        <v>12973.402868318119</v>
      </c>
    </row>
    <row r="93" spans="1:8" ht="14.25" customHeight="1" x14ac:dyDescent="0.25">
      <c r="A93" s="1471" t="s">
        <v>905</v>
      </c>
      <c r="B93" s="105" t="str">
        <f t="shared" si="25"/>
        <v>Onion - بصل</v>
      </c>
      <c r="C93" s="105" t="str">
        <f t="shared" si="25"/>
        <v>gm</v>
      </c>
      <c r="D93" s="105">
        <f t="shared" si="25"/>
        <v>200</v>
      </c>
      <c r="E93" s="177">
        <f t="shared" ref="E93:E112" si="29">$C$54</f>
        <v>5.7289377289377352</v>
      </c>
      <c r="F93" s="276">
        <f t="shared" si="26"/>
        <v>0.95</v>
      </c>
      <c r="G93" s="101">
        <f t="shared" si="27"/>
        <v>1145.7875457875471</v>
      </c>
      <c r="H93" s="187">
        <f t="shared" si="28"/>
        <v>1088.4981684981697</v>
      </c>
    </row>
    <row r="94" spans="1:8" ht="14.25" customHeight="1" x14ac:dyDescent="0.25">
      <c r="A94" s="1471" t="s">
        <v>909</v>
      </c>
      <c r="B94" s="105" t="str">
        <f t="shared" si="25"/>
        <v>Tomato - طماطم</v>
      </c>
      <c r="C94" s="105" t="str">
        <f t="shared" si="25"/>
        <v>gm</v>
      </c>
      <c r="D94" s="105">
        <f t="shared" si="25"/>
        <v>450</v>
      </c>
      <c r="E94" s="177">
        <f t="shared" si="29"/>
        <v>5.7289377289377352</v>
      </c>
      <c r="F94" s="276">
        <f t="shared" si="26"/>
        <v>1</v>
      </c>
      <c r="G94" s="101">
        <f t="shared" si="27"/>
        <v>2578.0219780219809</v>
      </c>
      <c r="H94" s="187">
        <f t="shared" si="28"/>
        <v>2578.0219780219809</v>
      </c>
    </row>
    <row r="95" spans="1:8" ht="14.25" customHeight="1" x14ac:dyDescent="0.25">
      <c r="A95" s="1471" t="s">
        <v>906</v>
      </c>
      <c r="B95" s="105" t="str">
        <f t="shared" si="25"/>
        <v>Ginger - زنجبيل</v>
      </c>
      <c r="C95" s="105" t="str">
        <f t="shared" si="25"/>
        <v>gm</v>
      </c>
      <c r="D95" s="105">
        <f t="shared" si="25"/>
        <v>20</v>
      </c>
      <c r="E95" s="177">
        <f t="shared" si="29"/>
        <v>5.7289377289377352</v>
      </c>
      <c r="F95" s="276">
        <f t="shared" si="26"/>
        <v>0.9</v>
      </c>
      <c r="G95" s="101">
        <f t="shared" si="27"/>
        <v>114.57875457875471</v>
      </c>
      <c r="H95" s="187">
        <f t="shared" si="28"/>
        <v>103.12087912087924</v>
      </c>
    </row>
    <row r="96" spans="1:8" ht="14.25" customHeight="1" x14ac:dyDescent="0.25">
      <c r="A96" s="1471" t="s">
        <v>907</v>
      </c>
      <c r="B96" s="105" t="str">
        <f t="shared" si="25"/>
        <v>Garlic - ثوم مقشر</v>
      </c>
      <c r="C96" s="105" t="str">
        <f t="shared" si="25"/>
        <v>gm</v>
      </c>
      <c r="D96" s="105">
        <f t="shared" si="25"/>
        <v>20</v>
      </c>
      <c r="E96" s="177">
        <f t="shared" si="29"/>
        <v>5.7289377289377352</v>
      </c>
      <c r="F96" s="276">
        <f t="shared" si="26"/>
        <v>0.9</v>
      </c>
      <c r="G96" s="101">
        <f t="shared" si="27"/>
        <v>114.57875457875471</v>
      </c>
      <c r="H96" s="187">
        <f t="shared" si="28"/>
        <v>103.12087912087924</v>
      </c>
    </row>
    <row r="97" spans="1:8" ht="14.25" customHeight="1" x14ac:dyDescent="0.25">
      <c r="A97" s="1471" t="s">
        <v>923</v>
      </c>
      <c r="B97" s="105" t="str">
        <f t="shared" si="25"/>
        <v>Green Chilli Pepper - فلفل أخضر حار</v>
      </c>
      <c r="C97" s="105" t="str">
        <f t="shared" si="25"/>
        <v>gm</v>
      </c>
      <c r="D97" s="105">
        <f t="shared" si="25"/>
        <v>10</v>
      </c>
      <c r="E97" s="177">
        <f t="shared" si="29"/>
        <v>5.7289377289377352</v>
      </c>
      <c r="F97" s="276">
        <f t="shared" si="26"/>
        <v>0.75</v>
      </c>
      <c r="G97" s="101">
        <f t="shared" si="27"/>
        <v>57.289377289377356</v>
      </c>
      <c r="H97" s="187">
        <f t="shared" si="28"/>
        <v>42.96703296703302</v>
      </c>
    </row>
    <row r="98" spans="1:8" ht="14.25" customHeight="1" x14ac:dyDescent="0.25">
      <c r="A98" s="1471"/>
      <c r="B98" s="105" t="str">
        <f t="shared" si="25"/>
        <v>Cashew Nut - كاجو</v>
      </c>
      <c r="C98" s="105" t="str">
        <f t="shared" si="25"/>
        <v>gm</v>
      </c>
      <c r="D98" s="105">
        <f t="shared" si="25"/>
        <v>25</v>
      </c>
      <c r="E98" s="177">
        <f t="shared" si="29"/>
        <v>5.7289377289377352</v>
      </c>
      <c r="F98" s="276">
        <f t="shared" si="26"/>
        <v>1</v>
      </c>
      <c r="G98" s="101">
        <f t="shared" si="27"/>
        <v>143.22344322344338</v>
      </c>
      <c r="H98" s="187">
        <f t="shared" si="28"/>
        <v>143.22344322344338</v>
      </c>
    </row>
    <row r="99" spans="1:8" ht="14.25" customHeight="1" x14ac:dyDescent="0.25">
      <c r="A99" s="1471"/>
      <c r="B99" s="105" t="str">
        <f t="shared" si="25"/>
        <v>Red Chilli Powder - شطة حمراء مطحونة</v>
      </c>
      <c r="C99" s="105" t="str">
        <f t="shared" si="25"/>
        <v>gm</v>
      </c>
      <c r="D99" s="105">
        <f t="shared" si="25"/>
        <v>3</v>
      </c>
      <c r="E99" s="177">
        <f t="shared" si="29"/>
        <v>5.7289377289377352</v>
      </c>
      <c r="F99" s="276">
        <f t="shared" si="26"/>
        <v>0.9</v>
      </c>
      <c r="G99" s="101">
        <f t="shared" si="27"/>
        <v>17.186813186813204</v>
      </c>
      <c r="H99" s="187">
        <f t="shared" si="28"/>
        <v>15.468131868131884</v>
      </c>
    </row>
    <row r="100" spans="1:8" ht="14.25" customHeight="1" x14ac:dyDescent="0.25">
      <c r="A100" s="1471"/>
      <c r="B100" s="105" t="str">
        <f t="shared" si="25"/>
        <v>Yogurt - زبادي</v>
      </c>
      <c r="C100" s="105" t="str">
        <f t="shared" si="25"/>
        <v>gm</v>
      </c>
      <c r="D100" s="105">
        <f t="shared" si="25"/>
        <v>300</v>
      </c>
      <c r="E100" s="177">
        <f t="shared" si="29"/>
        <v>5.7289377289377352</v>
      </c>
      <c r="F100" s="276">
        <f t="shared" si="26"/>
        <v>0.75</v>
      </c>
      <c r="G100" s="101">
        <f t="shared" si="27"/>
        <v>1718.6813186813206</v>
      </c>
      <c r="H100" s="187">
        <f t="shared" si="28"/>
        <v>1289.0109890109904</v>
      </c>
    </row>
    <row r="101" spans="1:8" ht="14.25" customHeight="1" x14ac:dyDescent="0.25">
      <c r="A101" s="1471"/>
      <c r="B101" s="105" t="str">
        <f t="shared" si="25"/>
        <v>Curry Powder - كاري بودرة</v>
      </c>
      <c r="C101" s="105" t="str">
        <f t="shared" si="25"/>
        <v>gm</v>
      </c>
      <c r="D101" s="105">
        <f t="shared" si="25"/>
        <v>10</v>
      </c>
      <c r="E101" s="177">
        <f t="shared" si="29"/>
        <v>5.7289377289377352</v>
      </c>
      <c r="F101" s="276">
        <f t="shared" si="26"/>
        <v>0.75</v>
      </c>
      <c r="G101" s="101">
        <f t="shared" si="27"/>
        <v>57.289377289377356</v>
      </c>
      <c r="H101" s="187">
        <f t="shared" si="28"/>
        <v>42.96703296703302</v>
      </c>
    </row>
    <row r="102" spans="1:8" ht="14.25" customHeight="1" x14ac:dyDescent="0.25">
      <c r="A102" s="1471"/>
      <c r="B102" s="105" t="str">
        <f t="shared" si="25"/>
        <v>Cumin Powder - كمون مطحون</v>
      </c>
      <c r="C102" s="105" t="str">
        <f t="shared" si="25"/>
        <v>gm</v>
      </c>
      <c r="D102" s="105">
        <f t="shared" si="25"/>
        <v>10</v>
      </c>
      <c r="E102" s="177">
        <f t="shared" si="29"/>
        <v>5.7289377289377352</v>
      </c>
      <c r="F102" s="276">
        <f t="shared" si="26"/>
        <v>0.75</v>
      </c>
      <c r="G102" s="101">
        <f t="shared" si="27"/>
        <v>57.289377289377356</v>
      </c>
      <c r="H102" s="187">
        <f t="shared" si="28"/>
        <v>42.96703296703302</v>
      </c>
    </row>
    <row r="103" spans="1:8" ht="14.25" customHeight="1" x14ac:dyDescent="0.25">
      <c r="A103" s="1471"/>
      <c r="B103" s="105" t="str">
        <f t="shared" si="25"/>
        <v>Coriander Powder - كزبرة مطحونة</v>
      </c>
      <c r="C103" s="105" t="str">
        <f t="shared" si="25"/>
        <v>gm</v>
      </c>
      <c r="D103" s="105">
        <f t="shared" si="25"/>
        <v>10</v>
      </c>
      <c r="E103" s="177">
        <f t="shared" si="29"/>
        <v>5.7289377289377352</v>
      </c>
      <c r="F103" s="276">
        <f t="shared" si="26"/>
        <v>0.75</v>
      </c>
      <c r="G103" s="101">
        <f t="shared" si="27"/>
        <v>57.289377289377356</v>
      </c>
      <c r="H103" s="187">
        <f t="shared" si="28"/>
        <v>42.96703296703302</v>
      </c>
    </row>
    <row r="104" spans="1:8" ht="14.25" customHeight="1" x14ac:dyDescent="0.25">
      <c r="A104" s="1471" t="s">
        <v>908</v>
      </c>
      <c r="B104" s="105" t="str">
        <f t="shared" si="25"/>
        <v>Coriander Leaves - كزبرة خضراء</v>
      </c>
      <c r="C104" s="105" t="str">
        <f t="shared" si="25"/>
        <v>gm</v>
      </c>
      <c r="D104" s="105">
        <f t="shared" si="25"/>
        <v>5</v>
      </c>
      <c r="E104" s="177">
        <f t="shared" si="29"/>
        <v>5.7289377289377352</v>
      </c>
      <c r="F104" s="276">
        <f t="shared" si="26"/>
        <v>1</v>
      </c>
      <c r="G104" s="101">
        <f t="shared" si="27"/>
        <v>28.644688644688678</v>
      </c>
      <c r="H104" s="187">
        <f t="shared" si="28"/>
        <v>28.644688644688678</v>
      </c>
    </row>
    <row r="105" spans="1:8" ht="14.25" customHeight="1" x14ac:dyDescent="0.25">
      <c r="A105" s="1471"/>
      <c r="B105" s="105" t="str">
        <f t="shared" si="25"/>
        <v>Saffron yellow color powder - لون صفار زعفران بودر</v>
      </c>
      <c r="C105" s="105" t="str">
        <f t="shared" si="25"/>
        <v>gm</v>
      </c>
      <c r="D105" s="105">
        <f t="shared" si="25"/>
        <v>2</v>
      </c>
      <c r="E105" s="177">
        <f t="shared" si="29"/>
        <v>5.7289377289377352</v>
      </c>
      <c r="F105" s="276">
        <f t="shared" si="26"/>
        <v>0.9</v>
      </c>
      <c r="G105" s="101">
        <f t="shared" si="27"/>
        <v>11.45787545787547</v>
      </c>
      <c r="H105" s="187">
        <f t="shared" si="28"/>
        <v>10.312087912087923</v>
      </c>
    </row>
    <row r="106" spans="1:8" ht="14.25" customHeight="1" x14ac:dyDescent="0.25">
      <c r="A106" s="1471"/>
      <c r="B106" s="105" t="str">
        <f t="shared" si="25"/>
        <v>Orange Color - لون برتقالي</v>
      </c>
      <c r="C106" s="105" t="str">
        <f t="shared" si="25"/>
        <v>gm</v>
      </c>
      <c r="D106" s="105">
        <f t="shared" si="25"/>
        <v>1</v>
      </c>
      <c r="E106" s="177">
        <f t="shared" si="29"/>
        <v>5.7289377289377352</v>
      </c>
      <c r="F106" s="276">
        <f t="shared" si="26"/>
        <v>1</v>
      </c>
      <c r="G106" s="101">
        <f t="shared" si="27"/>
        <v>5.7289377289377352</v>
      </c>
      <c r="H106" s="187">
        <f t="shared" si="28"/>
        <v>5.7289377289377352</v>
      </c>
    </row>
    <row r="107" spans="1:8" ht="14.25" customHeight="1" x14ac:dyDescent="0.25">
      <c r="A107" s="1471"/>
      <c r="B107" s="105" t="str">
        <f t="shared" si="25"/>
        <v>Charcoal - فحم</v>
      </c>
      <c r="C107" s="105" t="str">
        <f t="shared" si="25"/>
        <v>gm</v>
      </c>
      <c r="D107" s="105">
        <f t="shared" si="25"/>
        <v>10</v>
      </c>
      <c r="E107" s="177">
        <f t="shared" si="29"/>
        <v>5.7289377289377352</v>
      </c>
      <c r="F107" s="276">
        <f t="shared" si="26"/>
        <v>0.5</v>
      </c>
      <c r="G107" s="101">
        <f t="shared" si="27"/>
        <v>57.289377289377356</v>
      </c>
      <c r="H107" s="187">
        <f t="shared" si="28"/>
        <v>28.644688644688678</v>
      </c>
    </row>
    <row r="108" spans="1:8" ht="14.25" customHeight="1" x14ac:dyDescent="0.25">
      <c r="A108" s="1471"/>
      <c r="B108" s="105" t="str">
        <f t="shared" si="25"/>
        <v>Salt - ملح</v>
      </c>
      <c r="C108" s="105" t="str">
        <f t="shared" si="25"/>
        <v>gm</v>
      </c>
      <c r="D108" s="105">
        <f t="shared" si="25"/>
        <v>11</v>
      </c>
      <c r="E108" s="177">
        <f t="shared" si="29"/>
        <v>5.7289377289377352</v>
      </c>
      <c r="F108" s="276">
        <f t="shared" si="26"/>
        <v>0.75</v>
      </c>
      <c r="G108" s="101">
        <f t="shared" si="27"/>
        <v>63.018315018315086</v>
      </c>
      <c r="H108" s="187">
        <f t="shared" si="28"/>
        <v>47.263736263736313</v>
      </c>
    </row>
    <row r="109" spans="1:8" ht="14.25" customHeight="1" x14ac:dyDescent="0.25">
      <c r="A109" s="1471"/>
      <c r="B109" s="105" t="str">
        <f t="shared" si="25"/>
        <v>Butter - زبدة</v>
      </c>
      <c r="C109" s="105" t="str">
        <f t="shared" si="25"/>
        <v>gm</v>
      </c>
      <c r="D109" s="105">
        <f t="shared" si="25"/>
        <v>40</v>
      </c>
      <c r="E109" s="177">
        <f t="shared" si="29"/>
        <v>5.7289377289377352</v>
      </c>
      <c r="F109" s="276">
        <f t="shared" si="26"/>
        <v>0.9</v>
      </c>
      <c r="G109" s="101">
        <f t="shared" si="27"/>
        <v>229.15750915750942</v>
      </c>
      <c r="H109" s="187">
        <f t="shared" si="28"/>
        <v>206.24175824175848</v>
      </c>
    </row>
    <row r="110" spans="1:8" ht="14.25" customHeight="1" x14ac:dyDescent="0.25">
      <c r="A110" s="1471"/>
      <c r="B110" s="105" t="str">
        <f t="shared" si="25"/>
        <v>Cooking Cream - كريمة طبخ</v>
      </c>
      <c r="C110" s="105" t="str">
        <f t="shared" si="25"/>
        <v>ml</v>
      </c>
      <c r="D110" s="105">
        <f t="shared" si="25"/>
        <v>250</v>
      </c>
      <c r="E110" s="177">
        <f t="shared" si="29"/>
        <v>5.7289377289377352</v>
      </c>
      <c r="F110" s="276">
        <f t="shared" si="26"/>
        <v>1</v>
      </c>
      <c r="G110" s="101">
        <f t="shared" si="27"/>
        <v>1432.2344322344338</v>
      </c>
      <c r="H110" s="187">
        <f t="shared" si="28"/>
        <v>1432.2344322344338</v>
      </c>
    </row>
    <row r="111" spans="1:8" ht="20.25" customHeight="1" x14ac:dyDescent="0.25">
      <c r="A111" s="1471"/>
      <c r="B111" s="105" t="str">
        <f t="shared" si="25"/>
        <v>Kasuri Methi - ورق حلبة مجففة</v>
      </c>
      <c r="C111" s="105" t="str">
        <f t="shared" si="25"/>
        <v>gm</v>
      </c>
      <c r="D111" s="105">
        <f t="shared" si="25"/>
        <v>2</v>
      </c>
      <c r="E111" s="177">
        <f t="shared" si="29"/>
        <v>5.7289377289377352</v>
      </c>
      <c r="F111" s="276">
        <f t="shared" si="26"/>
        <v>1</v>
      </c>
      <c r="G111" s="101">
        <f t="shared" ref="G111:G112" si="30">D111*E111</f>
        <v>11.45787545787547</v>
      </c>
      <c r="H111" s="187">
        <f t="shared" ref="H111:H112" si="31">G111*F111</f>
        <v>11.45787545787547</v>
      </c>
    </row>
    <row r="112" spans="1:8" x14ac:dyDescent="0.25">
      <c r="A112" s="1471"/>
      <c r="B112" s="105" t="str">
        <f t="shared" si="25"/>
        <v>Corn Starch - نشا ذرة</v>
      </c>
      <c r="C112" s="105" t="str">
        <f t="shared" si="25"/>
        <v>gm</v>
      </c>
      <c r="D112" s="105">
        <f t="shared" si="25"/>
        <v>20</v>
      </c>
      <c r="E112" s="177">
        <f t="shared" si="29"/>
        <v>5.7289377289377352</v>
      </c>
      <c r="F112" s="276">
        <f t="shared" si="26"/>
        <v>0.75</v>
      </c>
      <c r="G112" s="101">
        <f t="shared" si="30"/>
        <v>114.57875457875471</v>
      </c>
      <c r="H112" s="187">
        <f t="shared" si="31"/>
        <v>85.934065934066041</v>
      </c>
    </row>
    <row r="113" spans="1:8" ht="18" x14ac:dyDescent="0.25">
      <c r="A113" s="1458"/>
      <c r="B113" s="178" t="s">
        <v>287</v>
      </c>
      <c r="C113" s="180" t="s">
        <v>273</v>
      </c>
      <c r="E113" s="180" t="s">
        <v>288</v>
      </c>
      <c r="G113" s="804" t="s">
        <v>264</v>
      </c>
      <c r="H113" s="804" t="s">
        <v>673</v>
      </c>
    </row>
    <row r="114" spans="1:8" ht="20.25" x14ac:dyDescent="0.3">
      <c r="A114" s="1458"/>
      <c r="B114" s="179">
        <f>$J$54</f>
        <v>7654.3076923076878</v>
      </c>
      <c r="C114" s="179">
        <f>E114+G114</f>
        <v>5614.35897435898</v>
      </c>
      <c r="D114" s="839"/>
      <c r="E114" s="179">
        <f>$D$54*$S$44</f>
        <v>2296.2728205128228</v>
      </c>
      <c r="F114" s="843"/>
      <c r="G114" s="179">
        <f>$D$54*$T$44</f>
        <v>3318.0861538461572</v>
      </c>
      <c r="H114" s="179">
        <f>B114+E114</f>
        <v>9950.5805128205102</v>
      </c>
    </row>
    <row r="115" spans="1:8" x14ac:dyDescent="0.25">
      <c r="A115" s="1472"/>
    </row>
    <row r="116" spans="1:8" x14ac:dyDescent="0.25">
      <c r="A116" s="1472"/>
    </row>
    <row r="117" spans="1:8" x14ac:dyDescent="0.25">
      <c r="A117" s="1473"/>
      <c r="B117" s="1636" t="str">
        <f>" دجاج تشانجيزي 3 / " &amp; COUNTIF($C$53:$C$55, "&gt;0")</f>
        <v xml:space="preserve"> دجاج تشانجيزي 3 / 2</v>
      </c>
      <c r="C117" s="1637"/>
      <c r="D117" s="1637"/>
      <c r="E117" s="1637"/>
      <c r="F117" s="1637"/>
      <c r="G117" s="1637"/>
      <c r="H117" s="1637"/>
    </row>
    <row r="118" spans="1:8" x14ac:dyDescent="0.25">
      <c r="A118" s="1473"/>
      <c r="B118" s="1634" t="str">
        <f>" Changezi Chicken 3 / " &amp; COUNTIF($C$53:$C$55, "&gt;0")</f>
        <v xml:space="preserve"> Changezi Chicken 3 / 2</v>
      </c>
      <c r="C118" s="1635"/>
      <c r="D118" s="1635"/>
      <c r="E118" s="1635"/>
      <c r="F118" s="1635"/>
      <c r="G118" s="1635"/>
      <c r="H118" s="1635"/>
    </row>
    <row r="119" spans="1:8" ht="38.25" x14ac:dyDescent="0.2">
      <c r="A119" s="1457"/>
      <c r="B119" s="221" t="s">
        <v>241</v>
      </c>
      <c r="C119" s="222" t="s">
        <v>242</v>
      </c>
      <c r="D119" s="223" t="s">
        <v>231</v>
      </c>
      <c r="E119" s="197" t="s">
        <v>234</v>
      </c>
      <c r="F119" s="197" t="s">
        <v>243</v>
      </c>
      <c r="G119" s="223" t="s">
        <v>244</v>
      </c>
      <c r="H119" s="197" t="s">
        <v>245</v>
      </c>
    </row>
    <row r="120" spans="1:8" x14ac:dyDescent="0.25">
      <c r="A120" s="1471"/>
      <c r="B120" s="105" t="str">
        <f>B5</f>
        <v>Chicken - دجاج</v>
      </c>
      <c r="C120" s="105" t="str">
        <f>C5</f>
        <v>gm</v>
      </c>
      <c r="D120" s="105">
        <f>D5</f>
        <v>2311.5254237288136</v>
      </c>
      <c r="E120" s="177">
        <f>$H$55</f>
        <v>0</v>
      </c>
      <c r="F120" s="276">
        <f>F5</f>
        <v>1</v>
      </c>
      <c r="G120" s="103">
        <f t="shared" ref="G120:G138" si="32">D120*E120</f>
        <v>0</v>
      </c>
      <c r="H120" s="186">
        <f t="shared" ref="H120:H138" si="33">G120*F120</f>
        <v>0</v>
      </c>
    </row>
    <row r="121" spans="1:8" x14ac:dyDescent="0.25">
      <c r="A121" s="1471" t="s">
        <v>905</v>
      </c>
      <c r="B121" s="105" t="str">
        <f t="shared" ref="B121:D121" si="34">B6</f>
        <v>Onion - بصل</v>
      </c>
      <c r="C121" s="105" t="str">
        <f t="shared" si="34"/>
        <v>gm</v>
      </c>
      <c r="D121" s="105">
        <f t="shared" si="34"/>
        <v>200</v>
      </c>
      <c r="E121" s="177">
        <f>$C$55</f>
        <v>0</v>
      </c>
      <c r="F121" s="276">
        <f t="shared" ref="F121:F140" si="35">F6</f>
        <v>0.95</v>
      </c>
      <c r="G121" s="103">
        <f t="shared" si="32"/>
        <v>0</v>
      </c>
      <c r="H121" s="186">
        <f t="shared" si="33"/>
        <v>0</v>
      </c>
    </row>
    <row r="122" spans="1:8" x14ac:dyDescent="0.25">
      <c r="A122" s="1471" t="s">
        <v>909</v>
      </c>
      <c r="B122" s="105" t="str">
        <f t="shared" ref="B122:D122" si="36">B7</f>
        <v>Tomato - طماطم</v>
      </c>
      <c r="C122" s="105" t="str">
        <f t="shared" si="36"/>
        <v>gm</v>
      </c>
      <c r="D122" s="105">
        <f t="shared" si="36"/>
        <v>450</v>
      </c>
      <c r="E122" s="177">
        <f t="shared" ref="E122:E140" si="37">$C$55</f>
        <v>0</v>
      </c>
      <c r="F122" s="276">
        <f t="shared" si="35"/>
        <v>1</v>
      </c>
      <c r="G122" s="103">
        <f t="shared" si="32"/>
        <v>0</v>
      </c>
      <c r="H122" s="186">
        <f t="shared" si="33"/>
        <v>0</v>
      </c>
    </row>
    <row r="123" spans="1:8" x14ac:dyDescent="0.25">
      <c r="A123" s="1471" t="s">
        <v>906</v>
      </c>
      <c r="B123" s="105" t="str">
        <f t="shared" ref="B123:D123" si="38">B8</f>
        <v>Ginger - زنجبيل</v>
      </c>
      <c r="C123" s="105" t="str">
        <f t="shared" si="38"/>
        <v>gm</v>
      </c>
      <c r="D123" s="105">
        <f t="shared" si="38"/>
        <v>20</v>
      </c>
      <c r="E123" s="177">
        <f t="shared" si="37"/>
        <v>0</v>
      </c>
      <c r="F123" s="276">
        <f t="shared" si="35"/>
        <v>0.9</v>
      </c>
      <c r="G123" s="103">
        <f t="shared" si="32"/>
        <v>0</v>
      </c>
      <c r="H123" s="186">
        <f t="shared" si="33"/>
        <v>0</v>
      </c>
    </row>
    <row r="124" spans="1:8" x14ac:dyDescent="0.25">
      <c r="A124" s="1471" t="s">
        <v>907</v>
      </c>
      <c r="B124" s="105" t="str">
        <f t="shared" ref="B124:D124" si="39">B9</f>
        <v>Garlic - ثوم مقشر</v>
      </c>
      <c r="C124" s="105" t="str">
        <f t="shared" si="39"/>
        <v>gm</v>
      </c>
      <c r="D124" s="105">
        <f t="shared" si="39"/>
        <v>20</v>
      </c>
      <c r="E124" s="177">
        <f t="shared" si="37"/>
        <v>0</v>
      </c>
      <c r="F124" s="276">
        <f t="shared" si="35"/>
        <v>0.9</v>
      </c>
      <c r="G124" s="103">
        <f t="shared" si="32"/>
        <v>0</v>
      </c>
      <c r="H124" s="186">
        <f t="shared" si="33"/>
        <v>0</v>
      </c>
    </row>
    <row r="125" spans="1:8" x14ac:dyDescent="0.25">
      <c r="A125" s="1471" t="s">
        <v>923</v>
      </c>
      <c r="B125" s="105" t="str">
        <f t="shared" ref="B125:D125" si="40">B10</f>
        <v>Green Chilli Pepper - فلفل أخضر حار</v>
      </c>
      <c r="C125" s="105" t="str">
        <f t="shared" si="40"/>
        <v>gm</v>
      </c>
      <c r="D125" s="105">
        <f t="shared" si="40"/>
        <v>10</v>
      </c>
      <c r="E125" s="177">
        <f t="shared" si="37"/>
        <v>0</v>
      </c>
      <c r="F125" s="276">
        <f t="shared" si="35"/>
        <v>0.75</v>
      </c>
      <c r="G125" s="103">
        <f t="shared" si="32"/>
        <v>0</v>
      </c>
      <c r="H125" s="186">
        <f t="shared" si="33"/>
        <v>0</v>
      </c>
    </row>
    <row r="126" spans="1:8" x14ac:dyDescent="0.25">
      <c r="A126" s="1471"/>
      <c r="B126" s="105" t="str">
        <f t="shared" ref="B126:D126" si="41">B11</f>
        <v>Cashew Nut - كاجو</v>
      </c>
      <c r="C126" s="105" t="str">
        <f t="shared" si="41"/>
        <v>gm</v>
      </c>
      <c r="D126" s="105">
        <f t="shared" si="41"/>
        <v>25</v>
      </c>
      <c r="E126" s="177">
        <f t="shared" si="37"/>
        <v>0</v>
      </c>
      <c r="F126" s="276">
        <f t="shared" si="35"/>
        <v>1</v>
      </c>
      <c r="G126" s="103">
        <f t="shared" si="32"/>
        <v>0</v>
      </c>
      <c r="H126" s="186">
        <f t="shared" si="33"/>
        <v>0</v>
      </c>
    </row>
    <row r="127" spans="1:8" x14ac:dyDescent="0.25">
      <c r="A127" s="1471"/>
      <c r="B127" s="105" t="str">
        <f t="shared" ref="B127:D127" si="42">B12</f>
        <v>Red Chilli Powder - شطة حمراء مطحونة</v>
      </c>
      <c r="C127" s="105" t="str">
        <f t="shared" si="42"/>
        <v>gm</v>
      </c>
      <c r="D127" s="105">
        <f t="shared" si="42"/>
        <v>3</v>
      </c>
      <c r="E127" s="177">
        <f t="shared" si="37"/>
        <v>0</v>
      </c>
      <c r="F127" s="276">
        <f t="shared" si="35"/>
        <v>0.9</v>
      </c>
      <c r="G127" s="103">
        <f t="shared" si="32"/>
        <v>0</v>
      </c>
      <c r="H127" s="186">
        <f t="shared" si="33"/>
        <v>0</v>
      </c>
    </row>
    <row r="128" spans="1:8" x14ac:dyDescent="0.25">
      <c r="A128" s="1471"/>
      <c r="B128" s="105" t="str">
        <f t="shared" ref="B128:D128" si="43">B13</f>
        <v>Yogurt - زبادي</v>
      </c>
      <c r="C128" s="105" t="str">
        <f t="shared" si="43"/>
        <v>gm</v>
      </c>
      <c r="D128" s="105">
        <f t="shared" si="43"/>
        <v>300</v>
      </c>
      <c r="E128" s="177">
        <f t="shared" si="37"/>
        <v>0</v>
      </c>
      <c r="F128" s="276">
        <f t="shared" si="35"/>
        <v>0.75</v>
      </c>
      <c r="G128" s="103">
        <f t="shared" si="32"/>
        <v>0</v>
      </c>
      <c r="H128" s="186">
        <f t="shared" si="33"/>
        <v>0</v>
      </c>
    </row>
    <row r="129" spans="1:8" x14ac:dyDescent="0.25">
      <c r="A129" s="1471"/>
      <c r="B129" s="105" t="str">
        <f t="shared" ref="B129:D129" si="44">B14</f>
        <v>Curry Powder - كاري بودرة</v>
      </c>
      <c r="C129" s="105" t="str">
        <f t="shared" si="44"/>
        <v>gm</v>
      </c>
      <c r="D129" s="105">
        <f t="shared" si="44"/>
        <v>10</v>
      </c>
      <c r="E129" s="177">
        <f t="shared" si="37"/>
        <v>0</v>
      </c>
      <c r="F129" s="276">
        <f t="shared" si="35"/>
        <v>0.75</v>
      </c>
      <c r="G129" s="103">
        <f t="shared" si="32"/>
        <v>0</v>
      </c>
      <c r="H129" s="186">
        <f t="shared" si="33"/>
        <v>0</v>
      </c>
    </row>
    <row r="130" spans="1:8" x14ac:dyDescent="0.25">
      <c r="A130" s="1471"/>
      <c r="B130" s="105" t="str">
        <f t="shared" ref="B130:D130" si="45">B15</f>
        <v>Cumin Powder - كمون مطحون</v>
      </c>
      <c r="C130" s="105" t="str">
        <f t="shared" si="45"/>
        <v>gm</v>
      </c>
      <c r="D130" s="105">
        <f t="shared" si="45"/>
        <v>10</v>
      </c>
      <c r="E130" s="177">
        <f t="shared" si="37"/>
        <v>0</v>
      </c>
      <c r="F130" s="276">
        <f t="shared" si="35"/>
        <v>0.75</v>
      </c>
      <c r="G130" s="103">
        <f t="shared" si="32"/>
        <v>0</v>
      </c>
      <c r="H130" s="186">
        <f t="shared" si="33"/>
        <v>0</v>
      </c>
    </row>
    <row r="131" spans="1:8" x14ac:dyDescent="0.25">
      <c r="A131" s="1471"/>
      <c r="B131" s="105" t="str">
        <f t="shared" ref="B131:D131" si="46">B16</f>
        <v>Coriander Powder - كزبرة مطحونة</v>
      </c>
      <c r="C131" s="105" t="str">
        <f t="shared" si="46"/>
        <v>gm</v>
      </c>
      <c r="D131" s="105">
        <f t="shared" si="46"/>
        <v>10</v>
      </c>
      <c r="E131" s="177">
        <f t="shared" si="37"/>
        <v>0</v>
      </c>
      <c r="F131" s="276">
        <f t="shared" si="35"/>
        <v>0.75</v>
      </c>
      <c r="G131" s="103">
        <f t="shared" si="32"/>
        <v>0</v>
      </c>
      <c r="H131" s="186">
        <f t="shared" si="33"/>
        <v>0</v>
      </c>
    </row>
    <row r="132" spans="1:8" x14ac:dyDescent="0.25">
      <c r="A132" s="1471" t="s">
        <v>908</v>
      </c>
      <c r="B132" s="105" t="str">
        <f t="shared" ref="B132:D132" si="47">B17</f>
        <v>Coriander Leaves - كزبرة خضراء</v>
      </c>
      <c r="C132" s="105" t="str">
        <f t="shared" si="47"/>
        <v>gm</v>
      </c>
      <c r="D132" s="105">
        <f t="shared" si="47"/>
        <v>5</v>
      </c>
      <c r="E132" s="177">
        <f t="shared" si="37"/>
        <v>0</v>
      </c>
      <c r="F132" s="276">
        <f t="shared" si="35"/>
        <v>1</v>
      </c>
      <c r="G132" s="103">
        <f t="shared" si="32"/>
        <v>0</v>
      </c>
      <c r="H132" s="186">
        <f t="shared" si="33"/>
        <v>0</v>
      </c>
    </row>
    <row r="133" spans="1:8" x14ac:dyDescent="0.25">
      <c r="A133" s="1471"/>
      <c r="B133" s="105" t="str">
        <f t="shared" ref="B133:D133" si="48">B18</f>
        <v>Saffron yellow color powder - لون صفار زعفران بودر</v>
      </c>
      <c r="C133" s="105" t="str">
        <f t="shared" si="48"/>
        <v>gm</v>
      </c>
      <c r="D133" s="105">
        <f t="shared" si="48"/>
        <v>2</v>
      </c>
      <c r="E133" s="177">
        <f t="shared" si="37"/>
        <v>0</v>
      </c>
      <c r="F133" s="276">
        <f t="shared" si="35"/>
        <v>0.9</v>
      </c>
      <c r="G133" s="103">
        <f t="shared" si="32"/>
        <v>0</v>
      </c>
      <c r="H133" s="186">
        <f t="shared" si="33"/>
        <v>0</v>
      </c>
    </row>
    <row r="134" spans="1:8" x14ac:dyDescent="0.25">
      <c r="A134" s="1471"/>
      <c r="B134" s="105" t="str">
        <f t="shared" ref="B134:D134" si="49">B19</f>
        <v>Orange Color - لون برتقالي</v>
      </c>
      <c r="C134" s="105" t="str">
        <f t="shared" si="49"/>
        <v>gm</v>
      </c>
      <c r="D134" s="105">
        <f t="shared" si="49"/>
        <v>1</v>
      </c>
      <c r="E134" s="177">
        <f t="shared" si="37"/>
        <v>0</v>
      </c>
      <c r="F134" s="276">
        <f t="shared" si="35"/>
        <v>1</v>
      </c>
      <c r="G134" s="103">
        <f t="shared" si="32"/>
        <v>0</v>
      </c>
      <c r="H134" s="186">
        <f t="shared" si="33"/>
        <v>0</v>
      </c>
    </row>
    <row r="135" spans="1:8" x14ac:dyDescent="0.25">
      <c r="A135" s="1471"/>
      <c r="B135" s="105" t="str">
        <f t="shared" ref="B135:D135" si="50">B20</f>
        <v>Charcoal - فحم</v>
      </c>
      <c r="C135" s="105" t="str">
        <f t="shared" si="50"/>
        <v>gm</v>
      </c>
      <c r="D135" s="105">
        <f t="shared" si="50"/>
        <v>10</v>
      </c>
      <c r="E135" s="177">
        <f t="shared" si="37"/>
        <v>0</v>
      </c>
      <c r="F135" s="276">
        <f t="shared" si="35"/>
        <v>0.5</v>
      </c>
      <c r="G135" s="103">
        <f t="shared" si="32"/>
        <v>0</v>
      </c>
      <c r="H135" s="186">
        <f t="shared" si="33"/>
        <v>0</v>
      </c>
    </row>
    <row r="136" spans="1:8" x14ac:dyDescent="0.25">
      <c r="A136" s="1471"/>
      <c r="B136" s="105" t="str">
        <f t="shared" ref="B136:D136" si="51">B21</f>
        <v>Salt - ملح</v>
      </c>
      <c r="C136" s="105" t="str">
        <f t="shared" si="51"/>
        <v>gm</v>
      </c>
      <c r="D136" s="105">
        <f t="shared" si="51"/>
        <v>11</v>
      </c>
      <c r="E136" s="177">
        <f t="shared" si="37"/>
        <v>0</v>
      </c>
      <c r="F136" s="276">
        <f t="shared" si="35"/>
        <v>0.75</v>
      </c>
      <c r="G136" s="103">
        <f t="shared" si="32"/>
        <v>0</v>
      </c>
      <c r="H136" s="186">
        <f t="shared" si="33"/>
        <v>0</v>
      </c>
    </row>
    <row r="137" spans="1:8" x14ac:dyDescent="0.25">
      <c r="A137" s="1471"/>
      <c r="B137" s="105" t="str">
        <f t="shared" ref="B137:D137" si="52">B22</f>
        <v>Butter - زبدة</v>
      </c>
      <c r="C137" s="105" t="str">
        <f t="shared" si="52"/>
        <v>gm</v>
      </c>
      <c r="D137" s="105">
        <f t="shared" si="52"/>
        <v>40</v>
      </c>
      <c r="E137" s="177">
        <f t="shared" si="37"/>
        <v>0</v>
      </c>
      <c r="F137" s="276">
        <f t="shared" si="35"/>
        <v>0.9</v>
      </c>
      <c r="G137" s="103">
        <f t="shared" si="32"/>
        <v>0</v>
      </c>
      <c r="H137" s="186">
        <f t="shared" si="33"/>
        <v>0</v>
      </c>
    </row>
    <row r="138" spans="1:8" x14ac:dyDescent="0.25">
      <c r="A138" s="1471"/>
      <c r="B138" s="105" t="str">
        <f t="shared" ref="B138:D138" si="53">B23</f>
        <v>Cooking Cream - كريمة طبخ</v>
      </c>
      <c r="C138" s="105" t="str">
        <f t="shared" si="53"/>
        <v>ml</v>
      </c>
      <c r="D138" s="105">
        <f t="shared" si="53"/>
        <v>250</v>
      </c>
      <c r="E138" s="177">
        <f t="shared" si="37"/>
        <v>0</v>
      </c>
      <c r="F138" s="276">
        <f t="shared" si="35"/>
        <v>1</v>
      </c>
      <c r="G138" s="103">
        <f t="shared" si="32"/>
        <v>0</v>
      </c>
      <c r="H138" s="186">
        <f t="shared" si="33"/>
        <v>0</v>
      </c>
    </row>
    <row r="139" spans="1:8" x14ac:dyDescent="0.25">
      <c r="A139" s="1471"/>
      <c r="B139" s="105" t="str">
        <f t="shared" ref="B139:D139" si="54">B24</f>
        <v>Kasuri Methi - ورق حلبة مجففة</v>
      </c>
      <c r="C139" s="105" t="str">
        <f t="shared" si="54"/>
        <v>gm</v>
      </c>
      <c r="D139" s="105">
        <f t="shared" si="54"/>
        <v>2</v>
      </c>
      <c r="E139" s="177">
        <f t="shared" si="37"/>
        <v>0</v>
      </c>
      <c r="F139" s="276">
        <f t="shared" si="35"/>
        <v>1</v>
      </c>
      <c r="G139" s="103">
        <f t="shared" ref="G139:G140" si="55">D139*E139</f>
        <v>0</v>
      </c>
      <c r="H139" s="186">
        <f t="shared" ref="H139:H140" si="56">G139*F139</f>
        <v>0</v>
      </c>
    </row>
    <row r="140" spans="1:8" x14ac:dyDescent="0.25">
      <c r="A140" s="1471"/>
      <c r="B140" s="105" t="str">
        <f t="shared" ref="B140:D140" si="57">B25</f>
        <v>Corn Starch - نشا ذرة</v>
      </c>
      <c r="C140" s="105" t="str">
        <f t="shared" si="57"/>
        <v>gm</v>
      </c>
      <c r="D140" s="105">
        <f t="shared" si="57"/>
        <v>20</v>
      </c>
      <c r="E140" s="177">
        <f t="shared" si="37"/>
        <v>0</v>
      </c>
      <c r="F140" s="276">
        <f t="shared" si="35"/>
        <v>0.75</v>
      </c>
      <c r="G140" s="103">
        <f t="shared" si="55"/>
        <v>0</v>
      </c>
      <c r="H140" s="186">
        <f t="shared" si="56"/>
        <v>0</v>
      </c>
    </row>
    <row r="141" spans="1:8" ht="18" x14ac:dyDescent="0.25">
      <c r="A141" s="1458"/>
      <c r="B141" s="178" t="s">
        <v>287</v>
      </c>
      <c r="C141" s="180" t="s">
        <v>273</v>
      </c>
      <c r="E141" s="180" t="s">
        <v>288</v>
      </c>
      <c r="G141" s="804" t="s">
        <v>264</v>
      </c>
      <c r="H141" s="804" t="s">
        <v>673</v>
      </c>
    </row>
    <row r="142" spans="1:8" ht="20.25" x14ac:dyDescent="0.3">
      <c r="A142" s="1458"/>
      <c r="B142" s="179">
        <f>$J$55</f>
        <v>0</v>
      </c>
      <c r="C142" s="179">
        <f>E142+G142</f>
        <v>0</v>
      </c>
      <c r="D142" s="839"/>
      <c r="E142" s="179">
        <f>$D$55*$S$44</f>
        <v>0</v>
      </c>
      <c r="F142" s="843"/>
      <c r="G142" s="179">
        <f>$D$55*$T$44</f>
        <v>0</v>
      </c>
      <c r="H142" s="179">
        <f>B142+E142</f>
        <v>0</v>
      </c>
    </row>
    <row r="143" spans="1:8" x14ac:dyDescent="0.25">
      <c r="A143" s="1472"/>
    </row>
    <row r="144" spans="1:8"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4">
    <mergeCell ref="B117:H117"/>
    <mergeCell ref="B118:H118"/>
    <mergeCell ref="AK2:AM2"/>
    <mergeCell ref="B90:H90"/>
    <mergeCell ref="L2:L3"/>
    <mergeCell ref="B2:J3"/>
    <mergeCell ref="AE2:AG3"/>
    <mergeCell ref="B89:H89"/>
    <mergeCell ref="R26:U26"/>
    <mergeCell ref="R25:U25"/>
    <mergeCell ref="B62:H62"/>
    <mergeCell ref="B63:H63"/>
    <mergeCell ref="K2:K3"/>
    <mergeCell ref="B35:F35"/>
  </mergeCells>
  <printOptions horizontalCentered="1"/>
  <pageMargins left="0.4" right="0.4" top="1" bottom="0.5" header="0.3" footer="0.511811023622047"/>
  <pageSetup paperSize="9" scale="59" orientation="landscape" r:id="rId1"/>
  <headerFooter>
    <oddHeader>&amp;C&amp;B&amp;16Changezi Chicken</oddHeader>
  </headerFooter>
  <rowBreaks count="1" manualBreakCount="1">
    <brk id="88" max="15" man="1"/>
  </rowBreaks>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BF9000"/>
    <pageSetUpPr fitToPage="1"/>
  </sheetPr>
  <dimension ref="A1:AT174"/>
  <sheetViews>
    <sheetView zoomScale="85" zoomScaleNormal="85" workbookViewId="0">
      <selection activeCell="R36" sqref="R36"/>
    </sheetView>
  </sheetViews>
  <sheetFormatPr defaultColWidth="12.5" defaultRowHeight="15" x14ac:dyDescent="0.25"/>
  <cols>
    <col min="1" max="1" width="12.5" style="1" customWidth="1"/>
    <col min="2" max="2" width="37" customWidth="1"/>
    <col min="3" max="3" width="15.375" customWidth="1"/>
    <col min="4" max="4" width="19" style="3" customWidth="1"/>
    <col min="5" max="5" width="16.125" customWidth="1"/>
    <col min="6" max="6" width="23.125" customWidth="1"/>
    <col min="7" max="7" width="25.125" customWidth="1"/>
    <col min="8" max="8" width="36.125" customWidth="1"/>
    <col min="9" max="9" width="15.625" customWidth="1"/>
    <col min="10" max="10" width="16.875" customWidth="1"/>
    <col min="12" max="12" width="8.375" customWidth="1"/>
    <col min="13" max="13" width="31.875" customWidth="1"/>
    <col min="18" max="18" width="32.875" customWidth="1"/>
    <col min="28" max="28" width="11.875" bestFit="1" customWidth="1"/>
    <col min="29" max="29" width="13.375" bestFit="1" customWidth="1"/>
    <col min="30" max="30" width="9.875" bestFit="1" customWidth="1"/>
    <col min="31" max="31" width="11" bestFit="1" customWidth="1"/>
    <col min="32" max="34" width="5.625" customWidth="1"/>
    <col min="36" max="36" width="33.5" customWidth="1"/>
  </cols>
  <sheetData>
    <row r="1" spans="1:46" ht="35.25" customHeight="1" x14ac:dyDescent="0.25">
      <c r="B1" s="64" t="s">
        <v>231</v>
      </c>
      <c r="C1" s="65">
        <v>1000</v>
      </c>
      <c r="D1" s="66" t="s">
        <v>232</v>
      </c>
      <c r="E1" s="99">
        <f>T32</f>
        <v>17945.384615384624</v>
      </c>
      <c r="F1" s="64" t="s">
        <v>233</v>
      </c>
      <c r="G1" s="103">
        <f>E1/C1</f>
        <v>17.945384615384626</v>
      </c>
      <c r="H1" s="64" t="s">
        <v>234</v>
      </c>
      <c r="I1" s="259">
        <f>(G1/K1)</f>
        <v>18.506177884615393</v>
      </c>
      <c r="J1" s="70" t="s">
        <v>235</v>
      </c>
      <c r="K1" s="404">
        <f>0.96/0.99</f>
        <v>0.96969696969696972</v>
      </c>
      <c r="L1" s="84"/>
      <c r="M1" s="73"/>
      <c r="N1" s="74"/>
      <c r="O1" s="75" t="s">
        <v>236</v>
      </c>
      <c r="P1" s="76" t="s">
        <v>299</v>
      </c>
      <c r="Q1" s="77" t="s">
        <v>238</v>
      </c>
      <c r="R1" s="76">
        <v>0.57999999999999996</v>
      </c>
      <c r="Y1" s="75" t="s">
        <v>453</v>
      </c>
      <c r="Z1" s="766">
        <v>27950</v>
      </c>
      <c r="AA1" s="75" t="s">
        <v>556</v>
      </c>
      <c r="AB1" s="1087">
        <v>500</v>
      </c>
      <c r="AC1" s="75" t="s">
        <v>546</v>
      </c>
      <c r="AD1" s="766">
        <v>182</v>
      </c>
      <c r="AE1" s="228"/>
      <c r="AF1" s="230"/>
      <c r="AG1" s="76"/>
      <c r="AI1" s="1"/>
      <c r="AJ1" s="93" t="s">
        <v>250</v>
      </c>
      <c r="AK1" s="78">
        <v>10000</v>
      </c>
      <c r="AL1" s="561" t="s">
        <v>485</v>
      </c>
      <c r="AM1" s="562">
        <f>$S$32</f>
        <v>21884.615384615379</v>
      </c>
      <c r="AN1" s="78" t="s">
        <v>239</v>
      </c>
      <c r="AO1" s="80">
        <f>($S$32/$R$1)/$AK$1</f>
        <v>3.7732095490716171</v>
      </c>
      <c r="AP1" s="79"/>
    </row>
    <row r="2" spans="1:46" ht="12.75" customHeight="1" x14ac:dyDescent="0.25">
      <c r="A2" s="242"/>
      <c r="B2" s="1645" t="s">
        <v>378</v>
      </c>
      <c r="C2" s="1653"/>
      <c r="D2" s="1616"/>
      <c r="E2" s="1653"/>
      <c r="F2" s="1653"/>
      <c r="G2" s="1653"/>
      <c r="H2" s="1653"/>
      <c r="I2" s="1653"/>
      <c r="J2" s="1653"/>
      <c r="K2" s="1653"/>
      <c r="L2" s="270"/>
      <c r="M2" s="84"/>
      <c r="N2" s="84"/>
      <c r="O2" s="84"/>
      <c r="P2" s="84"/>
      <c r="Q2" s="84"/>
      <c r="R2" s="84"/>
      <c r="AC2" s="83"/>
      <c r="AD2" s="83"/>
      <c r="AE2" s="1652"/>
      <c r="AF2" s="1653"/>
      <c r="AG2" s="1653"/>
      <c r="AI2" s="1"/>
      <c r="AJ2" s="85"/>
      <c r="AK2" s="1631" t="s">
        <v>378</v>
      </c>
      <c r="AL2" s="1631"/>
      <c r="AM2" s="1631"/>
      <c r="AN2" s="86"/>
      <c r="AO2" s="85"/>
      <c r="AP2" s="85"/>
    </row>
    <row r="3" spans="1:46" ht="12.75" customHeight="1" x14ac:dyDescent="0.25">
      <c r="A3" s="405"/>
      <c r="B3" s="1633"/>
      <c r="C3" s="1633"/>
      <c r="D3" s="1633"/>
      <c r="E3" s="1633"/>
      <c r="F3" s="1633"/>
      <c r="G3" s="1633"/>
      <c r="H3" s="1633"/>
      <c r="I3" s="1633"/>
      <c r="J3" s="1633"/>
      <c r="K3" s="1633"/>
      <c r="L3" s="270"/>
      <c r="M3" s="84"/>
      <c r="N3" s="84"/>
      <c r="O3" s="84"/>
      <c r="P3" s="84"/>
      <c r="Q3" s="84"/>
      <c r="R3" s="84"/>
      <c r="AC3" s="83"/>
      <c r="AD3" s="83"/>
      <c r="AE3" s="1653"/>
      <c r="AF3" s="1653"/>
      <c r="AG3" s="1653"/>
      <c r="AI3" s="1"/>
      <c r="AJ3" s="349"/>
      <c r="AK3" s="88"/>
      <c r="AL3" s="89"/>
      <c r="AM3" s="89"/>
      <c r="AN3" s="89"/>
      <c r="AO3" s="88"/>
      <c r="AP3" s="88"/>
    </row>
    <row r="4" spans="1:46" ht="69" customHeight="1" x14ac:dyDescent="0.25">
      <c r="A4" s="75" t="s">
        <v>903</v>
      </c>
      <c r="B4" s="386" t="s">
        <v>241</v>
      </c>
      <c r="C4" s="90" t="s">
        <v>242</v>
      </c>
      <c r="D4" s="75" t="s">
        <v>231</v>
      </c>
      <c r="E4" s="197" t="s">
        <v>234</v>
      </c>
      <c r="F4" s="91" t="s">
        <v>243</v>
      </c>
      <c r="G4" s="75" t="s">
        <v>244</v>
      </c>
      <c r="H4" s="90" t="s">
        <v>335</v>
      </c>
      <c r="I4" s="75" t="s">
        <v>246</v>
      </c>
      <c r="J4" s="75" t="s">
        <v>247</v>
      </c>
      <c r="K4" s="75" t="s">
        <v>248</v>
      </c>
      <c r="L4" s="75" t="s">
        <v>249</v>
      </c>
      <c r="M4" s="84"/>
      <c r="N4" s="84"/>
      <c r="O4" s="84"/>
      <c r="P4" s="84"/>
      <c r="AA4" s="229"/>
      <c r="AB4" s="231"/>
      <c r="AC4" s="229"/>
      <c r="AD4" s="229"/>
      <c r="AE4" s="229"/>
      <c r="AI4" s="1"/>
      <c r="AJ4" s="93" t="s">
        <v>241</v>
      </c>
      <c r="AK4" s="94" t="s">
        <v>242</v>
      </c>
      <c r="AL4" s="93" t="s">
        <v>250</v>
      </c>
      <c r="AM4" s="93" t="s">
        <v>234</v>
      </c>
      <c r="AN4" s="93" t="s">
        <v>243</v>
      </c>
      <c r="AO4" s="93" t="s">
        <v>244</v>
      </c>
      <c r="AP4" s="95" t="s">
        <v>245</v>
      </c>
      <c r="AQ4" s="75" t="s">
        <v>246</v>
      </c>
      <c r="AR4" s="75" t="s">
        <v>247</v>
      </c>
      <c r="AS4" s="75" t="s">
        <v>248</v>
      </c>
      <c r="AT4" s="75" t="s">
        <v>249</v>
      </c>
    </row>
    <row r="5" spans="1:46" ht="15.75" customHeight="1" x14ac:dyDescent="0.25">
      <c r="A5" s="1454"/>
      <c r="B5" s="244" t="s">
        <v>226</v>
      </c>
      <c r="C5" s="97" t="s">
        <v>14</v>
      </c>
      <c r="D5" s="103">
        <f>I51/10</f>
        <v>2095.5172413793107</v>
      </c>
      <c r="E5" s="99">
        <f>H52</f>
        <v>18.006101188592542</v>
      </c>
      <c r="F5" s="109">
        <v>1</v>
      </c>
      <c r="G5" s="101">
        <f t="shared" ref="G5:G19" si="0">D5*E5</f>
        <v>37732.095490716172</v>
      </c>
      <c r="H5" s="102">
        <f t="shared" ref="H5:H19" si="1">G5*F5</f>
        <v>37732.095490716172</v>
      </c>
      <c r="I5" s="65">
        <f>VLOOKUP(B5,All_Ingredients!$A$1:$F$156,6,FALSE())</f>
        <v>0.99</v>
      </c>
      <c r="J5" s="101">
        <f>VLOOKUP(B5,All_Ingredients!$A$1:$J$156,10,FALSE())</f>
        <v>11.75</v>
      </c>
      <c r="K5" s="104">
        <f t="shared" ref="K5" si="2">(H5/I5)/1000</f>
        <v>38.113227768400172</v>
      </c>
      <c r="L5" s="104">
        <f t="shared" ref="L5" si="3">K5*J5</f>
        <v>447.83042627870202</v>
      </c>
      <c r="M5" s="84"/>
      <c r="N5" s="84"/>
      <c r="O5" s="84"/>
      <c r="P5" s="84"/>
      <c r="AA5" s="76"/>
      <c r="AB5" s="114"/>
      <c r="AC5" s="232"/>
      <c r="AD5" s="116"/>
      <c r="AE5" s="117"/>
      <c r="AI5" s="1"/>
      <c r="AJ5" s="244" t="s">
        <v>226</v>
      </c>
      <c r="AK5" s="106" t="s">
        <v>227</v>
      </c>
      <c r="AL5" s="107">
        <v>10</v>
      </c>
      <c r="AM5" s="201">
        <f t="shared" ref="AM5:AM13" si="4">$AO$1</f>
        <v>3.7732095490716171</v>
      </c>
      <c r="AN5" s="109">
        <v>1</v>
      </c>
      <c r="AO5" s="101">
        <f t="shared" ref="AO5:AO13" si="5">AL5*AM5</f>
        <v>37.732095490716169</v>
      </c>
      <c r="AP5" s="102">
        <f t="shared" ref="AP5:AP13" si="6">AO5*AN5</f>
        <v>37.732095490716169</v>
      </c>
      <c r="AQ5" s="272"/>
      <c r="AR5" s="1017"/>
      <c r="AS5" s="156"/>
      <c r="AT5" s="1018"/>
    </row>
    <row r="6" spans="1:46" ht="14.25" customHeight="1" x14ac:dyDescent="0.25">
      <c r="A6" s="1455" t="s">
        <v>905</v>
      </c>
      <c r="B6" s="200" t="s">
        <v>12</v>
      </c>
      <c r="C6" s="106" t="s">
        <v>14</v>
      </c>
      <c r="D6" s="107">
        <v>200</v>
      </c>
      <c r="E6" s="201">
        <f>$I$1</f>
        <v>18.506177884615393</v>
      </c>
      <c r="F6" s="109">
        <v>1</v>
      </c>
      <c r="G6" s="101">
        <f t="shared" si="0"/>
        <v>3701.2355769230785</v>
      </c>
      <c r="H6" s="102">
        <f t="shared" si="1"/>
        <v>3701.2355769230785</v>
      </c>
      <c r="I6" s="65">
        <f>VLOOKUP(B6,All_Ingredients!$A$1:$F$156,6,FALSE())</f>
        <v>0.9</v>
      </c>
      <c r="J6" s="101">
        <f>VLOOKUP(B6,All_Ingredients!$A$1:$J$156,10,FALSE())</f>
        <v>3</v>
      </c>
      <c r="K6" s="104">
        <f t="shared" ref="K6:K19" si="7">(H6/I6)/1000</f>
        <v>4.1124839743589767</v>
      </c>
      <c r="L6" s="104">
        <f t="shared" ref="L6:L19" si="8">K6*J6</f>
        <v>12.33745192307693</v>
      </c>
      <c r="AI6" s="1" t="s">
        <v>94</v>
      </c>
      <c r="AJ6" s="271" t="s">
        <v>144</v>
      </c>
      <c r="AK6" s="106" t="s">
        <v>14</v>
      </c>
      <c r="AL6" s="107">
        <v>50</v>
      </c>
      <c r="AM6" s="201">
        <f t="shared" si="4"/>
        <v>3.7732095490716171</v>
      </c>
      <c r="AN6" s="109">
        <v>1</v>
      </c>
      <c r="AO6" s="101">
        <f t="shared" si="5"/>
        <v>188.66047745358085</v>
      </c>
      <c r="AP6" s="102">
        <f t="shared" si="6"/>
        <v>188.66047745358085</v>
      </c>
      <c r="AQ6" s="1018">
        <f>VLOOKUP(AJ6,Marination_Ordering!$A:$J,6,FALSE)</f>
        <v>1</v>
      </c>
      <c r="AR6" s="1018">
        <f>VLOOKUP(AJ6,Marination_Ordering!$A:$J,10,FALSE)</f>
        <v>18</v>
      </c>
      <c r="AS6" s="156">
        <f>AP6/AQ6</f>
        <v>188.66047745358085</v>
      </c>
      <c r="AT6" s="1018">
        <f>AR6*(AS6/1000)</f>
        <v>3.3958885941644557</v>
      </c>
    </row>
    <row r="7" spans="1:46" ht="14.25" customHeight="1" x14ac:dyDescent="0.25">
      <c r="A7" s="1455" t="s">
        <v>907</v>
      </c>
      <c r="B7" s="200" t="s">
        <v>727</v>
      </c>
      <c r="C7" s="106" t="s">
        <v>14</v>
      </c>
      <c r="D7" s="107">
        <v>25</v>
      </c>
      <c r="E7" s="201">
        <f t="shared" ref="E7:E19" si="9">$I$1</f>
        <v>18.506177884615393</v>
      </c>
      <c r="F7" s="109">
        <v>1</v>
      </c>
      <c r="G7" s="101">
        <f t="shared" si="0"/>
        <v>462.65444711538481</v>
      </c>
      <c r="H7" s="102">
        <f t="shared" si="1"/>
        <v>462.65444711538481</v>
      </c>
      <c r="I7" s="65">
        <f>VLOOKUP(B7,All_Ingredients!$A$1:$F$156,6,FALSE())</f>
        <v>1</v>
      </c>
      <c r="J7" s="101">
        <f>VLOOKUP(B7,All_Ingredients!$A$1:$J$156,10,FALSE())</f>
        <v>10.5</v>
      </c>
      <c r="K7" s="104">
        <f t="shared" si="7"/>
        <v>0.46265444711538484</v>
      </c>
      <c r="L7" s="104">
        <f t="shared" si="8"/>
        <v>4.857871694711541</v>
      </c>
      <c r="AI7" s="1" t="s">
        <v>94</v>
      </c>
      <c r="AJ7" s="271" t="s">
        <v>149</v>
      </c>
      <c r="AK7" s="106" t="s">
        <v>14</v>
      </c>
      <c r="AL7" s="107">
        <v>50</v>
      </c>
      <c r="AM7" s="201">
        <f t="shared" si="4"/>
        <v>3.7732095490716171</v>
      </c>
      <c r="AN7" s="109">
        <v>1</v>
      </c>
      <c r="AO7" s="101">
        <f t="shared" si="5"/>
        <v>188.66047745358085</v>
      </c>
      <c r="AP7" s="102">
        <f t="shared" si="6"/>
        <v>188.66047745358085</v>
      </c>
      <c r="AQ7" s="1018">
        <f>VLOOKUP(AJ7,Marination_Ordering!$A:$J,6,FALSE)</f>
        <v>1</v>
      </c>
      <c r="AR7" s="1018">
        <f>VLOOKUP(AJ7,Marination_Ordering!$A:$J,10,FALSE)</f>
        <v>10</v>
      </c>
      <c r="AS7" s="156">
        <f t="shared" ref="AS7:AS8" si="10">AP7/AQ7</f>
        <v>188.66047745358085</v>
      </c>
      <c r="AT7" s="1018">
        <f t="shared" ref="AT7:AT8" si="11">AR7*(AS7/1000)</f>
        <v>1.8866047745358085</v>
      </c>
    </row>
    <row r="8" spans="1:46" ht="14.25" customHeight="1" x14ac:dyDescent="0.25">
      <c r="A8" s="1455" t="s">
        <v>909</v>
      </c>
      <c r="B8" s="200" t="s">
        <v>17</v>
      </c>
      <c r="C8" s="106" t="s">
        <v>14</v>
      </c>
      <c r="D8" s="107">
        <v>200</v>
      </c>
      <c r="E8" s="201">
        <f t="shared" si="9"/>
        <v>18.506177884615393</v>
      </c>
      <c r="F8" s="109">
        <v>1</v>
      </c>
      <c r="G8" s="101">
        <f t="shared" si="0"/>
        <v>3701.2355769230785</v>
      </c>
      <c r="H8" s="102">
        <f t="shared" si="1"/>
        <v>3701.2355769230785</v>
      </c>
      <c r="I8" s="65">
        <f>VLOOKUP(B8,All_Ingredients!$A$1:$F$156,6,FALSE())</f>
        <v>0.98</v>
      </c>
      <c r="J8" s="101">
        <f>VLOOKUP(B8,All_Ingredients!$A$1:$J$156,10,FALSE())</f>
        <v>3.5</v>
      </c>
      <c r="K8" s="104">
        <f t="shared" si="7"/>
        <v>3.7767709968602845</v>
      </c>
      <c r="L8" s="104">
        <f t="shared" si="8"/>
        <v>13.218698489010995</v>
      </c>
      <c r="AI8" s="1" t="s">
        <v>94</v>
      </c>
      <c r="AJ8" s="271" t="s">
        <v>105</v>
      </c>
      <c r="AK8" s="106" t="s">
        <v>14</v>
      </c>
      <c r="AL8" s="107">
        <v>50</v>
      </c>
      <c r="AM8" s="201">
        <f t="shared" si="4"/>
        <v>3.7732095490716171</v>
      </c>
      <c r="AN8" s="109">
        <v>1</v>
      </c>
      <c r="AO8" s="101">
        <f t="shared" si="5"/>
        <v>188.66047745358085</v>
      </c>
      <c r="AP8" s="102">
        <f t="shared" si="6"/>
        <v>188.66047745358085</v>
      </c>
      <c r="AQ8" s="1018">
        <f>VLOOKUP(AJ8,Marination_Ordering!$A:$J,6,FALSE)</f>
        <v>1</v>
      </c>
      <c r="AR8" s="1018">
        <f>VLOOKUP(AJ8,Marination_Ordering!$A:$J,10,FALSE)</f>
        <v>15</v>
      </c>
      <c r="AS8" s="156">
        <f t="shared" si="10"/>
        <v>188.66047745358085</v>
      </c>
      <c r="AT8" s="1018">
        <f t="shared" si="11"/>
        <v>2.829907161803713</v>
      </c>
    </row>
    <row r="9" spans="1:46" ht="14.25" customHeight="1" x14ac:dyDescent="0.25">
      <c r="A9" s="1455"/>
      <c r="B9" s="200" t="s">
        <v>698</v>
      </c>
      <c r="C9" s="106" t="s">
        <v>14</v>
      </c>
      <c r="D9" s="107">
        <v>240</v>
      </c>
      <c r="E9" s="201">
        <f t="shared" si="9"/>
        <v>18.506177884615393</v>
      </c>
      <c r="F9" s="109">
        <v>1</v>
      </c>
      <c r="G9" s="101">
        <f t="shared" si="0"/>
        <v>4441.4826923076944</v>
      </c>
      <c r="H9" s="102">
        <f t="shared" si="1"/>
        <v>4441.4826923076944</v>
      </c>
      <c r="I9" s="65">
        <f>VLOOKUP(B9,All_Ingredients!$A$1:$F$156,6,FALSE())</f>
        <v>1</v>
      </c>
      <c r="J9" s="101">
        <f>VLOOKUP(B9,All_Ingredients!$A$1:$J$156,10,FALSE())</f>
        <v>8.1520833333333336</v>
      </c>
      <c r="K9" s="104">
        <f t="shared" si="7"/>
        <v>4.4414826923076944</v>
      </c>
      <c r="L9" s="104">
        <f t="shared" si="8"/>
        <v>36.20733703125002</v>
      </c>
      <c r="AI9" s="1" t="s">
        <v>94</v>
      </c>
      <c r="AJ9" s="406" t="s">
        <v>725</v>
      </c>
      <c r="AK9" s="106" t="s">
        <v>14</v>
      </c>
      <c r="AL9" s="107">
        <v>100</v>
      </c>
      <c r="AM9" s="201">
        <f t="shared" si="4"/>
        <v>3.7732095490716171</v>
      </c>
      <c r="AN9" s="109">
        <v>1</v>
      </c>
      <c r="AO9" s="101">
        <f t="shared" si="5"/>
        <v>377.32095490716171</v>
      </c>
      <c r="AP9" s="102">
        <f t="shared" si="6"/>
        <v>377.32095490716171</v>
      </c>
      <c r="AQ9" s="1018">
        <f>VLOOKUP(AJ9,Marination_Ordering!$A:$J,6,FALSE)</f>
        <v>1</v>
      </c>
      <c r="AR9" s="1018">
        <f>VLOOKUP(AJ9,Marination_Ordering!$A:$J,10,FALSE)</f>
        <v>43.333333333333336</v>
      </c>
      <c r="AS9" s="156">
        <f t="shared" ref="AS9:AS13" si="12">AP9/AQ9</f>
        <v>377.32095490716171</v>
      </c>
      <c r="AT9" s="1018">
        <f t="shared" ref="AT9:AT13" si="13">AR9*(AS9/1000)</f>
        <v>16.350574712643674</v>
      </c>
    </row>
    <row r="10" spans="1:46" ht="14.25" customHeight="1" x14ac:dyDescent="0.25">
      <c r="A10" s="1455"/>
      <c r="B10" s="200" t="s">
        <v>139</v>
      </c>
      <c r="C10" s="106" t="s">
        <v>14</v>
      </c>
      <c r="D10" s="107">
        <v>6</v>
      </c>
      <c r="E10" s="201">
        <f t="shared" si="9"/>
        <v>18.506177884615393</v>
      </c>
      <c r="F10" s="109">
        <v>0.75</v>
      </c>
      <c r="G10" s="101">
        <f t="shared" si="0"/>
        <v>111.03706730769235</v>
      </c>
      <c r="H10" s="102">
        <f t="shared" si="1"/>
        <v>83.277800480769258</v>
      </c>
      <c r="I10" s="65">
        <f>VLOOKUP(B10,All_Ingredients!$A$1:$F$156,6,FALSE())</f>
        <v>1</v>
      </c>
      <c r="J10" s="101">
        <f>VLOOKUP(B10,All_Ingredients!$A$1:$J$156,10,FALSE())</f>
        <v>15.277777777777779</v>
      </c>
      <c r="K10" s="104">
        <f t="shared" si="7"/>
        <v>8.3277800480769257E-2</v>
      </c>
      <c r="L10" s="104">
        <f t="shared" si="8"/>
        <v>1.2722997295673082</v>
      </c>
      <c r="AI10" s="1" t="s">
        <v>94</v>
      </c>
      <c r="AJ10" s="271" t="s">
        <v>93</v>
      </c>
      <c r="AK10" s="106" t="s">
        <v>14</v>
      </c>
      <c r="AL10" s="107">
        <v>25</v>
      </c>
      <c r="AM10" s="201">
        <f t="shared" si="4"/>
        <v>3.7732095490716171</v>
      </c>
      <c r="AN10" s="109">
        <v>1</v>
      </c>
      <c r="AO10" s="101">
        <f t="shared" si="5"/>
        <v>94.330238726790427</v>
      </c>
      <c r="AP10" s="102">
        <f t="shared" si="6"/>
        <v>94.330238726790427</v>
      </c>
      <c r="AQ10" s="1018">
        <f>VLOOKUP(AJ10,Marination_Ordering!$A:$J,6,FALSE)</f>
        <v>1</v>
      </c>
      <c r="AR10" s="1018">
        <f>VLOOKUP(AJ10,Marination_Ordering!$A:$J,10,FALSE)</f>
        <v>0.74</v>
      </c>
      <c r="AS10" s="156">
        <f t="shared" si="12"/>
        <v>94.330238726790427</v>
      </c>
      <c r="AT10" s="1018">
        <f t="shared" si="13"/>
        <v>6.9804376657824921E-2</v>
      </c>
    </row>
    <row r="11" spans="1:46" ht="14.25" customHeight="1" x14ac:dyDescent="0.25">
      <c r="A11" s="1455"/>
      <c r="B11" s="200" t="s">
        <v>105</v>
      </c>
      <c r="C11" s="106" t="s">
        <v>14</v>
      </c>
      <c r="D11" s="107">
        <v>10</v>
      </c>
      <c r="E11" s="201">
        <f t="shared" si="9"/>
        <v>18.506177884615393</v>
      </c>
      <c r="F11" s="109">
        <v>0.75</v>
      </c>
      <c r="G11" s="101">
        <f t="shared" si="0"/>
        <v>185.06177884615394</v>
      </c>
      <c r="H11" s="102">
        <f t="shared" si="1"/>
        <v>138.79633413461545</v>
      </c>
      <c r="I11" s="65">
        <f>VLOOKUP(B11,All_Ingredients!$A$1:$F$156,6,FALSE())</f>
        <v>1</v>
      </c>
      <c r="J11" s="101">
        <f>VLOOKUP(B11,All_Ingredients!$A$1:$J$156,10,FALSE())</f>
        <v>15</v>
      </c>
      <c r="K11" s="104">
        <f t="shared" si="7"/>
        <v>0.13879633413461545</v>
      </c>
      <c r="L11" s="104">
        <f t="shared" si="8"/>
        <v>2.081945012019232</v>
      </c>
      <c r="AI11" s="1" t="s">
        <v>94</v>
      </c>
      <c r="AJ11" s="271" t="s">
        <v>99</v>
      </c>
      <c r="AK11" s="106" t="s">
        <v>14</v>
      </c>
      <c r="AL11" s="107">
        <v>25</v>
      </c>
      <c r="AM11" s="201">
        <f t="shared" si="4"/>
        <v>3.7732095490716171</v>
      </c>
      <c r="AN11" s="109">
        <v>1</v>
      </c>
      <c r="AO11" s="101">
        <f t="shared" si="5"/>
        <v>94.330238726790427</v>
      </c>
      <c r="AP11" s="102">
        <f t="shared" si="6"/>
        <v>94.330238726790427</v>
      </c>
      <c r="AQ11" s="1018">
        <f>VLOOKUP(AJ11,Marination_Ordering!$A:$J,6,FALSE)</f>
        <v>1</v>
      </c>
      <c r="AR11" s="1018">
        <f>VLOOKUP(AJ11,Marination_Ordering!$A:$J,10,FALSE)</f>
        <v>31</v>
      </c>
      <c r="AS11" s="156">
        <f t="shared" si="12"/>
        <v>94.330238726790427</v>
      </c>
      <c r="AT11" s="1018">
        <f t="shared" si="13"/>
        <v>2.9242374005305032</v>
      </c>
    </row>
    <row r="12" spans="1:46" ht="14.25" customHeight="1" x14ac:dyDescent="0.25">
      <c r="A12" s="1455"/>
      <c r="B12" s="200" t="s">
        <v>107</v>
      </c>
      <c r="C12" s="106" t="s">
        <v>14</v>
      </c>
      <c r="D12" s="107">
        <v>10</v>
      </c>
      <c r="E12" s="201">
        <f t="shared" si="9"/>
        <v>18.506177884615393</v>
      </c>
      <c r="F12" s="109">
        <v>0.75</v>
      </c>
      <c r="G12" s="101">
        <f t="shared" si="0"/>
        <v>185.06177884615394</v>
      </c>
      <c r="H12" s="102">
        <f t="shared" si="1"/>
        <v>138.79633413461545</v>
      </c>
      <c r="I12" s="65">
        <f>VLOOKUP(B12,All_Ingredients!$A$1:$F$156,6,FALSE())</f>
        <v>1</v>
      </c>
      <c r="J12" s="101">
        <f>VLOOKUP(B12,All_Ingredients!$A$1:$J$156,10,FALSE())</f>
        <v>8</v>
      </c>
      <c r="K12" s="104">
        <f t="shared" si="7"/>
        <v>0.13879633413461545</v>
      </c>
      <c r="L12" s="104">
        <f t="shared" si="8"/>
        <v>1.1103706730769236</v>
      </c>
      <c r="AI12" s="1" t="s">
        <v>94</v>
      </c>
      <c r="AJ12" s="271" t="s">
        <v>107</v>
      </c>
      <c r="AK12" s="106" t="s">
        <v>14</v>
      </c>
      <c r="AL12" s="107">
        <v>50</v>
      </c>
      <c r="AM12" s="201">
        <f t="shared" si="4"/>
        <v>3.7732095490716171</v>
      </c>
      <c r="AN12" s="109">
        <v>1</v>
      </c>
      <c r="AO12" s="101">
        <f t="shared" si="5"/>
        <v>188.66047745358085</v>
      </c>
      <c r="AP12" s="102">
        <f t="shared" si="6"/>
        <v>188.66047745358085</v>
      </c>
      <c r="AQ12" s="1018">
        <f>VLOOKUP(AJ12,Marination_Ordering!$A:$J,6,FALSE)</f>
        <v>1</v>
      </c>
      <c r="AR12" s="1018">
        <f>VLOOKUP(AJ12,Marination_Ordering!$A:$J,10,FALSE)</f>
        <v>8</v>
      </c>
      <c r="AS12" s="156">
        <f t="shared" si="12"/>
        <v>188.66047745358085</v>
      </c>
      <c r="AT12" s="1018">
        <f t="shared" si="13"/>
        <v>1.5092838196286469</v>
      </c>
    </row>
    <row r="13" spans="1:46" ht="14.25" customHeight="1" x14ac:dyDescent="0.25">
      <c r="A13" s="1455"/>
      <c r="B13" s="200" t="s">
        <v>166</v>
      </c>
      <c r="C13" s="106" t="s">
        <v>160</v>
      </c>
      <c r="D13" s="107">
        <v>500</v>
      </c>
      <c r="E13" s="201">
        <f t="shared" si="9"/>
        <v>18.506177884615393</v>
      </c>
      <c r="F13" s="109">
        <v>1</v>
      </c>
      <c r="G13" s="101">
        <f t="shared" si="0"/>
        <v>9253.0889423076969</v>
      </c>
      <c r="H13" s="102">
        <f t="shared" si="1"/>
        <v>9253.0889423076969</v>
      </c>
      <c r="I13" s="65">
        <f>VLOOKUP(B13,All_Ingredients!$A$1:$F$156,6,FALSE())</f>
        <v>1</v>
      </c>
      <c r="J13" s="101">
        <f>VLOOKUP(B13,All_Ingredients!$A$1:$J$156,10,FALSE())</f>
        <v>12.666666666666666</v>
      </c>
      <c r="K13" s="104">
        <f t="shared" si="7"/>
        <v>9.2530889423076967</v>
      </c>
      <c r="L13" s="104">
        <f t="shared" si="8"/>
        <v>117.20579326923082</v>
      </c>
      <c r="AI13" s="1" t="s">
        <v>94</v>
      </c>
      <c r="AJ13" s="406" t="s">
        <v>118</v>
      </c>
      <c r="AK13" s="106" t="s">
        <v>14</v>
      </c>
      <c r="AL13" s="107">
        <v>50</v>
      </c>
      <c r="AM13" s="201">
        <f t="shared" si="4"/>
        <v>3.7732095490716171</v>
      </c>
      <c r="AN13" s="109">
        <v>1</v>
      </c>
      <c r="AO13" s="101">
        <f t="shared" si="5"/>
        <v>188.66047745358085</v>
      </c>
      <c r="AP13" s="102">
        <f t="shared" si="6"/>
        <v>188.66047745358085</v>
      </c>
      <c r="AQ13" s="1018">
        <f>VLOOKUP(AJ13,Marination_Ordering!$A:$J,6,FALSE)</f>
        <v>1</v>
      </c>
      <c r="AR13" s="1018">
        <f>VLOOKUP(AJ13,Marination_Ordering!$A:$J,10,FALSE)</f>
        <v>15</v>
      </c>
      <c r="AS13" s="156">
        <f t="shared" si="12"/>
        <v>188.66047745358085</v>
      </c>
      <c r="AT13" s="1018">
        <f t="shared" si="13"/>
        <v>2.829907161803713</v>
      </c>
    </row>
    <row r="14" spans="1:46" ht="14.25" customHeight="1" x14ac:dyDescent="0.25">
      <c r="A14" s="1455"/>
      <c r="B14" s="200" t="s">
        <v>152</v>
      </c>
      <c r="C14" s="106" t="s">
        <v>14</v>
      </c>
      <c r="D14" s="107">
        <v>25</v>
      </c>
      <c r="E14" s="201">
        <f t="shared" si="9"/>
        <v>18.506177884615393</v>
      </c>
      <c r="F14" s="109">
        <v>1</v>
      </c>
      <c r="G14" s="101">
        <f t="shared" si="0"/>
        <v>462.65444711538481</v>
      </c>
      <c r="H14" s="102">
        <f t="shared" si="1"/>
        <v>462.65444711538481</v>
      </c>
      <c r="I14" s="65">
        <f>VLOOKUP(B14,All_Ingredients!$A$1:$F$156,6,FALSE())</f>
        <v>1</v>
      </c>
      <c r="J14" s="101">
        <f>VLOOKUP(B14,All_Ingredients!$A$1:$J$156,10,FALSE())</f>
        <v>30</v>
      </c>
      <c r="K14" s="104">
        <f t="shared" si="7"/>
        <v>0.46265444711538484</v>
      </c>
      <c r="L14" s="104">
        <f t="shared" si="8"/>
        <v>13.879633413461544</v>
      </c>
      <c r="AQ14" s="14"/>
      <c r="AR14" s="993"/>
      <c r="AS14" s="514"/>
      <c r="AT14" s="991"/>
    </row>
    <row r="15" spans="1:46" ht="14.25" customHeight="1" x14ac:dyDescent="0.25">
      <c r="A15" s="1455"/>
      <c r="B15" s="200" t="s">
        <v>87</v>
      </c>
      <c r="C15" s="106" t="s">
        <v>14</v>
      </c>
      <c r="D15" s="107">
        <v>1</v>
      </c>
      <c r="E15" s="201">
        <f t="shared" si="9"/>
        <v>18.506177884615393</v>
      </c>
      <c r="F15" s="109">
        <v>1</v>
      </c>
      <c r="G15" s="101">
        <f t="shared" si="0"/>
        <v>18.506177884615393</v>
      </c>
      <c r="H15" s="102">
        <f t="shared" si="1"/>
        <v>18.506177884615393</v>
      </c>
      <c r="I15" s="65">
        <f>VLOOKUP(B15,All_Ingredients!$A$1:$F$156,6,FALSE())</f>
        <v>1</v>
      </c>
      <c r="J15" s="101">
        <f>VLOOKUP(B15,All_Ingredients!$A$1:$J$156,10,FALSE())</f>
        <v>20</v>
      </c>
      <c r="K15" s="104">
        <f t="shared" si="7"/>
        <v>1.8506177884615393E-2</v>
      </c>
      <c r="L15" s="104">
        <f t="shared" si="8"/>
        <v>0.37012355769230787</v>
      </c>
    </row>
    <row r="16" spans="1:46" ht="14.25" customHeight="1" x14ac:dyDescent="0.25">
      <c r="A16" s="1455"/>
      <c r="B16" s="200" t="s">
        <v>93</v>
      </c>
      <c r="C16" s="106" t="s">
        <v>14</v>
      </c>
      <c r="D16" s="107">
        <v>6</v>
      </c>
      <c r="E16" s="201">
        <f t="shared" si="9"/>
        <v>18.506177884615393</v>
      </c>
      <c r="F16" s="109">
        <v>1</v>
      </c>
      <c r="G16" s="101">
        <f t="shared" si="0"/>
        <v>111.03706730769235</v>
      </c>
      <c r="H16" s="102">
        <f t="shared" si="1"/>
        <v>111.03706730769235</v>
      </c>
      <c r="I16" s="65">
        <f>VLOOKUP(B16,All_Ingredients!$A$1:$F$156,6,FALSE())</f>
        <v>1</v>
      </c>
      <c r="J16" s="101">
        <f>VLOOKUP(B16,All_Ingredients!$A$1:$J$156,10,FALSE())</f>
        <v>0.74</v>
      </c>
      <c r="K16" s="104">
        <f t="shared" si="7"/>
        <v>0.11103706730769235</v>
      </c>
      <c r="L16" s="104">
        <f t="shared" si="8"/>
        <v>8.216742980769233E-2</v>
      </c>
    </row>
    <row r="17" spans="1:32" ht="14.25" customHeight="1" x14ac:dyDescent="0.25">
      <c r="A17" s="1455"/>
      <c r="B17" s="200" t="s">
        <v>172</v>
      </c>
      <c r="C17" s="106" t="s">
        <v>14</v>
      </c>
      <c r="D17" s="107">
        <v>100</v>
      </c>
      <c r="E17" s="201">
        <f t="shared" si="9"/>
        <v>18.506177884615393</v>
      </c>
      <c r="F17" s="109">
        <v>1</v>
      </c>
      <c r="G17" s="101">
        <f t="shared" si="0"/>
        <v>1850.6177884615392</v>
      </c>
      <c r="H17" s="102">
        <f t="shared" si="1"/>
        <v>1850.6177884615392</v>
      </c>
      <c r="I17" s="65">
        <f>VLOOKUP(B17,All_Ingredients!$A$1:$F$156,6,FALSE())</f>
        <v>1</v>
      </c>
      <c r="J17" s="101">
        <f>VLOOKUP(B17,All_Ingredients!$A$1:$J$156,10,FALSE())</f>
        <v>17.934782608695652</v>
      </c>
      <c r="K17" s="104">
        <f t="shared" si="7"/>
        <v>1.8506177884615393</v>
      </c>
      <c r="L17" s="104">
        <f t="shared" si="8"/>
        <v>33.190427727842824</v>
      </c>
    </row>
    <row r="18" spans="1:32" ht="14.25" customHeight="1" x14ac:dyDescent="0.25">
      <c r="A18" s="1455"/>
      <c r="B18" s="244" t="s">
        <v>99</v>
      </c>
      <c r="C18" s="106" t="s">
        <v>14</v>
      </c>
      <c r="D18" s="107">
        <v>3</v>
      </c>
      <c r="E18" s="201">
        <f t="shared" si="9"/>
        <v>18.506177884615393</v>
      </c>
      <c r="F18" s="109">
        <v>0.9</v>
      </c>
      <c r="G18" s="101">
        <f t="shared" si="0"/>
        <v>55.518533653846177</v>
      </c>
      <c r="H18" s="102">
        <f t="shared" si="1"/>
        <v>49.966680288461561</v>
      </c>
      <c r="I18" s="65">
        <f>VLOOKUP(B18,All_Ingredients!$A$1:$F$156,6,FALSE())</f>
        <v>1</v>
      </c>
      <c r="J18" s="101">
        <f>VLOOKUP(B18,All_Ingredients!$A$1:$J$156,10,FALSE())</f>
        <v>31</v>
      </c>
      <c r="K18" s="104">
        <f t="shared" si="7"/>
        <v>4.996668028846156E-2</v>
      </c>
      <c r="L18" s="104">
        <f t="shared" si="8"/>
        <v>1.5489670889423084</v>
      </c>
    </row>
    <row r="19" spans="1:32" ht="14.25" customHeight="1" x14ac:dyDescent="0.25">
      <c r="A19" s="1455"/>
      <c r="B19" s="358" t="s">
        <v>122</v>
      </c>
      <c r="C19" s="106" t="s">
        <v>14</v>
      </c>
      <c r="D19" s="107">
        <v>5</v>
      </c>
      <c r="E19" s="201">
        <f t="shared" si="9"/>
        <v>18.506177884615393</v>
      </c>
      <c r="F19" s="109">
        <v>0.5</v>
      </c>
      <c r="G19" s="101">
        <f t="shared" si="0"/>
        <v>92.530889423076971</v>
      </c>
      <c r="H19" s="102">
        <f t="shared" si="1"/>
        <v>46.265444711538485</v>
      </c>
      <c r="I19" s="65">
        <f>VLOOKUP(B19,All_Ingredients!$A$1:$F$156,6,FALSE())</f>
        <v>1</v>
      </c>
      <c r="J19" s="101">
        <f>VLOOKUP(B19,All_Ingredients!$A$1:$J$156,10,FALSE())</f>
        <v>14</v>
      </c>
      <c r="K19" s="104">
        <f t="shared" si="7"/>
        <v>4.6265444711538484E-2</v>
      </c>
      <c r="L19" s="104">
        <f t="shared" si="8"/>
        <v>0.64771622596153877</v>
      </c>
    </row>
    <row r="20" spans="1:32" ht="14.25" customHeight="1" x14ac:dyDescent="0.25">
      <c r="A20" s="62"/>
      <c r="B20" s="84"/>
      <c r="E20" s="84"/>
      <c r="F20" s="84"/>
      <c r="L20" s="189"/>
    </row>
    <row r="21" spans="1:32" ht="14.25" customHeight="1" x14ac:dyDescent="0.25">
      <c r="A21" s="62"/>
      <c r="B21" s="84"/>
      <c r="E21" s="84"/>
      <c r="F21" s="84"/>
      <c r="L21" s="189"/>
    </row>
    <row r="22" spans="1:32" ht="14.25" customHeight="1" x14ac:dyDescent="0.25">
      <c r="A22" s="62"/>
      <c r="L22" s="189"/>
    </row>
    <row r="23" spans="1:32" ht="42" customHeight="1" x14ac:dyDescent="0.25">
      <c r="A23" s="62"/>
      <c r="L23" s="189"/>
    </row>
    <row r="24" spans="1:32" ht="14.25" customHeight="1" x14ac:dyDescent="0.25">
      <c r="A24" s="62"/>
      <c r="L24" s="189"/>
      <c r="R24" s="5"/>
      <c r="Z24" s="1124"/>
    </row>
    <row r="25" spans="1:32" ht="14.25" customHeight="1" x14ac:dyDescent="0.25">
      <c r="A25" s="62"/>
      <c r="L25" s="189"/>
      <c r="R25" s="1705" t="s">
        <v>378</v>
      </c>
      <c r="S25" s="1633"/>
      <c r="T25" s="1633"/>
      <c r="U25" s="1633"/>
      <c r="V25" s="997"/>
      <c r="Z25" s="122" t="s">
        <v>252</v>
      </c>
      <c r="AA25" s="1088">
        <v>1</v>
      </c>
      <c r="AB25" s="122" t="s">
        <v>249</v>
      </c>
      <c r="AC25" s="124">
        <f>(AA25*(1.4))*AF30+(AA30*(AB28/R1))</f>
        <v>2.5667396750303072E-2</v>
      </c>
      <c r="AD25" s="14"/>
    </row>
    <row r="26" spans="1:32" ht="19.5" customHeight="1" x14ac:dyDescent="0.25">
      <c r="A26" s="62"/>
      <c r="L26" s="189"/>
      <c r="R26" s="1704" t="s">
        <v>253</v>
      </c>
      <c r="S26" s="1633"/>
      <c r="T26" s="1633"/>
      <c r="U26" s="1633"/>
      <c r="V26" s="997"/>
      <c r="Z26" s="14"/>
      <c r="AA26" s="14"/>
      <c r="AB26" s="14"/>
      <c r="AC26" s="14"/>
      <c r="AD26" s="14"/>
    </row>
    <row r="27" spans="1:32" ht="14.25" customHeight="1" thickBot="1" x14ac:dyDescent="0.3">
      <c r="A27" s="62"/>
      <c r="R27" s="397" t="s">
        <v>254</v>
      </c>
      <c r="S27" s="398" t="s">
        <v>379</v>
      </c>
      <c r="T27" s="398" t="s">
        <v>256</v>
      </c>
      <c r="U27" s="398" t="s">
        <v>257</v>
      </c>
      <c r="V27" s="127" t="s">
        <v>772</v>
      </c>
      <c r="W27" s="127" t="s">
        <v>779</v>
      </c>
      <c r="Z27" s="122" t="s">
        <v>258</v>
      </c>
      <c r="AA27" s="1031" t="s">
        <v>312</v>
      </c>
      <c r="AB27" s="128" t="s">
        <v>259</v>
      </c>
      <c r="AC27" s="128" t="s">
        <v>260</v>
      </c>
      <c r="AD27" s="128" t="s">
        <v>261</v>
      </c>
      <c r="AE27" s="1032" t="s">
        <v>779</v>
      </c>
      <c r="AF27" s="128" t="s">
        <v>262</v>
      </c>
    </row>
    <row r="28" spans="1:32" ht="14.25" customHeight="1" thickBot="1" x14ac:dyDescent="0.3">
      <c r="A28" s="62"/>
      <c r="R28" s="399" t="s">
        <v>263</v>
      </c>
      <c r="S28" s="1166">
        <f>U28*S40</f>
        <v>21499.999999999996</v>
      </c>
      <c r="T28" s="1167">
        <f>U28*U40</f>
        <v>6450.0000000000064</v>
      </c>
      <c r="U28" s="1170">
        <f>$Z$1</f>
        <v>27950</v>
      </c>
      <c r="V28" s="130">
        <f>SUM(AP5:AP13)</f>
        <v>1547.0159151193629</v>
      </c>
      <c r="W28" s="130">
        <f>H37</f>
        <v>182</v>
      </c>
      <c r="Z28" s="132"/>
      <c r="AA28" s="1034"/>
      <c r="AB28" s="133">
        <f>AA25*$S$40</f>
        <v>0.76923076923076905</v>
      </c>
      <c r="AC28" s="133">
        <f>AA25*U40</f>
        <v>0.230769230769231</v>
      </c>
      <c r="AD28" s="134">
        <f>AA25*0.4</f>
        <v>0.4</v>
      </c>
      <c r="AE28" s="1034"/>
      <c r="AF28" s="135">
        <f>SUM(AB28:AD28)</f>
        <v>1.4</v>
      </c>
    </row>
    <row r="29" spans="1:32" ht="14.25" customHeight="1" thickBot="1" x14ac:dyDescent="0.3">
      <c r="A29" s="62"/>
      <c r="R29" s="399" t="s">
        <v>264</v>
      </c>
      <c r="S29" s="1083"/>
      <c r="T29" s="1085">
        <f>U28*0.4</f>
        <v>11180</v>
      </c>
      <c r="U29" s="1167">
        <f>T29</f>
        <v>11180</v>
      </c>
      <c r="V29" s="130"/>
      <c r="W29" s="130"/>
      <c r="Z29" s="132"/>
      <c r="AA29" s="1038"/>
      <c r="AB29" s="137">
        <f>AB28/$AF$28</f>
        <v>0.54945054945054939</v>
      </c>
      <c r="AC29" s="137">
        <f>AC28/$AF$28</f>
        <v>0.16483516483516503</v>
      </c>
      <c r="AD29" s="137">
        <f>AD28/$AF$28</f>
        <v>0.28571428571428575</v>
      </c>
      <c r="AE29" s="1038"/>
      <c r="AF29" s="137">
        <f>AF28/$AF$28</f>
        <v>1</v>
      </c>
    </row>
    <row r="30" spans="1:32" ht="15" customHeight="1" thickBot="1" x14ac:dyDescent="0.3">
      <c r="A30" s="62"/>
      <c r="R30" s="399" t="s">
        <v>265</v>
      </c>
      <c r="S30" s="1168">
        <f>U30*S40</f>
        <v>384.61538461538453</v>
      </c>
      <c r="T30" s="1169">
        <f>(U30*U40)+(U30*0.4)</f>
        <v>315.38461538461547</v>
      </c>
      <c r="U30" s="1171">
        <f>$AB$1</f>
        <v>500</v>
      </c>
      <c r="V30" s="989"/>
      <c r="W30" s="989"/>
      <c r="Z30" s="122" t="s">
        <v>266</v>
      </c>
      <c r="AA30" s="1042">
        <f>V35/(S32/R1)</f>
        <v>8.4268333333333326E-4</v>
      </c>
      <c r="AB30" s="138">
        <f>S35/(S32)</f>
        <v>2.0463253221873912E-2</v>
      </c>
      <c r="AC30" s="139">
        <f>T35/T32</f>
        <v>1.3263065036878881E-2</v>
      </c>
      <c r="AD30" s="139">
        <f>T35/T32</f>
        <v>1.3263065036878881E-2</v>
      </c>
      <c r="AE30" s="1045">
        <f>W35/U32</f>
        <v>3.1634446397188053E-4</v>
      </c>
      <c r="AF30" s="1043">
        <f>(SUMPRODUCT(AB30:AD30,AB29:AD29))+AE30</f>
        <v>1.7535556855243637E-2</v>
      </c>
    </row>
    <row r="31" spans="1:32" ht="14.25" customHeight="1" thickBot="1" x14ac:dyDescent="0.3">
      <c r="A31" s="62"/>
      <c r="R31" s="399" t="s">
        <v>267</v>
      </c>
      <c r="S31" s="1083"/>
      <c r="T31" s="1082"/>
      <c r="U31" s="1082"/>
      <c r="V31" s="130"/>
      <c r="W31" s="130"/>
    </row>
    <row r="32" spans="1:32" ht="14.25" customHeight="1" thickBot="1" x14ac:dyDescent="0.3">
      <c r="A32" s="62"/>
      <c r="R32" s="400" t="s">
        <v>257</v>
      </c>
      <c r="S32" s="1086">
        <f>SUM(S28:S30)</f>
        <v>21884.615384615379</v>
      </c>
      <c r="T32" s="1084">
        <f>SUM(T28:T30)</f>
        <v>17945.384615384624</v>
      </c>
      <c r="U32" s="1085">
        <f>SUM(S32:T32)</f>
        <v>39830</v>
      </c>
      <c r="V32" s="130"/>
      <c r="W32" s="130">
        <f>SUM(W28:W30)</f>
        <v>182</v>
      </c>
    </row>
    <row r="33" spans="1:23" ht="14.25" customHeight="1" thickBot="1" x14ac:dyDescent="0.3">
      <c r="A33" s="62"/>
      <c r="R33" s="401" t="s">
        <v>268</v>
      </c>
      <c r="S33" s="1083"/>
      <c r="T33" s="1083"/>
      <c r="U33" s="1083"/>
      <c r="V33" s="136"/>
      <c r="W33" s="136"/>
    </row>
    <row r="34" spans="1:23" ht="14.25" customHeight="1" thickBot="1" x14ac:dyDescent="0.3">
      <c r="A34" s="62"/>
      <c r="R34" s="396" t="s">
        <v>269</v>
      </c>
      <c r="S34" s="1083"/>
      <c r="T34" s="1082"/>
      <c r="U34" s="1083"/>
      <c r="V34" s="136"/>
      <c r="W34" s="136"/>
    </row>
    <row r="35" spans="1:23" ht="14.25" customHeight="1" thickBot="1" x14ac:dyDescent="0.3">
      <c r="A35" s="62"/>
      <c r="B35" s="1681" t="s">
        <v>638</v>
      </c>
      <c r="C35" s="1681"/>
      <c r="D35" s="1681"/>
      <c r="E35" s="1681"/>
      <c r="F35" s="1681"/>
      <c r="G35" s="797"/>
      <c r="H35" s="797"/>
      <c r="I35" s="803"/>
      <c r="J35" s="803"/>
      <c r="K35" s="803"/>
      <c r="L35" s="803"/>
      <c r="R35" s="144" t="s">
        <v>249</v>
      </c>
      <c r="S35" s="990">
        <f>$L$5</f>
        <v>447.83042627870202</v>
      </c>
      <c r="T35" s="990">
        <f>SUM(L6:L19)</f>
        <v>238.01080326565199</v>
      </c>
      <c r="U35" s="1049">
        <f>S35+T35+V35+W35</f>
        <v>730.23743754612246</v>
      </c>
      <c r="V35" s="990">
        <f>SUM(AT6:AT13)</f>
        <v>31.796208001768338</v>
      </c>
      <c r="W35" s="990">
        <f>L37</f>
        <v>12.600000000000001</v>
      </c>
    </row>
    <row r="36" spans="1:23" ht="47.25"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62"/>
      <c r="B37" s="772" t="s">
        <v>686</v>
      </c>
      <c r="C37" s="773" t="s">
        <v>14</v>
      </c>
      <c r="D37" s="774">
        <v>1</v>
      </c>
      <c r="E37" s="772">
        <f>$AD$1</f>
        <v>182</v>
      </c>
      <c r="F37" s="772">
        <f>D37*E37</f>
        <v>182</v>
      </c>
      <c r="G37" s="14"/>
      <c r="H37" s="772">
        <f>F37</f>
        <v>182</v>
      </c>
      <c r="I37" s="772">
        <f>VLOOKUP(B37,All_Ingredients!$A$1:$F$156,6,FALSE())</f>
        <v>0.65</v>
      </c>
      <c r="J37" s="772">
        <f>VLOOKUP(B37,All_Ingredients!$A$1:$J$156,10,FALSE())</f>
        <v>45</v>
      </c>
      <c r="K37" s="772">
        <f>(H37/I37)/1000</f>
        <v>0.28000000000000003</v>
      </c>
      <c r="L37" s="772">
        <f t="shared" ref="L37" si="14">K37*J37</f>
        <v>12.600000000000001</v>
      </c>
    </row>
    <row r="38" spans="1:23" x14ac:dyDescent="0.25">
      <c r="A38" s="62"/>
    </row>
    <row r="39" spans="1:23" ht="14.25" customHeight="1" x14ac:dyDescent="0.25">
      <c r="A39" s="62"/>
      <c r="S39" s="407"/>
      <c r="U39" s="407"/>
    </row>
    <row r="40" spans="1:23" ht="15" customHeight="1" x14ac:dyDescent="0.25">
      <c r="A40" s="62"/>
      <c r="Q40" s="14"/>
      <c r="R40" s="146" t="s">
        <v>270</v>
      </c>
      <c r="S40" s="147">
        <v>0.76923076923076905</v>
      </c>
      <c r="T40" s="146" t="s">
        <v>271</v>
      </c>
      <c r="U40" s="148">
        <v>0.230769230769231</v>
      </c>
      <c r="V40" s="149">
        <f>S40+U40</f>
        <v>1</v>
      </c>
      <c r="W40" s="14"/>
    </row>
    <row r="41" spans="1:23" ht="14.25" customHeight="1" x14ac:dyDescent="0.25">
      <c r="A41" s="62"/>
      <c r="Q41" s="14"/>
      <c r="R41" s="14"/>
      <c r="S41" s="14"/>
      <c r="T41" s="14"/>
      <c r="U41" s="150"/>
      <c r="V41" s="14"/>
      <c r="W41" s="14"/>
    </row>
    <row r="42" spans="1:23" ht="14.25" customHeight="1" x14ac:dyDescent="0.25">
      <c r="A42" s="62"/>
      <c r="Q42" s="14"/>
      <c r="R42" s="14"/>
      <c r="S42" s="14"/>
      <c r="T42" s="14"/>
      <c r="U42" s="14"/>
      <c r="V42" s="14"/>
      <c r="W42" s="14"/>
    </row>
    <row r="43" spans="1:23" ht="14.25" customHeight="1" x14ac:dyDescent="0.25">
      <c r="A43" s="62"/>
      <c r="Q43" s="151" t="s">
        <v>272</v>
      </c>
      <c r="R43" s="151" t="s">
        <v>273</v>
      </c>
      <c r="S43" s="151" t="s">
        <v>274</v>
      </c>
      <c r="T43" s="151" t="s">
        <v>275</v>
      </c>
      <c r="U43" s="151" t="s">
        <v>276</v>
      </c>
      <c r="V43" s="151" t="s">
        <v>277</v>
      </c>
      <c r="W43" s="235" t="s">
        <v>278</v>
      </c>
    </row>
    <row r="44" spans="1:23" ht="14.25" customHeight="1" x14ac:dyDescent="0.25">
      <c r="A44" s="62"/>
      <c r="Q44" s="153">
        <v>15854</v>
      </c>
      <c r="R44" s="154">
        <f>D51</f>
        <v>10000</v>
      </c>
      <c r="S44" s="155">
        <v>0.37</v>
      </c>
      <c r="T44" s="155">
        <v>0.63</v>
      </c>
      <c r="U44" s="220">
        <f>R44*S44</f>
        <v>3700</v>
      </c>
      <c r="V44" s="157">
        <f>R44*T44</f>
        <v>6300</v>
      </c>
      <c r="W44" s="237">
        <f>Q44-U44</f>
        <v>12154</v>
      </c>
    </row>
    <row r="45" spans="1:23" ht="14.25" customHeight="1" x14ac:dyDescent="0.25">
      <c r="A45" s="62"/>
    </row>
    <row r="46" spans="1:23" x14ac:dyDescent="0.25">
      <c r="A46" s="62"/>
    </row>
    <row r="47" spans="1:23" x14ac:dyDescent="0.25">
      <c r="A47" s="62"/>
    </row>
    <row r="48" spans="1:23" x14ac:dyDescent="0.25">
      <c r="A48" s="62"/>
    </row>
    <row r="49" spans="1:10" x14ac:dyDescent="0.25">
      <c r="A49" s="62"/>
    </row>
    <row r="50" spans="1:10" x14ac:dyDescent="0.25">
      <c r="A50" s="62"/>
      <c r="B50" s="126"/>
      <c r="C50" s="126" t="s">
        <v>233</v>
      </c>
      <c r="D50" s="125" t="s">
        <v>279</v>
      </c>
      <c r="E50" s="408"/>
      <c r="F50" s="84"/>
      <c r="G50" s="126" t="s">
        <v>280</v>
      </c>
      <c r="H50" s="126" t="s">
        <v>233</v>
      </c>
      <c r="I50" s="126" t="s">
        <v>281</v>
      </c>
      <c r="J50" s="126" t="s">
        <v>282</v>
      </c>
    </row>
    <row r="51" spans="1:10" x14ac:dyDescent="0.25">
      <c r="A51" s="62"/>
      <c r="B51" s="161" t="s">
        <v>283</v>
      </c>
      <c r="C51" s="162">
        <f>10/$K$1</f>
        <v>10.3125</v>
      </c>
      <c r="D51" s="163">
        <f>$C$1*10</f>
        <v>10000</v>
      </c>
      <c r="E51" s="164"/>
      <c r="F51" s="84"/>
      <c r="G51" s="161" t="s">
        <v>283</v>
      </c>
      <c r="H51" s="254">
        <f>I51/$D$5</f>
        <v>10</v>
      </c>
      <c r="I51" s="162">
        <f>J51/$R$1</f>
        <v>20955.172413793105</v>
      </c>
      <c r="J51" s="162">
        <f>$W$44</f>
        <v>12154</v>
      </c>
    </row>
    <row r="52" spans="1:10" x14ac:dyDescent="0.25">
      <c r="A52" s="62"/>
      <c r="B52" s="209" t="s">
        <v>262</v>
      </c>
      <c r="C52" s="210">
        <f>$I$1</f>
        <v>18.506177884615393</v>
      </c>
      <c r="D52" s="211">
        <f>$E$1</f>
        <v>17945.384615384624</v>
      </c>
      <c r="E52" s="84"/>
      <c r="F52" s="84"/>
      <c r="G52" s="129" t="s">
        <v>262</v>
      </c>
      <c r="H52" s="190">
        <f>I52/$D$5</f>
        <v>18.006101188592542</v>
      </c>
      <c r="I52" s="157">
        <f>J52/$R$1</f>
        <v>37732.095490716172</v>
      </c>
      <c r="J52" s="165">
        <f>$S$32</f>
        <v>21884.615384615379</v>
      </c>
    </row>
    <row r="53" spans="1:10" ht="18" customHeight="1" x14ac:dyDescent="0.25">
      <c r="A53" s="62"/>
      <c r="B53" s="209" t="s">
        <v>284</v>
      </c>
      <c r="C53" s="212">
        <f>MIN(C52, C51)</f>
        <v>10.3125</v>
      </c>
      <c r="D53" s="211">
        <f>(C53*$K$1)*$C$1</f>
        <v>10000</v>
      </c>
      <c r="E53" s="84"/>
      <c r="F53" s="84"/>
      <c r="G53" s="129" t="s">
        <v>284</v>
      </c>
      <c r="H53" s="168">
        <f>MIN(H52,H51)</f>
        <v>10</v>
      </c>
      <c r="I53" s="157">
        <f>J53/$R$1</f>
        <v>20955.172413793105</v>
      </c>
      <c r="J53" s="157">
        <f>MIN(J52,J51)</f>
        <v>12154</v>
      </c>
    </row>
    <row r="54" spans="1:10" x14ac:dyDescent="0.25">
      <c r="A54" s="62"/>
      <c r="B54" s="209" t="s">
        <v>285</v>
      </c>
      <c r="C54" s="212">
        <f>MIN(MAX(C52-C53,0),C51)</f>
        <v>8.1936778846153935</v>
      </c>
      <c r="D54" s="211">
        <f>(C54*$K$1)*$C$1</f>
        <v>7945.3846153846243</v>
      </c>
      <c r="E54" s="84"/>
      <c r="F54" s="84"/>
      <c r="G54" s="129" t="s">
        <v>285</v>
      </c>
      <c r="H54" s="168">
        <f>MIN(MAX(H52-H53),H51)</f>
        <v>8.0061011885925417</v>
      </c>
      <c r="I54" s="157">
        <f>J54/$R$1</f>
        <v>16776.923076923067</v>
      </c>
      <c r="J54" s="157">
        <f>MIN(MAX(J52-J53),J51)</f>
        <v>9730.6153846153793</v>
      </c>
    </row>
    <row r="55" spans="1:10"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62"/>
    </row>
    <row r="57" spans="1:10" x14ac:dyDescent="0.25">
      <c r="A57" s="62"/>
    </row>
    <row r="58" spans="1:10" x14ac:dyDescent="0.25">
      <c r="A58" s="62"/>
    </row>
    <row r="59" spans="1:10" x14ac:dyDescent="0.25">
      <c r="A59" s="62"/>
    </row>
    <row r="60" spans="1:10" x14ac:dyDescent="0.25">
      <c r="A60" s="62"/>
    </row>
    <row r="61" spans="1:10" x14ac:dyDescent="0.25">
      <c r="A61" s="62"/>
    </row>
    <row r="62" spans="1:10" ht="18" customHeight="1" x14ac:dyDescent="0.25">
      <c r="A62" s="1456"/>
      <c r="B62" s="1636" t="str">
        <f>" داوود باشا 1 / " &amp; COUNTIF($C$53:$C$55, "&gt;0")</f>
        <v xml:space="preserve"> داوود باشا 1 / 2</v>
      </c>
      <c r="C62" s="1637"/>
      <c r="D62" s="1637"/>
      <c r="E62" s="1637"/>
      <c r="F62" s="1637"/>
      <c r="G62" s="1637"/>
      <c r="H62" s="1637"/>
    </row>
    <row r="63" spans="1:10" ht="18" customHeight="1" x14ac:dyDescent="0.25">
      <c r="A63" s="1490"/>
      <c r="B63" s="1706" t="str">
        <f>" Daoud Basha 1 / " &amp; COUNTIF($C$53:$C$55, "&gt;0")</f>
        <v xml:space="preserve"> Daoud Basha 1 / 2</v>
      </c>
      <c r="C63" s="1635"/>
      <c r="D63" s="1635"/>
      <c r="E63" s="1635"/>
      <c r="F63" s="1635"/>
      <c r="G63" s="1635"/>
      <c r="H63" s="1635"/>
    </row>
    <row r="64" spans="1:10" ht="33.75" customHeight="1" x14ac:dyDescent="0.2">
      <c r="A64" s="1457"/>
      <c r="B64" s="221" t="s">
        <v>241</v>
      </c>
      <c r="C64" s="222" t="s">
        <v>242</v>
      </c>
      <c r="D64" s="223" t="s">
        <v>231</v>
      </c>
      <c r="E64" s="197" t="s">
        <v>234</v>
      </c>
      <c r="F64" s="197" t="s">
        <v>243</v>
      </c>
      <c r="G64" s="223" t="s">
        <v>244</v>
      </c>
      <c r="H64" s="197" t="s">
        <v>245</v>
      </c>
    </row>
    <row r="65" spans="1:8" ht="14.25" customHeight="1" x14ac:dyDescent="0.25">
      <c r="A65" s="1455"/>
      <c r="B65" s="271" t="str">
        <f t="shared" ref="B65:D79" si="15">B5</f>
        <v>Indian Meat Tammam Mafroom - مفروم هندى</v>
      </c>
      <c r="C65" s="271" t="str">
        <f t="shared" si="15"/>
        <v>gm</v>
      </c>
      <c r="D65" s="409">
        <f t="shared" si="15"/>
        <v>2095.5172413793107</v>
      </c>
      <c r="E65" s="258">
        <f>H53</f>
        <v>10</v>
      </c>
      <c r="F65" s="109">
        <f t="shared" ref="F65:F79" si="16">F5</f>
        <v>1</v>
      </c>
      <c r="G65" s="101">
        <f t="shared" ref="G65:G79" si="17">D65*E65</f>
        <v>20955.172413793109</v>
      </c>
      <c r="H65" s="102">
        <f t="shared" ref="H65:H79" si="18">G65*F65</f>
        <v>20955.172413793109</v>
      </c>
    </row>
    <row r="66" spans="1:8" ht="14.25" customHeight="1" x14ac:dyDescent="0.25">
      <c r="A66" s="1455" t="s">
        <v>905</v>
      </c>
      <c r="B66" s="271" t="str">
        <f t="shared" si="15"/>
        <v>Onion - بصل</v>
      </c>
      <c r="C66" s="271" t="str">
        <f t="shared" si="15"/>
        <v>gm</v>
      </c>
      <c r="D66" s="202">
        <f t="shared" si="15"/>
        <v>200</v>
      </c>
      <c r="E66" s="258">
        <f t="shared" ref="E66:E79" si="19">$C$53</f>
        <v>10.3125</v>
      </c>
      <c r="F66" s="109">
        <f t="shared" si="16"/>
        <v>1</v>
      </c>
      <c r="G66" s="101">
        <f t="shared" si="17"/>
        <v>2062.5</v>
      </c>
      <c r="H66" s="102">
        <f t="shared" si="18"/>
        <v>2062.5</v>
      </c>
    </row>
    <row r="67" spans="1:8" ht="14.25" customHeight="1" x14ac:dyDescent="0.25">
      <c r="A67" s="1455" t="s">
        <v>907</v>
      </c>
      <c r="B67" s="271" t="str">
        <f t="shared" si="15"/>
        <v>Garlic - ثوم مقشر</v>
      </c>
      <c r="C67" s="271" t="str">
        <f t="shared" si="15"/>
        <v>gm</v>
      </c>
      <c r="D67" s="202">
        <f t="shared" si="15"/>
        <v>25</v>
      </c>
      <c r="E67" s="258">
        <f t="shared" si="19"/>
        <v>10.3125</v>
      </c>
      <c r="F67" s="109">
        <f t="shared" si="16"/>
        <v>1</v>
      </c>
      <c r="G67" s="101">
        <f t="shared" si="17"/>
        <v>257.8125</v>
      </c>
      <c r="H67" s="102">
        <f t="shared" si="18"/>
        <v>257.8125</v>
      </c>
    </row>
    <row r="68" spans="1:8" ht="14.25" customHeight="1" x14ac:dyDescent="0.25">
      <c r="A68" s="1455" t="s">
        <v>909</v>
      </c>
      <c r="B68" s="271" t="str">
        <f t="shared" si="15"/>
        <v>Tomato - طماطم</v>
      </c>
      <c r="C68" s="271" t="str">
        <f t="shared" si="15"/>
        <v>gm</v>
      </c>
      <c r="D68" s="202">
        <f t="shared" si="15"/>
        <v>200</v>
      </c>
      <c r="E68" s="258">
        <f t="shared" si="19"/>
        <v>10.3125</v>
      </c>
      <c r="F68" s="109">
        <f t="shared" si="16"/>
        <v>1</v>
      </c>
      <c r="G68" s="101">
        <f t="shared" si="17"/>
        <v>2062.5</v>
      </c>
      <c r="H68" s="102">
        <f t="shared" si="18"/>
        <v>2062.5</v>
      </c>
    </row>
    <row r="69" spans="1:8" ht="14.25" customHeight="1" x14ac:dyDescent="0.25">
      <c r="A69" s="1455"/>
      <c r="B69" s="271" t="str">
        <f t="shared" si="15"/>
        <v>Tomato Paste - صلصة طماطم</v>
      </c>
      <c r="C69" s="271" t="str">
        <f t="shared" si="15"/>
        <v>gm</v>
      </c>
      <c r="D69" s="202">
        <f t="shared" si="15"/>
        <v>240</v>
      </c>
      <c r="E69" s="258">
        <f t="shared" si="19"/>
        <v>10.3125</v>
      </c>
      <c r="F69" s="109">
        <f t="shared" si="16"/>
        <v>1</v>
      </c>
      <c r="G69" s="101">
        <f t="shared" si="17"/>
        <v>2475</v>
      </c>
      <c r="H69" s="102">
        <f t="shared" si="18"/>
        <v>2475</v>
      </c>
    </row>
    <row r="70" spans="1:8" ht="14.25" customHeight="1" x14ac:dyDescent="0.25">
      <c r="A70" s="1455"/>
      <c r="B70" s="271" t="str">
        <f t="shared" si="15"/>
        <v>Maggi Cubes - مكعبات ماجي</v>
      </c>
      <c r="C70" s="271" t="str">
        <f t="shared" si="15"/>
        <v>gm</v>
      </c>
      <c r="D70" s="202">
        <f t="shared" si="15"/>
        <v>6</v>
      </c>
      <c r="E70" s="258">
        <f t="shared" si="19"/>
        <v>10.3125</v>
      </c>
      <c r="F70" s="109">
        <f t="shared" si="16"/>
        <v>0.75</v>
      </c>
      <c r="G70" s="101">
        <f t="shared" si="17"/>
        <v>61.875</v>
      </c>
      <c r="H70" s="102">
        <f t="shared" si="18"/>
        <v>46.40625</v>
      </c>
    </row>
    <row r="71" spans="1:8" ht="14.25" customHeight="1" x14ac:dyDescent="0.25">
      <c r="A71" s="1455"/>
      <c r="B71" s="271" t="str">
        <f t="shared" si="15"/>
        <v>Cumin Powder - كمون مطحون</v>
      </c>
      <c r="C71" s="271" t="str">
        <f t="shared" si="15"/>
        <v>gm</v>
      </c>
      <c r="D71" s="202">
        <f t="shared" si="15"/>
        <v>10</v>
      </c>
      <c r="E71" s="258">
        <f t="shared" si="19"/>
        <v>10.3125</v>
      </c>
      <c r="F71" s="109">
        <f t="shared" si="16"/>
        <v>0.75</v>
      </c>
      <c r="G71" s="101">
        <f t="shared" si="17"/>
        <v>103.125</v>
      </c>
      <c r="H71" s="102">
        <f t="shared" si="18"/>
        <v>77.34375</v>
      </c>
    </row>
    <row r="72" spans="1:8" ht="14.25" customHeight="1" x14ac:dyDescent="0.25">
      <c r="A72" s="1455"/>
      <c r="B72" s="271" t="str">
        <f t="shared" si="15"/>
        <v>Coriander Powder - كزبرة مطحونة</v>
      </c>
      <c r="C72" s="271" t="str">
        <f t="shared" si="15"/>
        <v>gm</v>
      </c>
      <c r="D72" s="202">
        <f t="shared" si="15"/>
        <v>10</v>
      </c>
      <c r="E72" s="258">
        <f t="shared" si="19"/>
        <v>10.3125</v>
      </c>
      <c r="F72" s="109">
        <f t="shared" si="16"/>
        <v>0.75</v>
      </c>
      <c r="G72" s="101">
        <f t="shared" si="17"/>
        <v>103.125</v>
      </c>
      <c r="H72" s="102">
        <f t="shared" si="18"/>
        <v>77.34375</v>
      </c>
    </row>
    <row r="73" spans="1:8" ht="14.25" customHeight="1" x14ac:dyDescent="0.25">
      <c r="A73" s="1455"/>
      <c r="B73" s="271" t="str">
        <f t="shared" si="15"/>
        <v>Cooking Cream - كريمة طبخ</v>
      </c>
      <c r="C73" s="271" t="str">
        <f t="shared" si="15"/>
        <v>ml</v>
      </c>
      <c r="D73" s="202">
        <f t="shared" si="15"/>
        <v>500</v>
      </c>
      <c r="E73" s="258">
        <f t="shared" si="19"/>
        <v>10.3125</v>
      </c>
      <c r="F73" s="109">
        <f t="shared" si="16"/>
        <v>1</v>
      </c>
      <c r="G73" s="101">
        <f t="shared" si="17"/>
        <v>5156.25</v>
      </c>
      <c r="H73" s="102">
        <f t="shared" si="18"/>
        <v>5156.25</v>
      </c>
    </row>
    <row r="74" spans="1:8" ht="14.25" customHeight="1" x14ac:dyDescent="0.25">
      <c r="A74" s="1455"/>
      <c r="B74" s="271" t="str">
        <f t="shared" si="15"/>
        <v>Butter - زبدة</v>
      </c>
      <c r="C74" s="271" t="str">
        <f t="shared" si="15"/>
        <v>gm</v>
      </c>
      <c r="D74" s="202">
        <f t="shared" si="15"/>
        <v>25</v>
      </c>
      <c r="E74" s="258">
        <f t="shared" si="19"/>
        <v>10.3125</v>
      </c>
      <c r="F74" s="109">
        <f t="shared" si="16"/>
        <v>1</v>
      </c>
      <c r="G74" s="101">
        <f t="shared" si="17"/>
        <v>257.8125</v>
      </c>
      <c r="H74" s="102">
        <f t="shared" si="18"/>
        <v>257.8125</v>
      </c>
    </row>
    <row r="75" spans="1:8" ht="14.25" customHeight="1" x14ac:dyDescent="0.25">
      <c r="A75" s="1455"/>
      <c r="B75" s="271" t="str">
        <f t="shared" si="15"/>
        <v>Dried Mint Leaves - نعناع مجفف</v>
      </c>
      <c r="C75" s="271" t="str">
        <f t="shared" si="15"/>
        <v>gm</v>
      </c>
      <c r="D75" s="202">
        <f t="shared" si="15"/>
        <v>1</v>
      </c>
      <c r="E75" s="258">
        <f t="shared" si="19"/>
        <v>10.3125</v>
      </c>
      <c r="F75" s="109">
        <f t="shared" si="16"/>
        <v>1</v>
      </c>
      <c r="G75" s="101">
        <f t="shared" si="17"/>
        <v>10.3125</v>
      </c>
      <c r="H75" s="102">
        <f t="shared" si="18"/>
        <v>10.3125</v>
      </c>
    </row>
    <row r="76" spans="1:8" ht="14.25" customHeight="1" x14ac:dyDescent="0.25">
      <c r="A76" s="1455"/>
      <c r="B76" s="271" t="str">
        <f t="shared" si="15"/>
        <v>Salt - ملح</v>
      </c>
      <c r="C76" s="271" t="str">
        <f t="shared" si="15"/>
        <v>gm</v>
      </c>
      <c r="D76" s="202">
        <f t="shared" si="15"/>
        <v>6</v>
      </c>
      <c r="E76" s="258">
        <f t="shared" si="19"/>
        <v>10.3125</v>
      </c>
      <c r="F76" s="109">
        <f t="shared" si="16"/>
        <v>1</v>
      </c>
      <c r="G76" s="101">
        <f t="shared" si="17"/>
        <v>61.875</v>
      </c>
      <c r="H76" s="102">
        <f t="shared" si="18"/>
        <v>61.875</v>
      </c>
    </row>
    <row r="77" spans="1:8" ht="18" customHeight="1" x14ac:dyDescent="0.25">
      <c r="A77" s="1455"/>
      <c r="B77" s="271" t="str">
        <f t="shared" si="15"/>
        <v>Mozzarella Cheese - جبنة موتزاريلا</v>
      </c>
      <c r="C77" s="271" t="str">
        <f t="shared" si="15"/>
        <v>gm</v>
      </c>
      <c r="D77" s="202">
        <f t="shared" si="15"/>
        <v>100</v>
      </c>
      <c r="E77" s="258">
        <f t="shared" si="19"/>
        <v>10.3125</v>
      </c>
      <c r="F77" s="109">
        <f t="shared" si="16"/>
        <v>1</v>
      </c>
      <c r="G77" s="101">
        <f t="shared" si="17"/>
        <v>1031.25</v>
      </c>
      <c r="H77" s="102">
        <f t="shared" si="18"/>
        <v>1031.25</v>
      </c>
    </row>
    <row r="78" spans="1:8" ht="18" customHeight="1" x14ac:dyDescent="0.25">
      <c r="A78" s="1455"/>
      <c r="B78" s="271" t="str">
        <f t="shared" si="15"/>
        <v>Black Pepper Powder - فلفل أسود مطحون</v>
      </c>
      <c r="C78" s="271" t="str">
        <f t="shared" si="15"/>
        <v>gm</v>
      </c>
      <c r="D78" s="202">
        <f t="shared" si="15"/>
        <v>3</v>
      </c>
      <c r="E78" s="258">
        <f t="shared" si="19"/>
        <v>10.3125</v>
      </c>
      <c r="F78" s="109">
        <f t="shared" si="16"/>
        <v>0.9</v>
      </c>
      <c r="G78" s="101">
        <f t="shared" si="17"/>
        <v>30.9375</v>
      </c>
      <c r="H78" s="102">
        <f t="shared" si="18"/>
        <v>27.84375</v>
      </c>
    </row>
    <row r="79" spans="1:8" ht="14.25" customHeight="1" x14ac:dyDescent="0.25">
      <c r="A79" s="1455"/>
      <c r="B79" s="271" t="str">
        <f t="shared" si="15"/>
        <v>Cinnamon Powder - قرفة مطحونة</v>
      </c>
      <c r="C79" s="271" t="str">
        <f t="shared" si="15"/>
        <v>gm</v>
      </c>
      <c r="D79" s="202">
        <f t="shared" si="15"/>
        <v>5</v>
      </c>
      <c r="E79" s="258">
        <f t="shared" si="19"/>
        <v>10.3125</v>
      </c>
      <c r="F79" s="109">
        <f t="shared" si="16"/>
        <v>0.5</v>
      </c>
      <c r="G79" s="101">
        <f t="shared" si="17"/>
        <v>51.5625</v>
      </c>
      <c r="H79" s="102">
        <f t="shared" si="18"/>
        <v>25.78125</v>
      </c>
    </row>
    <row r="80" spans="1:8" ht="20.25" customHeight="1" x14ac:dyDescent="0.25">
      <c r="A80" s="1458"/>
      <c r="B80" s="178" t="s">
        <v>287</v>
      </c>
      <c r="C80" s="180" t="s">
        <v>273</v>
      </c>
      <c r="D80" s="14"/>
      <c r="E80" s="180" t="s">
        <v>288</v>
      </c>
      <c r="F80" s="14"/>
      <c r="G80" s="804" t="s">
        <v>264</v>
      </c>
      <c r="H80" s="804" t="s">
        <v>673</v>
      </c>
    </row>
    <row r="81" spans="1:8" ht="24" customHeight="1" x14ac:dyDescent="0.3">
      <c r="A81" s="1458"/>
      <c r="B81" s="179">
        <f>$J$53</f>
        <v>12154</v>
      </c>
      <c r="C81" s="179">
        <f>E81+G81</f>
        <v>10000</v>
      </c>
      <c r="D81" s="839"/>
      <c r="E81" s="179">
        <f>$D$53*$S$44</f>
        <v>3700</v>
      </c>
      <c r="F81" s="843"/>
      <c r="G81" s="179">
        <f>$D$53*$T$44</f>
        <v>6300</v>
      </c>
      <c r="H81" s="179">
        <f>B81+E81</f>
        <v>15854</v>
      </c>
    </row>
    <row r="82" spans="1:8" ht="14.25" customHeight="1" x14ac:dyDescent="0.25">
      <c r="A82" s="62"/>
      <c r="B82" s="84"/>
      <c r="C82" s="84"/>
      <c r="D82" s="194"/>
      <c r="E82" s="84"/>
      <c r="F82" s="84"/>
      <c r="G82" s="84"/>
      <c r="H82" s="84"/>
    </row>
    <row r="83" spans="1:8" ht="14.25" customHeight="1" x14ac:dyDescent="0.25">
      <c r="A83" s="62"/>
      <c r="B83" s="84"/>
      <c r="C83" s="84"/>
      <c r="D83" s="194"/>
      <c r="E83" s="84"/>
      <c r="F83" s="84"/>
      <c r="G83" s="84"/>
      <c r="H83" s="84"/>
    </row>
    <row r="84" spans="1:8" ht="18" customHeight="1" x14ac:dyDescent="0.25">
      <c r="A84" s="1456"/>
      <c r="B84" s="1636" t="str">
        <f>"  داوود باشا 2 / " &amp; COUNTIF($C$53:$C$55, "&gt;0")</f>
        <v xml:space="preserve">  داوود باشا 2 / 2</v>
      </c>
      <c r="C84" s="1637"/>
      <c r="D84" s="1637"/>
      <c r="E84" s="1637"/>
      <c r="F84" s="1637"/>
      <c r="G84" s="1637"/>
      <c r="H84" s="1637"/>
    </row>
    <row r="85" spans="1:8" ht="18" customHeight="1" x14ac:dyDescent="0.25">
      <c r="A85" s="1490"/>
      <c r="B85" s="1706" t="str">
        <f>" Daoud Basha 2 / " &amp; COUNTIF($C$53:$C$55, "&gt;0")</f>
        <v xml:space="preserve"> Daoud Basha 2 / 2</v>
      </c>
      <c r="C85" s="1635"/>
      <c r="D85" s="1635"/>
      <c r="E85" s="1635"/>
      <c r="F85" s="1635"/>
      <c r="G85" s="1635"/>
      <c r="H85" s="1635"/>
    </row>
    <row r="86" spans="1:8" ht="25.5" customHeight="1" x14ac:dyDescent="0.2">
      <c r="A86" s="1457"/>
      <c r="B86" s="221" t="s">
        <v>241</v>
      </c>
      <c r="C86" s="222" t="s">
        <v>242</v>
      </c>
      <c r="D86" s="223" t="s">
        <v>231</v>
      </c>
      <c r="E86" s="197" t="s">
        <v>234</v>
      </c>
      <c r="F86" s="197" t="s">
        <v>243</v>
      </c>
      <c r="G86" s="223" t="s">
        <v>244</v>
      </c>
      <c r="H86" s="197" t="s">
        <v>245</v>
      </c>
    </row>
    <row r="87" spans="1:8" ht="14.25" customHeight="1" x14ac:dyDescent="0.25">
      <c r="A87" s="1455"/>
      <c r="B87" s="271" t="str">
        <f t="shared" ref="B87:D101" si="20">B5</f>
        <v>Indian Meat Tammam Mafroom - مفروم هندى</v>
      </c>
      <c r="C87" s="271" t="str">
        <f t="shared" si="20"/>
        <v>gm</v>
      </c>
      <c r="D87" s="409">
        <f t="shared" si="20"/>
        <v>2095.5172413793107</v>
      </c>
      <c r="E87" s="410">
        <f>H54</f>
        <v>8.0061011885925417</v>
      </c>
      <c r="F87" s="109">
        <f t="shared" ref="F87:F101" si="21">F5</f>
        <v>1</v>
      </c>
      <c r="G87" s="101">
        <f t="shared" ref="G87:G101" si="22">D87*E87</f>
        <v>16776.923076923063</v>
      </c>
      <c r="H87" s="102">
        <f t="shared" ref="H87:H101" si="23">G87*F87</f>
        <v>16776.923076923063</v>
      </c>
    </row>
    <row r="88" spans="1:8" ht="14.25" customHeight="1" x14ac:dyDescent="0.25">
      <c r="A88" s="1455" t="s">
        <v>905</v>
      </c>
      <c r="B88" s="271" t="str">
        <f t="shared" si="20"/>
        <v>Onion - بصل</v>
      </c>
      <c r="C88" s="271" t="str">
        <f t="shared" si="20"/>
        <v>gm</v>
      </c>
      <c r="D88" s="202">
        <f t="shared" si="20"/>
        <v>200</v>
      </c>
      <c r="E88" s="410">
        <f t="shared" ref="E88:E101" si="24">$C$54</f>
        <v>8.1936778846153935</v>
      </c>
      <c r="F88" s="109">
        <f t="shared" si="21"/>
        <v>1</v>
      </c>
      <c r="G88" s="101">
        <f t="shared" si="22"/>
        <v>1638.7355769230787</v>
      </c>
      <c r="H88" s="102">
        <f t="shared" si="23"/>
        <v>1638.7355769230787</v>
      </c>
    </row>
    <row r="89" spans="1:8" ht="14.25" customHeight="1" x14ac:dyDescent="0.25">
      <c r="A89" s="1455" t="s">
        <v>907</v>
      </c>
      <c r="B89" s="271" t="str">
        <f t="shared" si="20"/>
        <v>Garlic - ثوم مقشر</v>
      </c>
      <c r="C89" s="271" t="str">
        <f t="shared" si="20"/>
        <v>gm</v>
      </c>
      <c r="D89" s="202">
        <f t="shared" si="20"/>
        <v>25</v>
      </c>
      <c r="E89" s="410">
        <f t="shared" si="24"/>
        <v>8.1936778846153935</v>
      </c>
      <c r="F89" s="109">
        <f t="shared" si="21"/>
        <v>1</v>
      </c>
      <c r="G89" s="101">
        <f t="shared" si="22"/>
        <v>204.84194711538484</v>
      </c>
      <c r="H89" s="102">
        <f t="shared" si="23"/>
        <v>204.84194711538484</v>
      </c>
    </row>
    <row r="90" spans="1:8" ht="14.25" customHeight="1" x14ac:dyDescent="0.25">
      <c r="A90" s="1455" t="s">
        <v>909</v>
      </c>
      <c r="B90" s="271" t="str">
        <f t="shared" si="20"/>
        <v>Tomato - طماطم</v>
      </c>
      <c r="C90" s="271" t="str">
        <f t="shared" si="20"/>
        <v>gm</v>
      </c>
      <c r="D90" s="202">
        <f t="shared" si="20"/>
        <v>200</v>
      </c>
      <c r="E90" s="410">
        <f t="shared" si="24"/>
        <v>8.1936778846153935</v>
      </c>
      <c r="F90" s="109">
        <f t="shared" si="21"/>
        <v>1</v>
      </c>
      <c r="G90" s="101">
        <f t="shared" si="22"/>
        <v>1638.7355769230787</v>
      </c>
      <c r="H90" s="102">
        <f t="shared" si="23"/>
        <v>1638.7355769230787</v>
      </c>
    </row>
    <row r="91" spans="1:8" ht="14.25" customHeight="1" x14ac:dyDescent="0.25">
      <c r="A91" s="1455"/>
      <c r="B91" s="271" t="str">
        <f t="shared" si="20"/>
        <v>Tomato Paste - صلصة طماطم</v>
      </c>
      <c r="C91" s="271" t="str">
        <f t="shared" si="20"/>
        <v>gm</v>
      </c>
      <c r="D91" s="202">
        <f t="shared" si="20"/>
        <v>240</v>
      </c>
      <c r="E91" s="410">
        <f t="shared" si="24"/>
        <v>8.1936778846153935</v>
      </c>
      <c r="F91" s="109">
        <f t="shared" si="21"/>
        <v>1</v>
      </c>
      <c r="G91" s="101">
        <f t="shared" si="22"/>
        <v>1966.4826923076944</v>
      </c>
      <c r="H91" s="102">
        <f t="shared" si="23"/>
        <v>1966.4826923076944</v>
      </c>
    </row>
    <row r="92" spans="1:8" ht="14.25" customHeight="1" x14ac:dyDescent="0.25">
      <c r="A92" s="1455"/>
      <c r="B92" s="271" t="str">
        <f t="shared" si="20"/>
        <v>Maggi Cubes - مكعبات ماجي</v>
      </c>
      <c r="C92" s="271" t="str">
        <f t="shared" si="20"/>
        <v>gm</v>
      </c>
      <c r="D92" s="202">
        <f t="shared" si="20"/>
        <v>6</v>
      </c>
      <c r="E92" s="410">
        <f t="shared" si="24"/>
        <v>8.1936778846153935</v>
      </c>
      <c r="F92" s="109">
        <f t="shared" si="21"/>
        <v>0.75</v>
      </c>
      <c r="G92" s="101">
        <f t="shared" si="22"/>
        <v>49.162067307692361</v>
      </c>
      <c r="H92" s="102">
        <f t="shared" si="23"/>
        <v>36.871550480769272</v>
      </c>
    </row>
    <row r="93" spans="1:8" ht="14.25" customHeight="1" x14ac:dyDescent="0.25">
      <c r="A93" s="1455"/>
      <c r="B93" s="271" t="str">
        <f t="shared" si="20"/>
        <v>Cumin Powder - كمون مطحون</v>
      </c>
      <c r="C93" s="271" t="str">
        <f t="shared" si="20"/>
        <v>gm</v>
      </c>
      <c r="D93" s="202">
        <f t="shared" si="20"/>
        <v>10</v>
      </c>
      <c r="E93" s="410">
        <f t="shared" si="24"/>
        <v>8.1936778846153935</v>
      </c>
      <c r="F93" s="109">
        <f t="shared" si="21"/>
        <v>0.75</v>
      </c>
      <c r="G93" s="101">
        <f t="shared" si="22"/>
        <v>81.936778846153942</v>
      </c>
      <c r="H93" s="102">
        <f t="shared" si="23"/>
        <v>61.452584134615456</v>
      </c>
    </row>
    <row r="94" spans="1:8" ht="14.25" customHeight="1" x14ac:dyDescent="0.25">
      <c r="A94" s="1455"/>
      <c r="B94" s="271" t="str">
        <f t="shared" si="20"/>
        <v>Coriander Powder - كزبرة مطحونة</v>
      </c>
      <c r="C94" s="271" t="str">
        <f t="shared" si="20"/>
        <v>gm</v>
      </c>
      <c r="D94" s="202">
        <f t="shared" si="20"/>
        <v>10</v>
      </c>
      <c r="E94" s="410">
        <f t="shared" si="24"/>
        <v>8.1936778846153935</v>
      </c>
      <c r="F94" s="109">
        <f t="shared" si="21"/>
        <v>0.75</v>
      </c>
      <c r="G94" s="101">
        <f t="shared" si="22"/>
        <v>81.936778846153942</v>
      </c>
      <c r="H94" s="102">
        <f t="shared" si="23"/>
        <v>61.452584134615456</v>
      </c>
    </row>
    <row r="95" spans="1:8" ht="14.25" customHeight="1" x14ac:dyDescent="0.25">
      <c r="A95" s="1455"/>
      <c r="B95" s="271" t="str">
        <f t="shared" si="20"/>
        <v>Cooking Cream - كريمة طبخ</v>
      </c>
      <c r="C95" s="271" t="str">
        <f t="shared" si="20"/>
        <v>ml</v>
      </c>
      <c r="D95" s="202">
        <f t="shared" si="20"/>
        <v>500</v>
      </c>
      <c r="E95" s="410">
        <f t="shared" si="24"/>
        <v>8.1936778846153935</v>
      </c>
      <c r="F95" s="109">
        <f t="shared" si="21"/>
        <v>1</v>
      </c>
      <c r="G95" s="101">
        <f t="shared" si="22"/>
        <v>4096.8389423076969</v>
      </c>
      <c r="H95" s="102">
        <f t="shared" si="23"/>
        <v>4096.8389423076969</v>
      </c>
    </row>
    <row r="96" spans="1:8" ht="14.25" customHeight="1" x14ac:dyDescent="0.25">
      <c r="A96" s="1455"/>
      <c r="B96" s="271" t="str">
        <f t="shared" si="20"/>
        <v>Butter - زبدة</v>
      </c>
      <c r="C96" s="271" t="str">
        <f t="shared" si="20"/>
        <v>gm</v>
      </c>
      <c r="D96" s="202">
        <f t="shared" si="20"/>
        <v>25</v>
      </c>
      <c r="E96" s="410">
        <f t="shared" si="24"/>
        <v>8.1936778846153935</v>
      </c>
      <c r="F96" s="109">
        <f t="shared" si="21"/>
        <v>1</v>
      </c>
      <c r="G96" s="101">
        <f t="shared" si="22"/>
        <v>204.84194711538484</v>
      </c>
      <c r="H96" s="102">
        <f t="shared" si="23"/>
        <v>204.84194711538484</v>
      </c>
    </row>
    <row r="97" spans="1:8" ht="14.25" customHeight="1" x14ac:dyDescent="0.25">
      <c r="A97" s="1455"/>
      <c r="B97" s="271" t="str">
        <f t="shared" si="20"/>
        <v>Dried Mint Leaves - نعناع مجفف</v>
      </c>
      <c r="C97" s="271" t="str">
        <f t="shared" si="20"/>
        <v>gm</v>
      </c>
      <c r="D97" s="202">
        <f t="shared" si="20"/>
        <v>1</v>
      </c>
      <c r="E97" s="410">
        <f t="shared" si="24"/>
        <v>8.1936778846153935</v>
      </c>
      <c r="F97" s="109">
        <f t="shared" si="21"/>
        <v>1</v>
      </c>
      <c r="G97" s="101">
        <f t="shared" si="22"/>
        <v>8.1936778846153935</v>
      </c>
      <c r="H97" s="102">
        <f t="shared" si="23"/>
        <v>8.1936778846153935</v>
      </c>
    </row>
    <row r="98" spans="1:8" ht="14.25" customHeight="1" x14ac:dyDescent="0.25">
      <c r="A98" s="1455"/>
      <c r="B98" s="271" t="str">
        <f t="shared" si="20"/>
        <v>Salt - ملح</v>
      </c>
      <c r="C98" s="271" t="str">
        <f t="shared" si="20"/>
        <v>gm</v>
      </c>
      <c r="D98" s="202">
        <f t="shared" si="20"/>
        <v>6</v>
      </c>
      <c r="E98" s="410">
        <f t="shared" si="24"/>
        <v>8.1936778846153935</v>
      </c>
      <c r="F98" s="109">
        <f t="shared" si="21"/>
        <v>1</v>
      </c>
      <c r="G98" s="101">
        <f t="shared" si="22"/>
        <v>49.162067307692361</v>
      </c>
      <c r="H98" s="102">
        <f t="shared" si="23"/>
        <v>49.162067307692361</v>
      </c>
    </row>
    <row r="99" spans="1:8" ht="14.25" customHeight="1" x14ac:dyDescent="0.25">
      <c r="A99" s="1455"/>
      <c r="B99" s="271" t="str">
        <f t="shared" si="20"/>
        <v>Mozzarella Cheese - جبنة موتزاريلا</v>
      </c>
      <c r="C99" s="271" t="str">
        <f t="shared" si="20"/>
        <v>gm</v>
      </c>
      <c r="D99" s="202">
        <f t="shared" si="20"/>
        <v>100</v>
      </c>
      <c r="E99" s="410">
        <f t="shared" si="24"/>
        <v>8.1936778846153935</v>
      </c>
      <c r="F99" s="109">
        <f t="shared" si="21"/>
        <v>1</v>
      </c>
      <c r="G99" s="101">
        <f t="shared" si="22"/>
        <v>819.36778846153936</v>
      </c>
      <c r="H99" s="102">
        <f t="shared" si="23"/>
        <v>819.36778846153936</v>
      </c>
    </row>
    <row r="100" spans="1:8" ht="14.25" customHeight="1" x14ac:dyDescent="0.25">
      <c r="A100" s="1455"/>
      <c r="B100" s="271" t="str">
        <f t="shared" si="20"/>
        <v>Black Pepper Powder - فلفل أسود مطحون</v>
      </c>
      <c r="C100" s="271" t="str">
        <f t="shared" si="20"/>
        <v>gm</v>
      </c>
      <c r="D100" s="202">
        <f t="shared" si="20"/>
        <v>3</v>
      </c>
      <c r="E100" s="410">
        <f t="shared" si="24"/>
        <v>8.1936778846153935</v>
      </c>
      <c r="F100" s="109">
        <f t="shared" si="21"/>
        <v>0.9</v>
      </c>
      <c r="G100" s="101">
        <f t="shared" si="22"/>
        <v>24.58103365384618</v>
      </c>
      <c r="H100" s="102">
        <f t="shared" si="23"/>
        <v>22.122930288461564</v>
      </c>
    </row>
    <row r="101" spans="1:8" ht="14.25" customHeight="1" x14ac:dyDescent="0.25">
      <c r="A101" s="1455"/>
      <c r="B101" s="271" t="str">
        <f t="shared" si="20"/>
        <v>Cinnamon Powder - قرفة مطحونة</v>
      </c>
      <c r="C101" s="271" t="str">
        <f t="shared" si="20"/>
        <v>gm</v>
      </c>
      <c r="D101" s="202">
        <f t="shared" si="20"/>
        <v>5</v>
      </c>
      <c r="E101" s="410">
        <f t="shared" si="24"/>
        <v>8.1936778846153935</v>
      </c>
      <c r="F101" s="109">
        <f t="shared" si="21"/>
        <v>0.5</v>
      </c>
      <c r="G101" s="101">
        <f t="shared" si="22"/>
        <v>40.968389423076971</v>
      </c>
      <c r="H101" s="102">
        <f t="shared" si="23"/>
        <v>20.484194711538485</v>
      </c>
    </row>
    <row r="102" spans="1:8" ht="20.25" customHeight="1" x14ac:dyDescent="0.25">
      <c r="A102" s="1458"/>
      <c r="B102" s="178" t="s">
        <v>287</v>
      </c>
      <c r="C102" s="180" t="s">
        <v>273</v>
      </c>
      <c r="D102" s="14"/>
      <c r="E102" s="180" t="s">
        <v>288</v>
      </c>
      <c r="F102" s="14"/>
      <c r="G102" s="804" t="s">
        <v>264</v>
      </c>
      <c r="H102" s="804" t="s">
        <v>673</v>
      </c>
    </row>
    <row r="103" spans="1:8" ht="21" customHeight="1" x14ac:dyDescent="0.3">
      <c r="A103" s="1458"/>
      <c r="B103" s="179">
        <f>$J$54</f>
        <v>9730.6153846153793</v>
      </c>
      <c r="C103" s="179">
        <f>E103+G103</f>
        <v>7945.3846153846243</v>
      </c>
      <c r="D103" s="839"/>
      <c r="E103" s="179">
        <f>$D$54*$S$44</f>
        <v>2939.7923076923112</v>
      </c>
      <c r="F103" s="843"/>
      <c r="G103" s="179">
        <f>$D$54*$T$44</f>
        <v>5005.5923076923136</v>
      </c>
      <c r="H103" s="179">
        <f>B103+E103</f>
        <v>12670.40769230769</v>
      </c>
    </row>
    <row r="104" spans="1:8" ht="14.25" customHeight="1" x14ac:dyDescent="0.25">
      <c r="A104" s="62"/>
      <c r="B104" s="84"/>
      <c r="C104" s="84"/>
      <c r="D104" s="194"/>
      <c r="E104" s="84"/>
      <c r="F104" s="84"/>
      <c r="G104" s="84"/>
      <c r="H104" s="84"/>
    </row>
    <row r="105" spans="1:8" ht="14.25" customHeight="1" x14ac:dyDescent="0.25">
      <c r="A105" s="62"/>
      <c r="B105" s="84"/>
      <c r="C105" s="84"/>
      <c r="D105" s="194"/>
      <c r="E105" s="84"/>
      <c r="F105" s="84"/>
      <c r="G105" s="84"/>
      <c r="H105" s="84"/>
    </row>
    <row r="106" spans="1:8" ht="14.25" customHeight="1" x14ac:dyDescent="0.25">
      <c r="A106" s="62"/>
      <c r="B106" s="84"/>
      <c r="C106" s="84"/>
      <c r="D106" s="194"/>
      <c r="E106" s="84"/>
      <c r="F106" s="84"/>
      <c r="G106" s="84"/>
      <c r="H106" s="84"/>
    </row>
    <row r="107" spans="1:8" ht="18" customHeight="1" x14ac:dyDescent="0.25">
      <c r="A107" s="1456"/>
      <c r="B107" s="1636" t="str">
        <f>" داوود باشا 3 / " &amp; COUNTIF($C$53:$C$55, "&gt;0")</f>
        <v xml:space="preserve"> داوود باشا 3 / 2</v>
      </c>
      <c r="C107" s="1637"/>
      <c r="D107" s="1637"/>
      <c r="E107" s="1637"/>
      <c r="F107" s="1637"/>
      <c r="G107" s="1637"/>
      <c r="H107" s="1637"/>
    </row>
    <row r="108" spans="1:8" ht="18" customHeight="1" x14ac:dyDescent="0.25">
      <c r="A108" s="1490"/>
      <c r="B108" s="1706" t="str">
        <f>"Daoud Basha 3 / " &amp; COUNTIF($C$53:$C$277, "&gt;0")</f>
        <v>Daoud Basha 3 / 4</v>
      </c>
      <c r="C108" s="1635"/>
      <c r="D108" s="1635"/>
      <c r="E108" s="1635"/>
      <c r="F108" s="1635"/>
      <c r="G108" s="1635"/>
      <c r="H108" s="1635"/>
    </row>
    <row r="109" spans="1:8" ht="25.5" customHeight="1" x14ac:dyDescent="0.2">
      <c r="A109" s="1457"/>
      <c r="B109" s="221" t="s">
        <v>241</v>
      </c>
      <c r="C109" s="222" t="s">
        <v>242</v>
      </c>
      <c r="D109" s="223" t="s">
        <v>231</v>
      </c>
      <c r="E109" s="197" t="s">
        <v>234</v>
      </c>
      <c r="F109" s="197" t="s">
        <v>243</v>
      </c>
      <c r="G109" s="223" t="s">
        <v>244</v>
      </c>
      <c r="H109" s="197" t="s">
        <v>245</v>
      </c>
    </row>
    <row r="110" spans="1:8" ht="14.25" customHeight="1" x14ac:dyDescent="0.25">
      <c r="A110" s="1455"/>
      <c r="B110" s="271" t="str">
        <f t="shared" ref="B110:D124" si="25">B5</f>
        <v>Indian Meat Tammam Mafroom - مفروم هندى</v>
      </c>
      <c r="C110" s="271" t="str">
        <f t="shared" si="25"/>
        <v>gm</v>
      </c>
      <c r="D110" s="409">
        <f t="shared" si="25"/>
        <v>2095.5172413793107</v>
      </c>
      <c r="E110" s="410">
        <f>H55</f>
        <v>0</v>
      </c>
      <c r="F110" s="109">
        <f t="shared" ref="F110:F124" si="26">F5</f>
        <v>1</v>
      </c>
      <c r="G110" s="101">
        <f t="shared" ref="G110:G124" si="27">D110*E110</f>
        <v>0</v>
      </c>
      <c r="H110" s="102">
        <f t="shared" ref="H110:H124" si="28">G110*F110</f>
        <v>0</v>
      </c>
    </row>
    <row r="111" spans="1:8" ht="14.25" customHeight="1" x14ac:dyDescent="0.25">
      <c r="A111" s="1455" t="s">
        <v>905</v>
      </c>
      <c r="B111" s="271" t="str">
        <f t="shared" si="25"/>
        <v>Onion - بصل</v>
      </c>
      <c r="C111" s="271" t="str">
        <f t="shared" si="25"/>
        <v>gm</v>
      </c>
      <c r="D111" s="202">
        <f t="shared" si="25"/>
        <v>200</v>
      </c>
      <c r="E111" s="410">
        <f t="shared" ref="E111:E124" si="29">$C$55</f>
        <v>0</v>
      </c>
      <c r="F111" s="109">
        <f t="shared" si="26"/>
        <v>1</v>
      </c>
      <c r="G111" s="101">
        <f t="shared" si="27"/>
        <v>0</v>
      </c>
      <c r="H111" s="102">
        <f t="shared" si="28"/>
        <v>0</v>
      </c>
    </row>
    <row r="112" spans="1:8" ht="14.25" customHeight="1" x14ac:dyDescent="0.25">
      <c r="A112" s="1455" t="s">
        <v>907</v>
      </c>
      <c r="B112" s="271" t="str">
        <f t="shared" si="25"/>
        <v>Garlic - ثوم مقشر</v>
      </c>
      <c r="C112" s="271" t="str">
        <f t="shared" si="25"/>
        <v>gm</v>
      </c>
      <c r="D112" s="202">
        <f t="shared" si="25"/>
        <v>25</v>
      </c>
      <c r="E112" s="410">
        <f t="shared" si="29"/>
        <v>0</v>
      </c>
      <c r="F112" s="109">
        <f t="shared" si="26"/>
        <v>1</v>
      </c>
      <c r="G112" s="101">
        <f t="shared" si="27"/>
        <v>0</v>
      </c>
      <c r="H112" s="102">
        <f t="shared" si="28"/>
        <v>0</v>
      </c>
    </row>
    <row r="113" spans="1:10" ht="14.25" customHeight="1" x14ac:dyDescent="0.25">
      <c r="A113" s="1455" t="s">
        <v>909</v>
      </c>
      <c r="B113" s="271" t="str">
        <f t="shared" si="25"/>
        <v>Tomato - طماطم</v>
      </c>
      <c r="C113" s="271" t="str">
        <f t="shared" si="25"/>
        <v>gm</v>
      </c>
      <c r="D113" s="202">
        <f t="shared" si="25"/>
        <v>200</v>
      </c>
      <c r="E113" s="410">
        <f t="shared" si="29"/>
        <v>0</v>
      </c>
      <c r="F113" s="109">
        <f t="shared" si="26"/>
        <v>1</v>
      </c>
      <c r="G113" s="101">
        <f t="shared" si="27"/>
        <v>0</v>
      </c>
      <c r="H113" s="102">
        <f t="shared" si="28"/>
        <v>0</v>
      </c>
    </row>
    <row r="114" spans="1:10" ht="14.25" customHeight="1" x14ac:dyDescent="0.25">
      <c r="A114" s="1455"/>
      <c r="B114" s="271" t="str">
        <f t="shared" si="25"/>
        <v>Tomato Paste - صلصة طماطم</v>
      </c>
      <c r="C114" s="271" t="str">
        <f t="shared" si="25"/>
        <v>gm</v>
      </c>
      <c r="D114" s="202">
        <f t="shared" si="25"/>
        <v>240</v>
      </c>
      <c r="E114" s="410">
        <f t="shared" si="29"/>
        <v>0</v>
      </c>
      <c r="F114" s="109">
        <f t="shared" si="26"/>
        <v>1</v>
      </c>
      <c r="G114" s="101">
        <f t="shared" si="27"/>
        <v>0</v>
      </c>
      <c r="H114" s="102">
        <f t="shared" si="28"/>
        <v>0</v>
      </c>
    </row>
    <row r="115" spans="1:10" ht="14.25" customHeight="1" x14ac:dyDescent="0.25">
      <c r="A115" s="1455"/>
      <c r="B115" s="271" t="str">
        <f t="shared" si="25"/>
        <v>Maggi Cubes - مكعبات ماجي</v>
      </c>
      <c r="C115" s="271" t="str">
        <f t="shared" si="25"/>
        <v>gm</v>
      </c>
      <c r="D115" s="202">
        <f t="shared" si="25"/>
        <v>6</v>
      </c>
      <c r="E115" s="410">
        <f t="shared" si="29"/>
        <v>0</v>
      </c>
      <c r="F115" s="109">
        <f t="shared" si="26"/>
        <v>0.75</v>
      </c>
      <c r="G115" s="101">
        <f t="shared" si="27"/>
        <v>0</v>
      </c>
      <c r="H115" s="102">
        <f t="shared" si="28"/>
        <v>0</v>
      </c>
    </row>
    <row r="116" spans="1:10" ht="14.25" customHeight="1" x14ac:dyDescent="0.25">
      <c r="A116" s="1455"/>
      <c r="B116" s="271" t="str">
        <f t="shared" si="25"/>
        <v>Cumin Powder - كمون مطحون</v>
      </c>
      <c r="C116" s="271" t="str">
        <f t="shared" si="25"/>
        <v>gm</v>
      </c>
      <c r="D116" s="202">
        <f t="shared" si="25"/>
        <v>10</v>
      </c>
      <c r="E116" s="410">
        <f t="shared" si="29"/>
        <v>0</v>
      </c>
      <c r="F116" s="109">
        <f t="shared" si="26"/>
        <v>0.75</v>
      </c>
      <c r="G116" s="101">
        <f t="shared" si="27"/>
        <v>0</v>
      </c>
      <c r="H116" s="102">
        <f t="shared" si="28"/>
        <v>0</v>
      </c>
    </row>
    <row r="117" spans="1:10" ht="14.25" customHeight="1" x14ac:dyDescent="0.25">
      <c r="A117" s="1455"/>
      <c r="B117" s="271" t="str">
        <f t="shared" si="25"/>
        <v>Coriander Powder - كزبرة مطحونة</v>
      </c>
      <c r="C117" s="271" t="str">
        <f t="shared" si="25"/>
        <v>gm</v>
      </c>
      <c r="D117" s="202">
        <f t="shared" si="25"/>
        <v>10</v>
      </c>
      <c r="E117" s="410">
        <f t="shared" si="29"/>
        <v>0</v>
      </c>
      <c r="F117" s="109">
        <f t="shared" si="26"/>
        <v>0.75</v>
      </c>
      <c r="G117" s="101">
        <f t="shared" si="27"/>
        <v>0</v>
      </c>
      <c r="H117" s="102">
        <f t="shared" si="28"/>
        <v>0</v>
      </c>
    </row>
    <row r="118" spans="1:10" ht="14.25" customHeight="1" x14ac:dyDescent="0.25">
      <c r="A118" s="1455"/>
      <c r="B118" s="271" t="str">
        <f t="shared" si="25"/>
        <v>Cooking Cream - كريمة طبخ</v>
      </c>
      <c r="C118" s="271" t="str">
        <f t="shared" si="25"/>
        <v>ml</v>
      </c>
      <c r="D118" s="202">
        <f t="shared" si="25"/>
        <v>500</v>
      </c>
      <c r="E118" s="410">
        <f t="shared" si="29"/>
        <v>0</v>
      </c>
      <c r="F118" s="109">
        <f t="shared" si="26"/>
        <v>1</v>
      </c>
      <c r="G118" s="101">
        <f t="shared" si="27"/>
        <v>0</v>
      </c>
      <c r="H118" s="102">
        <f t="shared" si="28"/>
        <v>0</v>
      </c>
    </row>
    <row r="119" spans="1:10" ht="14.25" customHeight="1" x14ac:dyDescent="0.25">
      <c r="A119" s="1455"/>
      <c r="B119" s="271" t="str">
        <f t="shared" si="25"/>
        <v>Butter - زبدة</v>
      </c>
      <c r="C119" s="271" t="str">
        <f t="shared" si="25"/>
        <v>gm</v>
      </c>
      <c r="D119" s="202">
        <f t="shared" si="25"/>
        <v>25</v>
      </c>
      <c r="E119" s="410">
        <f t="shared" si="29"/>
        <v>0</v>
      </c>
      <c r="F119" s="109">
        <f t="shared" si="26"/>
        <v>1</v>
      </c>
      <c r="G119" s="101">
        <f t="shared" si="27"/>
        <v>0</v>
      </c>
      <c r="H119" s="102">
        <f t="shared" si="28"/>
        <v>0</v>
      </c>
    </row>
    <row r="120" spans="1:10" ht="14.25" customHeight="1" x14ac:dyDescent="0.25">
      <c r="A120" s="1455"/>
      <c r="B120" s="271" t="str">
        <f t="shared" si="25"/>
        <v>Dried Mint Leaves - نعناع مجفف</v>
      </c>
      <c r="C120" s="271" t="str">
        <f t="shared" si="25"/>
        <v>gm</v>
      </c>
      <c r="D120" s="202">
        <f t="shared" si="25"/>
        <v>1</v>
      </c>
      <c r="E120" s="410">
        <f t="shared" si="29"/>
        <v>0</v>
      </c>
      <c r="F120" s="109">
        <f t="shared" si="26"/>
        <v>1</v>
      </c>
      <c r="G120" s="101">
        <f t="shared" si="27"/>
        <v>0</v>
      </c>
      <c r="H120" s="102">
        <f t="shared" si="28"/>
        <v>0</v>
      </c>
    </row>
    <row r="121" spans="1:10" ht="14.25" customHeight="1" x14ac:dyDescent="0.25">
      <c r="A121" s="1455"/>
      <c r="B121" s="271" t="str">
        <f t="shared" si="25"/>
        <v>Salt - ملح</v>
      </c>
      <c r="C121" s="271" t="str">
        <f t="shared" si="25"/>
        <v>gm</v>
      </c>
      <c r="D121" s="202">
        <f t="shared" si="25"/>
        <v>6</v>
      </c>
      <c r="E121" s="410">
        <f t="shared" si="29"/>
        <v>0</v>
      </c>
      <c r="F121" s="109">
        <f t="shared" si="26"/>
        <v>1</v>
      </c>
      <c r="G121" s="101">
        <f t="shared" si="27"/>
        <v>0</v>
      </c>
      <c r="H121" s="102">
        <f t="shared" si="28"/>
        <v>0</v>
      </c>
    </row>
    <row r="122" spans="1:10" ht="14.25" customHeight="1" x14ac:dyDescent="0.25">
      <c r="A122" s="1455"/>
      <c r="B122" s="271" t="str">
        <f t="shared" si="25"/>
        <v>Mozzarella Cheese - جبنة موتزاريلا</v>
      </c>
      <c r="C122" s="271" t="str">
        <f t="shared" si="25"/>
        <v>gm</v>
      </c>
      <c r="D122" s="202">
        <f t="shared" si="25"/>
        <v>100</v>
      </c>
      <c r="E122" s="410">
        <f t="shared" si="29"/>
        <v>0</v>
      </c>
      <c r="F122" s="109">
        <f t="shared" si="26"/>
        <v>1</v>
      </c>
      <c r="G122" s="101">
        <f t="shared" si="27"/>
        <v>0</v>
      </c>
      <c r="H122" s="102">
        <f t="shared" si="28"/>
        <v>0</v>
      </c>
    </row>
    <row r="123" spans="1:10" ht="14.25" customHeight="1" x14ac:dyDescent="0.25">
      <c r="A123" s="1455"/>
      <c r="B123" s="271" t="str">
        <f t="shared" si="25"/>
        <v>Black Pepper Powder - فلفل أسود مطحون</v>
      </c>
      <c r="C123" s="271" t="str">
        <f t="shared" si="25"/>
        <v>gm</v>
      </c>
      <c r="D123" s="202">
        <f t="shared" si="25"/>
        <v>3</v>
      </c>
      <c r="E123" s="410">
        <f t="shared" si="29"/>
        <v>0</v>
      </c>
      <c r="F123" s="109">
        <f t="shared" si="26"/>
        <v>0.9</v>
      </c>
      <c r="G123" s="101">
        <f t="shared" si="27"/>
        <v>0</v>
      </c>
      <c r="H123" s="102">
        <f t="shared" si="28"/>
        <v>0</v>
      </c>
    </row>
    <row r="124" spans="1:10" ht="14.25" customHeight="1" x14ac:dyDescent="0.25">
      <c r="A124" s="1455"/>
      <c r="B124" s="271" t="str">
        <f t="shared" si="25"/>
        <v>Cinnamon Powder - قرفة مطحونة</v>
      </c>
      <c r="C124" s="271" t="str">
        <f t="shared" si="25"/>
        <v>gm</v>
      </c>
      <c r="D124" s="202">
        <f t="shared" si="25"/>
        <v>5</v>
      </c>
      <c r="E124" s="410">
        <f t="shared" si="29"/>
        <v>0</v>
      </c>
      <c r="F124" s="109">
        <f t="shared" si="26"/>
        <v>0.5</v>
      </c>
      <c r="G124" s="101">
        <f t="shared" si="27"/>
        <v>0</v>
      </c>
      <c r="H124" s="102">
        <f t="shared" si="28"/>
        <v>0</v>
      </c>
    </row>
    <row r="125" spans="1:10" ht="20.25" customHeight="1" x14ac:dyDescent="0.3">
      <c r="A125" s="1458"/>
      <c r="B125" s="178" t="s">
        <v>287</v>
      </c>
      <c r="C125" s="180" t="s">
        <v>273</v>
      </c>
      <c r="D125" s="14"/>
      <c r="E125" s="180" t="s">
        <v>288</v>
      </c>
      <c r="F125" s="14"/>
      <c r="G125" s="804" t="s">
        <v>264</v>
      </c>
      <c r="H125" s="804" t="s">
        <v>673</v>
      </c>
      <c r="I125" s="184"/>
      <c r="J125" s="183"/>
    </row>
    <row r="126" spans="1:10" ht="20.25" x14ac:dyDescent="0.3">
      <c r="A126" s="1458"/>
      <c r="B126" s="179">
        <f>$J$55</f>
        <v>0</v>
      </c>
      <c r="C126" s="179">
        <f>E126+G126</f>
        <v>0</v>
      </c>
      <c r="D126" s="839"/>
      <c r="E126" s="179">
        <f>$D$55*$S$44</f>
        <v>0</v>
      </c>
      <c r="F126" s="843"/>
      <c r="G126" s="179">
        <f>$D$55*$T$44</f>
        <v>0</v>
      </c>
      <c r="H126" s="179">
        <f>B126+E126</f>
        <v>0</v>
      </c>
    </row>
    <row r="127" spans="1:10" x14ac:dyDescent="0.25">
      <c r="A127" s="62"/>
    </row>
    <row r="128" spans="1:10"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2">
    <mergeCell ref="AK2:AM2"/>
    <mergeCell ref="B108:H108"/>
    <mergeCell ref="B63:H63"/>
    <mergeCell ref="B107:H107"/>
    <mergeCell ref="B85:H85"/>
    <mergeCell ref="AE2:AG3"/>
    <mergeCell ref="B84:H84"/>
    <mergeCell ref="R26:U26"/>
    <mergeCell ref="R25:U25"/>
    <mergeCell ref="B62:H62"/>
    <mergeCell ref="B2:K3"/>
    <mergeCell ref="B35:F35"/>
  </mergeCells>
  <printOptions horizontalCentered="1"/>
  <pageMargins left="0.4" right="0.4" top="1" bottom="0.5" header="0.3" footer="0.511811023622047"/>
  <pageSetup paperSize="9" scale="69" orientation="landscape" r:id="rId1"/>
  <headerFooter>
    <oddHeader>&amp;C&amp;B&amp;16Daoud Basha</oddHeader>
  </headerFooter>
  <rowBreaks count="1" manualBreakCount="1">
    <brk id="83" max="15" man="1"/>
  </rowBreaks>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BF9000"/>
    <pageSetUpPr fitToPage="1"/>
  </sheetPr>
  <dimension ref="A1:AT174"/>
  <sheetViews>
    <sheetView topLeftCell="A21" zoomScale="70" zoomScaleNormal="70" workbookViewId="0">
      <selection activeCell="R36" sqref="R36"/>
    </sheetView>
  </sheetViews>
  <sheetFormatPr defaultColWidth="22.625" defaultRowHeight="15" x14ac:dyDescent="0.25"/>
  <cols>
    <col min="1" max="1" width="10.375" style="1" customWidth="1"/>
    <col min="2" max="2" width="30.875" customWidth="1"/>
    <col min="3" max="3" width="17.25" customWidth="1"/>
    <col min="4" max="4" width="18.625" customWidth="1"/>
    <col min="6" max="6" width="14.5" customWidth="1"/>
    <col min="7" max="7" width="20.5" customWidth="1"/>
    <col min="8" max="8" width="30.125" customWidth="1"/>
    <col min="9" max="9" width="21" customWidth="1"/>
    <col min="10" max="10" width="20.375" customWidth="1"/>
    <col min="11" max="11" width="15" customWidth="1"/>
    <col min="12" max="12" width="8.375" customWidth="1"/>
    <col min="13" max="14" width="4.875" customWidth="1"/>
    <col min="15" max="15" width="11" customWidth="1"/>
    <col min="16" max="16" width="12.125" customWidth="1"/>
    <col min="18" max="18" width="32.375" customWidth="1"/>
    <col min="19" max="19" width="12.375" customWidth="1"/>
    <col min="20" max="20" width="12.125" customWidth="1"/>
    <col min="21" max="21" width="12.75" customWidth="1"/>
    <col min="23" max="23" width="19.75" customWidth="1"/>
    <col min="24" max="24" width="14.5" customWidth="1"/>
    <col min="25" max="25" width="14.875" customWidth="1"/>
    <col min="26" max="26" width="17.875" customWidth="1"/>
    <col min="27" max="27" width="16.125" customWidth="1"/>
    <col min="28" max="28" width="11.875" bestFit="1" customWidth="1"/>
    <col min="29" max="30" width="8.375" customWidth="1"/>
    <col min="31" max="31" width="11.625" bestFit="1" customWidth="1"/>
    <col min="32" max="32" width="14.5" customWidth="1"/>
    <col min="33" max="34" width="8.375" customWidth="1"/>
    <col min="36" max="36" width="32.625" customWidth="1"/>
    <col min="37" max="37" width="13.375" customWidth="1"/>
    <col min="38" max="38" width="15.875" customWidth="1"/>
    <col min="40" max="40" width="13.625" customWidth="1"/>
    <col min="41" max="41" width="16.625" customWidth="1"/>
  </cols>
  <sheetData>
    <row r="1" spans="1:46" s="114" customFormat="1" ht="35.25" customHeight="1" x14ac:dyDescent="0.25">
      <c r="A1" s="241"/>
      <c r="B1" s="64" t="s">
        <v>231</v>
      </c>
      <c r="C1" s="65">
        <v>1000</v>
      </c>
      <c r="D1" s="66" t="s">
        <v>232</v>
      </c>
      <c r="E1" s="99">
        <f>T32</f>
        <v>9840</v>
      </c>
      <c r="F1" s="64" t="s">
        <v>233</v>
      </c>
      <c r="G1" s="103">
        <f>E1/C1</f>
        <v>9.84</v>
      </c>
      <c r="H1" s="64" t="s">
        <v>234</v>
      </c>
      <c r="I1" s="227">
        <f>(G1/K1)</f>
        <v>9.84</v>
      </c>
      <c r="J1" s="70" t="s">
        <v>235</v>
      </c>
      <c r="K1" s="65">
        <v>1</v>
      </c>
      <c r="L1" s="76"/>
      <c r="M1" s="73"/>
      <c r="N1" s="74"/>
      <c r="O1" s="75" t="s">
        <v>236</v>
      </c>
      <c r="P1" s="76" t="s">
        <v>299</v>
      </c>
      <c r="Q1" s="77" t="s">
        <v>238</v>
      </c>
      <c r="R1" s="76">
        <v>0.54</v>
      </c>
      <c r="Y1" s="75" t="s">
        <v>453</v>
      </c>
      <c r="Z1" s="766">
        <v>24100</v>
      </c>
      <c r="AA1" s="75" t="s">
        <v>556</v>
      </c>
      <c r="AB1" s="766">
        <v>500</v>
      </c>
      <c r="AC1" s="75" t="s">
        <v>546</v>
      </c>
      <c r="AD1" s="766">
        <v>168</v>
      </c>
      <c r="AE1" s="228"/>
      <c r="AF1" s="230"/>
      <c r="AG1" s="76"/>
      <c r="AI1" s="1"/>
      <c r="AJ1" s="78" t="s">
        <v>250</v>
      </c>
      <c r="AK1" s="78">
        <v>10000</v>
      </c>
      <c r="AL1" s="561" t="s">
        <v>503</v>
      </c>
      <c r="AM1" s="562">
        <f>$S$32</f>
        <v>24600</v>
      </c>
      <c r="AN1" s="78" t="s">
        <v>239</v>
      </c>
      <c r="AO1" s="305">
        <f>(($S$32)/$R$1)/$AK$1</f>
        <v>4.5555555555555554</v>
      </c>
      <c r="AP1" s="79"/>
    </row>
    <row r="2" spans="1:46" ht="15.75" customHeight="1" x14ac:dyDescent="0.25">
      <c r="A2" s="242"/>
      <c r="B2" s="1644" t="s">
        <v>833</v>
      </c>
      <c r="C2" s="1661"/>
      <c r="D2" s="1661"/>
      <c r="E2" s="1661"/>
      <c r="F2" s="1661"/>
      <c r="G2" s="1661"/>
      <c r="H2" s="1661"/>
      <c r="I2" s="82"/>
      <c r="J2" s="82"/>
      <c r="K2" s="82"/>
      <c r="L2" s="82"/>
      <c r="M2" s="84"/>
      <c r="N2" s="84"/>
      <c r="O2" s="84"/>
      <c r="P2" s="84"/>
      <c r="AA2" s="83"/>
      <c r="AB2" s="83"/>
      <c r="AC2" s="1652"/>
      <c r="AD2" s="1653"/>
      <c r="AE2" s="1653"/>
      <c r="AI2" s="1"/>
      <c r="AJ2" s="85"/>
      <c r="AK2" s="1631" t="s">
        <v>833</v>
      </c>
      <c r="AL2" s="1631"/>
      <c r="AM2" s="1631"/>
      <c r="AN2" s="86"/>
      <c r="AO2" s="85"/>
      <c r="AP2" s="85"/>
    </row>
    <row r="3" spans="1:46" ht="15.75" customHeight="1" x14ac:dyDescent="0.25">
      <c r="A3" s="242"/>
      <c r="B3" s="87"/>
      <c r="C3" s="87"/>
      <c r="D3" s="87"/>
      <c r="E3" s="87"/>
      <c r="F3" s="87"/>
      <c r="G3" s="87"/>
      <c r="H3" s="87"/>
      <c r="I3" s="87"/>
      <c r="J3" s="87"/>
      <c r="K3" s="87"/>
      <c r="L3" s="87"/>
      <c r="M3" s="84"/>
      <c r="N3" s="84"/>
      <c r="O3" s="84"/>
      <c r="P3" s="84"/>
      <c r="AA3" s="83"/>
      <c r="AB3" s="83"/>
      <c r="AC3" s="1653"/>
      <c r="AD3" s="1653"/>
      <c r="AE3" s="1653"/>
      <c r="AI3" s="1"/>
      <c r="AJ3" s="88"/>
      <c r="AK3" s="88"/>
      <c r="AL3" s="89"/>
      <c r="AM3" s="89"/>
      <c r="AN3" s="89"/>
      <c r="AO3" s="88"/>
      <c r="AP3" s="88"/>
    </row>
    <row r="4" spans="1:46" ht="35.25" customHeight="1" x14ac:dyDescent="0.25">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c r="P4" s="84"/>
      <c r="AA4" s="229"/>
      <c r="AB4" s="231"/>
      <c r="AC4" s="229"/>
      <c r="AD4" s="229"/>
      <c r="AE4" s="229"/>
      <c r="AI4" s="1"/>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244" t="s">
        <v>225</v>
      </c>
      <c r="C5" s="97" t="s">
        <v>14</v>
      </c>
      <c r="D5" s="103">
        <f>I51/10</f>
        <v>4629.6296296296296</v>
      </c>
      <c r="E5" s="99">
        <f>H52</f>
        <v>9.84</v>
      </c>
      <c r="F5" s="109">
        <v>1</v>
      </c>
      <c r="G5" s="101">
        <f t="shared" ref="G5:G13" si="0">D5*E5</f>
        <v>45555.555555555555</v>
      </c>
      <c r="H5" s="102">
        <f t="shared" ref="H5:H13" si="1">G5*F5</f>
        <v>45555.555555555555</v>
      </c>
      <c r="I5" s="65">
        <f>VLOOKUP(B5,All_Ingredients!$A$1:$F$156,6,FALSE())</f>
        <v>0.47</v>
      </c>
      <c r="J5" s="101">
        <f>VLOOKUP(B5,All_Ingredients!$A$1:$J$156,10,FALSE())</f>
        <v>12</v>
      </c>
      <c r="K5" s="104">
        <f t="shared" ref="K5" si="2">(H5/I5)/1000</f>
        <v>96.92671394799055</v>
      </c>
      <c r="L5" s="104">
        <f t="shared" ref="L5" si="3">K5*J5</f>
        <v>1163.1205673758866</v>
      </c>
      <c r="M5" s="84"/>
      <c r="N5" s="84"/>
      <c r="O5" s="84"/>
      <c r="P5" s="84"/>
      <c r="AA5" s="76"/>
      <c r="AB5" s="114"/>
      <c r="AC5" s="232"/>
      <c r="AD5" s="116"/>
      <c r="AE5" s="117"/>
      <c r="AI5" s="1"/>
      <c r="AJ5" s="246" t="s">
        <v>225</v>
      </c>
      <c r="AK5" s="106" t="s">
        <v>227</v>
      </c>
      <c r="AL5" s="106">
        <v>10</v>
      </c>
      <c r="AM5" s="69">
        <f>$AO$1</f>
        <v>4.5555555555555554</v>
      </c>
      <c r="AN5" s="109">
        <v>1</v>
      </c>
      <c r="AO5" s="101">
        <f>AL5*AM5</f>
        <v>45.555555555555557</v>
      </c>
      <c r="AP5" s="102">
        <f>AN5*AO5</f>
        <v>45.555555555555557</v>
      </c>
      <c r="AQ5" s="272"/>
      <c r="AR5" s="1017"/>
      <c r="AS5" s="156"/>
      <c r="AT5" s="1018"/>
    </row>
    <row r="6" spans="1:46" ht="14.25" customHeight="1" x14ac:dyDescent="0.25">
      <c r="A6" s="1455"/>
      <c r="B6" s="244" t="s">
        <v>159</v>
      </c>
      <c r="C6" s="106" t="s">
        <v>160</v>
      </c>
      <c r="D6" s="107">
        <v>550</v>
      </c>
      <c r="E6" s="201">
        <f t="shared" ref="E6:E13" si="4">$I$1</f>
        <v>9.84</v>
      </c>
      <c r="F6" s="109">
        <v>1</v>
      </c>
      <c r="G6" s="101">
        <f t="shared" si="0"/>
        <v>5412</v>
      </c>
      <c r="H6" s="102">
        <f t="shared" si="1"/>
        <v>5412</v>
      </c>
      <c r="I6" s="65">
        <f>VLOOKUP(B6,All_Ingredients!$A$1:$F$156,6,FALSE())</f>
        <v>1</v>
      </c>
      <c r="J6" s="101">
        <f>VLOOKUP(B6,All_Ingredients!$A$1:$J$156,10,FALSE())</f>
        <v>4.2033333333333331</v>
      </c>
      <c r="K6" s="104">
        <f t="shared" ref="K6:K13" si="5">(H6/I6)/1000</f>
        <v>5.4119999999999999</v>
      </c>
      <c r="L6" s="104">
        <f t="shared" ref="L6:L13" si="6">K6*J6</f>
        <v>22.748439999999999</v>
      </c>
      <c r="AI6" s="1" t="s">
        <v>55</v>
      </c>
      <c r="AJ6" s="246" t="s">
        <v>54</v>
      </c>
      <c r="AK6" s="106" t="s">
        <v>14</v>
      </c>
      <c r="AL6" s="106">
        <v>200</v>
      </c>
      <c r="AM6" s="69">
        <f t="shared" ref="AM6:AM13" si="7">$AO$1</f>
        <v>4.5555555555555554</v>
      </c>
      <c r="AN6" s="109">
        <v>1</v>
      </c>
      <c r="AO6" s="101">
        <f t="shared" ref="AO6:AO13" si="8">AL6*AM6</f>
        <v>911.11111111111109</v>
      </c>
      <c r="AP6" s="102">
        <f t="shared" ref="AP6:AP13" si="9">AN6*AO6</f>
        <v>911.11111111111109</v>
      </c>
      <c r="AQ6" s="1018">
        <f>VLOOKUP(AJ6,Marination_Ordering!$A:$J,6,FALSE)</f>
        <v>0.87</v>
      </c>
      <c r="AR6" s="1018">
        <f>VLOOKUP(AJ6,Marination_Ordering!$A:$J,10,FALSE)</f>
        <v>7</v>
      </c>
      <c r="AS6" s="156">
        <f>AP6/AQ6</f>
        <v>1047.2541507024266</v>
      </c>
      <c r="AT6" s="1018">
        <f>AR6*(AS6/1000)</f>
        <v>7.3307790549169862</v>
      </c>
    </row>
    <row r="7" spans="1:46" ht="14.25" customHeight="1" x14ac:dyDescent="0.25">
      <c r="A7" s="1455"/>
      <c r="B7" s="244" t="s">
        <v>166</v>
      </c>
      <c r="C7" s="106" t="s">
        <v>160</v>
      </c>
      <c r="D7" s="107">
        <v>550</v>
      </c>
      <c r="E7" s="201">
        <f t="shared" si="4"/>
        <v>9.84</v>
      </c>
      <c r="F7" s="109">
        <v>1</v>
      </c>
      <c r="G7" s="101">
        <f t="shared" si="0"/>
        <v>5412</v>
      </c>
      <c r="H7" s="102">
        <f t="shared" si="1"/>
        <v>5412</v>
      </c>
      <c r="I7" s="65">
        <f>VLOOKUP(B7,All_Ingredients!$A$1:$F$156,6,FALSE())</f>
        <v>1</v>
      </c>
      <c r="J7" s="101">
        <f>VLOOKUP(B7,All_Ingredients!$A$1:$J$156,10,FALSE())</f>
        <v>12.666666666666666</v>
      </c>
      <c r="K7" s="104">
        <f t="shared" si="5"/>
        <v>5.4119999999999999</v>
      </c>
      <c r="L7" s="104">
        <f t="shared" si="6"/>
        <v>68.551999999999992</v>
      </c>
      <c r="AI7" s="1" t="s">
        <v>13</v>
      </c>
      <c r="AJ7" s="249" t="s">
        <v>727</v>
      </c>
      <c r="AK7" s="106" t="s">
        <v>14</v>
      </c>
      <c r="AL7" s="106">
        <v>150</v>
      </c>
      <c r="AM7" s="69">
        <f t="shared" si="7"/>
        <v>4.5555555555555554</v>
      </c>
      <c r="AN7" s="109">
        <v>1</v>
      </c>
      <c r="AO7" s="101">
        <f t="shared" si="8"/>
        <v>683.33333333333326</v>
      </c>
      <c r="AP7" s="102">
        <f t="shared" si="9"/>
        <v>683.33333333333326</v>
      </c>
      <c r="AQ7" s="1018">
        <f>VLOOKUP(AJ7,Marination_Ordering!$A:$J,6,FALSE)</f>
        <v>1</v>
      </c>
      <c r="AR7" s="1018">
        <f>VLOOKUP(AJ7,Marination_Ordering!$A:$J,10,FALSE)</f>
        <v>10.5</v>
      </c>
      <c r="AS7" s="156">
        <f t="shared" ref="AS7:AS13" si="10">AP7/AQ7</f>
        <v>683.33333333333326</v>
      </c>
      <c r="AT7" s="1018">
        <f t="shared" ref="AT7:AT13" si="11">AR7*(AS7/1000)</f>
        <v>7.1749999999999989</v>
      </c>
    </row>
    <row r="8" spans="1:46" ht="14.25" customHeight="1" x14ac:dyDescent="0.25">
      <c r="A8" s="1455"/>
      <c r="B8" s="244" t="s">
        <v>152</v>
      </c>
      <c r="C8" s="106" t="s">
        <v>14</v>
      </c>
      <c r="D8" s="107">
        <v>20</v>
      </c>
      <c r="E8" s="201">
        <f t="shared" si="4"/>
        <v>9.84</v>
      </c>
      <c r="F8" s="109">
        <v>1</v>
      </c>
      <c r="G8" s="101">
        <f t="shared" si="0"/>
        <v>196.8</v>
      </c>
      <c r="H8" s="102">
        <f t="shared" si="1"/>
        <v>196.8</v>
      </c>
      <c r="I8" s="65">
        <f>VLOOKUP(B8,All_Ingredients!$A$1:$F$156,6,FALSE())</f>
        <v>1</v>
      </c>
      <c r="J8" s="101">
        <f>VLOOKUP(B8,All_Ingredients!$A$1:$J$156,10,FALSE())</f>
        <v>30</v>
      </c>
      <c r="K8" s="104">
        <f t="shared" si="5"/>
        <v>0.1968</v>
      </c>
      <c r="L8" s="104">
        <f t="shared" si="6"/>
        <v>5.9039999999999999</v>
      </c>
      <c r="AI8" s="1" t="s">
        <v>204</v>
      </c>
      <c r="AJ8" s="246" t="s">
        <v>212</v>
      </c>
      <c r="AK8" s="106" t="s">
        <v>160</v>
      </c>
      <c r="AL8" s="106">
        <v>450</v>
      </c>
      <c r="AM8" s="69">
        <f t="shared" si="7"/>
        <v>4.5555555555555554</v>
      </c>
      <c r="AN8" s="109">
        <v>1</v>
      </c>
      <c r="AO8" s="101">
        <f t="shared" si="8"/>
        <v>2050</v>
      </c>
      <c r="AP8" s="102">
        <f t="shared" si="9"/>
        <v>2050</v>
      </c>
      <c r="AQ8" s="1018">
        <f>VLOOKUP(AJ8,Marination_Ordering!$A:$J,6,FALSE)</f>
        <v>1</v>
      </c>
      <c r="AR8" s="1018">
        <f>VLOOKUP(AJ8,Marination_Ordering!$A:$J,10,FALSE)</f>
        <v>5</v>
      </c>
      <c r="AS8" s="156">
        <f t="shared" si="10"/>
        <v>2050</v>
      </c>
      <c r="AT8" s="1018">
        <f t="shared" si="11"/>
        <v>10.25</v>
      </c>
    </row>
    <row r="9" spans="1:46" ht="14.25" customHeight="1" x14ac:dyDescent="0.25">
      <c r="A9" s="1455"/>
      <c r="B9" s="244" t="s">
        <v>185</v>
      </c>
      <c r="C9" s="106" t="s">
        <v>14</v>
      </c>
      <c r="D9" s="107">
        <v>20</v>
      </c>
      <c r="E9" s="201">
        <f t="shared" si="4"/>
        <v>9.84</v>
      </c>
      <c r="F9" s="109">
        <v>1</v>
      </c>
      <c r="G9" s="101">
        <f t="shared" si="0"/>
        <v>196.8</v>
      </c>
      <c r="H9" s="102">
        <f t="shared" si="1"/>
        <v>196.8</v>
      </c>
      <c r="I9" s="65">
        <f>VLOOKUP(B9,All_Ingredients!$A$1:$F$156,6,FALSE())</f>
        <v>1</v>
      </c>
      <c r="J9" s="101">
        <f>VLOOKUP(B9,All_Ingredients!$A$1:$J$156,10,FALSE())</f>
        <v>1.7</v>
      </c>
      <c r="K9" s="104">
        <f t="shared" si="5"/>
        <v>0.1968</v>
      </c>
      <c r="L9" s="104">
        <f t="shared" si="6"/>
        <v>0.33455999999999997</v>
      </c>
      <c r="AI9" s="1" t="s">
        <v>204</v>
      </c>
      <c r="AJ9" s="246" t="s">
        <v>208</v>
      </c>
      <c r="AK9" s="106" t="s">
        <v>160</v>
      </c>
      <c r="AL9" s="106">
        <v>100</v>
      </c>
      <c r="AM9" s="69">
        <f t="shared" si="7"/>
        <v>4.5555555555555554</v>
      </c>
      <c r="AN9" s="109">
        <v>1</v>
      </c>
      <c r="AO9" s="101">
        <f t="shared" si="8"/>
        <v>455.55555555555554</v>
      </c>
      <c r="AP9" s="102">
        <f t="shared" si="9"/>
        <v>455.55555555555554</v>
      </c>
      <c r="AQ9" s="1018">
        <f>VLOOKUP(AJ9,Marination_Ordering!$A:$J,6,FALSE)</f>
        <v>1</v>
      </c>
      <c r="AR9" s="1018">
        <f>VLOOKUP(AJ9,Marination_Ordering!$A:$J,10,FALSE)</f>
        <v>2.1621621621621623</v>
      </c>
      <c r="AS9" s="156">
        <f t="shared" si="10"/>
        <v>455.55555555555554</v>
      </c>
      <c r="AT9" s="1018">
        <f t="shared" si="11"/>
        <v>0.98498498498498499</v>
      </c>
    </row>
    <row r="10" spans="1:46" ht="14.25" customHeight="1" x14ac:dyDescent="0.25">
      <c r="A10" s="1455"/>
      <c r="B10" s="244" t="s">
        <v>139</v>
      </c>
      <c r="C10" s="106" t="s">
        <v>14</v>
      </c>
      <c r="D10" s="107">
        <v>10</v>
      </c>
      <c r="E10" s="201">
        <f t="shared" si="4"/>
        <v>9.84</v>
      </c>
      <c r="F10" s="109">
        <v>0.75</v>
      </c>
      <c r="G10" s="101">
        <f t="shared" si="0"/>
        <v>98.4</v>
      </c>
      <c r="H10" s="102">
        <f t="shared" si="1"/>
        <v>73.800000000000011</v>
      </c>
      <c r="I10" s="65">
        <f>VLOOKUP(B10,All_Ingredients!$A$1:$F$156,6,FALSE())</f>
        <v>1</v>
      </c>
      <c r="J10" s="101">
        <f>VLOOKUP(B10,All_Ingredients!$A$1:$J$156,10,FALSE())</f>
        <v>15.277777777777779</v>
      </c>
      <c r="K10" s="104">
        <f t="shared" si="5"/>
        <v>7.3800000000000004E-2</v>
      </c>
      <c r="L10" s="104">
        <f t="shared" si="6"/>
        <v>1.1275000000000002</v>
      </c>
      <c r="AI10" s="1" t="s">
        <v>94</v>
      </c>
      <c r="AJ10" s="246" t="s">
        <v>93</v>
      </c>
      <c r="AK10" s="106" t="s">
        <v>14</v>
      </c>
      <c r="AL10" s="106">
        <v>2</v>
      </c>
      <c r="AM10" s="69">
        <f t="shared" si="7"/>
        <v>4.5555555555555554</v>
      </c>
      <c r="AN10" s="109">
        <v>1</v>
      </c>
      <c r="AO10" s="101">
        <f t="shared" si="8"/>
        <v>9.1111111111111107</v>
      </c>
      <c r="AP10" s="102">
        <f t="shared" si="9"/>
        <v>9.1111111111111107</v>
      </c>
      <c r="AQ10" s="1018">
        <f>VLOOKUP(AJ10,Marination_Ordering!$A:$J,6,FALSE)</f>
        <v>1</v>
      </c>
      <c r="AR10" s="1018">
        <f>VLOOKUP(AJ10,Marination_Ordering!$A:$J,10,FALSE)</f>
        <v>0.74</v>
      </c>
      <c r="AS10" s="156">
        <f t="shared" si="10"/>
        <v>9.1111111111111107</v>
      </c>
      <c r="AT10" s="1018">
        <f t="shared" si="11"/>
        <v>6.7422222222222224E-3</v>
      </c>
    </row>
    <row r="11" spans="1:46" ht="14.25" customHeight="1" x14ac:dyDescent="0.25">
      <c r="A11" s="1455"/>
      <c r="B11" s="244" t="s">
        <v>101</v>
      </c>
      <c r="C11" s="106" t="s">
        <v>14</v>
      </c>
      <c r="D11" s="107">
        <v>3</v>
      </c>
      <c r="E11" s="201">
        <f t="shared" si="4"/>
        <v>9.84</v>
      </c>
      <c r="F11" s="109">
        <v>0.75</v>
      </c>
      <c r="G11" s="101">
        <f t="shared" si="0"/>
        <v>29.52</v>
      </c>
      <c r="H11" s="102">
        <f t="shared" si="1"/>
        <v>22.14</v>
      </c>
      <c r="I11" s="65">
        <f>VLOOKUP(B11,All_Ingredients!$A$1:$F$156,6,FALSE())</f>
        <v>1</v>
      </c>
      <c r="J11" s="101">
        <f>VLOOKUP(B11,All_Ingredients!$A$1:$J$156,10,FALSE())</f>
        <v>47</v>
      </c>
      <c r="K11" s="104">
        <f t="shared" si="5"/>
        <v>2.214E-2</v>
      </c>
      <c r="L11" s="104">
        <f t="shared" si="6"/>
        <v>1.0405800000000001</v>
      </c>
      <c r="P11">
        <v>72766.233766233767</v>
      </c>
      <c r="AI11" s="1" t="s">
        <v>94</v>
      </c>
      <c r="AJ11" s="246" t="s">
        <v>99</v>
      </c>
      <c r="AK11" s="106" t="s">
        <v>14</v>
      </c>
      <c r="AL11" s="106">
        <v>4</v>
      </c>
      <c r="AM11" s="69">
        <f t="shared" si="7"/>
        <v>4.5555555555555554</v>
      </c>
      <c r="AN11" s="109">
        <v>1</v>
      </c>
      <c r="AO11" s="101">
        <f t="shared" si="8"/>
        <v>18.222222222222221</v>
      </c>
      <c r="AP11" s="102">
        <f t="shared" si="9"/>
        <v>18.222222222222221</v>
      </c>
      <c r="AQ11" s="1018">
        <f>VLOOKUP(AJ11,Marination_Ordering!$A:$J,6,FALSE)</f>
        <v>1</v>
      </c>
      <c r="AR11" s="1018">
        <f>VLOOKUP(AJ11,Marination_Ordering!$A:$J,10,FALSE)</f>
        <v>31</v>
      </c>
      <c r="AS11" s="156">
        <f t="shared" si="10"/>
        <v>18.222222222222221</v>
      </c>
      <c r="AT11" s="1018">
        <f t="shared" si="11"/>
        <v>0.56488888888888888</v>
      </c>
    </row>
    <row r="12" spans="1:46" ht="14.25" customHeight="1" x14ac:dyDescent="0.25">
      <c r="A12" s="1455"/>
      <c r="B12" s="244" t="s">
        <v>93</v>
      </c>
      <c r="C12" s="106" t="s">
        <v>14</v>
      </c>
      <c r="D12" s="107">
        <v>4</v>
      </c>
      <c r="E12" s="201">
        <f t="shared" si="4"/>
        <v>9.84</v>
      </c>
      <c r="F12" s="109">
        <v>0.75</v>
      </c>
      <c r="G12" s="101">
        <f t="shared" si="0"/>
        <v>39.36</v>
      </c>
      <c r="H12" s="102">
        <f t="shared" si="1"/>
        <v>29.52</v>
      </c>
      <c r="I12" s="65">
        <f>VLOOKUP(B12,All_Ingredients!$A$1:$F$156,6,FALSE())</f>
        <v>1</v>
      </c>
      <c r="J12" s="101">
        <f>VLOOKUP(B12,All_Ingredients!$A$1:$J$156,10,FALSE())</f>
        <v>0.74</v>
      </c>
      <c r="K12" s="104">
        <f t="shared" si="5"/>
        <v>2.9520000000000001E-2</v>
      </c>
      <c r="L12" s="104">
        <f t="shared" si="6"/>
        <v>2.1844800000000001E-2</v>
      </c>
      <c r="P12" s="189">
        <f>H5-P11</f>
        <v>-27210.678210678212</v>
      </c>
      <c r="AI12" s="1" t="s">
        <v>94</v>
      </c>
      <c r="AJ12" s="246" t="s">
        <v>105</v>
      </c>
      <c r="AK12" s="106" t="s">
        <v>14</v>
      </c>
      <c r="AL12" s="106">
        <v>35</v>
      </c>
      <c r="AM12" s="69">
        <f t="shared" si="7"/>
        <v>4.5555555555555554</v>
      </c>
      <c r="AN12" s="109">
        <v>1</v>
      </c>
      <c r="AO12" s="101">
        <f t="shared" si="8"/>
        <v>159.44444444444443</v>
      </c>
      <c r="AP12" s="102">
        <f t="shared" si="9"/>
        <v>159.44444444444443</v>
      </c>
      <c r="AQ12" s="1018">
        <f>VLOOKUP(AJ12,Marination_Ordering!$A:$J,6,FALSE)</f>
        <v>1</v>
      </c>
      <c r="AR12" s="1018">
        <f>VLOOKUP(AJ12,Marination_Ordering!$A:$J,10,FALSE)</f>
        <v>15</v>
      </c>
      <c r="AS12" s="156">
        <f t="shared" si="10"/>
        <v>159.44444444444443</v>
      </c>
      <c r="AT12" s="1018">
        <f t="shared" si="11"/>
        <v>2.3916666666666662</v>
      </c>
    </row>
    <row r="13" spans="1:46" ht="14.25" customHeight="1" x14ac:dyDescent="0.25">
      <c r="A13" s="1455" t="s">
        <v>920</v>
      </c>
      <c r="B13" s="358" t="s">
        <v>12</v>
      </c>
      <c r="C13" s="106" t="s">
        <v>14</v>
      </c>
      <c r="D13" s="107">
        <v>80</v>
      </c>
      <c r="E13" s="201">
        <f t="shared" si="4"/>
        <v>9.84</v>
      </c>
      <c r="F13" s="109">
        <v>0.95</v>
      </c>
      <c r="G13" s="101">
        <f t="shared" si="0"/>
        <v>787.2</v>
      </c>
      <c r="H13" s="102">
        <f t="shared" si="1"/>
        <v>747.84</v>
      </c>
      <c r="I13" s="65">
        <f>VLOOKUP(B13,All_Ingredients!$A$1:$F$156,6,FALSE())</f>
        <v>0.9</v>
      </c>
      <c r="J13" s="101">
        <f>VLOOKUP(B13,All_Ingredients!$A$1:$J$156,10,FALSE())</f>
        <v>3</v>
      </c>
      <c r="K13" s="104">
        <f t="shared" si="5"/>
        <v>0.83093333333333341</v>
      </c>
      <c r="L13" s="104">
        <f t="shared" si="6"/>
        <v>2.4928000000000003</v>
      </c>
      <c r="P13" s="189">
        <f>P12/I5</f>
        <v>-57895.060022719605</v>
      </c>
      <c r="AI13" s="1" t="s">
        <v>190</v>
      </c>
      <c r="AJ13" s="246" t="s">
        <v>202</v>
      </c>
      <c r="AK13" s="106" t="s">
        <v>14</v>
      </c>
      <c r="AL13" s="106">
        <v>250</v>
      </c>
      <c r="AM13" s="69">
        <f t="shared" si="7"/>
        <v>4.5555555555555554</v>
      </c>
      <c r="AN13" s="109">
        <v>1</v>
      </c>
      <c r="AO13" s="101">
        <f t="shared" si="8"/>
        <v>1138.8888888888889</v>
      </c>
      <c r="AP13" s="102">
        <f t="shared" si="9"/>
        <v>1138.8888888888889</v>
      </c>
      <c r="AQ13" s="1018">
        <f>VLOOKUP(AJ13,Marination_Ordering!$A:$J,6,FALSE)</f>
        <v>1</v>
      </c>
      <c r="AR13" s="1018">
        <f>VLOOKUP(AJ13,Marination_Ordering!$A:$J,10,FALSE)</f>
        <v>11.243386243386244</v>
      </c>
      <c r="AS13" s="156">
        <f t="shared" si="10"/>
        <v>1138.8888888888889</v>
      </c>
      <c r="AT13" s="1018">
        <f t="shared" si="11"/>
        <v>12.804967666078777</v>
      </c>
    </row>
    <row r="14" spans="1:46" x14ac:dyDescent="0.25">
      <c r="A14" s="62"/>
    </row>
    <row r="15" spans="1:46" x14ac:dyDescent="0.25">
      <c r="A15" s="62"/>
    </row>
    <row r="16" spans="1:46" x14ac:dyDescent="0.25">
      <c r="A16" s="62"/>
    </row>
    <row r="17" spans="1:32" ht="14.25" customHeight="1" x14ac:dyDescent="0.25">
      <c r="A17" s="62"/>
      <c r="L17" s="189"/>
    </row>
    <row r="18" spans="1:32" ht="14.25" customHeight="1" x14ac:dyDescent="0.25">
      <c r="A18" s="62"/>
      <c r="L18" s="189"/>
    </row>
    <row r="19" spans="1:32" ht="14.25" customHeight="1" x14ac:dyDescent="0.25">
      <c r="A19" s="62"/>
      <c r="L19" s="189"/>
      <c r="R19" s="252" t="s">
        <v>309</v>
      </c>
    </row>
    <row r="20" spans="1:32" ht="14.25" customHeight="1" x14ac:dyDescent="0.25">
      <c r="A20" s="62"/>
      <c r="L20" s="189"/>
    </row>
    <row r="21" spans="1:32" ht="14.25" customHeight="1" x14ac:dyDescent="0.25">
      <c r="A21" s="62"/>
      <c r="L21" s="189"/>
    </row>
    <row r="22" spans="1:32" ht="14.25" customHeight="1" x14ac:dyDescent="0.25">
      <c r="A22" s="62"/>
      <c r="L22" s="189"/>
    </row>
    <row r="23" spans="1:32" ht="14.25" customHeight="1" x14ac:dyDescent="0.25">
      <c r="A23" s="62"/>
      <c r="L23" s="189"/>
    </row>
    <row r="24" spans="1:32" ht="14.25" customHeight="1" x14ac:dyDescent="0.25">
      <c r="A24" s="62"/>
      <c r="L24" s="189"/>
      <c r="Z24" s="1124"/>
    </row>
    <row r="25" spans="1:32" ht="14.25" customHeight="1" x14ac:dyDescent="0.25">
      <c r="A25" s="62"/>
      <c r="L25" s="189"/>
      <c r="R25" s="1640" t="s">
        <v>833</v>
      </c>
      <c r="S25" s="1633"/>
      <c r="T25" s="1633"/>
      <c r="U25" s="1633"/>
      <c r="V25" s="997"/>
      <c r="Z25" s="122" t="s">
        <v>252</v>
      </c>
      <c r="AA25" s="123">
        <v>1</v>
      </c>
      <c r="AB25" s="122" t="s">
        <v>249</v>
      </c>
      <c r="AC25" s="124">
        <f>(AA25*(4/3))*AF30+(AA30*(AB28/R1))</f>
        <v>5.271883408503128E-2</v>
      </c>
      <c r="AD25" s="14"/>
    </row>
    <row r="26" spans="1:32" ht="14.25" customHeight="1" x14ac:dyDescent="0.25">
      <c r="A26" s="62"/>
      <c r="L26" s="189"/>
      <c r="R26" s="1654" t="s">
        <v>297</v>
      </c>
      <c r="S26" s="1633"/>
      <c r="T26" s="1633"/>
      <c r="U26" s="1633"/>
      <c r="V26" s="997"/>
      <c r="Z26" s="14"/>
      <c r="AA26" s="14"/>
      <c r="AB26" s="14"/>
      <c r="AC26" s="14"/>
      <c r="AD26" s="14"/>
    </row>
    <row r="27" spans="1:32" ht="18" customHeight="1" thickBot="1" x14ac:dyDescent="0.3">
      <c r="A27" s="62"/>
      <c r="R27" s="126" t="s">
        <v>254</v>
      </c>
      <c r="S27" s="127" t="s">
        <v>469</v>
      </c>
      <c r="T27" s="127" t="s">
        <v>256</v>
      </c>
      <c r="U27" s="127" t="s">
        <v>257</v>
      </c>
      <c r="V27" s="127" t="s">
        <v>772</v>
      </c>
      <c r="W27" s="127" t="s">
        <v>779</v>
      </c>
      <c r="Z27" s="122" t="s">
        <v>258</v>
      </c>
      <c r="AA27" s="1031" t="s">
        <v>312</v>
      </c>
      <c r="AB27" s="128" t="s">
        <v>259</v>
      </c>
      <c r="AC27" s="128" t="s">
        <v>260</v>
      </c>
      <c r="AD27" s="128" t="s">
        <v>261</v>
      </c>
      <c r="AE27" s="1032" t="s">
        <v>779</v>
      </c>
      <c r="AF27" s="128" t="s">
        <v>262</v>
      </c>
    </row>
    <row r="28" spans="1:32" ht="14.25" customHeight="1" thickBot="1" x14ac:dyDescent="0.3">
      <c r="A28" s="62"/>
      <c r="B28" s="84"/>
      <c r="E28" s="84"/>
      <c r="F28" s="84"/>
      <c r="R28" s="129" t="s">
        <v>263</v>
      </c>
      <c r="S28" s="1172">
        <f>$Z$1</f>
        <v>24100</v>
      </c>
      <c r="T28" s="130"/>
      <c r="U28" s="690">
        <f>S28/S40</f>
        <v>24100</v>
      </c>
      <c r="V28" s="130">
        <f>SUM(AP5:AP13)</f>
        <v>5471.2222222222226</v>
      </c>
      <c r="W28" s="130">
        <f>SUM(H37:H38)</f>
        <v>394.8</v>
      </c>
      <c r="Z28" s="132"/>
      <c r="AA28" s="1034"/>
      <c r="AB28" s="133">
        <f>AA25*$S$40</f>
        <v>1</v>
      </c>
      <c r="AC28" s="133">
        <f>AA25-AB28</f>
        <v>0</v>
      </c>
      <c r="AD28" s="134">
        <f>AA25*(1/3)</f>
        <v>0.33333333333333331</v>
      </c>
      <c r="AE28" s="1034"/>
      <c r="AF28" s="135">
        <f>SUM(AB28:AD28)</f>
        <v>1.3333333333333333</v>
      </c>
    </row>
    <row r="29" spans="1:32" ht="14.25" customHeight="1" thickBot="1" x14ac:dyDescent="0.3">
      <c r="A29" s="62"/>
      <c r="B29" s="84"/>
      <c r="E29" s="84"/>
      <c r="F29" s="84"/>
      <c r="R29" s="129" t="s">
        <v>264</v>
      </c>
      <c r="S29" s="136"/>
      <c r="T29" s="130">
        <f>S28*0.4</f>
        <v>9640</v>
      </c>
      <c r="U29" s="690">
        <f>T29</f>
        <v>9640</v>
      </c>
      <c r="V29" s="130"/>
      <c r="W29" s="130"/>
      <c r="Z29" s="132"/>
      <c r="AA29" s="1038"/>
      <c r="AB29" s="137">
        <f>AB28/$AF$28</f>
        <v>0.75</v>
      </c>
      <c r="AC29" s="137">
        <f>AC28/$AF$28</f>
        <v>0</v>
      </c>
      <c r="AD29" s="137">
        <f>AD28/$AF$28</f>
        <v>0.25</v>
      </c>
      <c r="AE29" s="1038"/>
      <c r="AF29" s="137">
        <f>AF28/$AF$28</f>
        <v>1</v>
      </c>
    </row>
    <row r="30" spans="1:32" ht="14.25" customHeight="1" thickBot="1" x14ac:dyDescent="0.3">
      <c r="A30" s="62"/>
      <c r="B30" s="84"/>
      <c r="E30" s="84"/>
      <c r="F30" s="84"/>
      <c r="R30" s="129" t="s">
        <v>265</v>
      </c>
      <c r="S30" s="1173">
        <f>$AB$1</f>
        <v>500</v>
      </c>
      <c r="T30" s="690">
        <f>(S30*0.4)</f>
        <v>200</v>
      </c>
      <c r="U30" s="692">
        <f>S30/S40</f>
        <v>500</v>
      </c>
      <c r="V30" s="989"/>
      <c r="W30" s="989"/>
      <c r="Z30" s="122" t="s">
        <v>266</v>
      </c>
      <c r="AA30" s="1042">
        <f>V35/(S32/R1)</f>
        <v>9.1117381793616274E-4</v>
      </c>
      <c r="AB30" s="138">
        <f>S35/(S32)</f>
        <v>4.7281323877068564E-2</v>
      </c>
      <c r="AC30" s="139">
        <f>T35/T32</f>
        <v>1.0388386666666666E-2</v>
      </c>
      <c r="AD30" s="139">
        <f>T35/T32</f>
        <v>1.0388386666666666E-2</v>
      </c>
      <c r="AE30" s="1045">
        <f>W35/U32</f>
        <v>2.1551679772736633E-4</v>
      </c>
      <c r="AF30" s="1047">
        <f>SUMPRODUCT(AB30:AD30,AB29:AD29)+AE30</f>
        <v>3.8273606372195457E-2</v>
      </c>
    </row>
    <row r="31" spans="1:32" ht="14.25" customHeight="1" thickBot="1" x14ac:dyDescent="0.3">
      <c r="A31" s="62"/>
      <c r="B31" s="84"/>
      <c r="E31" s="84"/>
      <c r="F31" s="84"/>
      <c r="R31" s="129" t="s">
        <v>267</v>
      </c>
      <c r="S31" s="136"/>
      <c r="T31" s="130"/>
      <c r="U31" s="130"/>
      <c r="V31" s="130"/>
      <c r="W31" s="130"/>
      <c r="AB31">
        <f>AB28*AB30</f>
        <v>4.7281323877068564E-2</v>
      </c>
      <c r="AD31">
        <f>AD28*AD30</f>
        <v>3.462795555555555E-3</v>
      </c>
    </row>
    <row r="32" spans="1:32" ht="14.25" customHeight="1" thickBot="1" x14ac:dyDescent="0.3">
      <c r="A32" s="62"/>
      <c r="B32" s="84"/>
      <c r="E32" s="84"/>
      <c r="F32" s="84"/>
      <c r="R32" s="141" t="s">
        <v>257</v>
      </c>
      <c r="S32" s="130">
        <f>SUM(S28:S30)</f>
        <v>24600</v>
      </c>
      <c r="T32" s="1058">
        <f>SUM(T28:T30)</f>
        <v>9840</v>
      </c>
      <c r="U32" s="1058">
        <f>SUM(U28:U30)</f>
        <v>34240</v>
      </c>
      <c r="V32" s="130"/>
      <c r="W32" s="130">
        <f>SUM(W28:W30)</f>
        <v>394.8</v>
      </c>
    </row>
    <row r="33" spans="1:23" ht="14.25" customHeight="1" thickBot="1" x14ac:dyDescent="0.3">
      <c r="A33" s="62"/>
      <c r="B33" s="84"/>
      <c r="E33" s="84"/>
      <c r="F33" s="84"/>
      <c r="R33" s="142" t="s">
        <v>268</v>
      </c>
      <c r="S33" s="136"/>
      <c r="T33" s="136"/>
      <c r="U33" s="136"/>
      <c r="V33" s="136"/>
      <c r="W33" s="136"/>
    </row>
    <row r="34" spans="1:23" ht="14.25" customHeight="1" thickBot="1" x14ac:dyDescent="0.3">
      <c r="A34" s="62"/>
      <c r="B34" s="84"/>
      <c r="E34" s="84"/>
      <c r="F34" s="84"/>
      <c r="R34" s="143" t="s">
        <v>269</v>
      </c>
      <c r="S34" s="136"/>
      <c r="T34" s="130"/>
      <c r="U34" s="136"/>
      <c r="V34" s="136"/>
      <c r="W34" s="136"/>
    </row>
    <row r="35" spans="1:23" ht="14.25" customHeight="1" thickBot="1" x14ac:dyDescent="0.3">
      <c r="A35" s="62"/>
      <c r="B35" s="1681" t="s">
        <v>835</v>
      </c>
      <c r="C35" s="1681"/>
      <c r="D35" s="1681"/>
      <c r="E35" s="1681"/>
      <c r="F35" s="1681"/>
      <c r="G35" s="797"/>
      <c r="H35" s="797"/>
      <c r="I35" s="803"/>
      <c r="J35" s="803"/>
      <c r="K35" s="803"/>
      <c r="L35" s="803"/>
      <c r="R35" s="144" t="s">
        <v>249</v>
      </c>
      <c r="S35" s="145">
        <f>$L$5</f>
        <v>1163.1205673758866</v>
      </c>
      <c r="T35" s="145">
        <f>SUM(L6:L13)</f>
        <v>102.22172479999999</v>
      </c>
      <c r="U35" s="1076">
        <f>S35+T35+V35+W35</f>
        <v>1314.23061681383</v>
      </c>
      <c r="V35" s="990">
        <f>SUM(AT6:AT13)</f>
        <v>41.509029483758525</v>
      </c>
      <c r="W35" s="990">
        <f>SUM(L37:L38)</f>
        <v>7.3792951541850229</v>
      </c>
    </row>
    <row r="36" spans="1:23" ht="30" customHeight="1"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62"/>
      <c r="B37" s="772" t="s">
        <v>110</v>
      </c>
      <c r="C37" s="773" t="s">
        <v>14</v>
      </c>
      <c r="D37" s="774">
        <v>0.1</v>
      </c>
      <c r="E37" s="772">
        <f>$AD$1</f>
        <v>168</v>
      </c>
      <c r="F37" s="772">
        <f>D37*E37</f>
        <v>16.8</v>
      </c>
      <c r="G37" s="14"/>
      <c r="H37" s="772">
        <f>F37</f>
        <v>16.8</v>
      </c>
      <c r="I37" s="772">
        <f>VLOOKUP(B37,All_Ingredients!$A$1:$F$156,6,FALSE())</f>
        <v>1</v>
      </c>
      <c r="J37" s="772">
        <f>VLOOKUP(B37,All_Ingredients!$A$1:$J$156,10,FALSE())</f>
        <v>64.243759177679877</v>
      </c>
      <c r="K37" s="772">
        <f>(H37/I37)/1000</f>
        <v>1.6800000000000002E-2</v>
      </c>
      <c r="L37" s="772">
        <f t="shared" ref="L37" si="12">K37*J37</f>
        <v>1.0792951541850222</v>
      </c>
    </row>
    <row r="38" spans="1:23" x14ac:dyDescent="0.25">
      <c r="A38" s="62"/>
      <c r="B38" s="772" t="s">
        <v>478</v>
      </c>
      <c r="C38" s="773" t="s">
        <v>14</v>
      </c>
      <c r="D38" s="774">
        <v>2.25</v>
      </c>
      <c r="E38" s="772">
        <f>$AD$1</f>
        <v>168</v>
      </c>
      <c r="F38" s="772">
        <f>D38*E38</f>
        <v>378</v>
      </c>
      <c r="H38" s="772">
        <f>F38</f>
        <v>378</v>
      </c>
      <c r="I38" s="772">
        <f>VLOOKUP(B38,All_Ingredients!$A$1:$F$156,6,FALSE())</f>
        <v>1</v>
      </c>
      <c r="J38" s="772">
        <f>VLOOKUP(B38,All_Ingredients!$A$1:$J$156,10,FALSE())</f>
        <v>16.666666666666668</v>
      </c>
      <c r="K38" s="772">
        <f>(H38/I38)/1000</f>
        <v>0.378</v>
      </c>
      <c r="L38" s="772">
        <f t="shared" ref="L38" si="13">K38*J38</f>
        <v>6.3000000000000007</v>
      </c>
    </row>
    <row r="39" spans="1:23" ht="14.25" customHeight="1" x14ac:dyDescent="0.25">
      <c r="A39" s="62"/>
    </row>
    <row r="40" spans="1:23" ht="22.5" customHeight="1" x14ac:dyDescent="0.25">
      <c r="A40" s="62"/>
      <c r="Q40" s="14"/>
      <c r="R40" s="411" t="s">
        <v>270</v>
      </c>
      <c r="S40" s="217">
        <v>1</v>
      </c>
      <c r="T40" s="412" t="s">
        <v>271</v>
      </c>
      <c r="U40" s="217">
        <v>0</v>
      </c>
      <c r="V40" s="149">
        <f>S40+U40</f>
        <v>1</v>
      </c>
      <c r="W40" s="14"/>
    </row>
    <row r="41" spans="1:23" ht="18" customHeight="1" x14ac:dyDescent="0.25">
      <c r="A41" s="62"/>
      <c r="Q41" s="14"/>
      <c r="R41" s="14"/>
      <c r="S41" s="14"/>
      <c r="T41" s="14"/>
      <c r="U41" s="150"/>
      <c r="V41" s="14"/>
      <c r="W41" s="14"/>
    </row>
    <row r="42" spans="1:23" ht="14.25" customHeight="1" x14ac:dyDescent="0.25">
      <c r="A42" s="62"/>
      <c r="Q42" s="14"/>
      <c r="R42" s="14"/>
      <c r="S42" s="14"/>
      <c r="T42" s="14"/>
      <c r="U42" s="14"/>
      <c r="V42" s="14"/>
      <c r="W42" s="14"/>
    </row>
    <row r="43" spans="1:23" ht="14.25" customHeight="1" x14ac:dyDescent="0.25">
      <c r="A43" s="62"/>
      <c r="Q43" s="151" t="s">
        <v>272</v>
      </c>
      <c r="R43" s="151" t="s">
        <v>273</v>
      </c>
      <c r="S43" s="151" t="s">
        <v>274</v>
      </c>
      <c r="T43" s="151" t="s">
        <v>275</v>
      </c>
      <c r="U43" s="151" t="s">
        <v>276</v>
      </c>
      <c r="V43" s="151" t="s">
        <v>277</v>
      </c>
      <c r="W43" s="235" t="s">
        <v>278</v>
      </c>
    </row>
    <row r="44" spans="1:23" ht="14.25" customHeight="1" x14ac:dyDescent="0.25">
      <c r="A44" s="62"/>
      <c r="Q44" s="153">
        <v>25000</v>
      </c>
      <c r="R44" s="154">
        <f>D51</f>
        <v>10000</v>
      </c>
      <c r="S44" s="155">
        <v>0</v>
      </c>
      <c r="T44" s="155">
        <v>1</v>
      </c>
      <c r="U44" s="220">
        <f>R44*S44</f>
        <v>0</v>
      </c>
      <c r="V44" s="157">
        <f>R44*T44</f>
        <v>10000</v>
      </c>
      <c r="W44" s="237">
        <f>Q44-U44</f>
        <v>25000</v>
      </c>
    </row>
    <row r="45" spans="1:23" x14ac:dyDescent="0.25">
      <c r="A45" s="62"/>
    </row>
    <row r="46" spans="1:23" x14ac:dyDescent="0.25">
      <c r="A46" s="62"/>
    </row>
    <row r="47" spans="1:23" x14ac:dyDescent="0.25">
      <c r="A47" s="62"/>
    </row>
    <row r="48" spans="1:23" x14ac:dyDescent="0.25">
      <c r="A48" s="62"/>
    </row>
    <row r="49" spans="1:10" x14ac:dyDescent="0.25">
      <c r="A49" s="62"/>
    </row>
    <row r="50" spans="1:10" ht="18" customHeight="1" x14ac:dyDescent="0.25">
      <c r="A50" s="62"/>
      <c r="B50" s="253"/>
      <c r="C50" s="126" t="s">
        <v>233</v>
      </c>
      <c r="D50" s="126" t="s">
        <v>279</v>
      </c>
      <c r="F50" s="84"/>
      <c r="G50" s="126" t="s">
        <v>280</v>
      </c>
      <c r="H50" s="126" t="s">
        <v>233</v>
      </c>
      <c r="I50" s="126" t="s">
        <v>281</v>
      </c>
      <c r="J50" s="126" t="s">
        <v>282</v>
      </c>
    </row>
    <row r="51" spans="1:10" ht="18" customHeight="1" x14ac:dyDescent="0.25">
      <c r="A51" s="62"/>
      <c r="B51" s="161" t="s">
        <v>283</v>
      </c>
      <c r="C51" s="162">
        <f>10/$K$1</f>
        <v>10</v>
      </c>
      <c r="D51" s="163">
        <f>$C$1*10</f>
        <v>10000</v>
      </c>
      <c r="E51" s="164"/>
      <c r="F51" s="84"/>
      <c r="G51" s="161" t="s">
        <v>283</v>
      </c>
      <c r="H51" s="254">
        <f>I51/$D$5</f>
        <v>10</v>
      </c>
      <c r="I51" s="162">
        <f>J51/$R$1</f>
        <v>46296.296296296292</v>
      </c>
      <c r="J51" s="162">
        <f>$W$44</f>
        <v>25000</v>
      </c>
    </row>
    <row r="52" spans="1:10" x14ac:dyDescent="0.25">
      <c r="A52" s="62"/>
      <c r="B52" s="209" t="s">
        <v>262</v>
      </c>
      <c r="C52" s="210">
        <f>$I$1</f>
        <v>9.84</v>
      </c>
      <c r="D52" s="211">
        <f>$E$1</f>
        <v>9840</v>
      </c>
      <c r="E52" s="84"/>
      <c r="F52" s="84"/>
      <c r="G52" s="129" t="s">
        <v>262</v>
      </c>
      <c r="H52" s="190">
        <f>I52/$D$5</f>
        <v>9.84</v>
      </c>
      <c r="I52" s="157">
        <f>J52/$R$1</f>
        <v>45555.555555555555</v>
      </c>
      <c r="J52" s="165">
        <f>$S$32</f>
        <v>24600</v>
      </c>
    </row>
    <row r="53" spans="1:10" x14ac:dyDescent="0.25">
      <c r="A53" s="62"/>
      <c r="B53" s="209" t="s">
        <v>284</v>
      </c>
      <c r="C53" s="212">
        <f>MIN(C52, C51)</f>
        <v>9.84</v>
      </c>
      <c r="D53" s="211">
        <f>(C53*$K$1)*$C$1</f>
        <v>9840</v>
      </c>
      <c r="E53" s="84"/>
      <c r="F53" s="84"/>
      <c r="G53" s="129" t="s">
        <v>284</v>
      </c>
      <c r="H53" s="168">
        <f>MIN(H52,H51)</f>
        <v>9.84</v>
      </c>
      <c r="I53" s="157">
        <f>J53/$R$1</f>
        <v>45555.555555555555</v>
      </c>
      <c r="J53" s="157">
        <f>MIN(J52,J51)</f>
        <v>24600</v>
      </c>
    </row>
    <row r="54" spans="1:10" x14ac:dyDescent="0.25">
      <c r="A54" s="6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62"/>
    </row>
    <row r="57" spans="1:10" x14ac:dyDescent="0.25">
      <c r="A57" s="62"/>
    </row>
    <row r="58" spans="1:10" x14ac:dyDescent="0.25">
      <c r="A58" s="62"/>
    </row>
    <row r="59" spans="1:10" x14ac:dyDescent="0.25">
      <c r="A59" s="62"/>
    </row>
    <row r="60" spans="1:10" x14ac:dyDescent="0.25">
      <c r="A60" s="62"/>
    </row>
    <row r="61" spans="1:10" x14ac:dyDescent="0.25">
      <c r="A61" s="62"/>
    </row>
    <row r="62" spans="1:10" ht="18" customHeight="1" x14ac:dyDescent="0.25">
      <c r="A62" s="1456"/>
      <c r="B62" s="1636" t="str">
        <f>" سمك بالكريمة و البازلاء 1 / " &amp; COUNTIF($C$53:$C$55, "&gt;0")</f>
        <v xml:space="preserve"> سمك بالكريمة و البازلاء 1 / 1</v>
      </c>
      <c r="C62" s="1637"/>
      <c r="D62" s="1637"/>
      <c r="E62" s="1637"/>
      <c r="F62" s="1637"/>
      <c r="G62" s="1637"/>
      <c r="H62" s="1637"/>
    </row>
    <row r="63" spans="1:10" ht="18" customHeight="1" x14ac:dyDescent="0.25">
      <c r="A63" s="1456"/>
      <c r="B63" s="1634" t="str">
        <f>" Fish with cream 1 / " &amp; COUNTIF($C$53:$C$55, "&gt;0")</f>
        <v xml:space="preserve"> Fish with cream 1 / 1</v>
      </c>
      <c r="C63" s="1635"/>
      <c r="D63" s="1635"/>
      <c r="E63" s="1635"/>
      <c r="F63" s="1635"/>
      <c r="G63" s="1635"/>
      <c r="H63" s="1635"/>
    </row>
    <row r="64" spans="1:10" ht="36.75" customHeight="1" x14ac:dyDescent="0.2">
      <c r="A64" s="1457"/>
      <c r="B64" s="221" t="s">
        <v>241</v>
      </c>
      <c r="C64" s="222" t="s">
        <v>242</v>
      </c>
      <c r="D64" s="223" t="s">
        <v>231</v>
      </c>
      <c r="E64" s="197" t="s">
        <v>234</v>
      </c>
      <c r="F64" s="197" t="s">
        <v>243</v>
      </c>
      <c r="G64" s="223" t="s">
        <v>244</v>
      </c>
      <c r="H64" s="197" t="s">
        <v>245</v>
      </c>
    </row>
    <row r="65" spans="1:8" ht="14.25" customHeight="1" x14ac:dyDescent="0.25">
      <c r="A65" s="1455"/>
      <c r="B65" s="105" t="str">
        <f t="shared" ref="B65:D73" si="14">B5</f>
        <v>Fillet Fish - سمك فيليه</v>
      </c>
      <c r="C65" s="106" t="str">
        <f t="shared" si="14"/>
        <v>gm</v>
      </c>
      <c r="D65" s="98">
        <f t="shared" si="14"/>
        <v>4629.6296296296296</v>
      </c>
      <c r="E65" s="257">
        <f>H53</f>
        <v>9.84</v>
      </c>
      <c r="F65" s="109">
        <f t="shared" ref="F65:F73" si="15">F5</f>
        <v>1</v>
      </c>
      <c r="G65" s="101">
        <f t="shared" ref="G65:G73" si="16">D65*E65</f>
        <v>45555.555555555555</v>
      </c>
      <c r="H65" s="102">
        <f t="shared" ref="H65:H73" si="17">G65*F65</f>
        <v>45555.555555555555</v>
      </c>
    </row>
    <row r="66" spans="1:8" ht="14.25" customHeight="1" x14ac:dyDescent="0.25">
      <c r="A66" s="1455"/>
      <c r="B66" s="105" t="str">
        <f t="shared" si="14"/>
        <v>Milk - حليب</v>
      </c>
      <c r="C66" s="106" t="str">
        <f t="shared" si="14"/>
        <v>ml</v>
      </c>
      <c r="D66" s="107">
        <f t="shared" si="14"/>
        <v>550</v>
      </c>
      <c r="E66" s="258">
        <f t="shared" ref="E66:E73" si="18">$C$53</f>
        <v>9.84</v>
      </c>
      <c r="F66" s="109">
        <f t="shared" si="15"/>
        <v>1</v>
      </c>
      <c r="G66" s="101">
        <f t="shared" si="16"/>
        <v>5412</v>
      </c>
      <c r="H66" s="102">
        <f t="shared" si="17"/>
        <v>5412</v>
      </c>
    </row>
    <row r="67" spans="1:8" ht="14.25" customHeight="1" x14ac:dyDescent="0.25">
      <c r="A67" s="1455"/>
      <c r="B67" s="105" t="str">
        <f t="shared" si="14"/>
        <v>Cooking Cream - كريمة طبخ</v>
      </c>
      <c r="C67" s="106" t="str">
        <f t="shared" si="14"/>
        <v>ml</v>
      </c>
      <c r="D67" s="107">
        <f t="shared" si="14"/>
        <v>550</v>
      </c>
      <c r="E67" s="258">
        <f t="shared" si="18"/>
        <v>9.84</v>
      </c>
      <c r="F67" s="109">
        <f t="shared" si="15"/>
        <v>1</v>
      </c>
      <c r="G67" s="101">
        <f t="shared" si="16"/>
        <v>5412</v>
      </c>
      <c r="H67" s="102">
        <f t="shared" si="17"/>
        <v>5412</v>
      </c>
    </row>
    <row r="68" spans="1:8" ht="14.25" customHeight="1" x14ac:dyDescent="0.25">
      <c r="A68" s="1455"/>
      <c r="B68" s="105" t="str">
        <f t="shared" si="14"/>
        <v>Butter - زبدة</v>
      </c>
      <c r="C68" s="106" t="str">
        <f t="shared" si="14"/>
        <v>gm</v>
      </c>
      <c r="D68" s="107">
        <f t="shared" si="14"/>
        <v>20</v>
      </c>
      <c r="E68" s="258">
        <f t="shared" si="18"/>
        <v>9.84</v>
      </c>
      <c r="F68" s="109">
        <f t="shared" si="15"/>
        <v>1</v>
      </c>
      <c r="G68" s="101">
        <f t="shared" si="16"/>
        <v>196.8</v>
      </c>
      <c r="H68" s="102">
        <f t="shared" si="17"/>
        <v>196.8</v>
      </c>
    </row>
    <row r="69" spans="1:8" ht="14.25" customHeight="1" x14ac:dyDescent="0.25">
      <c r="A69" s="1455"/>
      <c r="B69" s="105" t="str">
        <f t="shared" si="14"/>
        <v>Flour - دقيق</v>
      </c>
      <c r="C69" s="106" t="str">
        <f t="shared" si="14"/>
        <v>gm</v>
      </c>
      <c r="D69" s="107">
        <f t="shared" si="14"/>
        <v>20</v>
      </c>
      <c r="E69" s="258">
        <f t="shared" si="18"/>
        <v>9.84</v>
      </c>
      <c r="F69" s="109">
        <f t="shared" si="15"/>
        <v>1</v>
      </c>
      <c r="G69" s="101">
        <f t="shared" si="16"/>
        <v>196.8</v>
      </c>
      <c r="H69" s="102">
        <f t="shared" si="17"/>
        <v>196.8</v>
      </c>
    </row>
    <row r="70" spans="1:8" ht="14.25" customHeight="1" x14ac:dyDescent="0.25">
      <c r="A70" s="1455"/>
      <c r="B70" s="105" t="str">
        <f t="shared" si="14"/>
        <v>Maggi Cubes - مكعبات ماجي</v>
      </c>
      <c r="C70" s="106" t="str">
        <f t="shared" si="14"/>
        <v>gm</v>
      </c>
      <c r="D70" s="107">
        <f t="shared" si="14"/>
        <v>10</v>
      </c>
      <c r="E70" s="258">
        <f t="shared" si="18"/>
        <v>9.84</v>
      </c>
      <c r="F70" s="109">
        <f t="shared" si="15"/>
        <v>0.75</v>
      </c>
      <c r="G70" s="101">
        <f t="shared" si="16"/>
        <v>98.4</v>
      </c>
      <c r="H70" s="102">
        <f t="shared" si="17"/>
        <v>73.800000000000011</v>
      </c>
    </row>
    <row r="71" spans="1:8" ht="14.25" customHeight="1" x14ac:dyDescent="0.25">
      <c r="A71" s="1455"/>
      <c r="B71" s="105" t="str">
        <f t="shared" si="14"/>
        <v>White Pepper - فلفل أبيض</v>
      </c>
      <c r="C71" s="106" t="str">
        <f t="shared" si="14"/>
        <v>gm</v>
      </c>
      <c r="D71" s="107">
        <f t="shared" si="14"/>
        <v>3</v>
      </c>
      <c r="E71" s="258">
        <f t="shared" si="18"/>
        <v>9.84</v>
      </c>
      <c r="F71" s="109">
        <f t="shared" si="15"/>
        <v>0.75</v>
      </c>
      <c r="G71" s="101">
        <f t="shared" si="16"/>
        <v>29.52</v>
      </c>
      <c r="H71" s="102">
        <f t="shared" si="17"/>
        <v>22.14</v>
      </c>
    </row>
    <row r="72" spans="1:8" ht="14.25" customHeight="1" x14ac:dyDescent="0.25">
      <c r="A72" s="1455"/>
      <c r="B72" s="105" t="str">
        <f t="shared" si="14"/>
        <v>Salt - ملح</v>
      </c>
      <c r="C72" s="106" t="str">
        <f t="shared" si="14"/>
        <v>gm</v>
      </c>
      <c r="D72" s="107">
        <f t="shared" si="14"/>
        <v>4</v>
      </c>
      <c r="E72" s="258">
        <f t="shared" si="18"/>
        <v>9.84</v>
      </c>
      <c r="F72" s="109">
        <f t="shared" si="15"/>
        <v>0.75</v>
      </c>
      <c r="G72" s="101">
        <f t="shared" si="16"/>
        <v>39.36</v>
      </c>
      <c r="H72" s="102">
        <f t="shared" si="17"/>
        <v>29.52</v>
      </c>
    </row>
    <row r="73" spans="1:8" ht="14.25" customHeight="1" x14ac:dyDescent="0.25">
      <c r="A73" s="1455" t="s">
        <v>920</v>
      </c>
      <c r="B73" s="105" t="str">
        <f t="shared" si="14"/>
        <v>Onion - بصل</v>
      </c>
      <c r="C73" s="106" t="str">
        <f t="shared" si="14"/>
        <v>gm</v>
      </c>
      <c r="D73" s="107">
        <f t="shared" si="14"/>
        <v>80</v>
      </c>
      <c r="E73" s="258">
        <f t="shared" si="18"/>
        <v>9.84</v>
      </c>
      <c r="F73" s="109">
        <f t="shared" si="15"/>
        <v>0.95</v>
      </c>
      <c r="G73" s="101">
        <f t="shared" si="16"/>
        <v>787.2</v>
      </c>
      <c r="H73" s="102">
        <f t="shared" si="17"/>
        <v>747.84</v>
      </c>
    </row>
    <row r="74" spans="1:8" ht="20.25" customHeight="1" x14ac:dyDescent="0.25">
      <c r="A74" s="1458"/>
      <c r="B74" s="178" t="s">
        <v>287</v>
      </c>
      <c r="C74" s="180" t="s">
        <v>273</v>
      </c>
      <c r="D74" s="14"/>
      <c r="E74" s="180" t="s">
        <v>288</v>
      </c>
      <c r="F74" s="14"/>
      <c r="G74" s="804" t="s">
        <v>264</v>
      </c>
      <c r="H74" s="804" t="s">
        <v>673</v>
      </c>
    </row>
    <row r="75" spans="1:8" ht="20.25" x14ac:dyDescent="0.3">
      <c r="A75" s="1458"/>
      <c r="B75" s="179">
        <f>$J$53</f>
        <v>24600</v>
      </c>
      <c r="C75" s="179">
        <f>E75+G75</f>
        <v>9840</v>
      </c>
      <c r="D75" s="839"/>
      <c r="E75" s="179">
        <f>$D$53*$S$44</f>
        <v>0</v>
      </c>
      <c r="F75" s="843"/>
      <c r="G75" s="179">
        <f>$D$53*$T$44</f>
        <v>9840</v>
      </c>
      <c r="H75" s="179">
        <f>B75+E75</f>
        <v>24600</v>
      </c>
    </row>
    <row r="76" spans="1:8" x14ac:dyDescent="0.25">
      <c r="A76" s="62"/>
    </row>
    <row r="77" spans="1:8" ht="18" customHeight="1" x14ac:dyDescent="0.25">
      <c r="A77" s="1456"/>
      <c r="B77" s="1636" t="str">
        <f>" سمك بالكريمة و البازلاء 2 / " &amp; COUNTIF($C$53:$C$55, "&gt;0")</f>
        <v xml:space="preserve"> سمك بالكريمة و البازلاء 2 / 1</v>
      </c>
      <c r="C77" s="1637"/>
      <c r="D77" s="1637"/>
      <c r="E77" s="1637"/>
      <c r="F77" s="1637"/>
      <c r="G77" s="1637"/>
      <c r="H77" s="1637"/>
    </row>
    <row r="78" spans="1:8" ht="18" customHeight="1" x14ac:dyDescent="0.25">
      <c r="A78" s="1456"/>
      <c r="B78" s="1634" t="str">
        <f>" Fish with cream 2 / " &amp; COUNTIF($C$53:$C$55, "&gt;0")</f>
        <v xml:space="preserve"> Fish with cream 2 / 1</v>
      </c>
      <c r="C78" s="1635"/>
      <c r="D78" s="1635"/>
      <c r="E78" s="1635"/>
      <c r="F78" s="1635"/>
      <c r="G78" s="1635"/>
      <c r="H78" s="1635"/>
    </row>
    <row r="79" spans="1:8" ht="36.75" customHeight="1" x14ac:dyDescent="0.2">
      <c r="A79" s="1457"/>
      <c r="B79" s="221" t="s">
        <v>241</v>
      </c>
      <c r="C79" s="222" t="s">
        <v>242</v>
      </c>
      <c r="D79" s="223" t="s">
        <v>231</v>
      </c>
      <c r="E79" s="197" t="s">
        <v>234</v>
      </c>
      <c r="F79" s="197" t="s">
        <v>243</v>
      </c>
      <c r="G79" s="223" t="s">
        <v>244</v>
      </c>
      <c r="H79" s="197" t="s">
        <v>245</v>
      </c>
    </row>
    <row r="80" spans="1:8" ht="14.25" customHeight="1" x14ac:dyDescent="0.25">
      <c r="A80" s="1455"/>
      <c r="B80" s="105" t="str">
        <f t="shared" ref="B80:D88" si="19">B5</f>
        <v>Fillet Fish - سمك فيليه</v>
      </c>
      <c r="C80" s="106" t="str">
        <f t="shared" si="19"/>
        <v>gm</v>
      </c>
      <c r="D80" s="98">
        <f t="shared" si="19"/>
        <v>4629.6296296296296</v>
      </c>
      <c r="E80" s="201">
        <f>H54</f>
        <v>0</v>
      </c>
      <c r="F80" s="109">
        <f t="shared" ref="F80:F88" si="20">F5</f>
        <v>1</v>
      </c>
      <c r="G80" s="101">
        <f t="shared" ref="G80:G88" si="21">D80*E80</f>
        <v>0</v>
      </c>
      <c r="H80" s="102">
        <f t="shared" ref="H80:H88" si="22">G80*F80</f>
        <v>0</v>
      </c>
    </row>
    <row r="81" spans="1:10" ht="14.25" customHeight="1" x14ac:dyDescent="0.25">
      <c r="A81" s="1455"/>
      <c r="B81" s="105" t="str">
        <f t="shared" si="19"/>
        <v>Milk - حليب</v>
      </c>
      <c r="C81" s="106" t="str">
        <f t="shared" si="19"/>
        <v>ml</v>
      </c>
      <c r="D81" s="107">
        <f t="shared" si="19"/>
        <v>550</v>
      </c>
      <c r="E81" s="201">
        <f t="shared" ref="E81:E88" si="23">$C$54</f>
        <v>0</v>
      </c>
      <c r="F81" s="109">
        <f t="shared" si="20"/>
        <v>1</v>
      </c>
      <c r="G81" s="101">
        <f t="shared" si="21"/>
        <v>0</v>
      </c>
      <c r="H81" s="102">
        <f t="shared" si="22"/>
        <v>0</v>
      </c>
    </row>
    <row r="82" spans="1:10" ht="14.25" customHeight="1" x14ac:dyDescent="0.25">
      <c r="A82" s="1455"/>
      <c r="B82" s="105" t="str">
        <f t="shared" si="19"/>
        <v>Cooking Cream - كريمة طبخ</v>
      </c>
      <c r="C82" s="106" t="str">
        <f t="shared" si="19"/>
        <v>ml</v>
      </c>
      <c r="D82" s="107">
        <f t="shared" si="19"/>
        <v>550</v>
      </c>
      <c r="E82" s="201">
        <f t="shared" si="23"/>
        <v>0</v>
      </c>
      <c r="F82" s="109">
        <f t="shared" si="20"/>
        <v>1</v>
      </c>
      <c r="G82" s="101">
        <f t="shared" si="21"/>
        <v>0</v>
      </c>
      <c r="H82" s="102">
        <f t="shared" si="22"/>
        <v>0</v>
      </c>
    </row>
    <row r="83" spans="1:10" ht="14.25" customHeight="1" x14ac:dyDescent="0.25">
      <c r="A83" s="1455"/>
      <c r="B83" s="105" t="str">
        <f t="shared" si="19"/>
        <v>Butter - زبدة</v>
      </c>
      <c r="C83" s="106" t="str">
        <f t="shared" si="19"/>
        <v>gm</v>
      </c>
      <c r="D83" s="107">
        <f t="shared" si="19"/>
        <v>20</v>
      </c>
      <c r="E83" s="201">
        <f t="shared" si="23"/>
        <v>0</v>
      </c>
      <c r="F83" s="109">
        <f t="shared" si="20"/>
        <v>1</v>
      </c>
      <c r="G83" s="101">
        <f t="shared" si="21"/>
        <v>0</v>
      </c>
      <c r="H83" s="102">
        <f t="shared" si="22"/>
        <v>0</v>
      </c>
    </row>
    <row r="84" spans="1:10" ht="14.25" customHeight="1" x14ac:dyDescent="0.25">
      <c r="A84" s="1455"/>
      <c r="B84" s="105" t="str">
        <f t="shared" si="19"/>
        <v>Flour - دقيق</v>
      </c>
      <c r="C84" s="106" t="str">
        <f t="shared" si="19"/>
        <v>gm</v>
      </c>
      <c r="D84" s="107">
        <f t="shared" si="19"/>
        <v>20</v>
      </c>
      <c r="E84" s="201">
        <f t="shared" si="23"/>
        <v>0</v>
      </c>
      <c r="F84" s="109">
        <f t="shared" si="20"/>
        <v>1</v>
      </c>
      <c r="G84" s="101">
        <f t="shared" si="21"/>
        <v>0</v>
      </c>
      <c r="H84" s="102">
        <f t="shared" si="22"/>
        <v>0</v>
      </c>
    </row>
    <row r="85" spans="1:10" ht="14.25" customHeight="1" x14ac:dyDescent="0.25">
      <c r="A85" s="1455"/>
      <c r="B85" s="105" t="str">
        <f t="shared" si="19"/>
        <v>Maggi Cubes - مكعبات ماجي</v>
      </c>
      <c r="C85" s="106" t="str">
        <f t="shared" si="19"/>
        <v>gm</v>
      </c>
      <c r="D85" s="107">
        <f t="shared" si="19"/>
        <v>10</v>
      </c>
      <c r="E85" s="201">
        <f t="shared" si="23"/>
        <v>0</v>
      </c>
      <c r="F85" s="109">
        <f t="shared" si="20"/>
        <v>0.75</v>
      </c>
      <c r="G85" s="101">
        <f t="shared" si="21"/>
        <v>0</v>
      </c>
      <c r="H85" s="102">
        <f t="shared" si="22"/>
        <v>0</v>
      </c>
    </row>
    <row r="86" spans="1:10" ht="14.25" customHeight="1" x14ac:dyDescent="0.25">
      <c r="A86" s="1455"/>
      <c r="B86" s="105" t="str">
        <f t="shared" si="19"/>
        <v>White Pepper - فلفل أبيض</v>
      </c>
      <c r="C86" s="106" t="str">
        <f t="shared" si="19"/>
        <v>gm</v>
      </c>
      <c r="D86" s="107">
        <f t="shared" si="19"/>
        <v>3</v>
      </c>
      <c r="E86" s="201">
        <f t="shared" si="23"/>
        <v>0</v>
      </c>
      <c r="F86" s="109">
        <f t="shared" si="20"/>
        <v>0.75</v>
      </c>
      <c r="G86" s="101">
        <f t="shared" si="21"/>
        <v>0</v>
      </c>
      <c r="H86" s="102">
        <f t="shared" si="22"/>
        <v>0</v>
      </c>
    </row>
    <row r="87" spans="1:10" ht="14.25" customHeight="1" x14ac:dyDescent="0.25">
      <c r="A87" s="1455"/>
      <c r="B87" s="105" t="str">
        <f t="shared" si="19"/>
        <v>Salt - ملح</v>
      </c>
      <c r="C87" s="106" t="str">
        <f t="shared" si="19"/>
        <v>gm</v>
      </c>
      <c r="D87" s="107">
        <f t="shared" si="19"/>
        <v>4</v>
      </c>
      <c r="E87" s="201">
        <f t="shared" si="23"/>
        <v>0</v>
      </c>
      <c r="F87" s="109">
        <f t="shared" si="20"/>
        <v>0.75</v>
      </c>
      <c r="G87" s="101">
        <f t="shared" si="21"/>
        <v>0</v>
      </c>
      <c r="H87" s="102">
        <f t="shared" si="22"/>
        <v>0</v>
      </c>
    </row>
    <row r="88" spans="1:10" ht="14.25" customHeight="1" x14ac:dyDescent="0.25">
      <c r="A88" s="1455" t="s">
        <v>920</v>
      </c>
      <c r="B88" s="105" t="str">
        <f t="shared" si="19"/>
        <v>Onion - بصل</v>
      </c>
      <c r="C88" s="106" t="str">
        <f t="shared" si="19"/>
        <v>gm</v>
      </c>
      <c r="D88" s="107">
        <f t="shared" si="19"/>
        <v>80</v>
      </c>
      <c r="E88" s="201">
        <f t="shared" si="23"/>
        <v>0</v>
      </c>
      <c r="F88" s="109">
        <f t="shared" si="20"/>
        <v>0.95</v>
      </c>
      <c r="G88" s="101">
        <f t="shared" si="21"/>
        <v>0</v>
      </c>
      <c r="H88" s="102">
        <f t="shared" si="22"/>
        <v>0</v>
      </c>
    </row>
    <row r="89" spans="1:10" ht="20.25" customHeight="1" x14ac:dyDescent="0.3">
      <c r="A89" s="1458"/>
      <c r="B89" s="178" t="s">
        <v>287</v>
      </c>
      <c r="C89" s="180" t="s">
        <v>273</v>
      </c>
      <c r="D89" s="14"/>
      <c r="E89" s="180" t="s">
        <v>288</v>
      </c>
      <c r="F89" s="14"/>
      <c r="G89" s="804" t="s">
        <v>264</v>
      </c>
      <c r="H89" s="804" t="s">
        <v>673</v>
      </c>
      <c r="I89" s="184"/>
      <c r="J89" s="183"/>
    </row>
    <row r="90" spans="1:10" ht="20.25" x14ac:dyDescent="0.3">
      <c r="A90" s="1458"/>
      <c r="B90" s="179">
        <f>$J$54</f>
        <v>0</v>
      </c>
      <c r="C90" s="179">
        <f>E90+G90</f>
        <v>0</v>
      </c>
      <c r="D90" s="839"/>
      <c r="E90" s="179">
        <f>$D$54*$S$44</f>
        <v>0</v>
      </c>
      <c r="F90" s="843"/>
      <c r="G90" s="179">
        <f>$D$54*$T$44</f>
        <v>0</v>
      </c>
      <c r="H90" s="179">
        <f>B90+E90</f>
        <v>0</v>
      </c>
    </row>
    <row r="91" spans="1:10" x14ac:dyDescent="0.25">
      <c r="A91" s="62"/>
    </row>
    <row r="92" spans="1:10" x14ac:dyDescent="0.25">
      <c r="A92" s="62"/>
    </row>
    <row r="93" spans="1:10" x14ac:dyDescent="0.25">
      <c r="A93" s="62"/>
    </row>
    <row r="94" spans="1:10" x14ac:dyDescent="0.25">
      <c r="A94" s="62"/>
    </row>
    <row r="95" spans="1:10" x14ac:dyDescent="0.25">
      <c r="A95" s="62"/>
    </row>
    <row r="96" spans="1:10" x14ac:dyDescent="0.25">
      <c r="A96" s="62"/>
    </row>
    <row r="97" spans="1:1" x14ac:dyDescent="0.25">
      <c r="A97" s="62"/>
    </row>
    <row r="98" spans="1:1" x14ac:dyDescent="0.25">
      <c r="A98" s="62"/>
    </row>
    <row r="99" spans="1:1" x14ac:dyDescent="0.25">
      <c r="A99" s="62"/>
    </row>
    <row r="100" spans="1:1" x14ac:dyDescent="0.25">
      <c r="A100" s="62"/>
    </row>
    <row r="101" spans="1:1" x14ac:dyDescent="0.25">
      <c r="A101" s="62"/>
    </row>
    <row r="102" spans="1:1" x14ac:dyDescent="0.25">
      <c r="A102" s="62"/>
    </row>
    <row r="103" spans="1:1" x14ac:dyDescent="0.25">
      <c r="A103" s="62"/>
    </row>
    <row r="104" spans="1:1" x14ac:dyDescent="0.25">
      <c r="A104" s="62"/>
    </row>
    <row r="105" spans="1:1" x14ac:dyDescent="0.25">
      <c r="A105" s="62"/>
    </row>
    <row r="106" spans="1:1" x14ac:dyDescent="0.25">
      <c r="A106" s="62"/>
    </row>
    <row r="107" spans="1:1" x14ac:dyDescent="0.25">
      <c r="A107" s="62"/>
    </row>
    <row r="108" spans="1:1" x14ac:dyDescent="0.25">
      <c r="A108" s="62"/>
    </row>
    <row r="109" spans="1:1" x14ac:dyDescent="0.25">
      <c r="A109" s="62"/>
    </row>
    <row r="110" spans="1:1" x14ac:dyDescent="0.25">
      <c r="A110" s="62"/>
    </row>
    <row r="111" spans="1:1" x14ac:dyDescent="0.25">
      <c r="A111" s="62"/>
    </row>
    <row r="112" spans="1:1"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0">
    <mergeCell ref="AK2:AM2"/>
    <mergeCell ref="B78:H78"/>
    <mergeCell ref="B63:H63"/>
    <mergeCell ref="AC2:AE3"/>
    <mergeCell ref="R26:U26"/>
    <mergeCell ref="B77:H77"/>
    <mergeCell ref="B2:H2"/>
    <mergeCell ref="B62:H62"/>
    <mergeCell ref="R25:U25"/>
    <mergeCell ref="B35:F35"/>
  </mergeCells>
  <printOptions horizontalCentered="1"/>
  <pageMargins left="0.4" right="0.4" top="1" bottom="0.5" header="0.3" footer="0.511811023622047"/>
  <pageSetup paperSize="9" scale="77" orientation="landscape" r:id="rId1"/>
  <headerFooter>
    <oddHeader>&amp;C&amp;B&amp;16Fish with cream</oddHeader>
  </headerFooter>
  <rowBreaks count="1" manualBreakCount="1">
    <brk id="76" max="15" man="1"/>
  </rowBreaks>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BF9000"/>
    <pageSetUpPr fitToPage="1"/>
  </sheetPr>
  <dimension ref="A1:AG174"/>
  <sheetViews>
    <sheetView topLeftCell="A48" zoomScale="115" zoomScaleNormal="115" workbookViewId="0">
      <selection activeCell="G60" sqref="G59:G60"/>
    </sheetView>
  </sheetViews>
  <sheetFormatPr defaultColWidth="12.5" defaultRowHeight="15" x14ac:dyDescent="0.25"/>
  <cols>
    <col min="1" max="1" width="12.5" style="63" customWidth="1"/>
    <col min="2" max="2" width="35.62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3" width="14.875" style="14" customWidth="1"/>
    <col min="14" max="14" width="12.5" style="14" customWidth="1"/>
    <col min="15" max="15" width="15.875" style="14" customWidth="1"/>
    <col min="16" max="17" width="12.5" style="14" customWidth="1"/>
    <col min="18" max="18" width="30.5" style="14" customWidth="1"/>
    <col min="19" max="25" width="12.5" style="14" customWidth="1"/>
    <col min="26" max="26" width="13.125" style="14" customWidth="1"/>
    <col min="27" max="27" width="12.5" style="14" customWidth="1"/>
    <col min="28" max="28" width="6.75" style="14" customWidth="1"/>
    <col min="29" max="16384" width="12.5" style="14"/>
  </cols>
  <sheetData>
    <row r="1" spans="1:33" ht="28.5" customHeight="1" x14ac:dyDescent="0.25">
      <c r="B1" s="64" t="s">
        <v>231</v>
      </c>
      <c r="C1" s="65">
        <v>1000</v>
      </c>
      <c r="D1" s="66" t="s">
        <v>232</v>
      </c>
      <c r="E1" s="99" t="e" vm="1">
        <f ca="1">T32</f>
        <v>#NAME?</v>
      </c>
      <c r="F1" s="64" t="s">
        <v>233</v>
      </c>
      <c r="G1" s="99" t="e" vm="1">
        <f ca="1">E1/C1</f>
        <v>#NAME?</v>
      </c>
      <c r="H1" s="64" t="s">
        <v>234</v>
      </c>
      <c r="I1" s="99" t="e" vm="1">
        <f ca="1">G1/K1</f>
        <v>#NAME?</v>
      </c>
      <c r="J1" s="70" t="s">
        <v>235</v>
      </c>
      <c r="K1" s="303">
        <v>1</v>
      </c>
      <c r="L1" s="84"/>
      <c r="M1" s="73" t="s">
        <v>313</v>
      </c>
      <c r="N1" s="303"/>
      <c r="O1" s="75" t="s">
        <v>236</v>
      </c>
      <c r="P1" s="76"/>
      <c r="Q1" s="77" t="s">
        <v>238</v>
      </c>
      <c r="Y1" s="75" t="s">
        <v>453</v>
      </c>
      <c r="Z1" s="766">
        <v>25320</v>
      </c>
      <c r="AA1" s="75" t="s">
        <v>556</v>
      </c>
      <c r="AB1" s="766">
        <v>0</v>
      </c>
      <c r="AC1" s="75" t="s">
        <v>546</v>
      </c>
      <c r="AD1" s="766">
        <v>167</v>
      </c>
    </row>
    <row r="2" spans="1:33" ht="12.75" customHeight="1" x14ac:dyDescent="0.25">
      <c r="A2" s="81"/>
      <c r="B2" s="1645" t="s">
        <v>72</v>
      </c>
      <c r="C2" s="1655"/>
      <c r="D2" s="1655"/>
      <c r="E2" s="1655"/>
      <c r="F2" s="1655"/>
      <c r="G2" s="1655"/>
      <c r="H2" s="1655"/>
      <c r="I2" s="1655"/>
      <c r="J2" s="1655"/>
      <c r="K2" s="1655"/>
      <c r="L2" s="270"/>
      <c r="M2" s="84"/>
      <c r="N2" s="84"/>
      <c r="O2" s="84"/>
      <c r="P2" s="84"/>
      <c r="Q2" s="84"/>
      <c r="AE2" s="1647"/>
      <c r="AF2" s="1655"/>
      <c r="AG2" s="1655"/>
    </row>
    <row r="3" spans="1:33" ht="12.75" customHeight="1" x14ac:dyDescent="0.25">
      <c r="A3" s="81"/>
      <c r="B3" s="1633"/>
      <c r="C3" s="1633"/>
      <c r="D3" s="1633"/>
      <c r="E3" s="1633"/>
      <c r="F3" s="1633"/>
      <c r="G3" s="1633"/>
      <c r="H3" s="1633"/>
      <c r="I3" s="1633"/>
      <c r="J3" s="1633"/>
      <c r="K3" s="1633"/>
      <c r="L3" s="270"/>
      <c r="M3" s="84"/>
      <c r="N3" s="84"/>
      <c r="O3" s="84"/>
      <c r="P3" s="84"/>
      <c r="Q3" s="84"/>
      <c r="AE3" s="1655"/>
      <c r="AF3" s="1655"/>
      <c r="AG3" s="1655"/>
    </row>
    <row r="4" spans="1:33" ht="35.25"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row>
    <row r="5" spans="1:33" ht="14.25" customHeight="1" x14ac:dyDescent="0.2">
      <c r="A5" s="1459"/>
      <c r="B5" s="586"/>
      <c r="C5" s="587"/>
      <c r="D5" s="198"/>
      <c r="E5" s="588"/>
      <c r="F5" s="198"/>
      <c r="G5" s="198"/>
      <c r="H5" s="587"/>
      <c r="I5" s="198"/>
      <c r="J5" s="198"/>
      <c r="K5" s="198"/>
      <c r="L5" s="198"/>
    </row>
    <row r="6" spans="1:33" ht="14.25" customHeight="1" x14ac:dyDescent="0.2">
      <c r="A6" s="1489" t="s">
        <v>920</v>
      </c>
      <c r="B6" s="20" t="s">
        <v>12</v>
      </c>
      <c r="C6" s="97" t="s">
        <v>14</v>
      </c>
      <c r="D6" s="107">
        <v>75</v>
      </c>
      <c r="E6" s="98" t="e" vm="1">
        <f t="shared" ref="E6:E24" ca="1" si="0">$G$1</f>
        <v>#NAME?</v>
      </c>
      <c r="F6" s="109">
        <v>1</v>
      </c>
      <c r="G6" s="103" t="e" vm="1">
        <f t="shared" ref="G6:G24" ca="1" si="1">D6*E6</f>
        <v>#NAME?</v>
      </c>
      <c r="H6" s="102" t="e" vm="1">
        <f t="shared" ref="H6:H24" ca="1" si="2">G6*F6</f>
        <v>#NAME?</v>
      </c>
      <c r="I6" s="198">
        <f>VLOOKUP(B6,All_Ingredients!$A$1:$F$156,6,FALSE())</f>
        <v>0.9</v>
      </c>
      <c r="J6" s="198">
        <f>VLOOKUP(B6,All_Ingredients!$A$1:$J$156,10,FALSE())</f>
        <v>3</v>
      </c>
      <c r="K6" s="104" t="e" vm="1">
        <f t="shared" ref="K6:K24" ca="1" si="3">(H6/I6)/1000</f>
        <v>#NAME?</v>
      </c>
      <c r="L6" s="104" t="e" vm="1">
        <f t="shared" ref="L6:L24" ca="1" si="4">K6*J6</f>
        <v>#NAME?</v>
      </c>
    </row>
    <row r="7" spans="1:33" ht="14.25" customHeight="1" x14ac:dyDescent="0.25">
      <c r="A7" s="1471" t="s">
        <v>907</v>
      </c>
      <c r="B7" s="20" t="s">
        <v>727</v>
      </c>
      <c r="C7" s="106" t="s">
        <v>14</v>
      </c>
      <c r="D7" s="107">
        <v>25</v>
      </c>
      <c r="E7" s="98" t="e" vm="1">
        <f t="shared" ca="1" si="0"/>
        <v>#NAME?</v>
      </c>
      <c r="F7" s="109">
        <v>1</v>
      </c>
      <c r="G7" s="103" t="e" vm="1">
        <f t="shared" ca="1" si="1"/>
        <v>#NAME?</v>
      </c>
      <c r="H7" s="102" t="e" vm="1">
        <f t="shared" ca="1" si="2"/>
        <v>#NAME?</v>
      </c>
      <c r="I7" s="198">
        <f>VLOOKUP(B7,All_Ingredients!$A$1:$F$156,6,FALSE())</f>
        <v>1</v>
      </c>
      <c r="J7" s="198">
        <f>VLOOKUP(B7,All_Ingredients!$A$1:$J$156,10,FALSE())</f>
        <v>10.5</v>
      </c>
      <c r="K7" s="104" t="e" vm="1">
        <f t="shared" ca="1" si="3"/>
        <v>#NAME?</v>
      </c>
      <c r="L7" s="104" t="e" vm="1">
        <f t="shared" ca="1" si="4"/>
        <v>#NAME?</v>
      </c>
    </row>
    <row r="8" spans="1:33" ht="14.25" customHeight="1" x14ac:dyDescent="0.25">
      <c r="A8" s="1471" t="s">
        <v>909</v>
      </c>
      <c r="B8" s="20" t="s">
        <v>17</v>
      </c>
      <c r="C8" s="106" t="s">
        <v>14</v>
      </c>
      <c r="D8" s="107">
        <v>125</v>
      </c>
      <c r="E8" s="98" t="e" vm="1">
        <f t="shared" ca="1" si="0"/>
        <v>#NAME?</v>
      </c>
      <c r="F8" s="109">
        <v>1</v>
      </c>
      <c r="G8" s="103" t="e" vm="1">
        <f t="shared" ca="1" si="1"/>
        <v>#NAME?</v>
      </c>
      <c r="H8" s="102" t="e" vm="1">
        <f t="shared" ca="1" si="2"/>
        <v>#NAME?</v>
      </c>
      <c r="I8" s="198">
        <f>VLOOKUP(B8,All_Ingredients!$A$1:$F$156,6,FALSE())</f>
        <v>0.98</v>
      </c>
      <c r="J8" s="198">
        <f>VLOOKUP(B8,All_Ingredients!$A$1:$J$156,10,FALSE())</f>
        <v>3.5</v>
      </c>
      <c r="K8" s="104" t="e" vm="1">
        <f t="shared" ca="1" si="3"/>
        <v>#NAME?</v>
      </c>
      <c r="L8" s="104" t="e" vm="1">
        <f t="shared" ca="1" si="4"/>
        <v>#NAME?</v>
      </c>
    </row>
    <row r="9" spans="1:33" ht="14.25" customHeight="1" x14ac:dyDescent="0.25">
      <c r="A9" s="1471"/>
      <c r="B9" s="20" t="s">
        <v>698</v>
      </c>
      <c r="C9" s="106" t="s">
        <v>14</v>
      </c>
      <c r="D9" s="250">
        <v>150</v>
      </c>
      <c r="E9" s="98" t="e" vm="1">
        <f t="shared" ca="1" si="0"/>
        <v>#NAME?</v>
      </c>
      <c r="F9" s="109">
        <v>1</v>
      </c>
      <c r="G9" s="103" t="e" vm="1">
        <f t="shared" ca="1" si="1"/>
        <v>#NAME?</v>
      </c>
      <c r="H9" s="102" t="e" vm="1">
        <f t="shared" ca="1" si="2"/>
        <v>#NAME?</v>
      </c>
      <c r="I9" s="198">
        <f>VLOOKUP(B9,All_Ingredients!$A$1:$F$156,6,FALSE())</f>
        <v>1</v>
      </c>
      <c r="J9" s="198">
        <f>VLOOKUP(B9,All_Ingredients!$A$1:$J$156,10,FALSE())</f>
        <v>8.1520833333333336</v>
      </c>
      <c r="K9" s="104" t="e" vm="1">
        <f t="shared" ca="1" si="3"/>
        <v>#NAME?</v>
      </c>
      <c r="L9" s="104" t="e" vm="1">
        <f t="shared" ca="1" si="4"/>
        <v>#NAME?</v>
      </c>
    </row>
    <row r="10" spans="1:33" ht="14.25" customHeight="1" x14ac:dyDescent="0.25">
      <c r="A10" s="1471"/>
      <c r="B10" s="20" t="s">
        <v>107</v>
      </c>
      <c r="C10" s="106" t="s">
        <v>14</v>
      </c>
      <c r="D10" s="107">
        <v>3</v>
      </c>
      <c r="E10" s="98" t="e" vm="1">
        <f t="shared" ca="1" si="0"/>
        <v>#NAME?</v>
      </c>
      <c r="F10" s="109">
        <v>1</v>
      </c>
      <c r="G10" s="103" t="e" vm="1">
        <f t="shared" ca="1" si="1"/>
        <v>#NAME?</v>
      </c>
      <c r="H10" s="102" t="e" vm="1">
        <f t="shared" ca="1" si="2"/>
        <v>#NAME?</v>
      </c>
      <c r="I10" s="198">
        <f>VLOOKUP(B10,All_Ingredients!$A$1:$F$156,6,FALSE())</f>
        <v>1</v>
      </c>
      <c r="J10" s="198">
        <f>VLOOKUP(B10,All_Ingredients!$A$1:$J$156,10,FALSE())</f>
        <v>8</v>
      </c>
      <c r="K10" s="104" t="e" vm="1">
        <f t="shared" ca="1" si="3"/>
        <v>#NAME?</v>
      </c>
      <c r="L10" s="104" t="e" vm="1">
        <f t="shared" ca="1" si="4"/>
        <v>#NAME?</v>
      </c>
    </row>
    <row r="11" spans="1:33" ht="14.25" customHeight="1" x14ac:dyDescent="0.25">
      <c r="A11" s="1471"/>
      <c r="B11" s="20" t="s">
        <v>105</v>
      </c>
      <c r="C11" s="106" t="s">
        <v>14</v>
      </c>
      <c r="D11" s="107">
        <v>6</v>
      </c>
      <c r="E11" s="98" t="e" vm="1">
        <f t="shared" ca="1" si="0"/>
        <v>#NAME?</v>
      </c>
      <c r="F11" s="109">
        <v>1</v>
      </c>
      <c r="G11" s="103" t="e" vm="1">
        <f t="shared" ca="1" si="1"/>
        <v>#NAME?</v>
      </c>
      <c r="H11" s="102" t="e" vm="1">
        <f t="shared" ca="1" si="2"/>
        <v>#NAME?</v>
      </c>
      <c r="I11" s="198">
        <f>VLOOKUP(B11,All_Ingredients!$A$1:$F$156,6,FALSE())</f>
        <v>1</v>
      </c>
      <c r="J11" s="198">
        <f>VLOOKUP(B11,All_Ingredients!$A$1:$J$156,10,FALSE())</f>
        <v>15</v>
      </c>
      <c r="K11" s="104" t="e" vm="1">
        <f t="shared" ca="1" si="3"/>
        <v>#NAME?</v>
      </c>
      <c r="L11" s="104" t="e" vm="1">
        <f t="shared" ca="1" si="4"/>
        <v>#NAME?</v>
      </c>
    </row>
    <row r="12" spans="1:33" ht="14.25" customHeight="1" x14ac:dyDescent="0.25">
      <c r="A12" s="1471"/>
      <c r="B12" s="20" t="s">
        <v>122</v>
      </c>
      <c r="C12" s="106" t="s">
        <v>14</v>
      </c>
      <c r="D12" s="107">
        <v>2</v>
      </c>
      <c r="E12" s="98" t="e" vm="1">
        <f t="shared" ca="1" si="0"/>
        <v>#NAME?</v>
      </c>
      <c r="F12" s="109">
        <v>1</v>
      </c>
      <c r="G12" s="103" t="e" vm="1">
        <f t="shared" ca="1" si="1"/>
        <v>#NAME?</v>
      </c>
      <c r="H12" s="102" t="e" vm="1">
        <f t="shared" ca="1" si="2"/>
        <v>#NAME?</v>
      </c>
      <c r="I12" s="198">
        <f>VLOOKUP(B12,All_Ingredients!$A$1:$F$156,6,FALSE())</f>
        <v>1</v>
      </c>
      <c r="J12" s="198">
        <f>VLOOKUP(B12,All_Ingredients!$A$1:$J$156,10,FALSE())</f>
        <v>14</v>
      </c>
      <c r="K12" s="104" t="e" vm="1">
        <f t="shared" ca="1" si="3"/>
        <v>#NAME?</v>
      </c>
      <c r="L12" s="104" t="e" vm="1">
        <f t="shared" ca="1" si="4"/>
        <v>#NAME?</v>
      </c>
    </row>
    <row r="13" spans="1:33" ht="14.25" customHeight="1" x14ac:dyDescent="0.25">
      <c r="A13" s="1471"/>
      <c r="B13" s="20" t="s">
        <v>198</v>
      </c>
      <c r="C13" s="906" t="s">
        <v>160</v>
      </c>
      <c r="D13" s="107">
        <v>65</v>
      </c>
      <c r="E13" s="98" t="e" vm="1">
        <f t="shared" ca="1" si="0"/>
        <v>#NAME?</v>
      </c>
      <c r="F13" s="109">
        <v>1</v>
      </c>
      <c r="G13" s="103" t="e" vm="1">
        <f t="shared" ca="1" si="1"/>
        <v>#NAME?</v>
      </c>
      <c r="H13" s="102" t="e" vm="1">
        <f t="shared" ca="1" si="2"/>
        <v>#NAME?</v>
      </c>
      <c r="I13" s="198">
        <f>VLOOKUP(B13,All_Ingredients!$A$1:$F$156,6,FALSE())</f>
        <v>1</v>
      </c>
      <c r="J13" s="198">
        <f>VLOOKUP(B13,All_Ingredients!$A$1:$J$156,10,FALSE())</f>
        <v>3.25</v>
      </c>
      <c r="K13" s="104" t="e" vm="1">
        <f t="shared" ca="1" si="3"/>
        <v>#NAME?</v>
      </c>
      <c r="L13" s="104" t="e" vm="1">
        <f t="shared" ca="1" si="4"/>
        <v>#NAME?</v>
      </c>
    </row>
    <row r="14" spans="1:33" ht="14.25" customHeight="1" x14ac:dyDescent="0.25">
      <c r="A14" s="1471"/>
      <c r="B14" s="20" t="s">
        <v>99</v>
      </c>
      <c r="C14" s="106" t="s">
        <v>14</v>
      </c>
      <c r="D14" s="107">
        <v>1</v>
      </c>
      <c r="E14" s="98" t="e" vm="1">
        <f t="shared" ca="1" si="0"/>
        <v>#NAME?</v>
      </c>
      <c r="F14" s="109">
        <v>1</v>
      </c>
      <c r="G14" s="103" t="e" vm="1">
        <f t="shared" ca="1" si="1"/>
        <v>#NAME?</v>
      </c>
      <c r="H14" s="102" t="e" vm="1">
        <f t="shared" ca="1" si="2"/>
        <v>#NAME?</v>
      </c>
      <c r="I14" s="198">
        <f>VLOOKUP(B14,All_Ingredients!$A$1:$F$156,6,FALSE())</f>
        <v>1</v>
      </c>
      <c r="J14" s="198">
        <f>VLOOKUP(B14,All_Ingredients!$A$1:$J$156,10,FALSE())</f>
        <v>31</v>
      </c>
      <c r="K14" s="104" t="e" vm="1">
        <f t="shared" ca="1" si="3"/>
        <v>#NAME?</v>
      </c>
      <c r="L14" s="104" t="e" vm="1">
        <f t="shared" ca="1" si="4"/>
        <v>#NAME?</v>
      </c>
    </row>
    <row r="15" spans="1:33" ht="14.25" customHeight="1" x14ac:dyDescent="0.25">
      <c r="A15" s="1471"/>
      <c r="B15" s="20" t="s">
        <v>139</v>
      </c>
      <c r="C15" s="106" t="s">
        <v>14</v>
      </c>
      <c r="D15" s="107">
        <v>5</v>
      </c>
      <c r="E15" s="98" t="e" vm="1">
        <f t="shared" ca="1" si="0"/>
        <v>#NAME?</v>
      </c>
      <c r="F15" s="109">
        <v>1</v>
      </c>
      <c r="G15" s="103" t="e" vm="1">
        <f t="shared" ca="1" si="1"/>
        <v>#NAME?</v>
      </c>
      <c r="H15" s="102" t="e" vm="1">
        <f t="shared" ca="1" si="2"/>
        <v>#NAME?</v>
      </c>
      <c r="I15" s="198">
        <f>VLOOKUP(B15,All_Ingredients!$A$1:$F$156,6,FALSE())</f>
        <v>1</v>
      </c>
      <c r="J15" s="198">
        <f>VLOOKUP(B15,All_Ingredients!$A$1:$J$156,10,FALSE())</f>
        <v>15.277777777777779</v>
      </c>
      <c r="K15" s="104" t="e" vm="1">
        <f t="shared" ca="1" si="3"/>
        <v>#NAME?</v>
      </c>
      <c r="L15" s="104" t="e" vm="1">
        <f t="shared" ca="1" si="4"/>
        <v>#NAME?</v>
      </c>
    </row>
    <row r="16" spans="1:33" ht="14.25" customHeight="1" x14ac:dyDescent="0.25">
      <c r="A16" s="1471"/>
      <c r="B16" s="20" t="s">
        <v>192</v>
      </c>
      <c r="C16" s="106" t="s">
        <v>160</v>
      </c>
      <c r="D16" s="107">
        <v>20</v>
      </c>
      <c r="E16" s="98" t="e" vm="1">
        <f t="shared" ca="1" si="0"/>
        <v>#NAME?</v>
      </c>
      <c r="F16" s="109">
        <v>1</v>
      </c>
      <c r="G16" s="103" t="e" vm="1">
        <f t="shared" ca="1" si="1"/>
        <v>#NAME?</v>
      </c>
      <c r="H16" s="102" t="e" vm="1">
        <f t="shared" ca="1" si="2"/>
        <v>#NAME?</v>
      </c>
      <c r="I16" s="198">
        <f>VLOOKUP(B16,All_Ingredients!$A$1:$F$156,6,FALSE())</f>
        <v>1</v>
      </c>
      <c r="J16" s="198">
        <f>VLOOKUP(B16,All_Ingredients!$A$1:$J$156,10,FALSE())</f>
        <v>58.685446009389672</v>
      </c>
      <c r="K16" s="104" t="e" vm="1">
        <f t="shared" ca="1" si="3"/>
        <v>#NAME?</v>
      </c>
      <c r="L16" s="104" t="e" vm="1">
        <f t="shared" ca="1" si="4"/>
        <v>#NAME?</v>
      </c>
    </row>
    <row r="17" spans="1:29" ht="14.25" customHeight="1" x14ac:dyDescent="0.25">
      <c r="A17" s="1471"/>
      <c r="B17" s="20" t="s">
        <v>187</v>
      </c>
      <c r="C17" s="106" t="s">
        <v>14</v>
      </c>
      <c r="D17" s="107">
        <v>12</v>
      </c>
      <c r="E17" s="98" t="e" vm="1">
        <f t="shared" ca="1" si="0"/>
        <v>#NAME?</v>
      </c>
      <c r="F17" s="109">
        <v>1</v>
      </c>
      <c r="G17" s="103" t="e" vm="1">
        <f t="shared" ca="1" si="1"/>
        <v>#NAME?</v>
      </c>
      <c r="H17" s="102" t="e" vm="1">
        <f t="shared" ca="1" si="2"/>
        <v>#NAME?</v>
      </c>
      <c r="I17" s="198">
        <f>VLOOKUP(B17,All_Ingredients!$A$1:$F$156,6,FALSE())</f>
        <v>0.9</v>
      </c>
      <c r="J17" s="198">
        <f>VLOOKUP(B17,All_Ingredients!$A$1:$J$156,10,FALSE())</f>
        <v>2.3199999999999998</v>
      </c>
      <c r="K17" s="104" t="e" vm="1">
        <f t="shared" ca="1" si="3"/>
        <v>#NAME?</v>
      </c>
      <c r="L17" s="104" t="e" vm="1">
        <f t="shared" ca="1" si="4"/>
        <v>#NAME?</v>
      </c>
    </row>
    <row r="18" spans="1:29" ht="14.25" customHeight="1" x14ac:dyDescent="0.25">
      <c r="A18" s="1471" t="s">
        <v>909</v>
      </c>
      <c r="B18" s="20" t="s">
        <v>17</v>
      </c>
      <c r="C18" s="106" t="s">
        <v>14</v>
      </c>
      <c r="D18" s="107">
        <v>125</v>
      </c>
      <c r="E18" s="98" t="e" vm="1">
        <f t="shared" ca="1" si="0"/>
        <v>#NAME?</v>
      </c>
      <c r="F18" s="109">
        <v>1</v>
      </c>
      <c r="G18" s="103" t="e" vm="1">
        <f t="shared" ca="1" si="1"/>
        <v>#NAME?</v>
      </c>
      <c r="H18" s="102" t="e" vm="1">
        <f t="shared" ca="1" si="2"/>
        <v>#NAME?</v>
      </c>
      <c r="I18" s="198">
        <f>VLOOKUP(B18,All_Ingredients!$A$1:$F$156,6,FALSE())</f>
        <v>0.98</v>
      </c>
      <c r="J18" s="198">
        <f>VLOOKUP(B18,All_Ingredients!$A$1:$J$156,10,FALSE())</f>
        <v>3.5</v>
      </c>
      <c r="K18" s="104" t="e" vm="1">
        <f t="shared" ca="1" si="3"/>
        <v>#NAME?</v>
      </c>
      <c r="L18" s="104" t="e" vm="1">
        <f t="shared" ca="1" si="4"/>
        <v>#NAME?</v>
      </c>
    </row>
    <row r="19" spans="1:29" ht="14.25" customHeight="1" x14ac:dyDescent="0.25">
      <c r="A19" s="1471"/>
      <c r="B19" s="20" t="s">
        <v>23</v>
      </c>
      <c r="C19" s="106" t="s">
        <v>14</v>
      </c>
      <c r="D19" s="107">
        <v>1500</v>
      </c>
      <c r="E19" s="98" t="e" vm="1">
        <f t="shared" ca="1" si="0"/>
        <v>#NAME?</v>
      </c>
      <c r="F19" s="109">
        <v>1</v>
      </c>
      <c r="G19" s="103" t="e" vm="1">
        <f t="shared" ca="1" si="1"/>
        <v>#NAME?</v>
      </c>
      <c r="H19" s="102" t="e" vm="1">
        <f t="shared" ca="1" si="2"/>
        <v>#NAME?</v>
      </c>
      <c r="I19" s="198">
        <f>VLOOKUP(B19,All_Ingredients!$A$1:$F$156,6,FALSE())</f>
        <v>0.82</v>
      </c>
      <c r="J19" s="198">
        <f>VLOOKUP(B19,All_Ingredients!$A$1:$J$156,10,FALSE())</f>
        <v>3</v>
      </c>
      <c r="K19" s="104" t="e" vm="1">
        <f t="shared" ca="1" si="3"/>
        <v>#NAME?</v>
      </c>
      <c r="L19" s="104" t="e" vm="1">
        <f t="shared" ca="1" si="4"/>
        <v>#NAME?</v>
      </c>
    </row>
    <row r="20" spans="1:29" ht="14.25" customHeight="1" x14ac:dyDescent="0.25">
      <c r="A20" s="1471" t="s">
        <v>927</v>
      </c>
      <c r="B20" s="20" t="s">
        <v>28</v>
      </c>
      <c r="C20" s="106" t="s">
        <v>14</v>
      </c>
      <c r="D20" s="107">
        <v>50</v>
      </c>
      <c r="E20" s="98" t="e" vm="1">
        <f t="shared" ca="1" si="0"/>
        <v>#NAME?</v>
      </c>
      <c r="F20" s="109">
        <v>1</v>
      </c>
      <c r="G20" s="103" t="e" vm="1">
        <f t="shared" ca="1" si="1"/>
        <v>#NAME?</v>
      </c>
      <c r="H20" s="102" t="e" vm="1">
        <f t="shared" ca="1" si="2"/>
        <v>#NAME?</v>
      </c>
      <c r="I20" s="198">
        <f>VLOOKUP(B20,All_Ingredients!$A$1:$F$156,6,FALSE())</f>
        <v>0.73</v>
      </c>
      <c r="J20" s="198">
        <f>VLOOKUP(B20,All_Ingredients!$A$1:$J$156,10,FALSE())</f>
        <v>8.5</v>
      </c>
      <c r="K20" s="104" t="e" vm="1">
        <f t="shared" ca="1" si="3"/>
        <v>#NAME?</v>
      </c>
      <c r="L20" s="104" t="e" vm="1">
        <f t="shared" ca="1" si="4"/>
        <v>#NAME?</v>
      </c>
    </row>
    <row r="21" spans="1:29" ht="14.25" customHeight="1" x14ac:dyDescent="0.25">
      <c r="A21" s="1471" t="s">
        <v>927</v>
      </c>
      <c r="B21" s="20" t="s">
        <v>30</v>
      </c>
      <c r="C21" s="106" t="s">
        <v>14</v>
      </c>
      <c r="D21" s="107">
        <v>50</v>
      </c>
      <c r="E21" s="98" t="e" vm="1">
        <f t="shared" ca="1" si="0"/>
        <v>#NAME?</v>
      </c>
      <c r="F21" s="109">
        <v>1</v>
      </c>
      <c r="G21" s="103" t="e" vm="1">
        <f t="shared" ca="1" si="1"/>
        <v>#NAME?</v>
      </c>
      <c r="H21" s="102" t="e" vm="1">
        <f t="shared" ca="1" si="2"/>
        <v>#NAME?</v>
      </c>
      <c r="I21" s="198">
        <f>VLOOKUP(B21,All_Ingredients!$A$1:$F$156,6,FALSE())</f>
        <v>0.71</v>
      </c>
      <c r="J21" s="198">
        <f>VLOOKUP(B21,All_Ingredients!$A$1:$J$156,10,FALSE())</f>
        <v>8.5</v>
      </c>
      <c r="K21" s="104" t="e" vm="1">
        <f t="shared" ca="1" si="3"/>
        <v>#NAME?</v>
      </c>
      <c r="L21" s="104" t="e" vm="1">
        <f t="shared" ca="1" si="4"/>
        <v>#NAME?</v>
      </c>
    </row>
    <row r="22" spans="1:29" ht="14.25" customHeight="1" x14ac:dyDescent="0.25">
      <c r="A22" s="1471" t="s">
        <v>927</v>
      </c>
      <c r="B22" s="20" t="s">
        <v>32</v>
      </c>
      <c r="C22" s="106" t="s">
        <v>14</v>
      </c>
      <c r="D22" s="107">
        <v>50</v>
      </c>
      <c r="E22" s="98" t="e" vm="1">
        <f t="shared" ca="1" si="0"/>
        <v>#NAME?</v>
      </c>
      <c r="F22" s="109">
        <v>1</v>
      </c>
      <c r="G22" s="103" t="e" vm="1">
        <f t="shared" ca="1" si="1"/>
        <v>#NAME?</v>
      </c>
      <c r="H22" s="102" t="e" vm="1">
        <f t="shared" ca="1" si="2"/>
        <v>#NAME?</v>
      </c>
      <c r="I22" s="198">
        <f>VLOOKUP(B22,All_Ingredients!$A$1:$F$156,6,FALSE())</f>
        <v>0.69</v>
      </c>
      <c r="J22" s="198">
        <f>VLOOKUP(B22,All_Ingredients!$A$1:$J$156,10,FALSE())</f>
        <v>4</v>
      </c>
      <c r="K22" s="104" t="e" vm="1">
        <f t="shared" ca="1" si="3"/>
        <v>#NAME?</v>
      </c>
      <c r="L22" s="104" t="e" vm="1">
        <f t="shared" ca="1" si="4"/>
        <v>#NAME?</v>
      </c>
    </row>
    <row r="23" spans="1:29" ht="14.25" customHeight="1" x14ac:dyDescent="0.25">
      <c r="A23" s="1471" t="s">
        <v>928</v>
      </c>
      <c r="B23" s="413" t="s">
        <v>21</v>
      </c>
      <c r="C23" s="389" t="s">
        <v>14</v>
      </c>
      <c r="D23" s="390">
        <v>300</v>
      </c>
      <c r="E23" s="414" t="e" vm="1">
        <f t="shared" ca="1" si="0"/>
        <v>#NAME?</v>
      </c>
      <c r="F23" s="415">
        <v>1</v>
      </c>
      <c r="G23" s="416" t="e" vm="1">
        <f t="shared" ca="1" si="1"/>
        <v>#NAME?</v>
      </c>
      <c r="H23" s="417" t="e" vm="1">
        <f t="shared" ca="1" si="2"/>
        <v>#NAME?</v>
      </c>
      <c r="I23" s="198">
        <f>VLOOKUP(B23,All_Ingredients!$A$1:$F$156,6,FALSE())</f>
        <v>0.9</v>
      </c>
      <c r="J23" s="198">
        <f>VLOOKUP(B23,All_Ingredients!$A$1:$J$156,10,FALSE())</f>
        <v>2.2999999999999998</v>
      </c>
      <c r="K23" s="104" t="e" vm="1">
        <f t="shared" ca="1" si="3"/>
        <v>#NAME?</v>
      </c>
      <c r="L23" s="104" t="e" vm="1">
        <f t="shared" ca="1" si="4"/>
        <v>#NAME?</v>
      </c>
    </row>
    <row r="24" spans="1:29" ht="14.25" customHeight="1" x14ac:dyDescent="0.25">
      <c r="A24" s="1471"/>
      <c r="B24" s="299" t="s">
        <v>152</v>
      </c>
      <c r="C24" s="106" t="s">
        <v>14</v>
      </c>
      <c r="D24" s="107">
        <v>40</v>
      </c>
      <c r="E24" s="98" t="e" vm="1">
        <f t="shared" ca="1" si="0"/>
        <v>#NAME?</v>
      </c>
      <c r="F24" s="109">
        <v>1</v>
      </c>
      <c r="G24" s="103" t="e" vm="1">
        <f t="shared" ca="1" si="1"/>
        <v>#NAME?</v>
      </c>
      <c r="H24" s="102" t="e" vm="1">
        <f t="shared" ca="1" si="2"/>
        <v>#NAME?</v>
      </c>
      <c r="I24" s="198">
        <f>VLOOKUP(B24,All_Ingredients!$A$1:$F$156,6,FALSE())</f>
        <v>1</v>
      </c>
      <c r="J24" s="198">
        <f>VLOOKUP(B24,All_Ingredients!$A$1:$J$156,10,FALSE())</f>
        <v>30</v>
      </c>
      <c r="K24" s="104" t="e" vm="1">
        <f t="shared" ca="1" si="3"/>
        <v>#NAME?</v>
      </c>
      <c r="L24" s="104" t="e" vm="1">
        <f t="shared" ca="1" si="4"/>
        <v>#NAME?</v>
      </c>
      <c r="Z24" s="1073"/>
    </row>
    <row r="25" spans="1:29" ht="14.25" customHeight="1" x14ac:dyDescent="0.25">
      <c r="A25" s="1472"/>
      <c r="B25" s="325"/>
      <c r="C25" s="114"/>
      <c r="D25" s="232"/>
      <c r="E25" s="203"/>
      <c r="F25" s="117"/>
      <c r="R25" s="1662" t="s">
        <v>380</v>
      </c>
      <c r="S25" s="1633"/>
      <c r="T25" s="1633"/>
      <c r="U25" s="1633"/>
      <c r="Z25" s="122" t="s">
        <v>252</v>
      </c>
      <c r="AA25" s="123">
        <v>1</v>
      </c>
      <c r="AB25" s="122" t="s">
        <v>249</v>
      </c>
      <c r="AC25" s="124" t="e" vm="1">
        <f ca="1">(T35/T32)*AA25</f>
        <v>#NAME?</v>
      </c>
    </row>
    <row r="26" spans="1:29" ht="14.25" customHeight="1" x14ac:dyDescent="0.25">
      <c r="A26" s="1472"/>
      <c r="E26" s="84"/>
      <c r="F26" s="84"/>
      <c r="R26" s="1662" t="s">
        <v>338</v>
      </c>
      <c r="S26" s="1633"/>
      <c r="T26" s="1633"/>
      <c r="U26" s="1633"/>
    </row>
    <row r="27" spans="1:29" ht="14.25" customHeight="1" x14ac:dyDescent="0.25">
      <c r="A27" s="1472"/>
      <c r="E27" s="84"/>
      <c r="F27" s="84"/>
      <c r="R27" s="126" t="s">
        <v>254</v>
      </c>
      <c r="S27" s="127"/>
      <c r="T27" s="127" t="s">
        <v>339</v>
      </c>
      <c r="U27" s="127" t="s">
        <v>257</v>
      </c>
    </row>
    <row r="28" spans="1:29" ht="14.25" customHeight="1" x14ac:dyDescent="0.25">
      <c r="A28" s="1472"/>
      <c r="E28" s="84"/>
      <c r="F28" s="84"/>
      <c r="R28" s="129" t="s">
        <v>263</v>
      </c>
      <c r="S28" s="130"/>
      <c r="T28" s="130"/>
      <c r="U28" s="1186">
        <f>$Z$1</f>
        <v>25320</v>
      </c>
    </row>
    <row r="29" spans="1:29" ht="21.75" customHeight="1" x14ac:dyDescent="0.25">
      <c r="A29" s="1472"/>
      <c r="E29" s="84"/>
      <c r="F29" s="84"/>
      <c r="R29" s="129" t="s">
        <v>264</v>
      </c>
      <c r="S29" s="136"/>
      <c r="T29" s="130">
        <f>U28*(1/3)</f>
        <v>8440</v>
      </c>
      <c r="U29" s="690">
        <f>T29</f>
        <v>8440</v>
      </c>
    </row>
    <row r="30" spans="1:29" ht="25.5" customHeight="1" x14ac:dyDescent="0.25">
      <c r="A30" s="1472"/>
      <c r="B30" s="84"/>
      <c r="E30" s="84"/>
      <c r="F30" s="84"/>
      <c r="R30" s="129" t="s">
        <v>265</v>
      </c>
      <c r="S30" s="136"/>
      <c r="T30" s="130">
        <f>$AB$1*0.3</f>
        <v>0</v>
      </c>
      <c r="U30" s="690">
        <f>T30</f>
        <v>0</v>
      </c>
    </row>
    <row r="31" spans="1:29" ht="14.25" customHeight="1" x14ac:dyDescent="0.25">
      <c r="A31" s="1472"/>
      <c r="B31" s="84"/>
      <c r="E31" s="84"/>
      <c r="F31" s="84"/>
      <c r="R31" s="129" t="s">
        <v>267</v>
      </c>
      <c r="S31" s="136"/>
      <c r="T31" s="130"/>
      <c r="U31" s="130"/>
    </row>
    <row r="32" spans="1:29" ht="14.25" customHeight="1" x14ac:dyDescent="0.25">
      <c r="A32" s="1472"/>
      <c r="B32" s="84"/>
      <c r="E32" s="84"/>
      <c r="F32" s="84"/>
      <c r="R32" s="141" t="s">
        <v>257</v>
      </c>
      <c r="S32" s="130"/>
      <c r="T32" s="130" t="e" vm="2">
        <f ca="1">SUM(_xlfn._TRO_LEADING(T28:T30))</f>
        <v>#NAME?</v>
      </c>
      <c r="U32" s="130">
        <f>SUM(U29:U30)</f>
        <v>8440</v>
      </c>
    </row>
    <row r="33" spans="1:21" ht="14.25" customHeight="1" x14ac:dyDescent="0.25">
      <c r="A33" s="1472"/>
      <c r="B33" s="84"/>
      <c r="E33" s="84"/>
      <c r="F33" s="84"/>
      <c r="R33" s="142" t="s">
        <v>268</v>
      </c>
      <c r="S33" s="136"/>
      <c r="T33" s="1203"/>
      <c r="U33" s="136"/>
    </row>
    <row r="34" spans="1:21" ht="14.25" customHeight="1" x14ac:dyDescent="0.25">
      <c r="A34" s="1472"/>
      <c r="B34" s="84"/>
      <c r="E34" s="84"/>
      <c r="F34" s="84"/>
      <c r="R34" s="143" t="s">
        <v>269</v>
      </c>
      <c r="S34" s="136"/>
      <c r="T34" s="130"/>
      <c r="U34" s="136"/>
    </row>
    <row r="35" spans="1:21" ht="14.25" customHeight="1" x14ac:dyDescent="0.25">
      <c r="A35" s="1472"/>
      <c r="B35" s="84"/>
      <c r="E35" s="84"/>
      <c r="F35" s="84"/>
      <c r="R35" s="144" t="s">
        <v>249</v>
      </c>
      <c r="S35" s="990"/>
      <c r="T35" s="990" t="e" vm="1">
        <f ca="1">SUM(L6:L23)</f>
        <v>#NAME?</v>
      </c>
      <c r="U35" s="1049" t="e" vm="1">
        <f ca="1">S35+T35</f>
        <v>#NAME?</v>
      </c>
    </row>
    <row r="36" spans="1:21" x14ac:dyDescent="0.25">
      <c r="A36" s="1472"/>
      <c r="B36" s="84"/>
      <c r="E36" s="84"/>
      <c r="F36" s="84"/>
    </row>
    <row r="37" spans="1:21" x14ac:dyDescent="0.25">
      <c r="A37" s="1472"/>
    </row>
    <row r="38" spans="1:21" x14ac:dyDescent="0.25">
      <c r="A38" s="1472"/>
    </row>
    <row r="39" spans="1:21" x14ac:dyDescent="0.25">
      <c r="A39" s="1472"/>
    </row>
    <row r="40" spans="1:21" x14ac:dyDescent="0.25">
      <c r="A40" s="1472"/>
    </row>
    <row r="41" spans="1:21" x14ac:dyDescent="0.25">
      <c r="A41" s="1472"/>
    </row>
    <row r="42" spans="1:21" x14ac:dyDescent="0.25">
      <c r="A42" s="1472"/>
    </row>
    <row r="43" spans="1:21" x14ac:dyDescent="0.25">
      <c r="A43" s="1472"/>
    </row>
    <row r="44" spans="1:21" x14ac:dyDescent="0.25">
      <c r="A44" s="1472"/>
    </row>
    <row r="45" spans="1:21" x14ac:dyDescent="0.25">
      <c r="A45" s="1472"/>
    </row>
    <row r="46" spans="1:21" x14ac:dyDescent="0.25">
      <c r="A46" s="1472"/>
    </row>
    <row r="47" spans="1:21" x14ac:dyDescent="0.25">
      <c r="A47" s="1472"/>
    </row>
    <row r="48" spans="1:21" x14ac:dyDescent="0.25">
      <c r="A48" s="1472"/>
    </row>
    <row r="49" spans="1:8" x14ac:dyDescent="0.25">
      <c r="A49" s="1472"/>
    </row>
    <row r="50" spans="1:8" x14ac:dyDescent="0.25">
      <c r="A50" s="1472"/>
      <c r="B50" s="253"/>
      <c r="C50" s="126" t="s">
        <v>233</v>
      </c>
      <c r="D50" s="126" t="s">
        <v>279</v>
      </c>
    </row>
    <row r="51" spans="1:8" ht="14.25" customHeight="1" x14ac:dyDescent="0.25">
      <c r="A51" s="1472"/>
      <c r="B51" s="161" t="s">
        <v>283</v>
      </c>
      <c r="C51" s="162">
        <f>10/$K$1</f>
        <v>10</v>
      </c>
      <c r="D51" s="163">
        <f>$C$1*10</f>
        <v>10000</v>
      </c>
    </row>
    <row r="52" spans="1:8" ht="14.25" customHeight="1" x14ac:dyDescent="0.25">
      <c r="A52" s="1472"/>
      <c r="B52" s="209" t="s">
        <v>262</v>
      </c>
      <c r="C52" s="210" t="e" vm="1">
        <f ca="1">$I$1</f>
        <v>#NAME?</v>
      </c>
      <c r="D52" s="211" t="e" vm="1">
        <f ca="1">$E$1</f>
        <v>#NAME?</v>
      </c>
    </row>
    <row r="53" spans="1:8" x14ac:dyDescent="0.25">
      <c r="A53" s="1472"/>
      <c r="B53" s="209" t="s">
        <v>284</v>
      </c>
      <c r="C53" s="212" t="e" vm="1">
        <f ca="1">MIN(C52, C51)</f>
        <v>#NAME?</v>
      </c>
      <c r="D53" s="211" t="e" vm="1">
        <f ca="1">(C53*$K$1)*$C$1</f>
        <v>#NAME?</v>
      </c>
    </row>
    <row r="54" spans="1:8" x14ac:dyDescent="0.25">
      <c r="A54" s="1472"/>
      <c r="B54" s="209" t="s">
        <v>285</v>
      </c>
      <c r="C54" s="212" t="e" vm="1">
        <f ca="1">MIN(MAX(C52-C53,0),C51)</f>
        <v>#NAME?</v>
      </c>
      <c r="D54" s="211" t="e" vm="1">
        <f ca="1">(C54*$K$1)*$C$1</f>
        <v>#NAME?</v>
      </c>
    </row>
    <row r="55" spans="1:8" x14ac:dyDescent="0.25">
      <c r="A55" s="1472"/>
      <c r="B55" s="209" t="s">
        <v>286</v>
      </c>
      <c r="C55" s="212" t="e" vm="1">
        <f ca="1">MIN(MAX(C52-C53-C54,0),C51)</f>
        <v>#NAME?</v>
      </c>
      <c r="D55" s="211" t="e" vm="1">
        <f ca="1">(C55*$K$1)*$C$1</f>
        <v>#NAME?</v>
      </c>
    </row>
    <row r="56" spans="1:8" x14ac:dyDescent="0.25">
      <c r="A56" s="1472"/>
    </row>
    <row r="57" spans="1:8" x14ac:dyDescent="0.25">
      <c r="A57" s="1472"/>
    </row>
    <row r="58" spans="1:8" x14ac:dyDescent="0.25">
      <c r="A58" s="1472"/>
    </row>
    <row r="59" spans="1:8" x14ac:dyDescent="0.25">
      <c r="A59" s="1472"/>
    </row>
    <row r="60" spans="1:8" x14ac:dyDescent="0.25">
      <c r="A60" s="1472"/>
    </row>
    <row r="61" spans="1:8" x14ac:dyDescent="0.25">
      <c r="A61" s="1472"/>
    </row>
    <row r="62" spans="1:8" ht="18" customHeight="1" x14ac:dyDescent="0.25">
      <c r="A62" s="1472"/>
    </row>
    <row r="63" spans="1:8" ht="18" customHeight="1" x14ac:dyDescent="0.25">
      <c r="A63" s="1473"/>
      <c r="B63" s="1636" t="str">
        <f ca="1">"  خضار المسقعة 1 / " &amp; COUNTIF($C$53:$C$54, "&gt;0")</f>
        <v xml:space="preserve">  خضار المسقعة 1 / 0</v>
      </c>
      <c r="C63" s="1637"/>
      <c r="D63" s="1637"/>
      <c r="E63" s="1637"/>
      <c r="F63" s="1637"/>
      <c r="G63" s="1637"/>
      <c r="H63" s="1637"/>
    </row>
    <row r="64" spans="1:8" x14ac:dyDescent="0.25">
      <c r="A64" s="1473"/>
      <c r="B64" s="1634" t="str">
        <f ca="1">" Moussaka Vegi 1 / " &amp; COUNTIF($C$53:$C$54, "&gt;0")</f>
        <v xml:space="preserve"> Moussaka Vegi 1 / 0</v>
      </c>
      <c r="C64" s="1635"/>
      <c r="D64" s="1635"/>
      <c r="E64" s="1635"/>
      <c r="F64" s="1635"/>
      <c r="G64" s="1635"/>
      <c r="H64" s="1635"/>
    </row>
    <row r="65" spans="1:8" ht="48.75" customHeight="1" x14ac:dyDescent="0.2">
      <c r="A65" s="1457"/>
      <c r="B65" s="221" t="s">
        <v>241</v>
      </c>
      <c r="C65" s="222" t="s">
        <v>242</v>
      </c>
      <c r="D65" s="223" t="s">
        <v>231</v>
      </c>
      <c r="E65" s="197" t="s">
        <v>234</v>
      </c>
      <c r="F65" s="197" t="s">
        <v>243</v>
      </c>
      <c r="G65" s="223" t="s">
        <v>244</v>
      </c>
      <c r="H65" s="197" t="s">
        <v>245</v>
      </c>
    </row>
    <row r="66" spans="1:8" ht="14.25" customHeight="1" x14ac:dyDescent="0.25">
      <c r="A66" s="1471" t="s">
        <v>920</v>
      </c>
      <c r="B66" s="299" t="str">
        <f t="shared" ref="B66:D84" si="5">B6</f>
        <v>Onion - بصل</v>
      </c>
      <c r="C66" s="106" t="str">
        <f t="shared" si="5"/>
        <v>gm</v>
      </c>
      <c r="D66" s="107">
        <f t="shared" si="5"/>
        <v>75</v>
      </c>
      <c r="E66" s="98" t="e" vm="1">
        <f ca="1">$C$53</f>
        <v>#NAME?</v>
      </c>
      <c r="F66" s="109">
        <f t="shared" ref="F66:F84" si="6">F6</f>
        <v>1</v>
      </c>
      <c r="G66" s="101" t="e" vm="1">
        <f t="shared" ref="G66:G84" ca="1" si="7">D66*E66</f>
        <v>#NAME?</v>
      </c>
      <c r="H66" s="102" t="e" vm="1">
        <f t="shared" ref="H66:H84" ca="1" si="8">G66*F66</f>
        <v>#NAME?</v>
      </c>
    </row>
    <row r="67" spans="1:8" ht="14.25" customHeight="1" x14ac:dyDescent="0.25">
      <c r="A67" s="1471" t="s">
        <v>907</v>
      </c>
      <c r="B67" s="299" t="str">
        <f t="shared" si="5"/>
        <v>Garlic - ثوم مقشر</v>
      </c>
      <c r="C67" s="106" t="str">
        <f t="shared" si="5"/>
        <v>gm</v>
      </c>
      <c r="D67" s="107">
        <f t="shared" si="5"/>
        <v>25</v>
      </c>
      <c r="E67" s="98" t="e" vm="1">
        <f t="shared" ref="E67:E84" ca="1" si="9">$C$53</f>
        <v>#NAME?</v>
      </c>
      <c r="F67" s="109">
        <f t="shared" si="6"/>
        <v>1</v>
      </c>
      <c r="G67" s="101" t="e" vm="1">
        <f t="shared" ca="1" si="7"/>
        <v>#NAME?</v>
      </c>
      <c r="H67" s="102" t="e" vm="1">
        <f t="shared" ca="1" si="8"/>
        <v>#NAME?</v>
      </c>
    </row>
    <row r="68" spans="1:8" ht="14.25" customHeight="1" x14ac:dyDescent="0.25">
      <c r="A68" s="1471" t="s">
        <v>909</v>
      </c>
      <c r="B68" s="299" t="str">
        <f t="shared" si="5"/>
        <v>Tomato - طماطم</v>
      </c>
      <c r="C68" s="106" t="str">
        <f t="shared" si="5"/>
        <v>gm</v>
      </c>
      <c r="D68" s="107">
        <f t="shared" si="5"/>
        <v>125</v>
      </c>
      <c r="E68" s="98" t="e" vm="1">
        <f t="shared" ca="1" si="9"/>
        <v>#NAME?</v>
      </c>
      <c r="F68" s="109">
        <f t="shared" si="6"/>
        <v>1</v>
      </c>
      <c r="G68" s="101" t="e" vm="1">
        <f t="shared" ca="1" si="7"/>
        <v>#NAME?</v>
      </c>
      <c r="H68" s="102" t="e" vm="1">
        <f t="shared" ca="1" si="8"/>
        <v>#NAME?</v>
      </c>
    </row>
    <row r="69" spans="1:8" ht="14.25" customHeight="1" x14ac:dyDescent="0.25">
      <c r="A69" s="1471"/>
      <c r="B69" s="299" t="str">
        <f t="shared" si="5"/>
        <v>Tomato Paste - صلصة طماطم</v>
      </c>
      <c r="C69" s="106" t="str">
        <f t="shared" si="5"/>
        <v>gm</v>
      </c>
      <c r="D69" s="107">
        <f t="shared" si="5"/>
        <v>150</v>
      </c>
      <c r="E69" s="98" t="e" vm="1">
        <f t="shared" ca="1" si="9"/>
        <v>#NAME?</v>
      </c>
      <c r="F69" s="109">
        <f t="shared" si="6"/>
        <v>1</v>
      </c>
      <c r="G69" s="101" t="e" vm="1">
        <f t="shared" ca="1" si="7"/>
        <v>#NAME?</v>
      </c>
      <c r="H69" s="102" t="e" vm="1">
        <f t="shared" ca="1" si="8"/>
        <v>#NAME?</v>
      </c>
    </row>
    <row r="70" spans="1:8" ht="14.25" customHeight="1" x14ac:dyDescent="0.25">
      <c r="A70" s="1471"/>
      <c r="B70" s="299" t="str">
        <f t="shared" si="5"/>
        <v>Coriander Powder - كزبرة مطحونة</v>
      </c>
      <c r="C70" s="106" t="str">
        <f t="shared" si="5"/>
        <v>gm</v>
      </c>
      <c r="D70" s="107">
        <f t="shared" si="5"/>
        <v>3</v>
      </c>
      <c r="E70" s="98" t="e" vm="1">
        <f t="shared" ca="1" si="9"/>
        <v>#NAME?</v>
      </c>
      <c r="F70" s="109">
        <f t="shared" si="6"/>
        <v>1</v>
      </c>
      <c r="G70" s="101" t="e" vm="1">
        <f t="shared" ca="1" si="7"/>
        <v>#NAME?</v>
      </c>
      <c r="H70" s="102" t="e" vm="1">
        <f t="shared" ca="1" si="8"/>
        <v>#NAME?</v>
      </c>
    </row>
    <row r="71" spans="1:8" ht="14.25" customHeight="1" x14ac:dyDescent="0.25">
      <c r="A71" s="1471"/>
      <c r="B71" s="299" t="str">
        <f t="shared" si="5"/>
        <v>Cumin Powder - كمون مطحون</v>
      </c>
      <c r="C71" s="106" t="str">
        <f t="shared" si="5"/>
        <v>gm</v>
      </c>
      <c r="D71" s="107">
        <f t="shared" si="5"/>
        <v>6</v>
      </c>
      <c r="E71" s="98" t="e" vm="1">
        <f t="shared" ca="1" si="9"/>
        <v>#NAME?</v>
      </c>
      <c r="F71" s="109">
        <f t="shared" si="6"/>
        <v>1</v>
      </c>
      <c r="G71" s="101" t="e" vm="1">
        <f t="shared" ca="1" si="7"/>
        <v>#NAME?</v>
      </c>
      <c r="H71" s="102" t="e" vm="1">
        <f t="shared" ca="1" si="8"/>
        <v>#NAME?</v>
      </c>
    </row>
    <row r="72" spans="1:8" ht="14.25" customHeight="1" x14ac:dyDescent="0.25">
      <c r="A72" s="1471"/>
      <c r="B72" s="299" t="str">
        <f t="shared" si="5"/>
        <v>Cinnamon Powder - قرفة مطحونة</v>
      </c>
      <c r="C72" s="106" t="str">
        <f t="shared" si="5"/>
        <v>gm</v>
      </c>
      <c r="D72" s="107">
        <f t="shared" si="5"/>
        <v>2</v>
      </c>
      <c r="E72" s="98" t="e" vm="1">
        <f t="shared" ca="1" si="9"/>
        <v>#NAME?</v>
      </c>
      <c r="F72" s="109">
        <f t="shared" si="6"/>
        <v>1</v>
      </c>
      <c r="G72" s="101" t="e" vm="1">
        <f t="shared" ca="1" si="7"/>
        <v>#NAME?</v>
      </c>
      <c r="H72" s="102" t="e" vm="1">
        <f t="shared" ca="1" si="8"/>
        <v>#NAME?</v>
      </c>
    </row>
    <row r="73" spans="1:8" ht="14.25" customHeight="1" x14ac:dyDescent="0.25">
      <c r="A73" s="1471"/>
      <c r="B73" s="299" t="str">
        <f t="shared" si="5"/>
        <v>Tomato Ketchup - كاتشب طماطم</v>
      </c>
      <c r="C73" s="106" t="str">
        <f t="shared" si="5"/>
        <v>ml</v>
      </c>
      <c r="D73" s="107">
        <f t="shared" si="5"/>
        <v>65</v>
      </c>
      <c r="E73" s="98" t="e" vm="1">
        <f t="shared" ca="1" si="9"/>
        <v>#NAME?</v>
      </c>
      <c r="F73" s="109">
        <f t="shared" si="6"/>
        <v>1</v>
      </c>
      <c r="G73" s="101" t="e" vm="1">
        <f t="shared" ca="1" si="7"/>
        <v>#NAME?</v>
      </c>
      <c r="H73" s="102" t="e" vm="1">
        <f t="shared" ca="1" si="8"/>
        <v>#NAME?</v>
      </c>
    </row>
    <row r="74" spans="1:8" ht="14.25" customHeight="1" x14ac:dyDescent="0.25">
      <c r="A74" s="1471"/>
      <c r="B74" s="299" t="str">
        <f t="shared" si="5"/>
        <v>Black Pepper Powder - فلفل أسود مطحون</v>
      </c>
      <c r="C74" s="106" t="str">
        <f t="shared" si="5"/>
        <v>gm</v>
      </c>
      <c r="D74" s="107">
        <f t="shared" si="5"/>
        <v>1</v>
      </c>
      <c r="E74" s="98" t="e" vm="1">
        <f t="shared" ca="1" si="9"/>
        <v>#NAME?</v>
      </c>
      <c r="F74" s="109">
        <f t="shared" si="6"/>
        <v>1</v>
      </c>
      <c r="G74" s="101" t="e" vm="1">
        <f t="shared" ca="1" si="7"/>
        <v>#NAME?</v>
      </c>
      <c r="H74" s="102" t="e" vm="1">
        <f t="shared" ca="1" si="8"/>
        <v>#NAME?</v>
      </c>
    </row>
    <row r="75" spans="1:8" ht="14.25" customHeight="1" x14ac:dyDescent="0.25">
      <c r="A75" s="1471"/>
      <c r="B75" s="299" t="str">
        <f t="shared" si="5"/>
        <v>Maggi Cubes - مكعبات ماجي</v>
      </c>
      <c r="C75" s="106" t="str">
        <f t="shared" si="5"/>
        <v>gm</v>
      </c>
      <c r="D75" s="107">
        <f t="shared" si="5"/>
        <v>5</v>
      </c>
      <c r="E75" s="98" t="e" vm="1">
        <f t="shared" ca="1" si="9"/>
        <v>#NAME?</v>
      </c>
      <c r="F75" s="109">
        <f t="shared" si="6"/>
        <v>1</v>
      </c>
      <c r="G75" s="101" t="e" vm="1">
        <f t="shared" ca="1" si="7"/>
        <v>#NAME?</v>
      </c>
      <c r="H75" s="102" t="e" vm="1">
        <f t="shared" ca="1" si="8"/>
        <v>#NAME?</v>
      </c>
    </row>
    <row r="76" spans="1:8" ht="14.25" customHeight="1" x14ac:dyDescent="0.25">
      <c r="A76" s="1471"/>
      <c r="B76" s="299" t="str">
        <f t="shared" si="5"/>
        <v>Sriracha Sauce - صوص سريراتشا</v>
      </c>
      <c r="C76" s="106" t="str">
        <f t="shared" si="5"/>
        <v>ml</v>
      </c>
      <c r="D76" s="107">
        <f t="shared" si="5"/>
        <v>20</v>
      </c>
      <c r="E76" s="98" t="e" vm="1">
        <f t="shared" ca="1" si="9"/>
        <v>#NAME?</v>
      </c>
      <c r="F76" s="109">
        <f t="shared" si="6"/>
        <v>1</v>
      </c>
      <c r="G76" s="101" t="e" vm="1">
        <f t="shared" ca="1" si="7"/>
        <v>#NAME?</v>
      </c>
      <c r="H76" s="102" t="e" vm="1">
        <f t="shared" ca="1" si="8"/>
        <v>#NAME?</v>
      </c>
    </row>
    <row r="77" spans="1:8" ht="14.25" customHeight="1" x14ac:dyDescent="0.25">
      <c r="A77" s="1471"/>
      <c r="B77" s="299" t="str">
        <f t="shared" si="5"/>
        <v>Corn Starch - نشا ذرة</v>
      </c>
      <c r="C77" s="106" t="str">
        <f t="shared" si="5"/>
        <v>gm</v>
      </c>
      <c r="D77" s="107">
        <f t="shared" si="5"/>
        <v>12</v>
      </c>
      <c r="E77" s="98" t="e" vm="1">
        <f t="shared" ca="1" si="9"/>
        <v>#NAME?</v>
      </c>
      <c r="F77" s="109">
        <f t="shared" si="6"/>
        <v>1</v>
      </c>
      <c r="G77" s="101" t="e" vm="1">
        <f t="shared" ca="1" si="7"/>
        <v>#NAME?</v>
      </c>
      <c r="H77" s="102" t="e" vm="1">
        <f t="shared" ca="1" si="8"/>
        <v>#NAME?</v>
      </c>
    </row>
    <row r="78" spans="1:8" ht="14.25" customHeight="1" x14ac:dyDescent="0.25">
      <c r="A78" s="1471" t="s">
        <v>909</v>
      </c>
      <c r="B78" s="299" t="str">
        <f t="shared" si="5"/>
        <v>Tomato - طماطم</v>
      </c>
      <c r="C78" s="106" t="str">
        <f t="shared" si="5"/>
        <v>gm</v>
      </c>
      <c r="D78" s="107">
        <f t="shared" si="5"/>
        <v>125</v>
      </c>
      <c r="E78" s="98" t="e" vm="1">
        <f t="shared" ca="1" si="9"/>
        <v>#NAME?</v>
      </c>
      <c r="F78" s="109">
        <f t="shared" si="6"/>
        <v>1</v>
      </c>
      <c r="G78" s="101" t="e" vm="1">
        <f t="shared" ca="1" si="7"/>
        <v>#NAME?</v>
      </c>
      <c r="H78" s="102" t="e" vm="1">
        <f t="shared" ca="1" si="8"/>
        <v>#NAME?</v>
      </c>
    </row>
    <row r="79" spans="1:8" ht="14.25" customHeight="1" x14ac:dyDescent="0.25">
      <c r="A79" s="1471"/>
      <c r="B79" s="299" t="str">
        <f t="shared" si="5"/>
        <v>Eggplant - باذنجان</v>
      </c>
      <c r="C79" s="106" t="str">
        <f t="shared" si="5"/>
        <v>gm</v>
      </c>
      <c r="D79" s="107">
        <f t="shared" si="5"/>
        <v>1500</v>
      </c>
      <c r="E79" s="98" t="e" vm="1">
        <f t="shared" ca="1" si="9"/>
        <v>#NAME?</v>
      </c>
      <c r="F79" s="109">
        <f t="shared" si="6"/>
        <v>1</v>
      </c>
      <c r="G79" s="101" t="e" vm="1">
        <f t="shared" ca="1" si="7"/>
        <v>#NAME?</v>
      </c>
      <c r="H79" s="102" t="e" vm="1">
        <f t="shared" ca="1" si="8"/>
        <v>#NAME?</v>
      </c>
    </row>
    <row r="80" spans="1:8" ht="14.25" customHeight="1" x14ac:dyDescent="0.25">
      <c r="A80" s="1471" t="s">
        <v>927</v>
      </c>
      <c r="B80" s="299" t="str">
        <f t="shared" si="5"/>
        <v xml:space="preserve">Red Bell Pepper - فلفل أحمر </v>
      </c>
      <c r="C80" s="106" t="str">
        <f t="shared" si="5"/>
        <v>gm</v>
      </c>
      <c r="D80" s="107">
        <f t="shared" si="5"/>
        <v>50</v>
      </c>
      <c r="E80" s="98" t="e" vm="1">
        <f t="shared" ca="1" si="9"/>
        <v>#NAME?</v>
      </c>
      <c r="F80" s="109">
        <f t="shared" si="6"/>
        <v>1</v>
      </c>
      <c r="G80" s="101" t="e" vm="1">
        <f t="shared" ca="1" si="7"/>
        <v>#NAME?</v>
      </c>
      <c r="H80" s="102" t="e" vm="1">
        <f t="shared" ca="1" si="8"/>
        <v>#NAME?</v>
      </c>
    </row>
    <row r="81" spans="1:8" ht="14.25" customHeight="1" x14ac:dyDescent="0.25">
      <c r="A81" s="1471" t="s">
        <v>927</v>
      </c>
      <c r="B81" s="299" t="str">
        <f t="shared" si="5"/>
        <v xml:space="preserve">Yellow Bell Pepper - فلفل أصفر </v>
      </c>
      <c r="C81" s="106" t="str">
        <f t="shared" si="5"/>
        <v>gm</v>
      </c>
      <c r="D81" s="107">
        <f t="shared" si="5"/>
        <v>50</v>
      </c>
      <c r="E81" s="98" t="e" vm="1">
        <f t="shared" ca="1" si="9"/>
        <v>#NAME?</v>
      </c>
      <c r="F81" s="109">
        <f t="shared" si="6"/>
        <v>1</v>
      </c>
      <c r="G81" s="101" t="e" vm="1">
        <f t="shared" ca="1" si="7"/>
        <v>#NAME?</v>
      </c>
      <c r="H81" s="102" t="e" vm="1">
        <f t="shared" ca="1" si="8"/>
        <v>#NAME?</v>
      </c>
    </row>
    <row r="82" spans="1:8" ht="14.25" customHeight="1" x14ac:dyDescent="0.25">
      <c r="A82" s="1471" t="s">
        <v>927</v>
      </c>
      <c r="B82" s="299" t="str">
        <f t="shared" si="5"/>
        <v>Green Bell Pepper - فلفل أخضر رومى</v>
      </c>
      <c r="C82" s="106" t="str">
        <f t="shared" si="5"/>
        <v>gm</v>
      </c>
      <c r="D82" s="107">
        <f t="shared" si="5"/>
        <v>50</v>
      </c>
      <c r="E82" s="98" t="e" vm="1">
        <f t="shared" ca="1" si="9"/>
        <v>#NAME?</v>
      </c>
      <c r="F82" s="109">
        <f t="shared" si="6"/>
        <v>1</v>
      </c>
      <c r="G82" s="101" t="e" vm="1">
        <f t="shared" ca="1" si="7"/>
        <v>#NAME?</v>
      </c>
      <c r="H82" s="102" t="e" vm="1">
        <f t="shared" ca="1" si="8"/>
        <v>#NAME?</v>
      </c>
    </row>
    <row r="83" spans="1:8" ht="14.25" customHeight="1" x14ac:dyDescent="0.25">
      <c r="A83" s="1471" t="s">
        <v>928</v>
      </c>
      <c r="B83" s="299" t="str">
        <f t="shared" si="5"/>
        <v>Potato - بطاطس</v>
      </c>
      <c r="C83" s="106" t="str">
        <f t="shared" si="5"/>
        <v>gm</v>
      </c>
      <c r="D83" s="107">
        <f t="shared" si="5"/>
        <v>300</v>
      </c>
      <c r="E83" s="98" t="e" vm="1">
        <f t="shared" ca="1" si="9"/>
        <v>#NAME?</v>
      </c>
      <c r="F83" s="109">
        <f t="shared" si="6"/>
        <v>1</v>
      </c>
      <c r="G83" s="101" t="e" vm="1">
        <f t="shared" ca="1" si="7"/>
        <v>#NAME?</v>
      </c>
      <c r="H83" s="102" t="e" vm="1">
        <f t="shared" ca="1" si="8"/>
        <v>#NAME?</v>
      </c>
    </row>
    <row r="84" spans="1:8" x14ac:dyDescent="0.25">
      <c r="A84" s="1471"/>
      <c r="B84" s="299" t="str">
        <f t="shared" si="5"/>
        <v>Butter - زبدة</v>
      </c>
      <c r="C84" s="106" t="str">
        <f t="shared" si="5"/>
        <v>gm</v>
      </c>
      <c r="D84" s="107">
        <f t="shared" si="5"/>
        <v>40</v>
      </c>
      <c r="E84" s="98" t="e" vm="1">
        <f t="shared" ca="1" si="9"/>
        <v>#NAME?</v>
      </c>
      <c r="F84" s="109">
        <f t="shared" si="6"/>
        <v>1</v>
      </c>
      <c r="G84" s="101" t="e" vm="1">
        <f t="shared" ca="1" si="7"/>
        <v>#NAME?</v>
      </c>
      <c r="H84" s="102" t="e" vm="1">
        <f t="shared" ca="1" si="8"/>
        <v>#NAME?</v>
      </c>
    </row>
    <row r="85" spans="1:8" ht="21" customHeight="1" x14ac:dyDescent="0.25">
      <c r="A85" s="1497"/>
      <c r="B85" s="180" t="s">
        <v>273</v>
      </c>
      <c r="E85" s="451"/>
      <c r="G85" s="451"/>
      <c r="H85" s="816"/>
    </row>
    <row r="86" spans="1:8" ht="20.25" x14ac:dyDescent="0.3">
      <c r="A86" s="1497"/>
      <c r="B86" s="179" t="e" vm="1">
        <f ca="1">D53</f>
        <v>#NAME?</v>
      </c>
      <c r="D86" s="839"/>
      <c r="E86" s="450"/>
      <c r="F86" s="843"/>
      <c r="G86" s="450"/>
      <c r="H86" s="818"/>
    </row>
    <row r="87" spans="1:8" x14ac:dyDescent="0.25">
      <c r="A87" s="1472"/>
    </row>
    <row r="88" spans="1:8" x14ac:dyDescent="0.25">
      <c r="A88" s="1473"/>
      <c r="B88" s="1636" t="str">
        <f ca="1">"  خضار المسقعة 2 / " &amp; COUNTIF($C$52:$C$53, "&gt;0")</f>
        <v xml:space="preserve">  خضار المسقعة 2 / 0</v>
      </c>
      <c r="C88" s="1637"/>
      <c r="D88" s="1637"/>
      <c r="E88" s="1637"/>
      <c r="F88" s="1637"/>
      <c r="G88" s="1637"/>
      <c r="H88" s="1637"/>
    </row>
    <row r="89" spans="1:8" x14ac:dyDescent="0.25">
      <c r="A89" s="1473"/>
      <c r="B89" s="1634" t="str">
        <f ca="1">" Moussaka Vegi 2 / " &amp; COUNTIF($C$52:$C$53, "&gt;0")</f>
        <v xml:space="preserve"> Moussaka Vegi 2 / 0</v>
      </c>
      <c r="C89" s="1635"/>
      <c r="D89" s="1635"/>
      <c r="E89" s="1635"/>
      <c r="F89" s="1635"/>
      <c r="G89" s="1635"/>
      <c r="H89" s="1635"/>
    </row>
    <row r="90" spans="1:8" ht="47.25" customHeight="1" x14ac:dyDescent="0.2">
      <c r="A90" s="1457"/>
      <c r="B90" s="221" t="s">
        <v>241</v>
      </c>
      <c r="C90" s="222" t="s">
        <v>242</v>
      </c>
      <c r="D90" s="223" t="s">
        <v>231</v>
      </c>
      <c r="E90" s="197" t="s">
        <v>234</v>
      </c>
      <c r="F90" s="197" t="s">
        <v>243</v>
      </c>
      <c r="G90" s="223" t="s">
        <v>244</v>
      </c>
      <c r="H90" s="197" t="s">
        <v>245</v>
      </c>
    </row>
    <row r="91" spans="1:8" x14ac:dyDescent="0.25">
      <c r="A91" s="1471" t="s">
        <v>920</v>
      </c>
      <c r="B91" s="299" t="str">
        <f t="shared" ref="B91:D109" si="10">B6</f>
        <v>Onion - بصل</v>
      </c>
      <c r="C91" s="299" t="str">
        <f t="shared" si="10"/>
        <v>gm</v>
      </c>
      <c r="D91" s="299">
        <f t="shared" si="10"/>
        <v>75</v>
      </c>
      <c r="E91" s="177" t="e" vm="1">
        <f ca="1">$C$54</f>
        <v>#NAME?</v>
      </c>
      <c r="F91" s="109">
        <f>F6</f>
        <v>1</v>
      </c>
      <c r="G91" s="101" t="e" vm="1">
        <f t="shared" ref="G91:G109" ca="1" si="11">D91*E91</f>
        <v>#NAME?</v>
      </c>
      <c r="H91" s="102" t="e" vm="1">
        <f t="shared" ref="H91:H109" ca="1" si="12">G91*F91</f>
        <v>#NAME?</v>
      </c>
    </row>
    <row r="92" spans="1:8" x14ac:dyDescent="0.25">
      <c r="A92" s="1471" t="s">
        <v>907</v>
      </c>
      <c r="B92" s="299" t="str">
        <f t="shared" si="10"/>
        <v>Garlic - ثوم مقشر</v>
      </c>
      <c r="C92" s="299" t="str">
        <f t="shared" si="10"/>
        <v>gm</v>
      </c>
      <c r="D92" s="299">
        <f t="shared" si="10"/>
        <v>25</v>
      </c>
      <c r="E92" s="177" t="e" vm="1">
        <f t="shared" ref="E92:E109" ca="1" si="13">$C$54</f>
        <v>#NAME?</v>
      </c>
      <c r="F92" s="109">
        <f t="shared" ref="F92:F109" si="14">F7</f>
        <v>1</v>
      </c>
      <c r="G92" s="101" t="e" vm="1">
        <f t="shared" ca="1" si="11"/>
        <v>#NAME?</v>
      </c>
      <c r="H92" s="102" t="e" vm="1">
        <f t="shared" ca="1" si="12"/>
        <v>#NAME?</v>
      </c>
    </row>
    <row r="93" spans="1:8" x14ac:dyDescent="0.25">
      <c r="A93" s="1471" t="s">
        <v>909</v>
      </c>
      <c r="B93" s="299" t="str">
        <f t="shared" si="10"/>
        <v>Tomato - طماطم</v>
      </c>
      <c r="C93" s="299" t="str">
        <f t="shared" si="10"/>
        <v>gm</v>
      </c>
      <c r="D93" s="299">
        <f t="shared" si="10"/>
        <v>125</v>
      </c>
      <c r="E93" s="177" t="e" vm="1">
        <f t="shared" ca="1" si="13"/>
        <v>#NAME?</v>
      </c>
      <c r="F93" s="109">
        <f t="shared" si="14"/>
        <v>1</v>
      </c>
      <c r="G93" s="101" t="e" vm="1">
        <f t="shared" ca="1" si="11"/>
        <v>#NAME?</v>
      </c>
      <c r="H93" s="102" t="e" vm="1">
        <f t="shared" ca="1" si="12"/>
        <v>#NAME?</v>
      </c>
    </row>
    <row r="94" spans="1:8" x14ac:dyDescent="0.25">
      <c r="A94" s="1471"/>
      <c r="B94" s="299" t="str">
        <f t="shared" si="10"/>
        <v>Tomato Paste - صلصة طماطم</v>
      </c>
      <c r="C94" s="299" t="str">
        <f t="shared" si="10"/>
        <v>gm</v>
      </c>
      <c r="D94" s="299">
        <f t="shared" si="10"/>
        <v>150</v>
      </c>
      <c r="E94" s="177" t="e" vm="1">
        <f t="shared" ca="1" si="13"/>
        <v>#NAME?</v>
      </c>
      <c r="F94" s="109">
        <f t="shared" si="14"/>
        <v>1</v>
      </c>
      <c r="G94" s="101" t="e" vm="1">
        <f t="shared" ca="1" si="11"/>
        <v>#NAME?</v>
      </c>
      <c r="H94" s="102" t="e" vm="1">
        <f t="shared" ca="1" si="12"/>
        <v>#NAME?</v>
      </c>
    </row>
    <row r="95" spans="1:8" x14ac:dyDescent="0.25">
      <c r="A95" s="1471"/>
      <c r="B95" s="299" t="str">
        <f t="shared" si="10"/>
        <v>Coriander Powder - كزبرة مطحونة</v>
      </c>
      <c r="C95" s="299" t="str">
        <f t="shared" si="10"/>
        <v>gm</v>
      </c>
      <c r="D95" s="299">
        <f t="shared" si="10"/>
        <v>3</v>
      </c>
      <c r="E95" s="177" t="e" vm="1">
        <f t="shared" ca="1" si="13"/>
        <v>#NAME?</v>
      </c>
      <c r="F95" s="109">
        <f t="shared" si="14"/>
        <v>1</v>
      </c>
      <c r="G95" s="101" t="e" vm="1">
        <f t="shared" ca="1" si="11"/>
        <v>#NAME?</v>
      </c>
      <c r="H95" s="102" t="e" vm="1">
        <f t="shared" ca="1" si="12"/>
        <v>#NAME?</v>
      </c>
    </row>
    <row r="96" spans="1:8" x14ac:dyDescent="0.25">
      <c r="A96" s="1471"/>
      <c r="B96" s="299" t="str">
        <f t="shared" si="10"/>
        <v>Cumin Powder - كمون مطحون</v>
      </c>
      <c r="C96" s="299" t="str">
        <f t="shared" si="10"/>
        <v>gm</v>
      </c>
      <c r="D96" s="299">
        <f t="shared" si="10"/>
        <v>6</v>
      </c>
      <c r="E96" s="177" t="e" vm="1">
        <f t="shared" ca="1" si="13"/>
        <v>#NAME?</v>
      </c>
      <c r="F96" s="109">
        <f t="shared" si="14"/>
        <v>1</v>
      </c>
      <c r="G96" s="101" t="e" vm="1">
        <f t="shared" ca="1" si="11"/>
        <v>#NAME?</v>
      </c>
      <c r="H96" s="102" t="e" vm="1">
        <f t="shared" ca="1" si="12"/>
        <v>#NAME?</v>
      </c>
    </row>
    <row r="97" spans="1:8" x14ac:dyDescent="0.25">
      <c r="A97" s="1471"/>
      <c r="B97" s="299" t="str">
        <f t="shared" si="10"/>
        <v>Cinnamon Powder - قرفة مطحونة</v>
      </c>
      <c r="C97" s="299" t="str">
        <f t="shared" si="10"/>
        <v>gm</v>
      </c>
      <c r="D97" s="299">
        <f t="shared" si="10"/>
        <v>2</v>
      </c>
      <c r="E97" s="177" t="e" vm="1">
        <f t="shared" ca="1" si="13"/>
        <v>#NAME?</v>
      </c>
      <c r="F97" s="109">
        <f t="shared" si="14"/>
        <v>1</v>
      </c>
      <c r="G97" s="101" t="e" vm="1">
        <f t="shared" ca="1" si="11"/>
        <v>#NAME?</v>
      </c>
      <c r="H97" s="102" t="e" vm="1">
        <f t="shared" ca="1" si="12"/>
        <v>#NAME?</v>
      </c>
    </row>
    <row r="98" spans="1:8" x14ac:dyDescent="0.25">
      <c r="A98" s="1471"/>
      <c r="B98" s="299" t="str">
        <f t="shared" si="10"/>
        <v>Tomato Ketchup - كاتشب طماطم</v>
      </c>
      <c r="C98" s="299" t="str">
        <f t="shared" si="10"/>
        <v>ml</v>
      </c>
      <c r="D98" s="299">
        <f t="shared" si="10"/>
        <v>65</v>
      </c>
      <c r="E98" s="177" t="e" vm="1">
        <f t="shared" ca="1" si="13"/>
        <v>#NAME?</v>
      </c>
      <c r="F98" s="109">
        <f t="shared" si="14"/>
        <v>1</v>
      </c>
      <c r="G98" s="101" t="e" vm="1">
        <f t="shared" ca="1" si="11"/>
        <v>#NAME?</v>
      </c>
      <c r="H98" s="102" t="e" vm="1">
        <f t="shared" ca="1" si="12"/>
        <v>#NAME?</v>
      </c>
    </row>
    <row r="99" spans="1:8" x14ac:dyDescent="0.25">
      <c r="A99" s="1471"/>
      <c r="B99" s="299" t="str">
        <f t="shared" si="10"/>
        <v>Black Pepper Powder - فلفل أسود مطحون</v>
      </c>
      <c r="C99" s="299" t="str">
        <f t="shared" si="10"/>
        <v>gm</v>
      </c>
      <c r="D99" s="299">
        <f t="shared" si="10"/>
        <v>1</v>
      </c>
      <c r="E99" s="177" t="e" vm="1">
        <f t="shared" ca="1" si="13"/>
        <v>#NAME?</v>
      </c>
      <c r="F99" s="109">
        <f t="shared" si="14"/>
        <v>1</v>
      </c>
      <c r="G99" s="101" t="e" vm="1">
        <f t="shared" ca="1" si="11"/>
        <v>#NAME?</v>
      </c>
      <c r="H99" s="102" t="e" vm="1">
        <f t="shared" ca="1" si="12"/>
        <v>#NAME?</v>
      </c>
    </row>
    <row r="100" spans="1:8" x14ac:dyDescent="0.25">
      <c r="A100" s="1471"/>
      <c r="B100" s="299" t="str">
        <f t="shared" si="10"/>
        <v>Maggi Cubes - مكعبات ماجي</v>
      </c>
      <c r="C100" s="299" t="str">
        <f t="shared" si="10"/>
        <v>gm</v>
      </c>
      <c r="D100" s="299">
        <f t="shared" si="10"/>
        <v>5</v>
      </c>
      <c r="E100" s="177" t="e" vm="1">
        <f t="shared" ca="1" si="13"/>
        <v>#NAME?</v>
      </c>
      <c r="F100" s="109">
        <f t="shared" si="14"/>
        <v>1</v>
      </c>
      <c r="G100" s="101" t="e" vm="1">
        <f t="shared" ca="1" si="11"/>
        <v>#NAME?</v>
      </c>
      <c r="H100" s="102" t="e" vm="1">
        <f t="shared" ca="1" si="12"/>
        <v>#NAME?</v>
      </c>
    </row>
    <row r="101" spans="1:8" x14ac:dyDescent="0.25">
      <c r="A101" s="1471"/>
      <c r="B101" s="299" t="str">
        <f t="shared" si="10"/>
        <v>Sriracha Sauce - صوص سريراتشا</v>
      </c>
      <c r="C101" s="299" t="str">
        <f t="shared" si="10"/>
        <v>ml</v>
      </c>
      <c r="D101" s="299">
        <f t="shared" si="10"/>
        <v>20</v>
      </c>
      <c r="E101" s="177" t="e" vm="1">
        <f t="shared" ca="1" si="13"/>
        <v>#NAME?</v>
      </c>
      <c r="F101" s="109">
        <f t="shared" si="14"/>
        <v>1</v>
      </c>
      <c r="G101" s="101" t="e" vm="1">
        <f t="shared" ca="1" si="11"/>
        <v>#NAME?</v>
      </c>
      <c r="H101" s="102" t="e" vm="1">
        <f t="shared" ca="1" si="12"/>
        <v>#NAME?</v>
      </c>
    </row>
    <row r="102" spans="1:8" x14ac:dyDescent="0.25">
      <c r="A102" s="1471"/>
      <c r="B102" s="299" t="str">
        <f t="shared" si="10"/>
        <v>Corn Starch - نشا ذرة</v>
      </c>
      <c r="C102" s="299" t="str">
        <f t="shared" si="10"/>
        <v>gm</v>
      </c>
      <c r="D102" s="299">
        <f t="shared" si="10"/>
        <v>12</v>
      </c>
      <c r="E102" s="177" t="e" vm="1">
        <f t="shared" ca="1" si="13"/>
        <v>#NAME?</v>
      </c>
      <c r="F102" s="109">
        <f t="shared" si="14"/>
        <v>1</v>
      </c>
      <c r="G102" s="101" t="e" vm="1">
        <f t="shared" ca="1" si="11"/>
        <v>#NAME?</v>
      </c>
      <c r="H102" s="102" t="e" vm="1">
        <f t="shared" ca="1" si="12"/>
        <v>#NAME?</v>
      </c>
    </row>
    <row r="103" spans="1:8" x14ac:dyDescent="0.25">
      <c r="A103" s="1471" t="s">
        <v>909</v>
      </c>
      <c r="B103" s="299" t="str">
        <f t="shared" si="10"/>
        <v>Tomato - طماطم</v>
      </c>
      <c r="C103" s="299" t="str">
        <f t="shared" si="10"/>
        <v>gm</v>
      </c>
      <c r="D103" s="299">
        <f t="shared" si="10"/>
        <v>125</v>
      </c>
      <c r="E103" s="177" t="e" vm="1">
        <f t="shared" ca="1" si="13"/>
        <v>#NAME?</v>
      </c>
      <c r="F103" s="109">
        <f t="shared" si="14"/>
        <v>1</v>
      </c>
      <c r="G103" s="101" t="e" vm="1">
        <f t="shared" ca="1" si="11"/>
        <v>#NAME?</v>
      </c>
      <c r="H103" s="102" t="e" vm="1">
        <f t="shared" ca="1" si="12"/>
        <v>#NAME?</v>
      </c>
    </row>
    <row r="104" spans="1:8" x14ac:dyDescent="0.25">
      <c r="A104" s="1471"/>
      <c r="B104" s="299" t="str">
        <f t="shared" si="10"/>
        <v>Eggplant - باذنجان</v>
      </c>
      <c r="C104" s="299" t="str">
        <f t="shared" si="10"/>
        <v>gm</v>
      </c>
      <c r="D104" s="299">
        <f t="shared" si="10"/>
        <v>1500</v>
      </c>
      <c r="E104" s="177" t="e" vm="1">
        <f t="shared" ca="1" si="13"/>
        <v>#NAME?</v>
      </c>
      <c r="F104" s="109">
        <f t="shared" si="14"/>
        <v>1</v>
      </c>
      <c r="G104" s="101" t="e" vm="1">
        <f t="shared" ca="1" si="11"/>
        <v>#NAME?</v>
      </c>
      <c r="H104" s="102" t="e" vm="1">
        <f t="shared" ca="1" si="12"/>
        <v>#NAME?</v>
      </c>
    </row>
    <row r="105" spans="1:8" x14ac:dyDescent="0.25">
      <c r="A105" s="1471" t="s">
        <v>927</v>
      </c>
      <c r="B105" s="299" t="str">
        <f t="shared" si="10"/>
        <v xml:space="preserve">Red Bell Pepper - فلفل أحمر </v>
      </c>
      <c r="C105" s="299" t="str">
        <f t="shared" si="10"/>
        <v>gm</v>
      </c>
      <c r="D105" s="299">
        <f t="shared" si="10"/>
        <v>50</v>
      </c>
      <c r="E105" s="177" t="e" vm="1">
        <f t="shared" ca="1" si="13"/>
        <v>#NAME?</v>
      </c>
      <c r="F105" s="109">
        <f t="shared" si="14"/>
        <v>1</v>
      </c>
      <c r="G105" s="101" t="e" vm="1">
        <f t="shared" ca="1" si="11"/>
        <v>#NAME?</v>
      </c>
      <c r="H105" s="102" t="e" vm="1">
        <f t="shared" ca="1" si="12"/>
        <v>#NAME?</v>
      </c>
    </row>
    <row r="106" spans="1:8" x14ac:dyDescent="0.25">
      <c r="A106" s="1471" t="s">
        <v>927</v>
      </c>
      <c r="B106" s="299" t="str">
        <f t="shared" si="10"/>
        <v xml:space="preserve">Yellow Bell Pepper - فلفل أصفر </v>
      </c>
      <c r="C106" s="299" t="str">
        <f t="shared" si="10"/>
        <v>gm</v>
      </c>
      <c r="D106" s="299">
        <f t="shared" si="10"/>
        <v>50</v>
      </c>
      <c r="E106" s="177" t="e" vm="1">
        <f t="shared" ca="1" si="13"/>
        <v>#NAME?</v>
      </c>
      <c r="F106" s="109">
        <f t="shared" si="14"/>
        <v>1</v>
      </c>
      <c r="G106" s="101" t="e" vm="1">
        <f t="shared" ca="1" si="11"/>
        <v>#NAME?</v>
      </c>
      <c r="H106" s="102" t="e" vm="1">
        <f t="shared" ca="1" si="12"/>
        <v>#NAME?</v>
      </c>
    </row>
    <row r="107" spans="1:8" x14ac:dyDescent="0.25">
      <c r="A107" s="1471" t="s">
        <v>927</v>
      </c>
      <c r="B107" s="299" t="str">
        <f t="shared" si="10"/>
        <v>Green Bell Pepper - فلفل أخضر رومى</v>
      </c>
      <c r="C107" s="299" t="str">
        <f t="shared" si="10"/>
        <v>gm</v>
      </c>
      <c r="D107" s="299">
        <f t="shared" si="10"/>
        <v>50</v>
      </c>
      <c r="E107" s="177" t="e" vm="1">
        <f t="shared" ca="1" si="13"/>
        <v>#NAME?</v>
      </c>
      <c r="F107" s="109">
        <f t="shared" si="14"/>
        <v>1</v>
      </c>
      <c r="G107" s="101" t="e" vm="1">
        <f t="shared" ca="1" si="11"/>
        <v>#NAME?</v>
      </c>
      <c r="H107" s="102" t="e" vm="1">
        <f t="shared" ca="1" si="12"/>
        <v>#NAME?</v>
      </c>
    </row>
    <row r="108" spans="1:8" x14ac:dyDescent="0.25">
      <c r="A108" s="1471" t="s">
        <v>928</v>
      </c>
      <c r="B108" s="299" t="str">
        <f t="shared" si="10"/>
        <v>Potato - بطاطس</v>
      </c>
      <c r="C108" s="299" t="str">
        <f t="shared" si="10"/>
        <v>gm</v>
      </c>
      <c r="D108" s="299">
        <f t="shared" si="10"/>
        <v>300</v>
      </c>
      <c r="E108" s="177" t="e" vm="1">
        <f t="shared" ca="1" si="13"/>
        <v>#NAME?</v>
      </c>
      <c r="F108" s="109">
        <f t="shared" si="14"/>
        <v>1</v>
      </c>
      <c r="G108" s="101" t="e" vm="1">
        <f t="shared" ca="1" si="11"/>
        <v>#NAME?</v>
      </c>
      <c r="H108" s="102" t="e" vm="1">
        <f t="shared" ca="1" si="12"/>
        <v>#NAME?</v>
      </c>
    </row>
    <row r="109" spans="1:8" x14ac:dyDescent="0.25">
      <c r="A109" s="1471"/>
      <c r="B109" s="299" t="str">
        <f t="shared" si="10"/>
        <v>Butter - زبدة</v>
      </c>
      <c r="C109" s="299" t="str">
        <f t="shared" si="10"/>
        <v>gm</v>
      </c>
      <c r="D109" s="299">
        <f t="shared" si="10"/>
        <v>40</v>
      </c>
      <c r="E109" s="177" t="e" vm="1">
        <f t="shared" ca="1" si="13"/>
        <v>#NAME?</v>
      </c>
      <c r="F109" s="109">
        <f t="shared" si="14"/>
        <v>1</v>
      </c>
      <c r="G109" s="101" t="e" vm="1">
        <f t="shared" ca="1" si="11"/>
        <v>#NAME?</v>
      </c>
      <c r="H109" s="102" t="e" vm="1">
        <f t="shared" ca="1" si="12"/>
        <v>#NAME?</v>
      </c>
    </row>
    <row r="110" spans="1:8" ht="18" x14ac:dyDescent="0.25">
      <c r="A110" s="1497"/>
      <c r="B110" s="180" t="s">
        <v>273</v>
      </c>
      <c r="D110" s="796"/>
      <c r="E110" s="816"/>
      <c r="F110" s="796"/>
      <c r="G110" s="816"/>
      <c r="H110" s="816"/>
    </row>
    <row r="111" spans="1:8" ht="20.25" x14ac:dyDescent="0.3">
      <c r="A111" s="1497"/>
      <c r="B111" s="179" t="e" vm="1">
        <f ca="1">D54</f>
        <v>#NAME?</v>
      </c>
      <c r="D111" s="820"/>
      <c r="E111" s="817"/>
      <c r="F111" s="790"/>
      <c r="G111" s="818"/>
      <c r="H111" s="818"/>
    </row>
    <row r="112" spans="1:8"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8">
    <mergeCell ref="B88:H88"/>
    <mergeCell ref="B89:H89"/>
    <mergeCell ref="B64:H64"/>
    <mergeCell ref="AE2:AG3"/>
    <mergeCell ref="B63:H63"/>
    <mergeCell ref="R26:U26"/>
    <mergeCell ref="R25:U25"/>
    <mergeCell ref="B2:K3"/>
  </mergeCells>
  <printOptions horizontalCentered="1"/>
  <pageMargins left="0.4" right="0.4" top="1" bottom="0.5" header="0.3" footer="0.511811023622047"/>
  <pageSetup paperSize="9" scale="66" fitToHeight="0" orientation="landscape" r:id="rId1"/>
  <headerFooter>
    <oddHeader>&amp;C&amp;B&amp;16Moussaka Vegi&amp;R&amp;B Day 3</oddHeader>
    <oddFooter>&amp;CPage &amp;P of &amp;N</oddFooter>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7" tint="-0.249977111117893"/>
    <pageSetUpPr fitToPage="1"/>
  </sheetPr>
  <dimension ref="A1:AG174"/>
  <sheetViews>
    <sheetView topLeftCell="A68" zoomScale="85" zoomScaleNormal="85" workbookViewId="0">
      <selection activeCell="B85" sqref="B85:H85"/>
    </sheetView>
  </sheetViews>
  <sheetFormatPr defaultColWidth="12.5" defaultRowHeight="15" x14ac:dyDescent="0.25"/>
  <cols>
    <col min="1" max="1" width="12.5" style="63" customWidth="1"/>
    <col min="2" max="2" width="39.8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3" width="15.375" style="14" customWidth="1"/>
    <col min="14" max="17" width="12.5" style="14" customWidth="1"/>
    <col min="18" max="18" width="30.5" style="14" customWidth="1"/>
    <col min="19" max="19" width="12.5" style="14" customWidth="1"/>
    <col min="20" max="27" width="12.5" style="14"/>
    <col min="28" max="28" width="11.75" style="14" bestFit="1" customWidth="1"/>
    <col min="29" max="29" width="13.25" style="14" bestFit="1" customWidth="1"/>
    <col min="30" max="16384" width="12.5" style="14"/>
  </cols>
  <sheetData>
    <row r="1" spans="1:33" ht="35.25" customHeight="1" x14ac:dyDescent="0.25">
      <c r="B1" s="64" t="s">
        <v>231</v>
      </c>
      <c r="C1" s="65">
        <v>1000</v>
      </c>
      <c r="D1" s="66" t="s">
        <v>232</v>
      </c>
      <c r="E1" s="99">
        <f>T32</f>
        <v>8991.3851999999988</v>
      </c>
      <c r="F1" s="64" t="s">
        <v>233</v>
      </c>
      <c r="G1" s="193">
        <f>E1/C1</f>
        <v>8.9913851999999981</v>
      </c>
      <c r="H1" s="64" t="s">
        <v>234</v>
      </c>
      <c r="I1" s="418">
        <f>G1/K1</f>
        <v>8.9913851999999981</v>
      </c>
      <c r="J1" s="70" t="s">
        <v>235</v>
      </c>
      <c r="K1" s="121">
        <v>1</v>
      </c>
      <c r="L1" s="84"/>
      <c r="M1" s="73"/>
      <c r="N1" s="74"/>
      <c r="O1" s="75" t="s">
        <v>236</v>
      </c>
      <c r="P1" s="76" t="s">
        <v>289</v>
      </c>
      <c r="Q1" s="77" t="s">
        <v>238</v>
      </c>
      <c r="R1" s="76">
        <v>0.66</v>
      </c>
      <c r="Y1" s="75" t="s">
        <v>453</v>
      </c>
      <c r="Z1" s="766">
        <v>25320</v>
      </c>
      <c r="AA1" s="75" t="s">
        <v>556</v>
      </c>
      <c r="AB1" s="766">
        <v>0</v>
      </c>
      <c r="AC1" s="75" t="s">
        <v>546</v>
      </c>
      <c r="AD1" s="766">
        <v>167</v>
      </c>
    </row>
    <row r="2" spans="1:33" ht="12.75" customHeight="1" x14ac:dyDescent="0.25">
      <c r="A2" s="81"/>
      <c r="B2" s="1645"/>
      <c r="C2" s="1655"/>
      <c r="D2" s="1655"/>
      <c r="E2" s="1655"/>
      <c r="F2" s="1655"/>
      <c r="G2" s="1655"/>
      <c r="H2" s="1655"/>
      <c r="I2" s="1655"/>
      <c r="J2" s="1655"/>
      <c r="K2" s="1655"/>
      <c r="L2" s="270"/>
      <c r="M2" s="84"/>
      <c r="N2" s="84"/>
      <c r="O2" s="84"/>
      <c r="P2" s="84"/>
      <c r="Q2" s="84"/>
      <c r="R2" s="84"/>
      <c r="AE2" s="1647"/>
      <c r="AF2" s="1655"/>
      <c r="AG2" s="1655"/>
    </row>
    <row r="3" spans="1:33" ht="12.75" customHeight="1" x14ac:dyDescent="0.25">
      <c r="A3" s="81"/>
      <c r="B3" s="1633"/>
      <c r="C3" s="1633"/>
      <c r="D3" s="1633"/>
      <c r="E3" s="1633"/>
      <c r="F3" s="1633"/>
      <c r="G3" s="1633"/>
      <c r="H3" s="1633"/>
      <c r="I3" s="1633"/>
      <c r="J3" s="1633"/>
      <c r="K3" s="1633"/>
      <c r="L3" s="270"/>
      <c r="M3" s="84"/>
      <c r="N3" s="84"/>
      <c r="O3" s="84"/>
      <c r="P3" s="84"/>
      <c r="Q3" s="84"/>
      <c r="R3" s="84"/>
      <c r="AE3" s="1655"/>
      <c r="AF3" s="1655"/>
      <c r="AG3" s="1655"/>
    </row>
    <row r="4" spans="1:33" ht="48.75" customHeight="1" x14ac:dyDescent="0.2">
      <c r="A4" s="221" t="s">
        <v>903</v>
      </c>
      <c r="B4" s="221" t="s">
        <v>241</v>
      </c>
      <c r="C4" s="222" t="s">
        <v>242</v>
      </c>
      <c r="D4" s="223" t="s">
        <v>231</v>
      </c>
      <c r="E4" s="197" t="s">
        <v>234</v>
      </c>
      <c r="F4" s="197" t="s">
        <v>243</v>
      </c>
      <c r="G4" s="223" t="s">
        <v>244</v>
      </c>
      <c r="H4" s="197" t="s">
        <v>245</v>
      </c>
      <c r="I4" s="75" t="s">
        <v>246</v>
      </c>
      <c r="J4" s="75" t="s">
        <v>247</v>
      </c>
      <c r="K4" s="75" t="s">
        <v>248</v>
      </c>
      <c r="L4" s="75" t="s">
        <v>249</v>
      </c>
      <c r="M4" s="84"/>
      <c r="N4" s="84"/>
      <c r="O4" s="84"/>
      <c r="P4" s="84"/>
    </row>
    <row r="5" spans="1:33" ht="14.25" customHeight="1" x14ac:dyDescent="0.2">
      <c r="A5" s="1495"/>
      <c r="B5" s="200" t="s">
        <v>226</v>
      </c>
      <c r="C5" s="97" t="s">
        <v>14</v>
      </c>
      <c r="D5" s="103">
        <f>I51/10</f>
        <v>2751.8181818181815</v>
      </c>
      <c r="E5" s="69">
        <f>H52</f>
        <v>8.9905378262305913</v>
      </c>
      <c r="F5" s="109">
        <v>1</v>
      </c>
      <c r="G5" s="103">
        <f t="shared" ref="G5:G19" si="0">D5*E5</f>
        <v>24740.325454545451</v>
      </c>
      <c r="H5" s="102">
        <f t="shared" ref="H5:H19" si="1">G5*F5</f>
        <v>24740.325454545451</v>
      </c>
      <c r="I5" s="65">
        <f>VLOOKUP(B5,All_Ingredients!$A$1:$F$156,6,FALSE())</f>
        <v>0.99</v>
      </c>
      <c r="J5" s="101">
        <f>VLOOKUP(B5,All_Ingredients!$A$1:$J$156,10,FALSE())</f>
        <v>11.75</v>
      </c>
      <c r="K5" s="104">
        <f>(H5/I5)/1000</f>
        <v>24.990227731864092</v>
      </c>
      <c r="L5" s="104">
        <f>K5*J5</f>
        <v>293.63517584940308</v>
      </c>
      <c r="M5" s="84"/>
      <c r="N5" s="84"/>
      <c r="O5" s="84"/>
      <c r="P5" s="84"/>
    </row>
    <row r="6" spans="1:33" ht="14.25" customHeight="1" x14ac:dyDescent="0.25">
      <c r="A6" s="1471" t="s">
        <v>920</v>
      </c>
      <c r="B6" s="200" t="s">
        <v>12</v>
      </c>
      <c r="C6" s="106" t="s">
        <v>14</v>
      </c>
      <c r="D6" s="107">
        <v>416</v>
      </c>
      <c r="E6" s="98">
        <f>$G$1</f>
        <v>8.9913851999999981</v>
      </c>
      <c r="F6" s="109">
        <v>1</v>
      </c>
      <c r="G6" s="103">
        <f t="shared" si="0"/>
        <v>3740.4162431999994</v>
      </c>
      <c r="H6" s="102">
        <f t="shared" si="1"/>
        <v>3740.4162431999994</v>
      </c>
      <c r="I6" s="65">
        <f>VLOOKUP(B6,All_Ingredients!$A$1:$F$156,6,FALSE())</f>
        <v>0.9</v>
      </c>
      <c r="J6" s="101">
        <f>VLOOKUP(B6,All_Ingredients!$A$1:$J$156,10,FALSE())</f>
        <v>3</v>
      </c>
      <c r="K6" s="104">
        <f t="shared" ref="K6:K19" si="2">(H6/I6)/1000</f>
        <v>4.1560180479999991</v>
      </c>
      <c r="L6" s="104">
        <f t="shared" ref="L6:L19" si="3">K6*J6</f>
        <v>12.468054143999996</v>
      </c>
    </row>
    <row r="7" spans="1:33" ht="14.25" customHeight="1" x14ac:dyDescent="0.25">
      <c r="A7" s="1471"/>
      <c r="B7" s="200" t="s">
        <v>152</v>
      </c>
      <c r="C7" s="106" t="s">
        <v>14</v>
      </c>
      <c r="D7" s="107">
        <v>25</v>
      </c>
      <c r="E7" s="98">
        <f t="shared" ref="E7:E19" si="4">$G$1</f>
        <v>8.9913851999999981</v>
      </c>
      <c r="F7" s="109">
        <v>1</v>
      </c>
      <c r="G7" s="103">
        <f t="shared" si="0"/>
        <v>224.78462999999996</v>
      </c>
      <c r="H7" s="102">
        <f t="shared" si="1"/>
        <v>224.78462999999996</v>
      </c>
      <c r="I7" s="65">
        <f>VLOOKUP(B7,All_Ingredients!$A$1:$F$156,6,FALSE())</f>
        <v>1</v>
      </c>
      <c r="J7" s="101">
        <f>VLOOKUP(B7,All_Ingredients!$A$1:$J$156,10,FALSE())</f>
        <v>30</v>
      </c>
      <c r="K7" s="104">
        <f t="shared" si="2"/>
        <v>0.22478462999999996</v>
      </c>
      <c r="L7" s="104">
        <f t="shared" si="3"/>
        <v>6.743538899999999</v>
      </c>
    </row>
    <row r="8" spans="1:33" ht="14.25" customHeight="1" x14ac:dyDescent="0.25">
      <c r="A8" s="1471" t="s">
        <v>909</v>
      </c>
      <c r="B8" s="200" t="s">
        <v>17</v>
      </c>
      <c r="C8" s="106" t="s">
        <v>14</v>
      </c>
      <c r="D8" s="107">
        <v>416</v>
      </c>
      <c r="E8" s="98">
        <f t="shared" si="4"/>
        <v>8.9913851999999981</v>
      </c>
      <c r="F8" s="109">
        <v>1</v>
      </c>
      <c r="G8" s="103">
        <f t="shared" si="0"/>
        <v>3740.4162431999994</v>
      </c>
      <c r="H8" s="102">
        <f t="shared" si="1"/>
        <v>3740.4162431999994</v>
      </c>
      <c r="I8" s="65">
        <f>VLOOKUP(B8,All_Ingredients!$A$1:$F$156,6,FALSE())</f>
        <v>0.98</v>
      </c>
      <c r="J8" s="101">
        <f>VLOOKUP(B8,All_Ingredients!$A$1:$J$156,10,FALSE())</f>
        <v>3.5</v>
      </c>
      <c r="K8" s="104">
        <f t="shared" si="2"/>
        <v>3.8167512685714278</v>
      </c>
      <c r="L8" s="104">
        <f t="shared" si="3"/>
        <v>13.358629439999998</v>
      </c>
    </row>
    <row r="9" spans="1:33" ht="14.25" customHeight="1" x14ac:dyDescent="0.25">
      <c r="A9" s="1471"/>
      <c r="B9" s="200" t="s">
        <v>105</v>
      </c>
      <c r="C9" s="106" t="s">
        <v>14</v>
      </c>
      <c r="D9" s="107">
        <v>8</v>
      </c>
      <c r="E9" s="98">
        <f t="shared" si="4"/>
        <v>8.9913851999999981</v>
      </c>
      <c r="F9" s="109">
        <v>1</v>
      </c>
      <c r="G9" s="103">
        <f t="shared" si="0"/>
        <v>71.931081599999985</v>
      </c>
      <c r="H9" s="102">
        <f t="shared" si="1"/>
        <v>71.931081599999985</v>
      </c>
      <c r="I9" s="65">
        <f>VLOOKUP(B9,All_Ingredients!$A$1:$F$156,6,FALSE())</f>
        <v>1</v>
      </c>
      <c r="J9" s="101">
        <f>VLOOKUP(B9,All_Ingredients!$A$1:$J$156,10,FALSE())</f>
        <v>15</v>
      </c>
      <c r="K9" s="104">
        <f t="shared" si="2"/>
        <v>7.1931081599999988E-2</v>
      </c>
      <c r="L9" s="104">
        <f t="shared" si="3"/>
        <v>1.0789662239999998</v>
      </c>
    </row>
    <row r="10" spans="1:33" ht="14.25" customHeight="1" x14ac:dyDescent="0.25">
      <c r="A10" s="1471"/>
      <c r="B10" s="200" t="s">
        <v>107</v>
      </c>
      <c r="C10" s="106" t="s">
        <v>14</v>
      </c>
      <c r="D10" s="107">
        <v>16</v>
      </c>
      <c r="E10" s="98">
        <f t="shared" si="4"/>
        <v>8.9913851999999981</v>
      </c>
      <c r="F10" s="109">
        <v>1</v>
      </c>
      <c r="G10" s="103">
        <f t="shared" si="0"/>
        <v>143.86216319999997</v>
      </c>
      <c r="H10" s="102">
        <f t="shared" si="1"/>
        <v>143.86216319999997</v>
      </c>
      <c r="I10" s="65">
        <f>VLOOKUP(B10,All_Ingredients!$A$1:$F$156,6,FALSE())</f>
        <v>1</v>
      </c>
      <c r="J10" s="101">
        <f>VLOOKUP(B10,All_Ingredients!$A$1:$J$156,10,FALSE())</f>
        <v>8</v>
      </c>
      <c r="K10" s="104">
        <f t="shared" si="2"/>
        <v>0.14386216319999998</v>
      </c>
      <c r="L10" s="104">
        <f t="shared" si="3"/>
        <v>1.1508973055999998</v>
      </c>
      <c r="Q10" s="419" t="s">
        <v>381</v>
      </c>
      <c r="R10" s="314" t="s">
        <v>382</v>
      </c>
      <c r="S10" s="314" t="s">
        <v>383</v>
      </c>
    </row>
    <row r="11" spans="1:33" ht="14.25" customHeight="1" x14ac:dyDescent="0.25">
      <c r="A11" s="1471"/>
      <c r="B11" s="200" t="s">
        <v>122</v>
      </c>
      <c r="C11" s="106" t="s">
        <v>14</v>
      </c>
      <c r="D11" s="107">
        <v>8</v>
      </c>
      <c r="E11" s="98">
        <f t="shared" si="4"/>
        <v>8.9913851999999981</v>
      </c>
      <c r="F11" s="109">
        <v>1</v>
      </c>
      <c r="G11" s="103">
        <f t="shared" si="0"/>
        <v>71.931081599999985</v>
      </c>
      <c r="H11" s="102">
        <f t="shared" si="1"/>
        <v>71.931081599999985</v>
      </c>
      <c r="I11" s="65">
        <f>VLOOKUP(B11,All_Ingredients!$A$1:$F$156,6,FALSE())</f>
        <v>1</v>
      </c>
      <c r="J11" s="101">
        <f>VLOOKUP(B11,All_Ingredients!$A$1:$J$156,10,FALSE())</f>
        <v>14</v>
      </c>
      <c r="K11" s="104">
        <f t="shared" si="2"/>
        <v>7.1931081599999988E-2</v>
      </c>
      <c r="L11" s="104">
        <f t="shared" si="3"/>
        <v>1.0070351423999999</v>
      </c>
      <c r="Q11" s="14">
        <v>17500</v>
      </c>
      <c r="R11" s="14">
        <v>11750</v>
      </c>
      <c r="S11" s="14">
        <v>18220</v>
      </c>
    </row>
    <row r="12" spans="1:33" ht="14.25" customHeight="1" x14ac:dyDescent="0.25">
      <c r="A12" s="1471"/>
      <c r="B12" s="200" t="s">
        <v>99</v>
      </c>
      <c r="C12" s="106" t="s">
        <v>14</v>
      </c>
      <c r="D12" s="107">
        <v>10</v>
      </c>
      <c r="E12" s="98">
        <f t="shared" si="4"/>
        <v>8.9913851999999981</v>
      </c>
      <c r="F12" s="109">
        <v>1</v>
      </c>
      <c r="G12" s="103">
        <f t="shared" si="0"/>
        <v>89.913851999999977</v>
      </c>
      <c r="H12" s="102">
        <f t="shared" si="1"/>
        <v>89.913851999999977</v>
      </c>
      <c r="I12" s="65">
        <f>VLOOKUP(B12,All_Ingredients!$A$1:$F$156,6,FALSE())</f>
        <v>1</v>
      </c>
      <c r="J12" s="101">
        <f>VLOOKUP(B12,All_Ingredients!$A$1:$J$156,10,FALSE())</f>
        <v>31</v>
      </c>
      <c r="K12" s="104">
        <f t="shared" si="2"/>
        <v>8.9913851999999975E-2</v>
      </c>
      <c r="L12" s="104">
        <f t="shared" si="3"/>
        <v>2.7873294119999992</v>
      </c>
      <c r="R12" s="14">
        <f>S11-R11</f>
        <v>6470</v>
      </c>
    </row>
    <row r="13" spans="1:33" ht="14.25" customHeight="1" x14ac:dyDescent="0.25">
      <c r="A13" s="1471"/>
      <c r="B13" s="200" t="s">
        <v>698</v>
      </c>
      <c r="C13" s="106" t="s">
        <v>14</v>
      </c>
      <c r="D13" s="107">
        <v>900</v>
      </c>
      <c r="E13" s="98">
        <f t="shared" si="4"/>
        <v>8.9913851999999981</v>
      </c>
      <c r="F13" s="109">
        <v>1</v>
      </c>
      <c r="G13" s="103">
        <f t="shared" si="0"/>
        <v>8092.2466799999984</v>
      </c>
      <c r="H13" s="102">
        <f t="shared" si="1"/>
        <v>8092.2466799999984</v>
      </c>
      <c r="I13" s="65">
        <f>VLOOKUP(B13,All_Ingredients!$A$1:$F$156,6,FALSE())</f>
        <v>1</v>
      </c>
      <c r="J13" s="101">
        <f>VLOOKUP(B13,All_Ingredients!$A$1:$J$156,10,FALSE())</f>
        <v>8.1520833333333336</v>
      </c>
      <c r="K13" s="104">
        <f t="shared" si="2"/>
        <v>8.0922466799999988</v>
      </c>
      <c r="L13" s="104">
        <f t="shared" si="3"/>
        <v>65.968669289249988</v>
      </c>
      <c r="R13" s="364">
        <f>R12/S11</f>
        <v>0.35510428100987923</v>
      </c>
    </row>
    <row r="14" spans="1:33" ht="14.25" customHeight="1" x14ac:dyDescent="0.25">
      <c r="A14" s="1471"/>
      <c r="B14" s="200" t="s">
        <v>93</v>
      </c>
      <c r="C14" s="106" t="s">
        <v>14</v>
      </c>
      <c r="D14" s="107">
        <v>11</v>
      </c>
      <c r="E14" s="98">
        <f t="shared" si="4"/>
        <v>8.9913851999999981</v>
      </c>
      <c r="F14" s="109">
        <v>0.75</v>
      </c>
      <c r="G14" s="103">
        <f t="shared" si="0"/>
        <v>98.905237199999974</v>
      </c>
      <c r="H14" s="102">
        <f t="shared" si="1"/>
        <v>74.178927899999977</v>
      </c>
      <c r="I14" s="65">
        <f>VLOOKUP(B14,All_Ingredients!$A$1:$F$156,6,FALSE())</f>
        <v>1</v>
      </c>
      <c r="J14" s="101">
        <f>VLOOKUP(B14,All_Ingredients!$A$1:$J$156,10,FALSE())</f>
        <v>0.74</v>
      </c>
      <c r="K14" s="104">
        <f t="shared" si="2"/>
        <v>7.4178927899999983E-2</v>
      </c>
      <c r="L14" s="104">
        <f t="shared" si="3"/>
        <v>5.4892406645999987E-2</v>
      </c>
      <c r="R14" s="384">
        <f>R11/S11</f>
        <v>0.64489571899012077</v>
      </c>
    </row>
    <row r="15" spans="1:33" ht="14.25" customHeight="1" x14ac:dyDescent="0.25">
      <c r="A15" s="1471"/>
      <c r="B15" s="200" t="s">
        <v>139</v>
      </c>
      <c r="C15" s="106" t="s">
        <v>14</v>
      </c>
      <c r="D15" s="107">
        <v>20</v>
      </c>
      <c r="E15" s="98">
        <f t="shared" si="4"/>
        <v>8.9913851999999981</v>
      </c>
      <c r="F15" s="109">
        <v>1</v>
      </c>
      <c r="G15" s="103">
        <f t="shared" si="0"/>
        <v>179.82770399999995</v>
      </c>
      <c r="H15" s="102">
        <f t="shared" si="1"/>
        <v>179.82770399999995</v>
      </c>
      <c r="I15" s="65">
        <f>VLOOKUP(B15,All_Ingredients!$A$1:$F$156,6,FALSE())</f>
        <v>1</v>
      </c>
      <c r="J15" s="101">
        <f>VLOOKUP(B15,All_Ingredients!$A$1:$J$156,10,FALSE())</f>
        <v>15.277777777777779</v>
      </c>
      <c r="K15" s="104">
        <f t="shared" si="2"/>
        <v>0.17982770399999995</v>
      </c>
      <c r="L15" s="104">
        <f t="shared" si="3"/>
        <v>2.7473676999999994</v>
      </c>
    </row>
    <row r="16" spans="1:33" ht="14.25" customHeight="1" x14ac:dyDescent="0.25">
      <c r="A16" s="1471"/>
      <c r="B16" s="200" t="s">
        <v>208</v>
      </c>
      <c r="C16" s="106" t="s">
        <v>160</v>
      </c>
      <c r="D16" s="107">
        <v>33</v>
      </c>
      <c r="E16" s="98">
        <f t="shared" si="4"/>
        <v>8.9913851999999981</v>
      </c>
      <c r="F16" s="109">
        <v>1</v>
      </c>
      <c r="G16" s="103">
        <f t="shared" si="0"/>
        <v>296.71571159999996</v>
      </c>
      <c r="H16" s="102">
        <f t="shared" si="1"/>
        <v>296.71571159999996</v>
      </c>
      <c r="I16" s="65">
        <f>VLOOKUP(B16,All_Ingredients!$A$1:$F$156,6,FALSE())</f>
        <v>1</v>
      </c>
      <c r="J16" s="101">
        <f>VLOOKUP(B16,All_Ingredients!$A$1:$J$156,10,FALSE())</f>
        <v>2.1621621621621623</v>
      </c>
      <c r="K16" s="104">
        <f t="shared" si="2"/>
        <v>0.29671571159999999</v>
      </c>
      <c r="L16" s="104">
        <f t="shared" si="3"/>
        <v>0.64154748454054056</v>
      </c>
    </row>
    <row r="17" spans="1:30" ht="14.25" customHeight="1" x14ac:dyDescent="0.25">
      <c r="A17" s="1471" t="s">
        <v>907</v>
      </c>
      <c r="B17" s="200" t="s">
        <v>727</v>
      </c>
      <c r="C17" s="106" t="s">
        <v>14</v>
      </c>
      <c r="D17" s="107">
        <v>25</v>
      </c>
      <c r="E17" s="98">
        <f t="shared" si="4"/>
        <v>8.9913851999999981</v>
      </c>
      <c r="F17" s="109">
        <v>1</v>
      </c>
      <c r="G17" s="103">
        <f t="shared" si="0"/>
        <v>224.78462999999996</v>
      </c>
      <c r="H17" s="102">
        <f t="shared" si="1"/>
        <v>224.78462999999996</v>
      </c>
      <c r="I17" s="65">
        <f>VLOOKUP(B17,All_Ingredients!$A$1:$F$156,6,FALSE())</f>
        <v>1</v>
      </c>
      <c r="J17" s="101">
        <f>VLOOKUP(B17,All_Ingredients!$A$1:$J$156,10,FALSE())</f>
        <v>10.5</v>
      </c>
      <c r="K17" s="104">
        <f t="shared" si="2"/>
        <v>0.22478462999999996</v>
      </c>
      <c r="L17" s="104">
        <f t="shared" si="3"/>
        <v>2.3602386149999997</v>
      </c>
    </row>
    <row r="18" spans="1:30" ht="14.25" customHeight="1" x14ac:dyDescent="0.25">
      <c r="A18" s="1471"/>
      <c r="B18" s="200" t="s">
        <v>192</v>
      </c>
      <c r="C18" s="106" t="s">
        <v>160</v>
      </c>
      <c r="D18" s="107">
        <v>20</v>
      </c>
      <c r="E18" s="98">
        <f t="shared" si="4"/>
        <v>8.9913851999999981</v>
      </c>
      <c r="F18" s="109">
        <v>1</v>
      </c>
      <c r="G18" s="103">
        <f t="shared" si="0"/>
        <v>179.82770399999995</v>
      </c>
      <c r="H18" s="102">
        <f t="shared" si="1"/>
        <v>179.82770399999995</v>
      </c>
      <c r="I18" s="65">
        <f>VLOOKUP(B18,All_Ingredients!$A$1:$F$156,6,FALSE())</f>
        <v>1</v>
      </c>
      <c r="J18" s="101">
        <f>VLOOKUP(B18,All_Ingredients!$A$1:$J$156,10,FALSE())</f>
        <v>58.685446009389672</v>
      </c>
      <c r="K18" s="104">
        <f t="shared" si="2"/>
        <v>0.17982770399999995</v>
      </c>
      <c r="L18" s="104">
        <f t="shared" si="3"/>
        <v>10.553269014084504</v>
      </c>
    </row>
    <row r="19" spans="1:30" ht="14.25" customHeight="1" x14ac:dyDescent="0.25">
      <c r="A19" s="1471"/>
      <c r="B19" s="200" t="s">
        <v>185</v>
      </c>
      <c r="C19" s="106" t="s">
        <v>14</v>
      </c>
      <c r="D19" s="107">
        <v>40</v>
      </c>
      <c r="E19" s="98">
        <f t="shared" si="4"/>
        <v>8.9913851999999981</v>
      </c>
      <c r="F19" s="109">
        <v>1</v>
      </c>
      <c r="G19" s="103">
        <f t="shared" si="0"/>
        <v>359.65540799999991</v>
      </c>
      <c r="H19" s="102">
        <f t="shared" si="1"/>
        <v>359.65540799999991</v>
      </c>
      <c r="I19" s="65">
        <f>VLOOKUP(B19,All_Ingredients!$A$1:$F$156,6,FALSE())</f>
        <v>1</v>
      </c>
      <c r="J19" s="101">
        <f>VLOOKUP(B19,All_Ingredients!$A$1:$J$156,10,FALSE())</f>
        <v>1.7</v>
      </c>
      <c r="K19" s="104">
        <f t="shared" si="2"/>
        <v>0.3596554079999999</v>
      </c>
      <c r="L19" s="104">
        <f t="shared" si="3"/>
        <v>0.61141419359999982</v>
      </c>
    </row>
    <row r="20" spans="1:30" ht="14.25" customHeight="1" x14ac:dyDescent="0.25">
      <c r="A20" s="1472"/>
      <c r="B20" s="200"/>
      <c r="C20" s="106"/>
      <c r="D20" s="107"/>
      <c r="E20" s="309"/>
      <c r="F20" s="117"/>
      <c r="G20" s="121"/>
      <c r="H20" s="119"/>
      <c r="I20" s="76"/>
      <c r="J20" s="120"/>
      <c r="L20" s="274"/>
    </row>
    <row r="21" spans="1:30" ht="14.25" customHeight="1" x14ac:dyDescent="0.25">
      <c r="A21" s="1472"/>
      <c r="L21" s="274"/>
    </row>
    <row r="22" spans="1:30" ht="14.25" customHeight="1" x14ac:dyDescent="0.25">
      <c r="A22" s="1472"/>
      <c r="L22" s="274"/>
    </row>
    <row r="23" spans="1:30" ht="14.25" customHeight="1" x14ac:dyDescent="0.25">
      <c r="A23" s="1472"/>
      <c r="L23" s="274"/>
    </row>
    <row r="24" spans="1:30" ht="14.25" customHeight="1" x14ac:dyDescent="0.25">
      <c r="A24" s="1472"/>
      <c r="L24" s="274"/>
      <c r="Z24" s="1073"/>
    </row>
    <row r="25" spans="1:30" ht="14.25" customHeight="1" x14ac:dyDescent="0.25">
      <c r="A25" s="1472"/>
      <c r="L25" s="274"/>
      <c r="R25" s="1662" t="s">
        <v>384</v>
      </c>
      <c r="S25" s="1633"/>
      <c r="T25" s="1633"/>
      <c r="U25" s="1633"/>
      <c r="Z25" s="122" t="s">
        <v>252</v>
      </c>
      <c r="AA25" s="123">
        <v>1</v>
      </c>
      <c r="AB25" s="122" t="s">
        <v>249</v>
      </c>
      <c r="AC25" s="1075">
        <f>AD30*AA25</f>
        <v>1.639409008400174E-2</v>
      </c>
    </row>
    <row r="26" spans="1:30" ht="14.25" customHeight="1" x14ac:dyDescent="0.25">
      <c r="A26" s="1472"/>
      <c r="L26" s="274"/>
      <c r="R26" s="1662" t="s">
        <v>796</v>
      </c>
      <c r="S26" s="1633"/>
      <c r="T26" s="1633"/>
      <c r="U26" s="1633"/>
    </row>
    <row r="27" spans="1:30" ht="23.25" customHeight="1" thickBot="1" x14ac:dyDescent="0.3">
      <c r="A27" s="1472"/>
      <c r="B27" s="84"/>
      <c r="E27" s="84"/>
      <c r="F27" s="84"/>
      <c r="L27" s="274"/>
      <c r="R27" s="126" t="s">
        <v>254</v>
      </c>
      <c r="S27" s="127" t="s">
        <v>379</v>
      </c>
      <c r="T27" s="127" t="s">
        <v>256</v>
      </c>
      <c r="U27" s="127" t="s">
        <v>257</v>
      </c>
      <c r="V27" s="127" t="s">
        <v>779</v>
      </c>
      <c r="Z27" s="122" t="s">
        <v>258</v>
      </c>
      <c r="AA27" s="128" t="s">
        <v>259</v>
      </c>
      <c r="AB27" s="128" t="s">
        <v>260</v>
      </c>
      <c r="AC27" s="1032" t="s">
        <v>779</v>
      </c>
      <c r="AD27" s="128" t="s">
        <v>262</v>
      </c>
    </row>
    <row r="28" spans="1:30" ht="24" customHeight="1" thickBot="1" x14ac:dyDescent="0.3">
      <c r="A28" s="1472"/>
      <c r="B28" s="84"/>
      <c r="E28" s="84"/>
      <c r="F28" s="84"/>
      <c r="R28" s="129" t="s">
        <v>263</v>
      </c>
      <c r="S28" s="1174">
        <f>U28*S40</f>
        <v>16328.614799999999</v>
      </c>
      <c r="T28" s="690">
        <f>U28*U40</f>
        <v>8991.3851999999988</v>
      </c>
      <c r="U28" s="696">
        <f>$Z$1</f>
        <v>25320</v>
      </c>
      <c r="V28" s="130">
        <f>H37</f>
        <v>167</v>
      </c>
      <c r="Z28" s="132"/>
      <c r="AA28" s="133">
        <f>AA25*$S$40</f>
        <v>0.64488999999999996</v>
      </c>
      <c r="AB28" s="133">
        <f>AA25*$U$40</f>
        <v>0.35510999999999998</v>
      </c>
      <c r="AC28" s="1034"/>
      <c r="AD28" s="135">
        <f>SUM(AA28:AB28)</f>
        <v>1</v>
      </c>
    </row>
    <row r="29" spans="1:30" ht="14.25" customHeight="1" thickBot="1" x14ac:dyDescent="0.3">
      <c r="A29" s="1472"/>
      <c r="R29" s="129" t="s">
        <v>264</v>
      </c>
      <c r="S29" s="692"/>
      <c r="T29" s="690"/>
      <c r="U29" s="130">
        <f>T29</f>
        <v>0</v>
      </c>
      <c r="V29" s="130"/>
      <c r="Z29" s="132"/>
      <c r="AA29" s="137">
        <f>AA28/$AD$28</f>
        <v>0.64488999999999996</v>
      </c>
      <c r="AB29" s="137">
        <f>AB28/$AD$28</f>
        <v>0.35510999999999998</v>
      </c>
      <c r="AC29" s="1038"/>
      <c r="AD29" s="137">
        <f>AD28/$AD$28</f>
        <v>1</v>
      </c>
    </row>
    <row r="30" spans="1:30" ht="14.25" customHeight="1" thickBot="1" x14ac:dyDescent="0.3">
      <c r="A30" s="1472"/>
      <c r="R30" s="129" t="s">
        <v>265</v>
      </c>
      <c r="S30" s="1162">
        <f>U30*S40</f>
        <v>0</v>
      </c>
      <c r="T30" s="690">
        <f>U30*U40</f>
        <v>0</v>
      </c>
      <c r="U30" s="1173">
        <f>$AB$1</f>
        <v>0</v>
      </c>
      <c r="V30" s="989"/>
      <c r="Z30" s="122" t="s">
        <v>266</v>
      </c>
      <c r="AA30" s="138">
        <f>S35/(S28)</f>
        <v>1.79828588919498E-2</v>
      </c>
      <c r="AB30" s="139">
        <f>T35/T32</f>
        <v>1.3448476779475652E-2</v>
      </c>
      <c r="AC30" s="1045">
        <f>V35/U32</f>
        <v>2.1435624012638231E-5</v>
      </c>
      <c r="AD30" s="1047">
        <f>SUMPRODUCT(AA30:AB30,AA29:AB29)+AC30</f>
        <v>1.639409008400174E-2</v>
      </c>
    </row>
    <row r="31" spans="1:30" ht="14.25" customHeight="1" thickBot="1" x14ac:dyDescent="0.3">
      <c r="A31" s="1472"/>
      <c r="R31" s="129" t="s">
        <v>267</v>
      </c>
      <c r="S31" s="136"/>
      <c r="T31" s="130"/>
      <c r="U31" s="130"/>
      <c r="V31" s="130"/>
    </row>
    <row r="32" spans="1:30" ht="14.25" customHeight="1" thickBot="1" x14ac:dyDescent="0.3">
      <c r="A32" s="1472"/>
      <c r="B32" s="84"/>
      <c r="E32" s="84"/>
      <c r="F32" s="84"/>
      <c r="R32" s="141" t="s">
        <v>257</v>
      </c>
      <c r="S32" s="130">
        <f>SUM(S28:S30)</f>
        <v>16328.614799999999</v>
      </c>
      <c r="T32" s="130">
        <f>SUM(T28:T30)</f>
        <v>8991.3851999999988</v>
      </c>
      <c r="U32" s="130">
        <f>SUM(U28:U30)</f>
        <v>25320</v>
      </c>
      <c r="V32" s="130">
        <f>SUM(V28:V30)</f>
        <v>167</v>
      </c>
    </row>
    <row r="33" spans="1:23" ht="14.25" customHeight="1" thickBot="1" x14ac:dyDescent="0.3">
      <c r="A33" s="1472"/>
      <c r="B33" s="84"/>
      <c r="E33" s="84"/>
      <c r="F33" s="84"/>
      <c r="R33" s="142" t="s">
        <v>268</v>
      </c>
      <c r="S33" s="136"/>
      <c r="T33" s="136"/>
      <c r="U33" s="136">
        <f>F82</f>
        <v>0</v>
      </c>
      <c r="V33" s="136"/>
    </row>
    <row r="34" spans="1:23" ht="14.25" customHeight="1" thickBot="1" x14ac:dyDescent="0.3">
      <c r="A34" s="1472"/>
      <c r="B34" s="84"/>
      <c r="E34" s="84"/>
      <c r="F34" s="84"/>
      <c r="R34" s="143" t="s">
        <v>269</v>
      </c>
      <c r="S34" s="136"/>
      <c r="T34" s="130"/>
      <c r="U34" s="130"/>
      <c r="V34" s="136"/>
    </row>
    <row r="35" spans="1:23" ht="18.75" customHeight="1" thickBot="1" x14ac:dyDescent="0.3">
      <c r="A35" s="1472"/>
      <c r="B35" s="1681" t="s">
        <v>639</v>
      </c>
      <c r="C35" s="1681"/>
      <c r="D35" s="1681"/>
      <c r="E35" s="1681"/>
      <c r="F35" s="1681"/>
      <c r="G35" s="797"/>
      <c r="H35" s="797"/>
      <c r="I35" s="803"/>
      <c r="J35" s="803"/>
      <c r="K35" s="803"/>
      <c r="L35" s="803"/>
      <c r="R35" s="144" t="s">
        <v>249</v>
      </c>
      <c r="S35" s="990">
        <f>$L$5</f>
        <v>293.63517584940308</v>
      </c>
      <c r="T35" s="990">
        <f>SUM(L6:L18)</f>
        <v>120.92043507752102</v>
      </c>
      <c r="U35" s="1078">
        <f>S35+T35+V35</f>
        <v>415.0983609269241</v>
      </c>
      <c r="V35" s="1049">
        <f>SUM(L37)</f>
        <v>0.54274999999999995</v>
      </c>
    </row>
    <row r="36" spans="1:23" ht="47.25"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1472"/>
      <c r="B37" s="772" t="s">
        <v>19</v>
      </c>
      <c r="C37" s="773" t="s">
        <v>14</v>
      </c>
      <c r="D37" s="774">
        <v>1</v>
      </c>
      <c r="E37" s="772">
        <f>$AD$1</f>
        <v>167</v>
      </c>
      <c r="F37" s="772">
        <f>D37*E37</f>
        <v>167</v>
      </c>
      <c r="H37" s="772">
        <f>F37</f>
        <v>167</v>
      </c>
      <c r="I37" s="772">
        <f>VLOOKUP(B37,All_Ingredients!$A$1:$F$156,6,FALSE())</f>
        <v>0.8</v>
      </c>
      <c r="J37" s="772">
        <f>VLOOKUP(B37,All_Ingredients!$A$1:$J$156,10,FALSE())</f>
        <v>2.6</v>
      </c>
      <c r="K37" s="772">
        <f>(H37/I37)/1000</f>
        <v>0.20874999999999999</v>
      </c>
      <c r="L37" s="772">
        <f t="shared" ref="L37" si="5">K37*J37</f>
        <v>0.54274999999999995</v>
      </c>
    </row>
    <row r="38" spans="1:23" ht="14.25" customHeight="1" x14ac:dyDescent="0.25">
      <c r="A38" s="1472"/>
      <c r="S38" s="420"/>
    </row>
    <row r="39" spans="1:23" x14ac:dyDescent="0.25">
      <c r="A39" s="1472"/>
    </row>
    <row r="40" spans="1:23" ht="22.5" customHeight="1" x14ac:dyDescent="0.25">
      <c r="A40" s="1472"/>
      <c r="R40" s="146" t="s">
        <v>270</v>
      </c>
      <c r="S40" s="421">
        <v>0.64488999999999996</v>
      </c>
      <c r="T40" s="146" t="s">
        <v>271</v>
      </c>
      <c r="U40" s="421">
        <v>0.35510999999999998</v>
      </c>
      <c r="V40" s="1132">
        <f>S40+U40</f>
        <v>1</v>
      </c>
    </row>
    <row r="41" spans="1:23" ht="14.25" customHeight="1" x14ac:dyDescent="0.25">
      <c r="A41" s="1472"/>
      <c r="U41" s="150"/>
    </row>
    <row r="42" spans="1:23" ht="14.25" customHeight="1"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28162</v>
      </c>
      <c r="R44" s="154">
        <f>D51</f>
        <v>10000</v>
      </c>
      <c r="S44" s="155">
        <v>1</v>
      </c>
      <c r="T44" s="155">
        <v>0</v>
      </c>
      <c r="U44" s="220">
        <f>R44*S44</f>
        <v>10000</v>
      </c>
      <c r="V44" s="157">
        <f>R44*T44</f>
        <v>0</v>
      </c>
      <c r="W44" s="237">
        <f>Q44-U44</f>
        <v>18162</v>
      </c>
    </row>
    <row r="45" spans="1:23" x14ac:dyDescent="0.25">
      <c r="A45" s="1472"/>
    </row>
    <row r="46" spans="1:23" ht="14.25" customHeight="1" x14ac:dyDescent="0.25">
      <c r="A46" s="1472"/>
    </row>
    <row r="47" spans="1:23" ht="14.25" customHeight="1" x14ac:dyDescent="0.25">
      <c r="A47" s="1472"/>
    </row>
    <row r="48" spans="1:23" x14ac:dyDescent="0.25">
      <c r="A48" s="1472"/>
    </row>
    <row r="49" spans="1:10" x14ac:dyDescent="0.25">
      <c r="A49" s="1472"/>
    </row>
    <row r="50" spans="1:10" x14ac:dyDescent="0.25">
      <c r="A50" s="1472"/>
      <c r="B50" s="253"/>
      <c r="C50" s="126" t="s">
        <v>233</v>
      </c>
      <c r="D50" s="126" t="s">
        <v>279</v>
      </c>
      <c r="E50" s="84"/>
      <c r="F50" s="84"/>
      <c r="G50" s="126" t="s">
        <v>280</v>
      </c>
      <c r="H50" s="126" t="s">
        <v>233</v>
      </c>
      <c r="I50" s="126" t="s">
        <v>281</v>
      </c>
      <c r="J50" s="126" t="s">
        <v>282</v>
      </c>
    </row>
    <row r="51" spans="1:10" x14ac:dyDescent="0.25">
      <c r="A51" s="1472"/>
      <c r="B51" s="161" t="s">
        <v>283</v>
      </c>
      <c r="C51" s="162">
        <f>10/$K$1</f>
        <v>10</v>
      </c>
      <c r="D51" s="163">
        <f>$C$1*10</f>
        <v>10000</v>
      </c>
      <c r="E51" s="164"/>
      <c r="F51" s="84"/>
      <c r="G51" s="161" t="s">
        <v>283</v>
      </c>
      <c r="H51" s="254">
        <f>I51/$D$5</f>
        <v>10</v>
      </c>
      <c r="I51" s="162">
        <f>J51/$R$1</f>
        <v>27518.181818181816</v>
      </c>
      <c r="J51" s="162">
        <f>$W$44</f>
        <v>18162</v>
      </c>
    </row>
    <row r="52" spans="1:10" x14ac:dyDescent="0.25">
      <c r="A52" s="1472"/>
      <c r="B52" s="209" t="s">
        <v>262</v>
      </c>
      <c r="C52" s="210">
        <f>$I$1</f>
        <v>8.9913851999999981</v>
      </c>
      <c r="D52" s="211">
        <f>$E$1</f>
        <v>8991.3851999999988</v>
      </c>
      <c r="E52" s="84"/>
      <c r="F52" s="84"/>
      <c r="G52" s="129" t="s">
        <v>262</v>
      </c>
      <c r="H52" s="190">
        <f>I52/$D$5</f>
        <v>8.9905378262305913</v>
      </c>
      <c r="I52" s="157">
        <f>J52/$R$1</f>
        <v>24740.325454545451</v>
      </c>
      <c r="J52" s="165">
        <f>$S$32</f>
        <v>16328.614799999999</v>
      </c>
    </row>
    <row r="53" spans="1:10" x14ac:dyDescent="0.25">
      <c r="A53" s="1472"/>
      <c r="B53" s="209" t="s">
        <v>284</v>
      </c>
      <c r="C53" s="212">
        <f>MIN(C52, C51)</f>
        <v>8.9913851999999981</v>
      </c>
      <c r="D53" s="211">
        <f>(C53*$K$1)*$C$1</f>
        <v>8991.3851999999988</v>
      </c>
      <c r="E53" s="84"/>
      <c r="F53" s="84"/>
      <c r="G53" s="129" t="s">
        <v>284</v>
      </c>
      <c r="H53" s="168">
        <f>MIN(H52,H51)</f>
        <v>8.9905378262305913</v>
      </c>
      <c r="I53" s="157">
        <f>J53/$R$1</f>
        <v>24740.325454545451</v>
      </c>
      <c r="J53" s="157">
        <f>MIN(J52,J51)</f>
        <v>16328.614799999999</v>
      </c>
    </row>
    <row r="54" spans="1:10"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x14ac:dyDescent="0.25">
      <c r="A62" s="1472"/>
    </row>
    <row r="63" spans="1:10" ht="18" customHeight="1" x14ac:dyDescent="0.25">
      <c r="A63" s="1473"/>
      <c r="B63" s="1636" t="str">
        <f>" لحم مسقعة  1 / " &amp; COUNTIF($C$53:$C$55, "&gt;0")</f>
        <v xml:space="preserve"> لحم مسقعة  1 / 1</v>
      </c>
      <c r="C63" s="1637"/>
      <c r="D63" s="1637"/>
      <c r="E63" s="1637"/>
      <c r="F63" s="1637"/>
      <c r="G63" s="1637"/>
      <c r="H63" s="1637"/>
    </row>
    <row r="64" spans="1:10" ht="25.5" customHeight="1" x14ac:dyDescent="0.25">
      <c r="A64" s="1473"/>
      <c r="B64" s="1634" t="str">
        <f>" Sauce of Moussaka Meet 1 / " &amp; COUNTIF($C$53:$C$55, "&gt;0")</f>
        <v xml:space="preserve"> Sauce of Moussaka Meet 1 / 1</v>
      </c>
      <c r="C64" s="1635"/>
      <c r="D64" s="1635"/>
      <c r="E64" s="1635"/>
      <c r="F64" s="1635"/>
      <c r="G64" s="1635"/>
      <c r="H64" s="1635"/>
    </row>
    <row r="65" spans="1:10" ht="43.5" customHeight="1" x14ac:dyDescent="0.2">
      <c r="A65" s="1496"/>
      <c r="B65" s="221" t="s">
        <v>241</v>
      </c>
      <c r="C65" s="222" t="s">
        <v>242</v>
      </c>
      <c r="D65" s="223" t="s">
        <v>231</v>
      </c>
      <c r="E65" s="197" t="s">
        <v>234</v>
      </c>
      <c r="F65" s="197" t="s">
        <v>243</v>
      </c>
      <c r="G65" s="223" t="s">
        <v>244</v>
      </c>
      <c r="H65" s="197" t="s">
        <v>245</v>
      </c>
    </row>
    <row r="66" spans="1:10" ht="14.25" customHeight="1" x14ac:dyDescent="0.25">
      <c r="A66" s="1471"/>
      <c r="B66" s="271" t="str">
        <f t="shared" ref="B66:D80" si="6">B5</f>
        <v>Indian Meat Tammam Mafroom - مفروم هندى</v>
      </c>
      <c r="C66" s="106" t="str">
        <f t="shared" si="6"/>
        <v>gm</v>
      </c>
      <c r="D66" s="98">
        <f t="shared" si="6"/>
        <v>2751.8181818181815</v>
      </c>
      <c r="E66" s="177">
        <f>H53</f>
        <v>8.9905378262305913</v>
      </c>
      <c r="F66" s="109">
        <f t="shared" ref="F66:F80" si="7">F5</f>
        <v>1</v>
      </c>
      <c r="G66" s="101">
        <f t="shared" ref="G66:G79" si="8">D66*E66</f>
        <v>24740.325454545451</v>
      </c>
      <c r="H66" s="102">
        <f t="shared" ref="H66:H79" si="9">G66*F66</f>
        <v>24740.325454545451</v>
      </c>
    </row>
    <row r="67" spans="1:10" ht="14.25" customHeight="1" x14ac:dyDescent="0.25">
      <c r="A67" s="1471" t="s">
        <v>920</v>
      </c>
      <c r="B67" s="271" t="str">
        <f t="shared" si="6"/>
        <v>Onion - بصل</v>
      </c>
      <c r="C67" s="106" t="str">
        <f t="shared" si="6"/>
        <v>gm</v>
      </c>
      <c r="D67" s="107">
        <f t="shared" si="6"/>
        <v>416</v>
      </c>
      <c r="E67" s="177">
        <f t="shared" ref="E67:E80" si="10">$C$53</f>
        <v>8.9913851999999981</v>
      </c>
      <c r="F67" s="109">
        <f t="shared" si="7"/>
        <v>1</v>
      </c>
      <c r="G67" s="101">
        <f t="shared" si="8"/>
        <v>3740.4162431999994</v>
      </c>
      <c r="H67" s="102">
        <f t="shared" si="9"/>
        <v>3740.4162431999994</v>
      </c>
    </row>
    <row r="68" spans="1:10" ht="14.25" customHeight="1" x14ac:dyDescent="0.25">
      <c r="A68" s="1471"/>
      <c r="B68" s="271" t="str">
        <f t="shared" si="6"/>
        <v>Butter - زبدة</v>
      </c>
      <c r="C68" s="106" t="str">
        <f t="shared" si="6"/>
        <v>gm</v>
      </c>
      <c r="D68" s="107">
        <f t="shared" si="6"/>
        <v>25</v>
      </c>
      <c r="E68" s="177">
        <f t="shared" si="10"/>
        <v>8.9913851999999981</v>
      </c>
      <c r="F68" s="109">
        <f t="shared" si="7"/>
        <v>1</v>
      </c>
      <c r="G68" s="101">
        <f t="shared" si="8"/>
        <v>224.78462999999996</v>
      </c>
      <c r="H68" s="102">
        <f t="shared" si="9"/>
        <v>224.78462999999996</v>
      </c>
    </row>
    <row r="69" spans="1:10" ht="14.25" customHeight="1" x14ac:dyDescent="0.25">
      <c r="A69" s="1471" t="s">
        <v>909</v>
      </c>
      <c r="B69" s="271" t="str">
        <f t="shared" si="6"/>
        <v>Tomato - طماطم</v>
      </c>
      <c r="C69" s="106" t="str">
        <f t="shared" si="6"/>
        <v>gm</v>
      </c>
      <c r="D69" s="107">
        <f t="shared" si="6"/>
        <v>416</v>
      </c>
      <c r="E69" s="177">
        <f t="shared" si="10"/>
        <v>8.9913851999999981</v>
      </c>
      <c r="F69" s="109">
        <f t="shared" si="7"/>
        <v>1</v>
      </c>
      <c r="G69" s="101">
        <f t="shared" si="8"/>
        <v>3740.4162431999994</v>
      </c>
      <c r="H69" s="102">
        <f t="shared" si="9"/>
        <v>3740.4162431999994</v>
      </c>
    </row>
    <row r="70" spans="1:10" ht="14.25" customHeight="1" x14ac:dyDescent="0.25">
      <c r="A70" s="1471"/>
      <c r="B70" s="271" t="str">
        <f t="shared" si="6"/>
        <v>Cumin Powder - كمون مطحون</v>
      </c>
      <c r="C70" s="106" t="str">
        <f t="shared" si="6"/>
        <v>gm</v>
      </c>
      <c r="D70" s="107">
        <f t="shared" si="6"/>
        <v>8</v>
      </c>
      <c r="E70" s="177">
        <f t="shared" si="10"/>
        <v>8.9913851999999981</v>
      </c>
      <c r="F70" s="109">
        <f t="shared" si="7"/>
        <v>1</v>
      </c>
      <c r="G70" s="101">
        <f t="shared" si="8"/>
        <v>71.931081599999985</v>
      </c>
      <c r="H70" s="102">
        <f t="shared" si="9"/>
        <v>71.931081599999985</v>
      </c>
    </row>
    <row r="71" spans="1:10" ht="14.25" customHeight="1" x14ac:dyDescent="0.25">
      <c r="A71" s="1471"/>
      <c r="B71" s="271" t="str">
        <f t="shared" si="6"/>
        <v>Coriander Powder - كزبرة مطحونة</v>
      </c>
      <c r="C71" s="106" t="str">
        <f t="shared" si="6"/>
        <v>gm</v>
      </c>
      <c r="D71" s="107">
        <f t="shared" si="6"/>
        <v>16</v>
      </c>
      <c r="E71" s="177">
        <f t="shared" si="10"/>
        <v>8.9913851999999981</v>
      </c>
      <c r="F71" s="109">
        <f t="shared" si="7"/>
        <v>1</v>
      </c>
      <c r="G71" s="101">
        <f t="shared" si="8"/>
        <v>143.86216319999997</v>
      </c>
      <c r="H71" s="102">
        <f t="shared" si="9"/>
        <v>143.86216319999997</v>
      </c>
    </row>
    <row r="72" spans="1:10" ht="14.25" customHeight="1" x14ac:dyDescent="0.25">
      <c r="A72" s="1471"/>
      <c r="B72" s="271" t="str">
        <f t="shared" si="6"/>
        <v>Cinnamon Powder - قرفة مطحونة</v>
      </c>
      <c r="C72" s="106" t="str">
        <f t="shared" si="6"/>
        <v>gm</v>
      </c>
      <c r="D72" s="107">
        <f t="shared" si="6"/>
        <v>8</v>
      </c>
      <c r="E72" s="177">
        <f t="shared" si="10"/>
        <v>8.9913851999999981</v>
      </c>
      <c r="F72" s="109">
        <f t="shared" si="7"/>
        <v>1</v>
      </c>
      <c r="G72" s="101">
        <f t="shared" si="8"/>
        <v>71.931081599999985</v>
      </c>
      <c r="H72" s="102">
        <f t="shared" si="9"/>
        <v>71.931081599999985</v>
      </c>
    </row>
    <row r="73" spans="1:10" ht="14.25" customHeight="1" x14ac:dyDescent="0.25">
      <c r="A73" s="1471"/>
      <c r="B73" s="271" t="str">
        <f t="shared" si="6"/>
        <v>Black Pepper Powder - فلفل أسود مطحون</v>
      </c>
      <c r="C73" s="106" t="str">
        <f t="shared" si="6"/>
        <v>gm</v>
      </c>
      <c r="D73" s="107">
        <f t="shared" si="6"/>
        <v>10</v>
      </c>
      <c r="E73" s="177">
        <f t="shared" si="10"/>
        <v>8.9913851999999981</v>
      </c>
      <c r="F73" s="109">
        <f t="shared" si="7"/>
        <v>1</v>
      </c>
      <c r="G73" s="101">
        <f t="shared" si="8"/>
        <v>89.913851999999977</v>
      </c>
      <c r="H73" s="102">
        <f t="shared" si="9"/>
        <v>89.913851999999977</v>
      </c>
    </row>
    <row r="74" spans="1:10" ht="14.25" customHeight="1" x14ac:dyDescent="0.25">
      <c r="A74" s="1471"/>
      <c r="B74" s="271" t="str">
        <f t="shared" si="6"/>
        <v>Tomato Paste - صلصة طماطم</v>
      </c>
      <c r="C74" s="106" t="str">
        <f t="shared" si="6"/>
        <v>gm</v>
      </c>
      <c r="D74" s="107">
        <f t="shared" si="6"/>
        <v>900</v>
      </c>
      <c r="E74" s="177">
        <f t="shared" si="10"/>
        <v>8.9913851999999981</v>
      </c>
      <c r="F74" s="109">
        <f t="shared" si="7"/>
        <v>1</v>
      </c>
      <c r="G74" s="101">
        <f t="shared" si="8"/>
        <v>8092.2466799999984</v>
      </c>
      <c r="H74" s="102">
        <f t="shared" si="9"/>
        <v>8092.2466799999984</v>
      </c>
    </row>
    <row r="75" spans="1:10" ht="14.25" customHeight="1" x14ac:dyDescent="0.25">
      <c r="A75" s="1471"/>
      <c r="B75" s="271" t="str">
        <f t="shared" si="6"/>
        <v>Salt - ملح</v>
      </c>
      <c r="C75" s="106" t="str">
        <f t="shared" si="6"/>
        <v>gm</v>
      </c>
      <c r="D75" s="107">
        <f t="shared" si="6"/>
        <v>11</v>
      </c>
      <c r="E75" s="177">
        <f t="shared" si="10"/>
        <v>8.9913851999999981</v>
      </c>
      <c r="F75" s="109">
        <f t="shared" si="7"/>
        <v>0.75</v>
      </c>
      <c r="G75" s="101">
        <f t="shared" si="8"/>
        <v>98.905237199999974</v>
      </c>
      <c r="H75" s="102">
        <f t="shared" si="9"/>
        <v>74.178927899999977</v>
      </c>
    </row>
    <row r="76" spans="1:10" ht="14.25" customHeight="1" x14ac:dyDescent="0.25">
      <c r="A76" s="1471"/>
      <c r="B76" s="271" t="str">
        <f t="shared" si="6"/>
        <v>Maggi Cubes - مكعبات ماجي</v>
      </c>
      <c r="C76" s="106" t="str">
        <f t="shared" si="6"/>
        <v>gm</v>
      </c>
      <c r="D76" s="107">
        <f t="shared" si="6"/>
        <v>20</v>
      </c>
      <c r="E76" s="177">
        <f t="shared" si="10"/>
        <v>8.9913851999999981</v>
      </c>
      <c r="F76" s="109">
        <f t="shared" si="7"/>
        <v>1</v>
      </c>
      <c r="G76" s="101">
        <f t="shared" si="8"/>
        <v>179.82770399999995</v>
      </c>
      <c r="H76" s="102">
        <f t="shared" si="9"/>
        <v>179.82770399999995</v>
      </c>
    </row>
    <row r="77" spans="1:10" ht="14.25" customHeight="1" x14ac:dyDescent="0.25">
      <c r="A77" s="1471"/>
      <c r="B77" s="271" t="str">
        <f t="shared" si="6"/>
        <v>Vinegar - خل</v>
      </c>
      <c r="C77" s="106" t="str">
        <f t="shared" si="6"/>
        <v>ml</v>
      </c>
      <c r="D77" s="107">
        <f t="shared" si="6"/>
        <v>33</v>
      </c>
      <c r="E77" s="177">
        <f t="shared" si="10"/>
        <v>8.9913851999999981</v>
      </c>
      <c r="F77" s="109">
        <f t="shared" si="7"/>
        <v>1</v>
      </c>
      <c r="G77" s="101">
        <f t="shared" si="8"/>
        <v>296.71571159999996</v>
      </c>
      <c r="H77" s="102">
        <f t="shared" si="9"/>
        <v>296.71571159999996</v>
      </c>
    </row>
    <row r="78" spans="1:10" ht="14.25" customHeight="1" x14ac:dyDescent="0.25">
      <c r="A78" s="1471" t="s">
        <v>907</v>
      </c>
      <c r="B78" s="271" t="str">
        <f t="shared" si="6"/>
        <v>Garlic - ثوم مقشر</v>
      </c>
      <c r="C78" s="106" t="str">
        <f t="shared" si="6"/>
        <v>gm</v>
      </c>
      <c r="D78" s="107">
        <f t="shared" si="6"/>
        <v>25</v>
      </c>
      <c r="E78" s="177">
        <f t="shared" si="10"/>
        <v>8.9913851999999981</v>
      </c>
      <c r="F78" s="109">
        <f t="shared" si="7"/>
        <v>1</v>
      </c>
      <c r="G78" s="101">
        <f t="shared" si="8"/>
        <v>224.78462999999996</v>
      </c>
      <c r="H78" s="102">
        <f t="shared" si="9"/>
        <v>224.78462999999996</v>
      </c>
    </row>
    <row r="79" spans="1:10" ht="14.25" customHeight="1" x14ac:dyDescent="0.25">
      <c r="A79" s="1471"/>
      <c r="B79" s="271" t="str">
        <f t="shared" si="6"/>
        <v>Sriracha Sauce - صوص سريراتشا</v>
      </c>
      <c r="C79" s="106" t="str">
        <f t="shared" si="6"/>
        <v>ml</v>
      </c>
      <c r="D79" s="107">
        <f t="shared" si="6"/>
        <v>20</v>
      </c>
      <c r="E79" s="177">
        <f t="shared" si="10"/>
        <v>8.9913851999999981</v>
      </c>
      <c r="F79" s="109">
        <f t="shared" si="7"/>
        <v>1</v>
      </c>
      <c r="G79" s="101">
        <f t="shared" si="8"/>
        <v>179.82770399999995</v>
      </c>
      <c r="H79" s="102">
        <f t="shared" si="9"/>
        <v>179.82770399999995</v>
      </c>
    </row>
    <row r="80" spans="1:10" ht="20.25" customHeight="1" x14ac:dyDescent="0.3">
      <c r="A80" s="1471"/>
      <c r="B80" s="271" t="str">
        <f t="shared" si="6"/>
        <v>Flour - دقيق</v>
      </c>
      <c r="C80" s="106" t="str">
        <f t="shared" si="6"/>
        <v>gm</v>
      </c>
      <c r="D80" s="107">
        <f t="shared" si="6"/>
        <v>40</v>
      </c>
      <c r="E80" s="177">
        <f t="shared" si="10"/>
        <v>8.9913851999999981</v>
      </c>
      <c r="F80" s="109">
        <f t="shared" si="7"/>
        <v>1</v>
      </c>
      <c r="G80" s="101">
        <f>D80*E80</f>
        <v>359.65540799999991</v>
      </c>
      <c r="H80" s="102">
        <f>G80*F80</f>
        <v>359.65540799999991</v>
      </c>
      <c r="I80" s="184"/>
      <c r="J80" s="183"/>
    </row>
    <row r="81" spans="1:8" ht="18" x14ac:dyDescent="0.25">
      <c r="A81" s="1458"/>
      <c r="B81" s="178" t="s">
        <v>287</v>
      </c>
      <c r="C81" s="180" t="s">
        <v>273</v>
      </c>
      <c r="E81" s="180" t="s">
        <v>288</v>
      </c>
      <c r="G81" s="804" t="s">
        <v>264</v>
      </c>
      <c r="H81" s="804" t="s">
        <v>673</v>
      </c>
    </row>
    <row r="82" spans="1:8" ht="20.25" x14ac:dyDescent="0.3">
      <c r="A82" s="1458"/>
      <c r="B82" s="179">
        <f>$J$53</f>
        <v>16328.614799999999</v>
      </c>
      <c r="C82" s="179">
        <f>E82+G82</f>
        <v>8991.3851999999988</v>
      </c>
      <c r="D82" s="839"/>
      <c r="E82" s="179">
        <f>$D$53*$S$44</f>
        <v>8991.3851999999988</v>
      </c>
      <c r="F82" s="843"/>
      <c r="G82" s="179">
        <f>$D$53*$T$44</f>
        <v>0</v>
      </c>
      <c r="H82" s="179">
        <f>B82+E82</f>
        <v>25320</v>
      </c>
    </row>
    <row r="83" spans="1:8" x14ac:dyDescent="0.25">
      <c r="A83" s="1472"/>
    </row>
    <row r="84" spans="1:8" x14ac:dyDescent="0.25">
      <c r="A84" s="1473"/>
      <c r="B84" s="1636" t="str">
        <f>" لحم مسقعة 2 / " &amp; COUNTIF($C$53:$C$55, "&gt;0")</f>
        <v xml:space="preserve"> لحم مسقعة 2 / 1</v>
      </c>
      <c r="C84" s="1637"/>
      <c r="D84" s="1637"/>
      <c r="E84" s="1637"/>
      <c r="F84" s="1637"/>
      <c r="G84" s="1637"/>
      <c r="H84" s="1637"/>
    </row>
    <row r="85" spans="1:8" x14ac:dyDescent="0.25">
      <c r="A85" s="1473"/>
      <c r="B85" s="1634" t="str">
        <f>" Sauce of Moussaka Meet 2 / " &amp; COUNTIF($C$53:$C$55, "&gt;0")</f>
        <v xml:space="preserve"> Sauce of Moussaka Meet 2 / 1</v>
      </c>
      <c r="C85" s="1635"/>
      <c r="D85" s="1635"/>
      <c r="E85" s="1635"/>
      <c r="F85" s="1635"/>
      <c r="G85" s="1635"/>
      <c r="H85" s="1635"/>
    </row>
    <row r="86" spans="1:8" ht="45" customHeight="1" x14ac:dyDescent="0.2">
      <c r="A86" s="1496"/>
      <c r="B86" s="221" t="s">
        <v>241</v>
      </c>
      <c r="C86" s="222" t="s">
        <v>242</v>
      </c>
      <c r="D86" s="223" t="s">
        <v>231</v>
      </c>
      <c r="E86" s="197" t="s">
        <v>234</v>
      </c>
      <c r="F86" s="197" t="s">
        <v>243</v>
      </c>
      <c r="G86" s="223" t="s">
        <v>244</v>
      </c>
      <c r="H86" s="197" t="s">
        <v>245</v>
      </c>
    </row>
    <row r="87" spans="1:8" x14ac:dyDescent="0.25">
      <c r="A87" s="1471"/>
      <c r="B87" s="271" t="str">
        <f t="shared" ref="B87:D101" si="11">B5</f>
        <v>Indian Meat Tammam Mafroom - مفروم هندى</v>
      </c>
      <c r="C87" s="271" t="str">
        <f t="shared" si="11"/>
        <v>gm</v>
      </c>
      <c r="D87" s="462">
        <f t="shared" si="11"/>
        <v>2751.8181818181815</v>
      </c>
      <c r="E87" s="177">
        <f>$H$54</f>
        <v>0</v>
      </c>
      <c r="F87" s="109">
        <f>F5</f>
        <v>1</v>
      </c>
      <c r="G87" s="101">
        <f t="shared" ref="G87:G100" si="12">D87*E87</f>
        <v>0</v>
      </c>
      <c r="H87" s="102">
        <f t="shared" ref="H87:H100" si="13">G87*F87</f>
        <v>0</v>
      </c>
    </row>
    <row r="88" spans="1:8" x14ac:dyDescent="0.25">
      <c r="A88" s="1471" t="s">
        <v>920</v>
      </c>
      <c r="B88" s="271" t="str">
        <f t="shared" si="11"/>
        <v>Onion - بصل</v>
      </c>
      <c r="C88" s="271" t="str">
        <f t="shared" si="11"/>
        <v>gm</v>
      </c>
      <c r="D88" s="271">
        <f t="shared" si="11"/>
        <v>416</v>
      </c>
      <c r="E88" s="177">
        <f t="shared" ref="E88:E101" si="14">$C$54</f>
        <v>0</v>
      </c>
      <c r="F88" s="109">
        <f t="shared" ref="F88:F101" si="15">F6</f>
        <v>1</v>
      </c>
      <c r="G88" s="101">
        <f t="shared" si="12"/>
        <v>0</v>
      </c>
      <c r="H88" s="102">
        <f t="shared" si="13"/>
        <v>0</v>
      </c>
    </row>
    <row r="89" spans="1:8" x14ac:dyDescent="0.25">
      <c r="A89" s="1471"/>
      <c r="B89" s="271" t="str">
        <f t="shared" si="11"/>
        <v>Butter - زبدة</v>
      </c>
      <c r="C89" s="271" t="str">
        <f t="shared" si="11"/>
        <v>gm</v>
      </c>
      <c r="D89" s="271">
        <f t="shared" si="11"/>
        <v>25</v>
      </c>
      <c r="E89" s="177">
        <f t="shared" si="14"/>
        <v>0</v>
      </c>
      <c r="F89" s="109">
        <f t="shared" si="15"/>
        <v>1</v>
      </c>
      <c r="G89" s="101">
        <f t="shared" si="12"/>
        <v>0</v>
      </c>
      <c r="H89" s="102">
        <f t="shared" si="13"/>
        <v>0</v>
      </c>
    </row>
    <row r="90" spans="1:8" x14ac:dyDescent="0.25">
      <c r="A90" s="1471" t="s">
        <v>909</v>
      </c>
      <c r="B90" s="271" t="str">
        <f t="shared" si="11"/>
        <v>Tomato - طماطم</v>
      </c>
      <c r="C90" s="271" t="str">
        <f t="shared" si="11"/>
        <v>gm</v>
      </c>
      <c r="D90" s="271">
        <f t="shared" si="11"/>
        <v>416</v>
      </c>
      <c r="E90" s="177">
        <f t="shared" si="14"/>
        <v>0</v>
      </c>
      <c r="F90" s="109">
        <f t="shared" si="15"/>
        <v>1</v>
      </c>
      <c r="G90" s="101">
        <f t="shared" si="12"/>
        <v>0</v>
      </c>
      <c r="H90" s="102">
        <f t="shared" si="13"/>
        <v>0</v>
      </c>
    </row>
    <row r="91" spans="1:8" x14ac:dyDescent="0.25">
      <c r="A91" s="1471"/>
      <c r="B91" s="271" t="str">
        <f t="shared" si="11"/>
        <v>Cumin Powder - كمون مطحون</v>
      </c>
      <c r="C91" s="271" t="str">
        <f t="shared" si="11"/>
        <v>gm</v>
      </c>
      <c r="D91" s="271">
        <f t="shared" si="11"/>
        <v>8</v>
      </c>
      <c r="E91" s="177">
        <f t="shared" si="14"/>
        <v>0</v>
      </c>
      <c r="F91" s="109">
        <f t="shared" si="15"/>
        <v>1</v>
      </c>
      <c r="G91" s="101">
        <f t="shared" si="12"/>
        <v>0</v>
      </c>
      <c r="H91" s="102">
        <f t="shared" si="13"/>
        <v>0</v>
      </c>
    </row>
    <row r="92" spans="1:8" x14ac:dyDescent="0.25">
      <c r="A92" s="1471"/>
      <c r="B92" s="271" t="str">
        <f t="shared" si="11"/>
        <v>Coriander Powder - كزبرة مطحونة</v>
      </c>
      <c r="C92" s="271" t="str">
        <f t="shared" si="11"/>
        <v>gm</v>
      </c>
      <c r="D92" s="271">
        <f t="shared" si="11"/>
        <v>16</v>
      </c>
      <c r="E92" s="177">
        <f t="shared" si="14"/>
        <v>0</v>
      </c>
      <c r="F92" s="109">
        <f t="shared" si="15"/>
        <v>1</v>
      </c>
      <c r="G92" s="101">
        <f t="shared" si="12"/>
        <v>0</v>
      </c>
      <c r="H92" s="102">
        <f t="shared" si="13"/>
        <v>0</v>
      </c>
    </row>
    <row r="93" spans="1:8" x14ac:dyDescent="0.25">
      <c r="A93" s="1471"/>
      <c r="B93" s="271" t="str">
        <f t="shared" si="11"/>
        <v>Cinnamon Powder - قرفة مطحونة</v>
      </c>
      <c r="C93" s="271" t="str">
        <f t="shared" si="11"/>
        <v>gm</v>
      </c>
      <c r="D93" s="271">
        <f t="shared" si="11"/>
        <v>8</v>
      </c>
      <c r="E93" s="177">
        <f t="shared" si="14"/>
        <v>0</v>
      </c>
      <c r="F93" s="109">
        <f t="shared" si="15"/>
        <v>1</v>
      </c>
      <c r="G93" s="101">
        <f t="shared" si="12"/>
        <v>0</v>
      </c>
      <c r="H93" s="102">
        <f t="shared" si="13"/>
        <v>0</v>
      </c>
    </row>
    <row r="94" spans="1:8" x14ac:dyDescent="0.25">
      <c r="A94" s="1471"/>
      <c r="B94" s="271" t="str">
        <f t="shared" si="11"/>
        <v>Black Pepper Powder - فلفل أسود مطحون</v>
      </c>
      <c r="C94" s="271" t="str">
        <f t="shared" si="11"/>
        <v>gm</v>
      </c>
      <c r="D94" s="271">
        <f t="shared" si="11"/>
        <v>10</v>
      </c>
      <c r="E94" s="177">
        <f t="shared" si="14"/>
        <v>0</v>
      </c>
      <c r="F94" s="109">
        <f t="shared" si="15"/>
        <v>1</v>
      </c>
      <c r="G94" s="101">
        <f t="shared" si="12"/>
        <v>0</v>
      </c>
      <c r="H94" s="102">
        <f t="shared" si="13"/>
        <v>0</v>
      </c>
    </row>
    <row r="95" spans="1:8" x14ac:dyDescent="0.25">
      <c r="A95" s="1471"/>
      <c r="B95" s="271" t="str">
        <f t="shared" si="11"/>
        <v>Tomato Paste - صلصة طماطم</v>
      </c>
      <c r="C95" s="271" t="str">
        <f t="shared" si="11"/>
        <v>gm</v>
      </c>
      <c r="D95" s="271">
        <f t="shared" si="11"/>
        <v>900</v>
      </c>
      <c r="E95" s="177">
        <f t="shared" si="14"/>
        <v>0</v>
      </c>
      <c r="F95" s="109">
        <f t="shared" si="15"/>
        <v>1</v>
      </c>
      <c r="G95" s="101">
        <f t="shared" si="12"/>
        <v>0</v>
      </c>
      <c r="H95" s="102">
        <f t="shared" si="13"/>
        <v>0</v>
      </c>
    </row>
    <row r="96" spans="1:8" x14ac:dyDescent="0.25">
      <c r="A96" s="1471"/>
      <c r="B96" s="271" t="str">
        <f t="shared" si="11"/>
        <v>Salt - ملح</v>
      </c>
      <c r="C96" s="271" t="str">
        <f t="shared" si="11"/>
        <v>gm</v>
      </c>
      <c r="D96" s="271">
        <f t="shared" si="11"/>
        <v>11</v>
      </c>
      <c r="E96" s="177">
        <f t="shared" si="14"/>
        <v>0</v>
      </c>
      <c r="F96" s="109">
        <f t="shared" si="15"/>
        <v>0.75</v>
      </c>
      <c r="G96" s="101">
        <f t="shared" si="12"/>
        <v>0</v>
      </c>
      <c r="H96" s="102">
        <f t="shared" si="13"/>
        <v>0</v>
      </c>
    </row>
    <row r="97" spans="1:8" x14ac:dyDescent="0.25">
      <c r="A97" s="1471"/>
      <c r="B97" s="271" t="str">
        <f t="shared" si="11"/>
        <v>Maggi Cubes - مكعبات ماجي</v>
      </c>
      <c r="C97" s="271" t="str">
        <f t="shared" si="11"/>
        <v>gm</v>
      </c>
      <c r="D97" s="271">
        <f t="shared" si="11"/>
        <v>20</v>
      </c>
      <c r="E97" s="177">
        <f t="shared" si="14"/>
        <v>0</v>
      </c>
      <c r="F97" s="109">
        <f t="shared" si="15"/>
        <v>1</v>
      </c>
      <c r="G97" s="101">
        <f t="shared" si="12"/>
        <v>0</v>
      </c>
      <c r="H97" s="102">
        <f t="shared" si="13"/>
        <v>0</v>
      </c>
    </row>
    <row r="98" spans="1:8" x14ac:dyDescent="0.25">
      <c r="A98" s="1471"/>
      <c r="B98" s="271" t="str">
        <f t="shared" si="11"/>
        <v>Vinegar - خل</v>
      </c>
      <c r="C98" s="271" t="str">
        <f t="shared" si="11"/>
        <v>ml</v>
      </c>
      <c r="D98" s="271">
        <f t="shared" si="11"/>
        <v>33</v>
      </c>
      <c r="E98" s="177">
        <f t="shared" si="14"/>
        <v>0</v>
      </c>
      <c r="F98" s="109">
        <f t="shared" si="15"/>
        <v>1</v>
      </c>
      <c r="G98" s="101">
        <f t="shared" si="12"/>
        <v>0</v>
      </c>
      <c r="H98" s="102">
        <f t="shared" si="13"/>
        <v>0</v>
      </c>
    </row>
    <row r="99" spans="1:8" x14ac:dyDescent="0.25">
      <c r="A99" s="1471" t="s">
        <v>907</v>
      </c>
      <c r="B99" s="271" t="str">
        <f t="shared" si="11"/>
        <v>Garlic - ثوم مقشر</v>
      </c>
      <c r="C99" s="271" t="str">
        <f t="shared" si="11"/>
        <v>gm</v>
      </c>
      <c r="D99" s="271">
        <f t="shared" si="11"/>
        <v>25</v>
      </c>
      <c r="E99" s="177">
        <f t="shared" si="14"/>
        <v>0</v>
      </c>
      <c r="F99" s="109">
        <f t="shared" si="15"/>
        <v>1</v>
      </c>
      <c r="G99" s="101">
        <f t="shared" si="12"/>
        <v>0</v>
      </c>
      <c r="H99" s="102">
        <f t="shared" si="13"/>
        <v>0</v>
      </c>
    </row>
    <row r="100" spans="1:8" x14ac:dyDescent="0.25">
      <c r="A100" s="1471"/>
      <c r="B100" s="271" t="str">
        <f t="shared" si="11"/>
        <v>Sriracha Sauce - صوص سريراتشا</v>
      </c>
      <c r="C100" s="271" t="str">
        <f t="shared" si="11"/>
        <v>ml</v>
      </c>
      <c r="D100" s="271">
        <f t="shared" si="11"/>
        <v>20</v>
      </c>
      <c r="E100" s="177">
        <f t="shared" si="14"/>
        <v>0</v>
      </c>
      <c r="F100" s="109">
        <f t="shared" si="15"/>
        <v>1</v>
      </c>
      <c r="G100" s="101">
        <f t="shared" si="12"/>
        <v>0</v>
      </c>
      <c r="H100" s="102">
        <f t="shared" si="13"/>
        <v>0</v>
      </c>
    </row>
    <row r="101" spans="1:8" x14ac:dyDescent="0.25">
      <c r="A101" s="1471"/>
      <c r="B101" s="271" t="str">
        <f t="shared" si="11"/>
        <v>Flour - دقيق</v>
      </c>
      <c r="C101" s="271" t="str">
        <f t="shared" si="11"/>
        <v>gm</v>
      </c>
      <c r="D101" s="271">
        <f t="shared" si="11"/>
        <v>40</v>
      </c>
      <c r="E101" s="177">
        <f t="shared" si="14"/>
        <v>0</v>
      </c>
      <c r="F101" s="109">
        <f t="shared" si="15"/>
        <v>1</v>
      </c>
      <c r="G101" s="101">
        <f>D101*E101</f>
        <v>0</v>
      </c>
      <c r="H101" s="102">
        <f>G101*F101</f>
        <v>0</v>
      </c>
    </row>
    <row r="102" spans="1:8" ht="18" x14ac:dyDescent="0.25">
      <c r="A102" s="1458"/>
      <c r="B102" s="178" t="s">
        <v>287</v>
      </c>
      <c r="C102" s="180" t="s">
        <v>273</v>
      </c>
      <c r="E102" s="180" t="s">
        <v>288</v>
      </c>
      <c r="G102" s="804" t="s">
        <v>264</v>
      </c>
      <c r="H102" s="804" t="s">
        <v>673</v>
      </c>
    </row>
    <row r="103" spans="1:8" ht="20.25" x14ac:dyDescent="0.3">
      <c r="A103" s="1458"/>
      <c r="B103" s="179">
        <f>$J$54</f>
        <v>0</v>
      </c>
      <c r="C103" s="179">
        <f>E103+G103</f>
        <v>0</v>
      </c>
      <c r="D103" s="839"/>
      <c r="E103" s="179">
        <f>$D$54*$S$44</f>
        <v>0</v>
      </c>
      <c r="F103" s="843"/>
      <c r="G103" s="179">
        <f>$D$54*$T$44</f>
        <v>0</v>
      </c>
      <c r="H103" s="179">
        <f>B103+E103</f>
        <v>0</v>
      </c>
    </row>
    <row r="104" spans="1:8" x14ac:dyDescent="0.25">
      <c r="A104" s="1472"/>
    </row>
    <row r="105" spans="1:8" x14ac:dyDescent="0.25">
      <c r="A105" s="1472"/>
    </row>
    <row r="106" spans="1:8" x14ac:dyDescent="0.25">
      <c r="A106" s="1472"/>
    </row>
    <row r="107" spans="1:8" x14ac:dyDescent="0.25">
      <c r="A107" s="1472"/>
    </row>
    <row r="108" spans="1:8" x14ac:dyDescent="0.25">
      <c r="A108" s="1472"/>
    </row>
    <row r="109" spans="1:8" x14ac:dyDescent="0.25">
      <c r="A109" s="1472"/>
    </row>
    <row r="110" spans="1:8" x14ac:dyDescent="0.25">
      <c r="A110" s="1472"/>
    </row>
    <row r="111" spans="1:8" x14ac:dyDescent="0.25">
      <c r="A111" s="1472"/>
    </row>
    <row r="112" spans="1:8"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9">
    <mergeCell ref="B84:H84"/>
    <mergeCell ref="B85:H85"/>
    <mergeCell ref="AE2:AG3"/>
    <mergeCell ref="R26:U26"/>
    <mergeCell ref="R25:U25"/>
    <mergeCell ref="B64:H64"/>
    <mergeCell ref="B2:K3"/>
    <mergeCell ref="B63:H63"/>
    <mergeCell ref="B35:F35"/>
  </mergeCells>
  <printOptions horizontalCentered="1"/>
  <pageMargins left="0.4" right="0.4" top="1" bottom="0.5" header="0.3" footer="0.511811023622047"/>
  <pageSetup paperSize="9" scale="65" fitToHeight="0" orientation="landscape" r:id="rId1"/>
  <headerFooter>
    <oddHeader>&amp;C&amp;B&amp;16Moussaka Meat&amp;R&amp;B Day 3</oddHeader>
    <oddFooter>&amp;CPage &amp;P of &amp;N</oddFooter>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7" tint="-0.249977111117893"/>
    <pageSetUpPr fitToPage="1"/>
  </sheetPr>
  <dimension ref="A1:AG174"/>
  <sheetViews>
    <sheetView topLeftCell="O18" zoomScaleNormal="100" workbookViewId="0">
      <selection activeCell="S46" sqref="S46"/>
    </sheetView>
  </sheetViews>
  <sheetFormatPr defaultColWidth="32.875" defaultRowHeight="15" x14ac:dyDescent="0.25"/>
  <cols>
    <col min="1" max="1" width="14.875" style="63" customWidth="1"/>
    <col min="2" max="2" width="32.875" style="14" customWidth="1"/>
    <col min="3" max="3" width="17.25" style="14" customWidth="1"/>
    <col min="4" max="4" width="11.5" style="14" customWidth="1"/>
    <col min="5" max="5" width="14.375" style="14" customWidth="1"/>
    <col min="6" max="6" width="15.375" style="14" customWidth="1"/>
    <col min="7" max="7" width="18" style="14" customWidth="1"/>
    <col min="8" max="8" width="27.625" style="14" customWidth="1"/>
    <col min="9" max="9" width="16.875" style="14" customWidth="1"/>
    <col min="10" max="10" width="11" style="14" customWidth="1"/>
    <col min="11" max="11" width="14.625" style="14" customWidth="1"/>
    <col min="12" max="12" width="10.375" style="14" customWidth="1"/>
    <col min="13" max="14" width="4.5" style="14" customWidth="1"/>
    <col min="15" max="15" width="15.625" style="14" customWidth="1"/>
    <col min="16" max="16" width="10.875" style="14" customWidth="1"/>
    <col min="17" max="17" width="18.625" style="14" customWidth="1"/>
    <col min="18" max="18" width="32.875" style="14" customWidth="1"/>
    <col min="19" max="20" width="12.375" style="14" customWidth="1"/>
    <col min="21" max="21" width="10.375" style="14" customWidth="1"/>
    <col min="22" max="22" width="11" style="14" customWidth="1"/>
    <col min="23" max="23" width="16.125" style="14" customWidth="1"/>
    <col min="24" max="24" width="10.5" style="14" customWidth="1"/>
    <col min="25" max="25" width="11.125" style="14" customWidth="1"/>
    <col min="26" max="26" width="12.5" style="14" customWidth="1"/>
    <col min="27" max="27" width="10.875" style="14" customWidth="1"/>
    <col min="28" max="28" width="11.625" style="14" bestFit="1" customWidth="1"/>
    <col min="29" max="29" width="10.125" style="14" bestFit="1" customWidth="1"/>
    <col min="30" max="30" width="11" style="14" bestFit="1" customWidth="1"/>
    <col min="31" max="16384" width="32.875" style="14"/>
  </cols>
  <sheetData>
    <row r="1" spans="1:33" ht="32.25" customHeight="1" x14ac:dyDescent="0.25">
      <c r="B1" s="64" t="s">
        <v>231</v>
      </c>
      <c r="C1" s="65">
        <v>1000</v>
      </c>
      <c r="D1" s="66" t="s">
        <v>232</v>
      </c>
      <c r="E1" s="99">
        <f>T32</f>
        <v>10342.535</v>
      </c>
      <c r="F1" s="64" t="s">
        <v>233</v>
      </c>
      <c r="G1" s="65">
        <f>E1/C1</f>
        <v>10.342535</v>
      </c>
      <c r="H1" s="64" t="s">
        <v>234</v>
      </c>
      <c r="I1" s="227">
        <f>(G1/K1)</f>
        <v>10.662407216494845</v>
      </c>
      <c r="J1" s="70" t="s">
        <v>235</v>
      </c>
      <c r="K1" s="65">
        <v>0.97</v>
      </c>
      <c r="L1" s="84"/>
      <c r="M1" s="73"/>
      <c r="N1" s="74"/>
      <c r="O1" s="75" t="s">
        <v>236</v>
      </c>
      <c r="P1" s="76" t="s">
        <v>289</v>
      </c>
      <c r="Q1" s="77" t="s">
        <v>238</v>
      </c>
      <c r="R1" s="76">
        <v>0.49</v>
      </c>
      <c r="Y1" s="75" t="s">
        <v>453</v>
      </c>
      <c r="Z1" s="766">
        <v>31550</v>
      </c>
      <c r="AA1" s="75" t="s">
        <v>556</v>
      </c>
      <c r="AB1" s="766">
        <v>500</v>
      </c>
      <c r="AC1" s="75" t="s">
        <v>546</v>
      </c>
      <c r="AD1" s="766">
        <v>228</v>
      </c>
    </row>
    <row r="2" spans="1:33" ht="15.75" customHeight="1" x14ac:dyDescent="0.25">
      <c r="A2" s="81"/>
      <c r="B2" s="1644" t="s">
        <v>385</v>
      </c>
      <c r="C2" s="1661"/>
      <c r="D2" s="1661"/>
      <c r="E2" s="1661"/>
      <c r="F2" s="1661"/>
      <c r="G2" s="1661"/>
      <c r="H2" s="1661"/>
      <c r="I2" s="82"/>
      <c r="J2" s="82"/>
      <c r="K2" s="269"/>
      <c r="L2" s="270"/>
      <c r="M2" s="84"/>
      <c r="N2" s="84"/>
      <c r="O2" s="84"/>
      <c r="P2" s="84"/>
      <c r="Q2" s="84"/>
      <c r="R2" s="84"/>
      <c r="AE2" s="1647"/>
      <c r="AF2" s="1655"/>
      <c r="AG2" s="1655"/>
    </row>
    <row r="3" spans="1:33" ht="15.75" customHeight="1" x14ac:dyDescent="0.25">
      <c r="A3" s="81"/>
      <c r="B3" s="87"/>
      <c r="C3" s="87"/>
      <c r="D3" s="87"/>
      <c r="E3" s="87"/>
      <c r="F3" s="87"/>
      <c r="G3" s="87"/>
      <c r="H3" s="87"/>
      <c r="I3" s="87"/>
      <c r="J3" s="87"/>
      <c r="K3" s="269"/>
      <c r="L3" s="270"/>
      <c r="M3" s="84"/>
      <c r="N3" s="84"/>
      <c r="O3" s="84"/>
      <c r="P3" s="84"/>
      <c r="Q3" s="84"/>
      <c r="R3" s="84"/>
      <c r="AE3" s="1655"/>
      <c r="AF3" s="1655"/>
      <c r="AG3" s="1655"/>
    </row>
    <row r="4" spans="1:33" ht="35.25"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c r="P4" s="84"/>
    </row>
    <row r="5" spans="1:33" ht="14.25" customHeight="1" x14ac:dyDescent="0.2">
      <c r="A5" s="1454"/>
      <c r="B5" s="199" t="s">
        <v>223</v>
      </c>
      <c r="C5" s="97" t="s">
        <v>14</v>
      </c>
      <c r="D5" s="103">
        <f>I51/10</f>
        <v>4283.6734693877552</v>
      </c>
      <c r="E5" s="69">
        <f>H52</f>
        <v>10.341812767984754</v>
      </c>
      <c r="F5" s="276">
        <v>1</v>
      </c>
      <c r="G5" s="101">
        <f t="shared" ref="G5:G26" si="0">D5*E5</f>
        <v>44300.948979591834</v>
      </c>
      <c r="H5" s="102">
        <f t="shared" ref="H5:H26" si="1">G5*F5</f>
        <v>44300.948979591834</v>
      </c>
      <c r="I5" s="65">
        <f>VLOOKUP(B5,All_Ingredients!$A$1:$F$156,6,FALSE())</f>
        <v>0.55000000000000004</v>
      </c>
      <c r="J5" s="101">
        <f>VLOOKUP(B5,All_Ingredients!$A$1:$J$156,10,FALSE())</f>
        <v>14.361111111111111</v>
      </c>
      <c r="K5" s="104">
        <f t="shared" ref="K5" si="2">(H5/I5)/1000</f>
        <v>80.547179962894234</v>
      </c>
      <c r="L5" s="104">
        <f t="shared" ref="L5" si="3">K5*J5</f>
        <v>1156.7470011337866</v>
      </c>
      <c r="M5" s="84"/>
      <c r="N5" s="84"/>
      <c r="O5" s="84"/>
      <c r="P5" s="84"/>
    </row>
    <row r="6" spans="1:33" ht="14.25" customHeight="1" x14ac:dyDescent="0.25">
      <c r="A6" s="1471" t="s">
        <v>920</v>
      </c>
      <c r="B6" s="244" t="s">
        <v>12</v>
      </c>
      <c r="C6" s="97" t="s">
        <v>14</v>
      </c>
      <c r="D6" s="107">
        <v>50</v>
      </c>
      <c r="E6" s="177">
        <f t="shared" ref="E6:E26" si="4">$I$1</f>
        <v>10.662407216494845</v>
      </c>
      <c r="F6" s="276">
        <v>0.95</v>
      </c>
      <c r="G6" s="101">
        <f t="shared" si="0"/>
        <v>533.12036082474231</v>
      </c>
      <c r="H6" s="102">
        <f t="shared" si="1"/>
        <v>506.46434278350517</v>
      </c>
      <c r="I6" s="65">
        <f>VLOOKUP(B6,All_Ingredients!$A$1:$F$156,6,FALSE())</f>
        <v>0.9</v>
      </c>
      <c r="J6" s="101">
        <f>VLOOKUP(B6,All_Ingredients!$A$1:$J$156,10,FALSE())</f>
        <v>3</v>
      </c>
      <c r="K6" s="104">
        <f t="shared" ref="K6:K26" si="5">(H6/I6)/1000</f>
        <v>0.56273815864833909</v>
      </c>
      <c r="L6" s="104">
        <f t="shared" ref="L6:L26" si="6">K6*J6</f>
        <v>1.6882144759450173</v>
      </c>
    </row>
    <row r="7" spans="1:33" ht="14.25" customHeight="1" x14ac:dyDescent="0.25">
      <c r="A7" s="1471" t="s">
        <v>907</v>
      </c>
      <c r="B7" s="244" t="s">
        <v>727</v>
      </c>
      <c r="C7" s="97" t="s">
        <v>14</v>
      </c>
      <c r="D7" s="107">
        <v>10</v>
      </c>
      <c r="E7" s="177">
        <f t="shared" si="4"/>
        <v>10.662407216494845</v>
      </c>
      <c r="F7" s="276">
        <v>1</v>
      </c>
      <c r="G7" s="101">
        <f t="shared" si="0"/>
        <v>106.62407216494844</v>
      </c>
      <c r="H7" s="102">
        <f t="shared" si="1"/>
        <v>106.62407216494844</v>
      </c>
      <c r="I7" s="65">
        <f>VLOOKUP(B7,All_Ingredients!$A$1:$F$156,6,FALSE())</f>
        <v>1</v>
      </c>
      <c r="J7" s="101">
        <f>VLOOKUP(B7,All_Ingredients!$A$1:$J$156,10,FALSE())</f>
        <v>10.5</v>
      </c>
      <c r="K7" s="104">
        <f t="shared" si="5"/>
        <v>0.10662407216494844</v>
      </c>
      <c r="L7" s="104">
        <f t="shared" si="6"/>
        <v>1.1195527577319586</v>
      </c>
    </row>
    <row r="8" spans="1:33" ht="14.25" customHeight="1" x14ac:dyDescent="0.25">
      <c r="A8" s="1471"/>
      <c r="B8" s="244" t="s">
        <v>200</v>
      </c>
      <c r="C8" s="97" t="s">
        <v>14</v>
      </c>
      <c r="D8" s="250">
        <v>25</v>
      </c>
      <c r="E8" s="177">
        <f t="shared" si="4"/>
        <v>10.662407216494845</v>
      </c>
      <c r="F8" s="276">
        <v>0.9</v>
      </c>
      <c r="G8" s="101">
        <f t="shared" si="0"/>
        <v>266.56018041237115</v>
      </c>
      <c r="H8" s="102">
        <f t="shared" si="1"/>
        <v>239.90416237113405</v>
      </c>
      <c r="I8" s="65">
        <f>VLOOKUP(B8,All_Ingredients!$A$1:$F$156,6,FALSE())</f>
        <v>1</v>
      </c>
      <c r="J8" s="101">
        <f>VLOOKUP(B8,All_Ingredients!$A$1:$J$156,10,FALSE())</f>
        <v>63.333333333333336</v>
      </c>
      <c r="K8" s="104">
        <f t="shared" si="5"/>
        <v>0.23990416237113404</v>
      </c>
      <c r="L8" s="104">
        <f t="shared" si="6"/>
        <v>15.193930283505157</v>
      </c>
    </row>
    <row r="9" spans="1:33" ht="14.25" customHeight="1" x14ac:dyDescent="0.25">
      <c r="A9" s="1471"/>
      <c r="B9" s="244" t="s">
        <v>166</v>
      </c>
      <c r="C9" s="97" t="s">
        <v>160</v>
      </c>
      <c r="D9" s="250">
        <v>500</v>
      </c>
      <c r="E9" s="177">
        <f t="shared" si="4"/>
        <v>10.662407216494845</v>
      </c>
      <c r="F9" s="276">
        <v>1</v>
      </c>
      <c r="G9" s="101">
        <f t="shared" si="0"/>
        <v>5331.2036082474224</v>
      </c>
      <c r="H9" s="102">
        <f t="shared" si="1"/>
        <v>5331.2036082474224</v>
      </c>
      <c r="I9" s="65">
        <f>VLOOKUP(B9,All_Ingredients!$A$1:$F$156,6,FALSE())</f>
        <v>1</v>
      </c>
      <c r="J9" s="101">
        <f>VLOOKUP(B9,All_Ingredients!$A$1:$J$156,10,FALSE())</f>
        <v>12.666666666666666</v>
      </c>
      <c r="K9" s="104">
        <f t="shared" si="5"/>
        <v>5.3312036082474226</v>
      </c>
      <c r="L9" s="104">
        <f t="shared" si="6"/>
        <v>67.528579037800682</v>
      </c>
    </row>
    <row r="10" spans="1:33" ht="14.25" customHeight="1" x14ac:dyDescent="0.25">
      <c r="A10" s="1471"/>
      <c r="B10" s="244" t="s">
        <v>152</v>
      </c>
      <c r="C10" s="97" t="s">
        <v>14</v>
      </c>
      <c r="D10" s="107">
        <v>10</v>
      </c>
      <c r="E10" s="177">
        <f t="shared" si="4"/>
        <v>10.662407216494845</v>
      </c>
      <c r="F10" s="276">
        <v>1</v>
      </c>
      <c r="G10" s="101">
        <f t="shared" si="0"/>
        <v>106.62407216494844</v>
      </c>
      <c r="H10" s="102">
        <f t="shared" si="1"/>
        <v>106.62407216494844</v>
      </c>
      <c r="I10" s="65">
        <f>VLOOKUP(B10,All_Ingredients!$A$1:$F$156,6,FALSE())</f>
        <v>1</v>
      </c>
      <c r="J10" s="101">
        <f>VLOOKUP(B10,All_Ingredients!$A$1:$J$156,10,FALSE())</f>
        <v>30</v>
      </c>
      <c r="K10" s="104">
        <f t="shared" si="5"/>
        <v>0.10662407216494844</v>
      </c>
      <c r="L10" s="104">
        <f t="shared" si="6"/>
        <v>3.1987221649484532</v>
      </c>
    </row>
    <row r="11" spans="1:33" ht="14.25" customHeight="1" x14ac:dyDescent="0.25">
      <c r="A11" s="1471"/>
      <c r="B11" s="244" t="s">
        <v>93</v>
      </c>
      <c r="C11" s="97" t="s">
        <v>14</v>
      </c>
      <c r="D11" s="107">
        <v>5</v>
      </c>
      <c r="E11" s="177">
        <f t="shared" si="4"/>
        <v>10.662407216494845</v>
      </c>
      <c r="F11" s="276">
        <v>0.75</v>
      </c>
      <c r="G11" s="101">
        <f t="shared" si="0"/>
        <v>53.312036082474222</v>
      </c>
      <c r="H11" s="102">
        <f t="shared" si="1"/>
        <v>39.98402706185567</v>
      </c>
      <c r="I11" s="65">
        <f>VLOOKUP(B11,All_Ingredients!$A$1:$F$156,6,FALSE())</f>
        <v>1</v>
      </c>
      <c r="J11" s="101">
        <f>VLOOKUP(B11,All_Ingredients!$A$1:$J$156,10,FALSE())</f>
        <v>0.74</v>
      </c>
      <c r="K11" s="104">
        <f t="shared" si="5"/>
        <v>3.9984027061855672E-2</v>
      </c>
      <c r="L11" s="104">
        <f t="shared" si="6"/>
        <v>2.9588180025773198E-2</v>
      </c>
    </row>
    <row r="12" spans="1:33" ht="14.25" customHeight="1" x14ac:dyDescent="0.25">
      <c r="A12" s="1471"/>
      <c r="B12" s="244" t="s">
        <v>159</v>
      </c>
      <c r="C12" s="97" t="s">
        <v>160</v>
      </c>
      <c r="D12" s="250">
        <v>400</v>
      </c>
      <c r="E12" s="177">
        <f t="shared" si="4"/>
        <v>10.662407216494845</v>
      </c>
      <c r="F12" s="276">
        <v>1</v>
      </c>
      <c r="G12" s="101">
        <f t="shared" si="0"/>
        <v>4264.9628865979384</v>
      </c>
      <c r="H12" s="102">
        <f t="shared" si="1"/>
        <v>4264.9628865979384</v>
      </c>
      <c r="I12" s="65">
        <f>VLOOKUP(B12,All_Ingredients!$A$1:$F$156,6,FALSE())</f>
        <v>1</v>
      </c>
      <c r="J12" s="101">
        <f>VLOOKUP(B12,All_Ingredients!$A$1:$J$156,10,FALSE())</f>
        <v>4.2033333333333331</v>
      </c>
      <c r="K12" s="104">
        <f t="shared" si="5"/>
        <v>4.2649628865979388</v>
      </c>
      <c r="L12" s="104">
        <f t="shared" si="6"/>
        <v>17.927060666666669</v>
      </c>
    </row>
    <row r="13" spans="1:33" ht="14.25" customHeight="1" x14ac:dyDescent="0.25">
      <c r="A13" s="1471"/>
      <c r="B13" s="244" t="s">
        <v>203</v>
      </c>
      <c r="C13" s="97" t="s">
        <v>160</v>
      </c>
      <c r="D13" s="107">
        <v>300</v>
      </c>
      <c r="E13" s="177">
        <f t="shared" si="4"/>
        <v>10.662407216494845</v>
      </c>
      <c r="F13" s="276">
        <v>1</v>
      </c>
      <c r="G13" s="101">
        <f t="shared" si="0"/>
        <v>3198.7221649484536</v>
      </c>
      <c r="H13" s="102">
        <f t="shared" si="1"/>
        <v>3198.7221649484536</v>
      </c>
      <c r="I13" s="65">
        <f>VLOOKUP(B13,All_Ingredients!$A$1:$F$156,6,FALSE())</f>
        <v>1</v>
      </c>
      <c r="J13" s="101">
        <f>VLOOKUP(B13,All_Ingredients!$A$1:$J$156,10,FALSE())</f>
        <v>0</v>
      </c>
      <c r="K13" s="104">
        <f t="shared" si="5"/>
        <v>3.1987221649484536</v>
      </c>
      <c r="L13" s="104">
        <f t="shared" si="6"/>
        <v>0</v>
      </c>
    </row>
    <row r="14" spans="1:33" ht="14.25" customHeight="1" x14ac:dyDescent="0.25">
      <c r="A14" s="1471"/>
      <c r="B14" s="244" t="s">
        <v>99</v>
      </c>
      <c r="C14" s="97" t="s">
        <v>14</v>
      </c>
      <c r="D14" s="107">
        <v>2</v>
      </c>
      <c r="E14" s="177">
        <f t="shared" si="4"/>
        <v>10.662407216494845</v>
      </c>
      <c r="F14" s="276">
        <v>0.75</v>
      </c>
      <c r="G14" s="101">
        <f t="shared" si="0"/>
        <v>21.32481443298969</v>
      </c>
      <c r="H14" s="102">
        <f t="shared" si="1"/>
        <v>15.993610824742268</v>
      </c>
      <c r="I14" s="65">
        <f>VLOOKUP(B14,All_Ingredients!$A$1:$F$156,6,FALSE())</f>
        <v>1</v>
      </c>
      <c r="J14" s="101">
        <f>VLOOKUP(B14,All_Ingredients!$A$1:$J$156,10,FALSE())</f>
        <v>31</v>
      </c>
      <c r="K14" s="104">
        <f t="shared" si="5"/>
        <v>1.5993610824742269E-2</v>
      </c>
      <c r="L14" s="104">
        <f t="shared" si="6"/>
        <v>0.49580193556701035</v>
      </c>
    </row>
    <row r="15" spans="1:33" ht="14.25" customHeight="1" x14ac:dyDescent="0.25">
      <c r="A15" s="1471"/>
      <c r="B15" s="244" t="s">
        <v>139</v>
      </c>
      <c r="C15" s="97" t="s">
        <v>14</v>
      </c>
      <c r="D15" s="250">
        <v>10</v>
      </c>
      <c r="E15" s="177">
        <f t="shared" si="4"/>
        <v>10.662407216494845</v>
      </c>
      <c r="F15" s="276">
        <v>0.6</v>
      </c>
      <c r="G15" s="101">
        <f t="shared" si="0"/>
        <v>106.62407216494844</v>
      </c>
      <c r="H15" s="102">
        <f t="shared" si="1"/>
        <v>63.974443298969064</v>
      </c>
      <c r="I15" s="65">
        <f>VLOOKUP(B15,All_Ingredients!$A$1:$F$156,6,FALSE())</f>
        <v>1</v>
      </c>
      <c r="J15" s="101">
        <f>VLOOKUP(B15,All_Ingredients!$A$1:$J$156,10,FALSE())</f>
        <v>15.277777777777779</v>
      </c>
      <c r="K15" s="104">
        <f t="shared" si="5"/>
        <v>6.3974443298969064E-2</v>
      </c>
      <c r="L15" s="104">
        <f t="shared" si="6"/>
        <v>0.97738732817869411</v>
      </c>
    </row>
    <row r="16" spans="1:33" ht="14.25" customHeight="1" x14ac:dyDescent="0.25">
      <c r="A16" s="1471"/>
      <c r="B16" s="244" t="s">
        <v>215</v>
      </c>
      <c r="C16" s="97" t="s">
        <v>14</v>
      </c>
      <c r="D16" s="107">
        <v>1</v>
      </c>
      <c r="E16" s="177">
        <f t="shared" si="4"/>
        <v>10.662407216494845</v>
      </c>
      <c r="F16" s="276">
        <v>0.9</v>
      </c>
      <c r="G16" s="101">
        <f t="shared" si="0"/>
        <v>10.662407216494845</v>
      </c>
      <c r="H16" s="102">
        <f t="shared" si="1"/>
        <v>9.5961664948453613</v>
      </c>
      <c r="I16" s="65">
        <f>VLOOKUP(B16,All_Ingredients!$A$1:$F$156,6,FALSE())</f>
        <v>1</v>
      </c>
      <c r="J16" s="101">
        <f>VLOOKUP(B16,All_Ingredients!$A$1:$J$156,10,FALSE())</f>
        <v>40</v>
      </c>
      <c r="K16" s="104">
        <f t="shared" si="5"/>
        <v>9.5961664948453606E-3</v>
      </c>
      <c r="L16" s="104">
        <f t="shared" si="6"/>
        <v>0.38384665979381444</v>
      </c>
    </row>
    <row r="17" spans="1:30" ht="14.25" customHeight="1" x14ac:dyDescent="0.25">
      <c r="A17" s="1471"/>
      <c r="B17" s="200" t="s">
        <v>97</v>
      </c>
      <c r="C17" s="97" t="s">
        <v>14</v>
      </c>
      <c r="D17" s="107">
        <v>2</v>
      </c>
      <c r="E17" s="177">
        <f t="shared" si="4"/>
        <v>10.662407216494845</v>
      </c>
      <c r="F17" s="276">
        <v>1</v>
      </c>
      <c r="G17" s="101">
        <f t="shared" si="0"/>
        <v>21.32481443298969</v>
      </c>
      <c r="H17" s="102">
        <f t="shared" si="1"/>
        <v>21.32481443298969</v>
      </c>
      <c r="I17" s="65">
        <f>VLOOKUP(B17,All_Ingredients!$A$1:$F$156,6,FALSE())</f>
        <v>1</v>
      </c>
      <c r="J17" s="101">
        <f>VLOOKUP(B17,All_Ingredients!$A$1:$J$156,10,FALSE())</f>
        <v>38</v>
      </c>
      <c r="K17" s="104">
        <f t="shared" si="5"/>
        <v>2.132481443298969E-2</v>
      </c>
      <c r="L17" s="104">
        <f t="shared" si="6"/>
        <v>0.81034294845360821</v>
      </c>
    </row>
    <row r="18" spans="1:30" ht="14.25" customHeight="1" x14ac:dyDescent="0.25">
      <c r="A18" s="1471"/>
      <c r="B18" s="200" t="s">
        <v>120</v>
      </c>
      <c r="C18" s="97" t="s">
        <v>14</v>
      </c>
      <c r="D18" s="107">
        <v>2</v>
      </c>
      <c r="E18" s="177">
        <f t="shared" si="4"/>
        <v>10.662407216494845</v>
      </c>
      <c r="F18" s="276">
        <v>1</v>
      </c>
      <c r="G18" s="101">
        <f t="shared" si="0"/>
        <v>21.32481443298969</v>
      </c>
      <c r="H18" s="102">
        <f t="shared" si="1"/>
        <v>21.32481443298969</v>
      </c>
      <c r="I18" s="65">
        <f>VLOOKUP(B18,All_Ingredients!$A$1:$F$156,6,FALSE())</f>
        <v>1</v>
      </c>
      <c r="J18" s="101">
        <f>VLOOKUP(B18,All_Ingredients!$A$1:$J$156,10,FALSE())</f>
        <v>15</v>
      </c>
      <c r="K18" s="104">
        <f t="shared" si="5"/>
        <v>2.132481443298969E-2</v>
      </c>
      <c r="L18" s="104">
        <f t="shared" si="6"/>
        <v>0.31987221649484537</v>
      </c>
    </row>
    <row r="19" spans="1:30" ht="14.25" customHeight="1" x14ac:dyDescent="0.25">
      <c r="A19" s="1471"/>
      <c r="B19" s="200" t="s">
        <v>103</v>
      </c>
      <c r="C19" s="97" t="s">
        <v>14</v>
      </c>
      <c r="D19" s="107">
        <v>2</v>
      </c>
      <c r="E19" s="177">
        <f t="shared" si="4"/>
        <v>10.662407216494845</v>
      </c>
      <c r="F19" s="276">
        <v>1</v>
      </c>
      <c r="G19" s="101">
        <f t="shared" si="0"/>
        <v>21.32481443298969</v>
      </c>
      <c r="H19" s="102">
        <f t="shared" si="1"/>
        <v>21.32481443298969</v>
      </c>
      <c r="I19" s="65">
        <f>VLOOKUP(B19,All_Ingredients!$A$1:$F$156,6,FALSE())</f>
        <v>1</v>
      </c>
      <c r="J19" s="101">
        <f>VLOOKUP(B19,All_Ingredients!$A$1:$J$156,10,FALSE())</f>
        <v>19</v>
      </c>
      <c r="K19" s="104">
        <f t="shared" si="5"/>
        <v>2.132481443298969E-2</v>
      </c>
      <c r="L19" s="104">
        <f t="shared" si="6"/>
        <v>0.40517147422680411</v>
      </c>
    </row>
    <row r="20" spans="1:30" ht="14.25" customHeight="1" x14ac:dyDescent="0.25">
      <c r="A20" s="1471"/>
      <c r="B20" s="200" t="s">
        <v>124</v>
      </c>
      <c r="C20" s="97" t="s">
        <v>14</v>
      </c>
      <c r="D20" s="107">
        <v>2</v>
      </c>
      <c r="E20" s="177">
        <f t="shared" si="4"/>
        <v>10.662407216494845</v>
      </c>
      <c r="F20" s="276">
        <v>1</v>
      </c>
      <c r="G20" s="101">
        <f t="shared" si="0"/>
        <v>21.32481443298969</v>
      </c>
      <c r="H20" s="102">
        <f t="shared" si="1"/>
        <v>21.32481443298969</v>
      </c>
      <c r="I20" s="65">
        <f>VLOOKUP(B20,All_Ingredients!$A$1:$F$156,6,FALSE())</f>
        <v>1</v>
      </c>
      <c r="J20" s="101">
        <f>VLOOKUP(B20,All_Ingredients!$A$1:$J$156,10,FALSE())</f>
        <v>37</v>
      </c>
      <c r="K20" s="104">
        <f t="shared" si="5"/>
        <v>2.132481443298969E-2</v>
      </c>
      <c r="L20" s="104">
        <f t="shared" si="6"/>
        <v>0.78901813402061849</v>
      </c>
    </row>
    <row r="21" spans="1:30" ht="14.25" customHeight="1" x14ac:dyDescent="0.25">
      <c r="A21" s="1471"/>
      <c r="B21" s="200" t="s">
        <v>126</v>
      </c>
      <c r="C21" s="97" t="s">
        <v>14</v>
      </c>
      <c r="D21" s="107">
        <v>2</v>
      </c>
      <c r="E21" s="177">
        <f t="shared" si="4"/>
        <v>10.662407216494845</v>
      </c>
      <c r="F21" s="276">
        <v>1</v>
      </c>
      <c r="G21" s="101">
        <f t="shared" si="0"/>
        <v>21.32481443298969</v>
      </c>
      <c r="H21" s="102">
        <f t="shared" si="1"/>
        <v>21.32481443298969</v>
      </c>
      <c r="I21" s="65">
        <f>VLOOKUP(B21,All_Ingredients!$A$1:$F$156,6,FALSE())</f>
        <v>1</v>
      </c>
      <c r="J21" s="101">
        <f>VLOOKUP(B21,All_Ingredients!$A$1:$J$156,10,FALSE())</f>
        <v>125</v>
      </c>
      <c r="K21" s="104">
        <f t="shared" si="5"/>
        <v>2.132481443298969E-2</v>
      </c>
      <c r="L21" s="104">
        <f t="shared" si="6"/>
        <v>2.6656018041237113</v>
      </c>
      <c r="Q21" s="110" t="s">
        <v>386</v>
      </c>
    </row>
    <row r="22" spans="1:30" ht="14.25" customHeight="1" x14ac:dyDescent="0.25">
      <c r="A22" s="1471"/>
      <c r="B22" s="200" t="s">
        <v>129</v>
      </c>
      <c r="C22" s="97" t="s">
        <v>14</v>
      </c>
      <c r="D22" s="107">
        <v>2</v>
      </c>
      <c r="E22" s="177">
        <f t="shared" si="4"/>
        <v>10.662407216494845</v>
      </c>
      <c r="F22" s="276">
        <v>1</v>
      </c>
      <c r="G22" s="101">
        <f t="shared" si="0"/>
        <v>21.32481443298969</v>
      </c>
      <c r="H22" s="102">
        <f t="shared" si="1"/>
        <v>21.32481443298969</v>
      </c>
      <c r="I22" s="65">
        <f>VLOOKUP(B22,All_Ingredients!$A$1:$F$156,6,FALSE())</f>
        <v>1</v>
      </c>
      <c r="J22" s="101">
        <f>VLOOKUP(B22,All_Ingredients!$A$1:$J$156,10,FALSE())</f>
        <v>31.5</v>
      </c>
      <c r="K22" s="104">
        <f t="shared" si="5"/>
        <v>2.132481443298969E-2</v>
      </c>
      <c r="L22" s="104">
        <f t="shared" si="6"/>
        <v>0.67173165463917528</v>
      </c>
    </row>
    <row r="23" spans="1:30" ht="14.25" customHeight="1" x14ac:dyDescent="0.25">
      <c r="A23" s="1471" t="s">
        <v>923</v>
      </c>
      <c r="B23" s="200" t="s">
        <v>756</v>
      </c>
      <c r="C23" s="97" t="s">
        <v>14</v>
      </c>
      <c r="D23" s="107">
        <v>2</v>
      </c>
      <c r="E23" s="177">
        <f t="shared" si="4"/>
        <v>10.662407216494845</v>
      </c>
      <c r="F23" s="276">
        <v>1</v>
      </c>
      <c r="G23" s="101">
        <f t="shared" si="0"/>
        <v>21.32481443298969</v>
      </c>
      <c r="H23" s="102">
        <f t="shared" si="1"/>
        <v>21.32481443298969</v>
      </c>
      <c r="I23" s="65">
        <f>VLOOKUP(B23,All_Ingredients!$A$1:$F$156,6,FALSE())</f>
        <v>0.74</v>
      </c>
      <c r="J23" s="101">
        <f>VLOOKUP(B23,All_Ingredients!$A$1:$J$156,10,FALSE())</f>
        <v>100</v>
      </c>
      <c r="K23" s="104">
        <f t="shared" si="5"/>
        <v>2.8817316801337419E-2</v>
      </c>
      <c r="L23" s="104">
        <f t="shared" si="6"/>
        <v>2.881731680133742</v>
      </c>
    </row>
    <row r="24" spans="1:30" ht="14.25" customHeight="1" x14ac:dyDescent="0.25">
      <c r="A24" s="1471"/>
      <c r="B24" s="200" t="s">
        <v>90</v>
      </c>
      <c r="C24" s="97" t="s">
        <v>14</v>
      </c>
      <c r="D24" s="107">
        <v>2</v>
      </c>
      <c r="E24" s="177">
        <f t="shared" si="4"/>
        <v>10.662407216494845</v>
      </c>
      <c r="F24" s="276">
        <v>1</v>
      </c>
      <c r="G24" s="422">
        <f t="shared" si="0"/>
        <v>21.32481443298969</v>
      </c>
      <c r="H24" s="417">
        <f t="shared" si="1"/>
        <v>21.32481443298969</v>
      </c>
      <c r="I24" s="65">
        <f>VLOOKUP(B24,All_Ingredients!$A$1:$F$156,6,FALSE())</f>
        <v>1</v>
      </c>
      <c r="J24" s="101">
        <f>VLOOKUP(B24,All_Ingredients!$A$1:$J$156,10,FALSE())</f>
        <v>3.04</v>
      </c>
      <c r="K24" s="104">
        <f t="shared" si="5"/>
        <v>2.132481443298969E-2</v>
      </c>
      <c r="L24" s="104">
        <f t="shared" si="6"/>
        <v>6.4827435876288655E-2</v>
      </c>
      <c r="Z24" s="1073"/>
    </row>
    <row r="25" spans="1:30" ht="14.25" customHeight="1" x14ac:dyDescent="0.25">
      <c r="A25" s="1471"/>
      <c r="B25" s="244" t="s">
        <v>93</v>
      </c>
      <c r="C25" s="97" t="s">
        <v>14</v>
      </c>
      <c r="D25" s="107">
        <v>5</v>
      </c>
      <c r="E25" s="177">
        <f t="shared" si="4"/>
        <v>10.662407216494845</v>
      </c>
      <c r="F25" s="276">
        <v>1</v>
      </c>
      <c r="G25" s="101">
        <f t="shared" si="0"/>
        <v>53.312036082474222</v>
      </c>
      <c r="H25" s="102">
        <f t="shared" si="1"/>
        <v>53.312036082474222</v>
      </c>
      <c r="I25" s="65">
        <f>VLOOKUP(B25,All_Ingredients!$A$1:$F$156,6,FALSE())</f>
        <v>1</v>
      </c>
      <c r="J25" s="101">
        <f>VLOOKUP(B25,All_Ingredients!$A$1:$J$156,10,FALSE())</f>
        <v>0.74</v>
      </c>
      <c r="K25" s="104">
        <f t="shared" si="5"/>
        <v>5.3312036082474222E-2</v>
      </c>
      <c r="L25" s="104">
        <f t="shared" si="6"/>
        <v>3.9450906701030922E-2</v>
      </c>
      <c r="R25" s="1640" t="s">
        <v>385</v>
      </c>
      <c r="S25" s="1633"/>
      <c r="T25" s="1633"/>
      <c r="U25" s="1633"/>
      <c r="Z25" s="122" t="s">
        <v>252</v>
      </c>
      <c r="AA25" s="123">
        <v>1</v>
      </c>
      <c r="AB25" s="122" t="s">
        <v>249</v>
      </c>
      <c r="AC25" s="124">
        <f>AD30*AA25</f>
        <v>4.1169983836877339E-2</v>
      </c>
    </row>
    <row r="26" spans="1:30" ht="14.25" customHeight="1" x14ac:dyDescent="0.25">
      <c r="A26" s="1472"/>
      <c r="B26" s="200" t="s">
        <v>187</v>
      </c>
      <c r="C26" s="106" t="s">
        <v>14</v>
      </c>
      <c r="D26" s="107">
        <v>20</v>
      </c>
      <c r="E26" s="201">
        <f t="shared" si="4"/>
        <v>10.662407216494845</v>
      </c>
      <c r="F26" s="109">
        <v>0.75</v>
      </c>
      <c r="G26" s="101">
        <f t="shared" si="0"/>
        <v>213.24814432989689</v>
      </c>
      <c r="H26" s="102">
        <f t="shared" si="1"/>
        <v>159.93610824742268</v>
      </c>
      <c r="I26" s="65">
        <f>VLOOKUP(B26,All_Ingredients!$A$1:$F$156,6,FALSE())</f>
        <v>0.9</v>
      </c>
      <c r="J26" s="101">
        <f>VLOOKUP(B26,All_Ingredients!$A$1:$J$156,10,FALSE())</f>
        <v>2.3199999999999998</v>
      </c>
      <c r="K26" s="104">
        <f t="shared" si="5"/>
        <v>0.17770678694158076</v>
      </c>
      <c r="L26" s="104">
        <f t="shared" si="6"/>
        <v>0.41227974570446735</v>
      </c>
      <c r="R26" s="1654" t="s">
        <v>360</v>
      </c>
      <c r="S26" s="1633"/>
      <c r="T26" s="1633"/>
      <c r="U26" s="1633"/>
    </row>
    <row r="27" spans="1:30" ht="14.25" customHeight="1" thickBot="1" x14ac:dyDescent="0.3">
      <c r="A27" s="1472"/>
      <c r="L27" s="274"/>
      <c r="R27" s="209" t="s">
        <v>254</v>
      </c>
      <c r="S27" s="423" t="s">
        <v>298</v>
      </c>
      <c r="T27" s="423" t="s">
        <v>256</v>
      </c>
      <c r="U27" s="423" t="s">
        <v>257</v>
      </c>
      <c r="V27" s="127" t="s">
        <v>779</v>
      </c>
      <c r="Z27" s="122" t="s">
        <v>258</v>
      </c>
      <c r="AA27" s="128" t="s">
        <v>259</v>
      </c>
      <c r="AB27" s="128" t="s">
        <v>260</v>
      </c>
      <c r="AC27" s="1032" t="s">
        <v>779</v>
      </c>
      <c r="AD27" s="128" t="s">
        <v>262</v>
      </c>
    </row>
    <row r="28" spans="1:30" ht="14.25" customHeight="1" thickBot="1" x14ac:dyDescent="0.3">
      <c r="A28" s="1472"/>
      <c r="R28" s="125" t="s">
        <v>263</v>
      </c>
      <c r="S28" s="1175">
        <f>U28*S40</f>
        <v>21368.814999999999</v>
      </c>
      <c r="T28" s="1175">
        <f>U28*U40</f>
        <v>10181.184999999999</v>
      </c>
      <c r="U28" s="1178">
        <f>$Z$1</f>
        <v>31550</v>
      </c>
      <c r="V28" s="130">
        <f>SUM(H37:H38)</f>
        <v>456</v>
      </c>
      <c r="Z28" s="132"/>
      <c r="AA28" s="133">
        <f>AA25*$S$40</f>
        <v>0.67730000000000001</v>
      </c>
      <c r="AB28" s="133">
        <f>AA25*$U$40</f>
        <v>0.32269999999999999</v>
      </c>
      <c r="AC28" s="1034"/>
      <c r="AD28" s="135">
        <f>SUM(AA28:AC28)</f>
        <v>1</v>
      </c>
    </row>
    <row r="29" spans="1:30" ht="14.25" customHeight="1" thickBot="1" x14ac:dyDescent="0.3">
      <c r="A29" s="1472"/>
      <c r="R29" s="125" t="s">
        <v>387</v>
      </c>
      <c r="S29" s="1176"/>
      <c r="T29" s="1175"/>
      <c r="U29" s="206">
        <f>T29</f>
        <v>0</v>
      </c>
      <c r="V29" s="130"/>
      <c r="Z29" s="132"/>
      <c r="AA29" s="137">
        <f>AA28/$AD$28</f>
        <v>0.67730000000000001</v>
      </c>
      <c r="AB29" s="137">
        <f>AB28/$AD$28</f>
        <v>0.32269999999999999</v>
      </c>
      <c r="AC29" s="1038"/>
      <c r="AD29" s="137">
        <f>AD28/$AD$28</f>
        <v>1</v>
      </c>
    </row>
    <row r="30" spans="1:30" ht="14.25" customHeight="1" thickBot="1" x14ac:dyDescent="0.3">
      <c r="A30" s="1472"/>
      <c r="R30" s="125" t="s">
        <v>265</v>
      </c>
      <c r="S30" s="1177">
        <f>U30*S40</f>
        <v>338.65000000000003</v>
      </c>
      <c r="T30" s="1177">
        <f>U30*U40</f>
        <v>161.35</v>
      </c>
      <c r="U30" s="1178">
        <f>$AB$1</f>
        <v>500</v>
      </c>
      <c r="V30" s="989"/>
      <c r="Z30" s="122" t="s">
        <v>266</v>
      </c>
      <c r="AA30" s="138">
        <f>S35/(S32)</f>
        <v>5.3287981859410423E-2</v>
      </c>
      <c r="AB30" s="139">
        <f>T35/T32</f>
        <v>1.1327105089625708E-2</v>
      </c>
      <c r="AC30" s="1045">
        <f>V35/U32</f>
        <v>1.4227769110764434E-3</v>
      </c>
      <c r="AD30" s="1047">
        <f>SUMPRODUCT(AA30:AB30,AA29:AB29)+AC30</f>
        <v>4.1169983836877339E-2</v>
      </c>
    </row>
    <row r="31" spans="1:30" ht="14.25" customHeight="1" thickBot="1" x14ac:dyDescent="0.3">
      <c r="A31" s="1472"/>
      <c r="R31" s="125" t="s">
        <v>267</v>
      </c>
      <c r="S31" s="208"/>
      <c r="T31" s="206"/>
      <c r="U31" s="206"/>
      <c r="V31" s="130"/>
    </row>
    <row r="32" spans="1:30" ht="14.25" customHeight="1" thickBot="1" x14ac:dyDescent="0.3">
      <c r="A32" s="1472"/>
      <c r="R32" s="214" t="s">
        <v>257</v>
      </c>
      <c r="S32" s="206">
        <f>SUM(S28:S30)</f>
        <v>21707.465</v>
      </c>
      <c r="T32" s="206">
        <f>SUM(T28:T30)</f>
        <v>10342.535</v>
      </c>
      <c r="U32" s="206">
        <f>SUM(U28:U30)</f>
        <v>32050</v>
      </c>
      <c r="V32" s="130">
        <f>SUM(V28:V30)</f>
        <v>456</v>
      </c>
    </row>
    <row r="33" spans="1:23" ht="14.25" customHeight="1" thickBot="1" x14ac:dyDescent="0.3">
      <c r="A33" s="1472"/>
      <c r="B33" s="84"/>
      <c r="E33" s="84"/>
      <c r="F33" s="84"/>
      <c r="R33" s="215" t="s">
        <v>268</v>
      </c>
      <c r="S33" s="208"/>
      <c r="T33" s="208"/>
      <c r="U33" s="208"/>
      <c r="V33" s="136"/>
    </row>
    <row r="34" spans="1:23" ht="14.25" customHeight="1" thickBot="1" x14ac:dyDescent="0.3">
      <c r="A34" s="1472"/>
      <c r="B34" s="84"/>
      <c r="E34" s="84"/>
      <c r="F34" s="84"/>
      <c r="R34" s="216" t="s">
        <v>269</v>
      </c>
      <c r="S34" s="208"/>
      <c r="T34" s="206"/>
      <c r="U34" s="208"/>
      <c r="V34" s="136"/>
    </row>
    <row r="35" spans="1:23" ht="14.25" customHeight="1" thickBot="1" x14ac:dyDescent="0.3">
      <c r="A35" s="1472"/>
      <c r="B35" s="1681" t="s">
        <v>640</v>
      </c>
      <c r="C35" s="1681"/>
      <c r="D35" s="1681"/>
      <c r="E35" s="1681"/>
      <c r="F35" s="1681"/>
      <c r="G35" s="797"/>
      <c r="H35" s="797"/>
      <c r="I35" s="803"/>
      <c r="J35" s="803"/>
      <c r="K35" s="803"/>
      <c r="L35" s="803"/>
      <c r="R35" s="144" t="s">
        <v>249</v>
      </c>
      <c r="S35" s="145">
        <f>$L$5</f>
        <v>1156.7470011337866</v>
      </c>
      <c r="T35" s="145">
        <f>SUM(L6:L24)</f>
        <v>117.15098083813203</v>
      </c>
      <c r="U35" s="1076">
        <f>S35+T35+V35</f>
        <v>1319.4979819719185</v>
      </c>
      <c r="V35" s="1049">
        <f>SUM(L37:L38)</f>
        <v>45.600000000000009</v>
      </c>
    </row>
    <row r="36" spans="1:23" ht="45" customHeight="1" x14ac:dyDescent="0.35">
      <c r="A36" s="1472"/>
      <c r="B36" s="776" t="s">
        <v>241</v>
      </c>
      <c r="C36" s="776" t="s">
        <v>317</v>
      </c>
      <c r="D36" s="778" t="s">
        <v>622</v>
      </c>
      <c r="E36" s="775" t="s">
        <v>623</v>
      </c>
      <c r="F36" s="778" t="s">
        <v>624</v>
      </c>
      <c r="G36" s="797"/>
      <c r="H36" s="778" t="s">
        <v>624</v>
      </c>
      <c r="I36" s="778" t="s">
        <v>246</v>
      </c>
      <c r="J36" s="778" t="s">
        <v>247</v>
      </c>
      <c r="K36" s="778" t="s">
        <v>248</v>
      </c>
      <c r="L36" s="778" t="s">
        <v>249</v>
      </c>
      <c r="Q36" s="424"/>
    </row>
    <row r="37" spans="1:23" ht="14.25" customHeight="1" x14ac:dyDescent="0.25">
      <c r="A37" s="1472"/>
      <c r="B37" s="772" t="s">
        <v>701</v>
      </c>
      <c r="C37" s="773" t="s">
        <v>14</v>
      </c>
      <c r="D37" s="774">
        <v>1</v>
      </c>
      <c r="E37" s="772">
        <f>$AD$1</f>
        <v>228</v>
      </c>
      <c r="F37" s="772">
        <f>D37*E37</f>
        <v>228</v>
      </c>
      <c r="G37" s="796"/>
      <c r="H37" s="772">
        <f>F37</f>
        <v>228</v>
      </c>
      <c r="I37" s="772">
        <f>VLOOKUP(B37,All_Ingredients!$A$1:$F$156,6,FALSE())</f>
        <v>1</v>
      </c>
      <c r="J37" s="772">
        <f>VLOOKUP(B37,All_Ingredients!$A$1:$J$156,10,FALSE())</f>
        <v>160</v>
      </c>
      <c r="K37" s="772">
        <f>(H37/I37)/1000</f>
        <v>0.22800000000000001</v>
      </c>
      <c r="L37" s="772">
        <f t="shared" ref="L37" si="7">K37*J37</f>
        <v>36.480000000000004</v>
      </c>
      <c r="Q37" s="383"/>
    </row>
    <row r="38" spans="1:23" ht="14.25" customHeight="1" x14ac:dyDescent="0.25">
      <c r="A38" s="1472"/>
      <c r="B38" s="772" t="s">
        <v>993</v>
      </c>
      <c r="C38" s="773" t="s">
        <v>14</v>
      </c>
      <c r="D38" s="774">
        <v>1</v>
      </c>
      <c r="E38" s="772">
        <f>$AD$1</f>
        <v>228</v>
      </c>
      <c r="F38" s="772">
        <f>D38*E38</f>
        <v>228</v>
      </c>
      <c r="H38" s="772">
        <f>F38</f>
        <v>228</v>
      </c>
      <c r="I38" s="772">
        <f>VLOOKUP(B38,All_Ingredients!$A$1:$F$156,6,FALSE())</f>
        <v>1</v>
      </c>
      <c r="J38" s="772">
        <f>VLOOKUP(B38,All_Ingredients!$A$1:$J$156,10,FALSE())</f>
        <v>40</v>
      </c>
      <c r="K38" s="772">
        <f>(H38/I38)/1000</f>
        <v>0.22800000000000001</v>
      </c>
      <c r="L38" s="772">
        <f t="shared" ref="L38" si="8">K38*J38</f>
        <v>9.120000000000001</v>
      </c>
      <c r="U38" s="425"/>
    </row>
    <row r="39" spans="1:23" x14ac:dyDescent="0.25">
      <c r="A39" s="1472"/>
    </row>
    <row r="40" spans="1:23" ht="19.5" customHeight="1" x14ac:dyDescent="0.25">
      <c r="A40" s="1472"/>
      <c r="R40" s="146" t="s">
        <v>270</v>
      </c>
      <c r="S40" s="147">
        <v>0.67730000000000001</v>
      </c>
      <c r="T40" s="146" t="s">
        <v>271</v>
      </c>
      <c r="U40" s="148">
        <v>0.32269999999999999</v>
      </c>
      <c r="V40" s="149">
        <f>S40+U40</f>
        <v>1</v>
      </c>
    </row>
    <row r="41" spans="1:23" ht="14.25" customHeight="1" x14ac:dyDescent="0.25">
      <c r="A41" s="1472"/>
      <c r="U41" s="150"/>
    </row>
    <row r="42" spans="1:23"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30990</v>
      </c>
      <c r="R44" s="154">
        <f>$D$51</f>
        <v>10000</v>
      </c>
      <c r="S44" s="219">
        <v>1</v>
      </c>
      <c r="T44" s="155">
        <v>0</v>
      </c>
      <c r="U44" s="220">
        <f>R44*S44</f>
        <v>10000</v>
      </c>
      <c r="V44" s="157">
        <f>R44*T44</f>
        <v>0</v>
      </c>
      <c r="W44" s="237">
        <f>Q44-U44</f>
        <v>20990</v>
      </c>
    </row>
    <row r="45" spans="1:23" x14ac:dyDescent="0.25">
      <c r="A45" s="1472"/>
    </row>
    <row r="46" spans="1:23" x14ac:dyDescent="0.25">
      <c r="A46" s="1472"/>
    </row>
    <row r="47" spans="1:23" x14ac:dyDescent="0.25">
      <c r="A47" s="1472"/>
    </row>
    <row r="48" spans="1:23" x14ac:dyDescent="0.25">
      <c r="A48" s="1472"/>
    </row>
    <row r="49" spans="1:17" x14ac:dyDescent="0.25">
      <c r="A49" s="1472"/>
    </row>
    <row r="50" spans="1:17" x14ac:dyDescent="0.25">
      <c r="A50" s="1472"/>
      <c r="B50" s="126"/>
      <c r="C50" s="126" t="s">
        <v>233</v>
      </c>
      <c r="D50" s="126" t="s">
        <v>279</v>
      </c>
      <c r="E50" s="164"/>
      <c r="F50" s="84"/>
      <c r="G50" s="126" t="s">
        <v>280</v>
      </c>
      <c r="H50" s="126" t="s">
        <v>233</v>
      </c>
      <c r="I50" s="126" t="s">
        <v>281</v>
      </c>
      <c r="J50" s="126" t="s">
        <v>282</v>
      </c>
    </row>
    <row r="51" spans="1:17" x14ac:dyDescent="0.25">
      <c r="A51" s="1472"/>
      <c r="B51" s="161" t="s">
        <v>283</v>
      </c>
      <c r="C51" s="162">
        <f>10/$K$1</f>
        <v>10.309278350515465</v>
      </c>
      <c r="D51" s="163">
        <f>$C$1*10</f>
        <v>10000</v>
      </c>
      <c r="E51" s="164"/>
      <c r="F51" s="84"/>
      <c r="G51" s="161" t="s">
        <v>283</v>
      </c>
      <c r="H51" s="254">
        <f>I51/$D$5</f>
        <v>10</v>
      </c>
      <c r="I51" s="162">
        <f>J51/$R$1</f>
        <v>42836.734693877552</v>
      </c>
      <c r="J51" s="162">
        <f>$W$44</f>
        <v>20990</v>
      </c>
    </row>
    <row r="52" spans="1:17" ht="14.25" customHeight="1" x14ac:dyDescent="0.25">
      <c r="A52" s="1472"/>
      <c r="B52" s="209" t="s">
        <v>262</v>
      </c>
      <c r="C52" s="210">
        <f>$I$1</f>
        <v>10.662407216494845</v>
      </c>
      <c r="D52" s="211">
        <f>$E$1</f>
        <v>10342.535</v>
      </c>
      <c r="E52" s="84"/>
      <c r="F52" s="84"/>
      <c r="G52" s="129" t="s">
        <v>262</v>
      </c>
      <c r="H52" s="190">
        <f>I52/$D$5</f>
        <v>10.341812767984754</v>
      </c>
      <c r="I52" s="157">
        <f>J52/$R$1</f>
        <v>44300.948979591834</v>
      </c>
      <c r="J52" s="165">
        <f>$S$32</f>
        <v>21707.465</v>
      </c>
      <c r="Q52" s="426"/>
    </row>
    <row r="53" spans="1:17" x14ac:dyDescent="0.25">
      <c r="A53" s="1472"/>
      <c r="B53" s="209" t="s">
        <v>284</v>
      </c>
      <c r="C53" s="212">
        <f>MIN(C52, C51)</f>
        <v>10.309278350515465</v>
      </c>
      <c r="D53" s="211">
        <f>(C53*$K$1)*$C$1</f>
        <v>10000</v>
      </c>
      <c r="E53" s="84"/>
      <c r="F53" s="84"/>
      <c r="G53" s="129" t="s">
        <v>284</v>
      </c>
      <c r="H53" s="168">
        <f>MIN(H52,H51)</f>
        <v>10</v>
      </c>
      <c r="I53" s="157">
        <f>J53/$R$1</f>
        <v>42836.734693877552</v>
      </c>
      <c r="J53" s="157">
        <f>MIN(J52,J51)</f>
        <v>20990</v>
      </c>
    </row>
    <row r="54" spans="1:17" x14ac:dyDescent="0.25">
      <c r="A54" s="1472"/>
      <c r="B54" s="209" t="s">
        <v>285</v>
      </c>
      <c r="C54" s="212">
        <f>MIN(MAX(C52-C53,0),C51)</f>
        <v>0.35312886597938054</v>
      </c>
      <c r="D54" s="211">
        <f>(C54*$K$1)*$C$1</f>
        <v>342.53499999999912</v>
      </c>
      <c r="E54" s="84"/>
      <c r="F54" s="84"/>
      <c r="G54" s="129" t="s">
        <v>285</v>
      </c>
      <c r="H54" s="168">
        <f>MIN(MAX(H52-H53),H51)</f>
        <v>0.34181276798475402</v>
      </c>
      <c r="I54" s="157">
        <f>J54/$R$1</f>
        <v>1464.214285714286</v>
      </c>
      <c r="J54" s="157">
        <f>MIN(MAX(J52-J53),J51)</f>
        <v>717.46500000000015</v>
      </c>
    </row>
    <row r="55" spans="1:17"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7" x14ac:dyDescent="0.25">
      <c r="A56" s="1472"/>
    </row>
    <row r="57" spans="1:17" x14ac:dyDescent="0.25">
      <c r="A57" s="1472"/>
    </row>
    <row r="58" spans="1:17" x14ac:dyDescent="0.25">
      <c r="A58" s="1472"/>
    </row>
    <row r="59" spans="1:17" x14ac:dyDescent="0.25">
      <c r="A59" s="1472"/>
    </row>
    <row r="60" spans="1:17" x14ac:dyDescent="0.25">
      <c r="A60" s="1472"/>
    </row>
    <row r="61" spans="1:17" x14ac:dyDescent="0.25">
      <c r="A61" s="1472"/>
    </row>
    <row r="62" spans="1:17" x14ac:dyDescent="0.25">
      <c r="A62" s="1473"/>
      <c r="B62" s="1636" t="str">
        <f>"لحم اوريانتل 1 / " &amp; COUNTIF($C$53:$C$55, "&gt;0")</f>
        <v>لحم اوريانتل 1 / 2</v>
      </c>
      <c r="C62" s="1637"/>
      <c r="D62" s="1637"/>
      <c r="E62" s="1637"/>
      <c r="F62" s="1637"/>
      <c r="G62" s="1637"/>
      <c r="H62" s="1637"/>
    </row>
    <row r="63" spans="1:17" ht="18" customHeight="1" x14ac:dyDescent="0.25">
      <c r="A63" s="1473"/>
      <c r="B63" s="1634" t="str">
        <f>"Laham Oriental 1 / " &amp; COUNTIF($C$53:$C$55, "&gt;0")</f>
        <v>Laham Oriental 1 / 2</v>
      </c>
      <c r="C63" s="1635"/>
      <c r="D63" s="1635"/>
      <c r="E63" s="1635"/>
      <c r="F63" s="1635"/>
      <c r="G63" s="1635"/>
      <c r="H63" s="1635"/>
    </row>
    <row r="64" spans="1:17" ht="41.25" customHeight="1" x14ac:dyDescent="0.2">
      <c r="A64" s="1457"/>
      <c r="B64" s="221" t="s">
        <v>241</v>
      </c>
      <c r="C64" s="222" t="s">
        <v>242</v>
      </c>
      <c r="D64" s="223" t="s">
        <v>231</v>
      </c>
      <c r="E64" s="197" t="s">
        <v>234</v>
      </c>
      <c r="F64" s="197" t="s">
        <v>243</v>
      </c>
      <c r="G64" s="223" t="s">
        <v>244</v>
      </c>
      <c r="H64" s="197" t="s">
        <v>245</v>
      </c>
    </row>
    <row r="65" spans="1:8" ht="18" customHeight="1" x14ac:dyDescent="0.25">
      <c r="A65" s="1471"/>
      <c r="B65" s="105" t="str">
        <f t="shared" ref="B65:D84" si="9">B5</f>
        <v>Indian Meat Alana  - لحم هندى ألانا</v>
      </c>
      <c r="C65" s="105" t="str">
        <f t="shared" si="9"/>
        <v>gm</v>
      </c>
      <c r="D65" s="240">
        <f t="shared" si="9"/>
        <v>4283.6734693877552</v>
      </c>
      <c r="E65" s="98">
        <f>H53</f>
        <v>10</v>
      </c>
      <c r="F65" s="276">
        <f t="shared" ref="F65:F86" si="10">F5</f>
        <v>1</v>
      </c>
      <c r="G65" s="101">
        <f t="shared" ref="G65:G84" si="11">D65*E65</f>
        <v>42836.734693877552</v>
      </c>
      <c r="H65" s="102">
        <f t="shared" ref="H65:H84" si="12">G65*F65</f>
        <v>42836.734693877552</v>
      </c>
    </row>
    <row r="66" spans="1:8" x14ac:dyDescent="0.25">
      <c r="A66" s="1471" t="s">
        <v>920</v>
      </c>
      <c r="B66" s="105" t="str">
        <f t="shared" si="9"/>
        <v>Onion - بصل</v>
      </c>
      <c r="C66" s="105" t="str">
        <f t="shared" si="9"/>
        <v>gm</v>
      </c>
      <c r="D66" s="105">
        <f t="shared" si="9"/>
        <v>50</v>
      </c>
      <c r="E66" s="98">
        <f t="shared" ref="E66:E86" si="13">$C$53</f>
        <v>10.309278350515465</v>
      </c>
      <c r="F66" s="276">
        <f t="shared" si="10"/>
        <v>0.95</v>
      </c>
      <c r="G66" s="101">
        <f t="shared" si="11"/>
        <v>515.46391752577324</v>
      </c>
      <c r="H66" s="102">
        <f t="shared" si="12"/>
        <v>489.69072164948454</v>
      </c>
    </row>
    <row r="67" spans="1:8" ht="14.25" customHeight="1" x14ac:dyDescent="0.25">
      <c r="A67" s="1471" t="s">
        <v>907</v>
      </c>
      <c r="B67" s="105" t="str">
        <f t="shared" si="9"/>
        <v>Garlic - ثوم مقشر</v>
      </c>
      <c r="C67" s="105" t="str">
        <f t="shared" si="9"/>
        <v>gm</v>
      </c>
      <c r="D67" s="105">
        <f t="shared" si="9"/>
        <v>10</v>
      </c>
      <c r="E67" s="98">
        <f t="shared" si="13"/>
        <v>10.309278350515465</v>
      </c>
      <c r="F67" s="276">
        <f t="shared" si="10"/>
        <v>1</v>
      </c>
      <c r="G67" s="101">
        <f t="shared" si="11"/>
        <v>103.09278350515464</v>
      </c>
      <c r="H67" s="102">
        <f t="shared" si="12"/>
        <v>103.09278350515464</v>
      </c>
    </row>
    <row r="68" spans="1:8" ht="14.25" customHeight="1" x14ac:dyDescent="0.25">
      <c r="A68" s="1471"/>
      <c r="B68" s="105" t="str">
        <f t="shared" si="9"/>
        <v>Demi Glaze Sauce - صوص ديمي غلاز</v>
      </c>
      <c r="C68" s="105" t="str">
        <f t="shared" si="9"/>
        <v>gm</v>
      </c>
      <c r="D68" s="105">
        <f t="shared" si="9"/>
        <v>25</v>
      </c>
      <c r="E68" s="98">
        <f t="shared" si="13"/>
        <v>10.309278350515465</v>
      </c>
      <c r="F68" s="276">
        <f t="shared" si="10"/>
        <v>0.9</v>
      </c>
      <c r="G68" s="101">
        <f t="shared" si="11"/>
        <v>257.73195876288662</v>
      </c>
      <c r="H68" s="102">
        <f t="shared" si="12"/>
        <v>231.95876288659795</v>
      </c>
    </row>
    <row r="69" spans="1:8" ht="14.25" customHeight="1" x14ac:dyDescent="0.25">
      <c r="A69" s="1471"/>
      <c r="B69" s="105" t="str">
        <f t="shared" si="9"/>
        <v>Cooking Cream - كريمة طبخ</v>
      </c>
      <c r="C69" s="105" t="str">
        <f t="shared" si="9"/>
        <v>ml</v>
      </c>
      <c r="D69" s="105">
        <f t="shared" si="9"/>
        <v>500</v>
      </c>
      <c r="E69" s="98">
        <f t="shared" si="13"/>
        <v>10.309278350515465</v>
      </c>
      <c r="F69" s="276">
        <f t="shared" si="10"/>
        <v>1</v>
      </c>
      <c r="G69" s="101">
        <f t="shared" si="11"/>
        <v>5154.6391752577319</v>
      </c>
      <c r="H69" s="102">
        <f t="shared" si="12"/>
        <v>5154.6391752577319</v>
      </c>
    </row>
    <row r="70" spans="1:8" ht="14.25" customHeight="1" x14ac:dyDescent="0.25">
      <c r="A70" s="1471"/>
      <c r="B70" s="105" t="str">
        <f t="shared" si="9"/>
        <v>Butter - زبدة</v>
      </c>
      <c r="C70" s="105" t="str">
        <f t="shared" si="9"/>
        <v>gm</v>
      </c>
      <c r="D70" s="105">
        <f t="shared" si="9"/>
        <v>10</v>
      </c>
      <c r="E70" s="98">
        <f t="shared" si="13"/>
        <v>10.309278350515465</v>
      </c>
      <c r="F70" s="276">
        <f t="shared" si="10"/>
        <v>1</v>
      </c>
      <c r="G70" s="101">
        <f t="shared" si="11"/>
        <v>103.09278350515464</v>
      </c>
      <c r="H70" s="102">
        <f t="shared" si="12"/>
        <v>103.09278350515464</v>
      </c>
    </row>
    <row r="71" spans="1:8" ht="14.25" customHeight="1" x14ac:dyDescent="0.25">
      <c r="A71" s="1471"/>
      <c r="B71" s="105" t="str">
        <f t="shared" si="9"/>
        <v>Salt - ملح</v>
      </c>
      <c r="C71" s="105" t="str">
        <f t="shared" si="9"/>
        <v>gm</v>
      </c>
      <c r="D71" s="105">
        <f t="shared" si="9"/>
        <v>5</v>
      </c>
      <c r="E71" s="98">
        <f t="shared" si="13"/>
        <v>10.309278350515465</v>
      </c>
      <c r="F71" s="276">
        <f t="shared" si="10"/>
        <v>0.75</v>
      </c>
      <c r="G71" s="101">
        <f t="shared" si="11"/>
        <v>51.546391752577321</v>
      </c>
      <c r="H71" s="102">
        <f t="shared" si="12"/>
        <v>38.659793814432987</v>
      </c>
    </row>
    <row r="72" spans="1:8" ht="14.25" customHeight="1" x14ac:dyDescent="0.25">
      <c r="A72" s="1471"/>
      <c r="B72" s="105" t="str">
        <f t="shared" si="9"/>
        <v>Milk - حليب</v>
      </c>
      <c r="C72" s="105" t="str">
        <f t="shared" si="9"/>
        <v>ml</v>
      </c>
      <c r="D72" s="105">
        <f t="shared" si="9"/>
        <v>400</v>
      </c>
      <c r="E72" s="98">
        <f t="shared" si="13"/>
        <v>10.309278350515465</v>
      </c>
      <c r="F72" s="276">
        <f t="shared" si="10"/>
        <v>1</v>
      </c>
      <c r="G72" s="101">
        <f t="shared" si="11"/>
        <v>4123.7113402061859</v>
      </c>
      <c r="H72" s="102">
        <f t="shared" si="12"/>
        <v>4123.7113402061859</v>
      </c>
    </row>
    <row r="73" spans="1:8" ht="14.25" customHeight="1" x14ac:dyDescent="0.25">
      <c r="A73" s="1471"/>
      <c r="B73" s="105" t="str">
        <f t="shared" si="9"/>
        <v>Water - ماء</v>
      </c>
      <c r="C73" s="105" t="str">
        <f t="shared" si="9"/>
        <v>ml</v>
      </c>
      <c r="D73" s="105">
        <f t="shared" si="9"/>
        <v>300</v>
      </c>
      <c r="E73" s="98">
        <f t="shared" si="13"/>
        <v>10.309278350515465</v>
      </c>
      <c r="F73" s="276">
        <f t="shared" si="10"/>
        <v>1</v>
      </c>
      <c r="G73" s="101">
        <f t="shared" si="11"/>
        <v>3092.7835051546394</v>
      </c>
      <c r="H73" s="102">
        <f t="shared" si="12"/>
        <v>3092.7835051546394</v>
      </c>
    </row>
    <row r="74" spans="1:8" ht="14.25" customHeight="1" x14ac:dyDescent="0.25">
      <c r="A74" s="1471"/>
      <c r="B74" s="105" t="str">
        <f t="shared" si="9"/>
        <v>Black Pepper Powder - فلفل أسود مطحون</v>
      </c>
      <c r="C74" s="105" t="str">
        <f t="shared" si="9"/>
        <v>gm</v>
      </c>
      <c r="D74" s="105">
        <f t="shared" si="9"/>
        <v>2</v>
      </c>
      <c r="E74" s="98">
        <f t="shared" si="13"/>
        <v>10.309278350515465</v>
      </c>
      <c r="F74" s="276">
        <f t="shared" si="10"/>
        <v>0.75</v>
      </c>
      <c r="G74" s="101">
        <f t="shared" si="11"/>
        <v>20.618556701030929</v>
      </c>
      <c r="H74" s="102">
        <f t="shared" si="12"/>
        <v>15.463917525773198</v>
      </c>
    </row>
    <row r="75" spans="1:8" ht="14.25" customHeight="1" x14ac:dyDescent="0.25">
      <c r="A75" s="1471"/>
      <c r="B75" s="105" t="str">
        <f t="shared" si="9"/>
        <v>Maggi Cubes - مكعبات ماجي</v>
      </c>
      <c r="C75" s="105" t="str">
        <f t="shared" si="9"/>
        <v>gm</v>
      </c>
      <c r="D75" s="105">
        <f t="shared" si="9"/>
        <v>10</v>
      </c>
      <c r="E75" s="98">
        <f t="shared" si="13"/>
        <v>10.309278350515465</v>
      </c>
      <c r="F75" s="276">
        <f t="shared" si="10"/>
        <v>0.6</v>
      </c>
      <c r="G75" s="101">
        <f t="shared" si="11"/>
        <v>103.09278350515464</v>
      </c>
      <c r="H75" s="102">
        <f t="shared" si="12"/>
        <v>61.855670103092784</v>
      </c>
    </row>
    <row r="76" spans="1:8" ht="14.25" customHeight="1" x14ac:dyDescent="0.25">
      <c r="A76" s="1471"/>
      <c r="B76" s="105" t="str">
        <f t="shared" si="9"/>
        <v>Brown Color - لون بني</v>
      </c>
      <c r="C76" s="105" t="str">
        <f t="shared" si="9"/>
        <v>gm</v>
      </c>
      <c r="D76" s="105">
        <f t="shared" si="9"/>
        <v>1</v>
      </c>
      <c r="E76" s="98">
        <f t="shared" si="13"/>
        <v>10.309278350515465</v>
      </c>
      <c r="F76" s="276">
        <f t="shared" si="10"/>
        <v>0.9</v>
      </c>
      <c r="G76" s="101">
        <f t="shared" si="11"/>
        <v>10.309278350515465</v>
      </c>
      <c r="H76" s="102">
        <f t="shared" si="12"/>
        <v>9.2783505154639183</v>
      </c>
    </row>
    <row r="77" spans="1:8" ht="14.25" customHeight="1" x14ac:dyDescent="0.25">
      <c r="A77" s="1471"/>
      <c r="B77" s="105" t="str">
        <f t="shared" si="9"/>
        <v>Black Pepper Whole - فلفل أسود حب</v>
      </c>
      <c r="C77" s="105" t="str">
        <f t="shared" si="9"/>
        <v>gm</v>
      </c>
      <c r="D77" s="105">
        <f t="shared" si="9"/>
        <v>2</v>
      </c>
      <c r="E77" s="98">
        <f t="shared" si="13"/>
        <v>10.309278350515465</v>
      </c>
      <c r="F77" s="276">
        <f t="shared" si="10"/>
        <v>1</v>
      </c>
      <c r="G77" s="101">
        <f t="shared" si="11"/>
        <v>20.618556701030929</v>
      </c>
      <c r="H77" s="102">
        <f t="shared" si="12"/>
        <v>20.618556701030929</v>
      </c>
    </row>
    <row r="78" spans="1:8" ht="14.25" customHeight="1" x14ac:dyDescent="0.25">
      <c r="A78" s="1471"/>
      <c r="B78" s="105" t="str">
        <f t="shared" si="9"/>
        <v>Cinnamon Whole - قرفة أعواد</v>
      </c>
      <c r="C78" s="105" t="str">
        <f t="shared" si="9"/>
        <v>gm</v>
      </c>
      <c r="D78" s="105">
        <f t="shared" si="9"/>
        <v>2</v>
      </c>
      <c r="E78" s="98">
        <f t="shared" si="13"/>
        <v>10.309278350515465</v>
      </c>
      <c r="F78" s="276">
        <f t="shared" si="10"/>
        <v>1</v>
      </c>
      <c r="G78" s="101">
        <f t="shared" si="11"/>
        <v>20.618556701030929</v>
      </c>
      <c r="H78" s="102">
        <f t="shared" si="12"/>
        <v>20.618556701030929</v>
      </c>
    </row>
    <row r="79" spans="1:8" ht="14.25" customHeight="1" x14ac:dyDescent="0.25">
      <c r="A79" s="1471"/>
      <c r="B79" s="105" t="str">
        <f t="shared" si="9"/>
        <v>Cumin Whole - كمون حب</v>
      </c>
      <c r="C79" s="105" t="str">
        <f t="shared" si="9"/>
        <v>gm</v>
      </c>
      <c r="D79" s="105">
        <f t="shared" si="9"/>
        <v>2</v>
      </c>
      <c r="E79" s="98">
        <f t="shared" si="13"/>
        <v>10.309278350515465</v>
      </c>
      <c r="F79" s="276">
        <f t="shared" si="10"/>
        <v>1</v>
      </c>
      <c r="G79" s="101">
        <f t="shared" si="11"/>
        <v>20.618556701030929</v>
      </c>
      <c r="H79" s="102">
        <f t="shared" si="12"/>
        <v>20.618556701030929</v>
      </c>
    </row>
    <row r="80" spans="1:8" ht="14.25" customHeight="1" x14ac:dyDescent="0.25">
      <c r="A80" s="1471"/>
      <c r="B80" s="105" t="str">
        <f t="shared" si="9"/>
        <v>Cloves Whole - قرنفل حب</v>
      </c>
      <c r="C80" s="105" t="str">
        <f t="shared" si="9"/>
        <v>gm</v>
      </c>
      <c r="D80" s="105">
        <f t="shared" si="9"/>
        <v>2</v>
      </c>
      <c r="E80" s="98">
        <f t="shared" si="13"/>
        <v>10.309278350515465</v>
      </c>
      <c r="F80" s="276">
        <f t="shared" si="10"/>
        <v>1</v>
      </c>
      <c r="G80" s="101">
        <f t="shared" si="11"/>
        <v>20.618556701030929</v>
      </c>
      <c r="H80" s="102">
        <f t="shared" si="12"/>
        <v>20.618556701030929</v>
      </c>
    </row>
    <row r="81" spans="1:8" ht="14.25" customHeight="1" x14ac:dyDescent="0.25">
      <c r="A81" s="1471"/>
      <c r="B81" s="105" t="str">
        <f t="shared" si="9"/>
        <v>Cardamom Whole - هيل حب</v>
      </c>
      <c r="C81" s="105" t="str">
        <f t="shared" si="9"/>
        <v>gm</v>
      </c>
      <c r="D81" s="105">
        <f t="shared" si="9"/>
        <v>2</v>
      </c>
      <c r="E81" s="98">
        <f t="shared" si="13"/>
        <v>10.309278350515465</v>
      </c>
      <c r="F81" s="276">
        <f t="shared" si="10"/>
        <v>1</v>
      </c>
      <c r="G81" s="101">
        <f t="shared" si="11"/>
        <v>20.618556701030929</v>
      </c>
      <c r="H81" s="102">
        <f t="shared" si="12"/>
        <v>20.618556701030929</v>
      </c>
    </row>
    <row r="82" spans="1:8" ht="14.25" customHeight="1" x14ac:dyDescent="0.25">
      <c r="A82" s="1471"/>
      <c r="B82" s="105" t="str">
        <f t="shared" si="9"/>
        <v>Star Anise - ينسون نجمي</v>
      </c>
      <c r="C82" s="105" t="str">
        <f t="shared" si="9"/>
        <v>gm</v>
      </c>
      <c r="D82" s="105">
        <f t="shared" si="9"/>
        <v>2</v>
      </c>
      <c r="E82" s="98">
        <f t="shared" si="13"/>
        <v>10.309278350515465</v>
      </c>
      <c r="F82" s="276">
        <f t="shared" si="10"/>
        <v>1</v>
      </c>
      <c r="G82" s="101">
        <f t="shared" si="11"/>
        <v>20.618556701030929</v>
      </c>
      <c r="H82" s="102">
        <f t="shared" si="12"/>
        <v>20.618556701030929</v>
      </c>
    </row>
    <row r="83" spans="1:8" ht="14.25" customHeight="1" x14ac:dyDescent="0.25">
      <c r="A83" s="1471" t="s">
        <v>923</v>
      </c>
      <c r="B83" s="105" t="str">
        <f t="shared" si="9"/>
        <v>Rosemary - روزميري مستورد</v>
      </c>
      <c r="C83" s="105" t="str">
        <f t="shared" si="9"/>
        <v>gm</v>
      </c>
      <c r="D83" s="105">
        <f t="shared" si="9"/>
        <v>2</v>
      </c>
      <c r="E83" s="98">
        <f t="shared" si="13"/>
        <v>10.309278350515465</v>
      </c>
      <c r="F83" s="276">
        <f t="shared" si="10"/>
        <v>1</v>
      </c>
      <c r="G83" s="101">
        <f t="shared" si="11"/>
        <v>20.618556701030929</v>
      </c>
      <c r="H83" s="102">
        <f t="shared" si="12"/>
        <v>20.618556701030929</v>
      </c>
    </row>
    <row r="84" spans="1:8" ht="14.25" customHeight="1" x14ac:dyDescent="0.25">
      <c r="A84" s="1471"/>
      <c r="B84" s="105" t="str">
        <f t="shared" si="9"/>
        <v>Bay Leaf - ورق غار</v>
      </c>
      <c r="C84" s="105" t="str">
        <f t="shared" si="9"/>
        <v>gm</v>
      </c>
      <c r="D84" s="105">
        <f t="shared" si="9"/>
        <v>2</v>
      </c>
      <c r="E84" s="98">
        <f t="shared" si="13"/>
        <v>10.309278350515465</v>
      </c>
      <c r="F84" s="276">
        <f t="shared" si="10"/>
        <v>1</v>
      </c>
      <c r="G84" s="101">
        <f t="shared" si="11"/>
        <v>20.618556701030929</v>
      </c>
      <c r="H84" s="102">
        <f t="shared" si="12"/>
        <v>20.618556701030929</v>
      </c>
    </row>
    <row r="85" spans="1:8" ht="14.25" customHeight="1" x14ac:dyDescent="0.25">
      <c r="A85" s="1471"/>
      <c r="B85" s="105" t="str">
        <f t="shared" ref="B85:D85" si="14">B25</f>
        <v>Salt - ملح</v>
      </c>
      <c r="C85" s="105" t="str">
        <f t="shared" si="14"/>
        <v>gm</v>
      </c>
      <c r="D85" s="105">
        <f t="shared" si="14"/>
        <v>5</v>
      </c>
      <c r="E85" s="98">
        <f t="shared" si="13"/>
        <v>10.309278350515465</v>
      </c>
      <c r="F85" s="276">
        <f t="shared" si="10"/>
        <v>1</v>
      </c>
      <c r="G85" s="101">
        <f t="shared" ref="G85:G86" si="15">D85*E85</f>
        <v>51.546391752577321</v>
      </c>
      <c r="H85" s="102">
        <f t="shared" ref="H85:H86" si="16">G85*F85</f>
        <v>51.546391752577321</v>
      </c>
    </row>
    <row r="86" spans="1:8" ht="21" customHeight="1" x14ac:dyDescent="0.25">
      <c r="A86" s="1471"/>
      <c r="B86" s="105" t="str">
        <f t="shared" ref="B86:D86" si="17">B26</f>
        <v>Corn Starch - نشا ذرة</v>
      </c>
      <c r="C86" s="105" t="str">
        <f t="shared" si="17"/>
        <v>gm</v>
      </c>
      <c r="D86" s="105">
        <f t="shared" si="17"/>
        <v>20</v>
      </c>
      <c r="E86" s="98">
        <f t="shared" si="13"/>
        <v>10.309278350515465</v>
      </c>
      <c r="F86" s="276">
        <f t="shared" si="10"/>
        <v>0.75</v>
      </c>
      <c r="G86" s="101">
        <f t="shared" si="15"/>
        <v>206.18556701030928</v>
      </c>
      <c r="H86" s="102">
        <f t="shared" si="16"/>
        <v>154.63917525773195</v>
      </c>
    </row>
    <row r="87" spans="1:8" ht="20.25" customHeight="1" x14ac:dyDescent="0.25">
      <c r="A87" s="1458"/>
      <c r="B87" s="178" t="s">
        <v>287</v>
      </c>
      <c r="C87" s="180" t="s">
        <v>273</v>
      </c>
      <c r="E87" s="180" t="s">
        <v>288</v>
      </c>
      <c r="G87" s="804" t="s">
        <v>264</v>
      </c>
      <c r="H87" s="804" t="s">
        <v>673</v>
      </c>
    </row>
    <row r="88" spans="1:8" ht="26.25" customHeight="1" x14ac:dyDescent="0.3">
      <c r="A88" s="1458"/>
      <c r="B88" s="179">
        <f>$J$53</f>
        <v>20990</v>
      </c>
      <c r="C88" s="179">
        <f>E88+G88</f>
        <v>10000</v>
      </c>
      <c r="D88" s="839"/>
      <c r="E88" s="179">
        <f>$D$53*$S$44</f>
        <v>10000</v>
      </c>
      <c r="F88" s="843"/>
      <c r="G88" s="179">
        <f>$D$53*$T$44</f>
        <v>0</v>
      </c>
      <c r="H88" s="179">
        <f>B88+E88</f>
        <v>30990</v>
      </c>
    </row>
    <row r="89" spans="1:8" ht="14.25" customHeight="1" x14ac:dyDescent="0.25">
      <c r="A89" s="1472"/>
      <c r="B89" s="84"/>
      <c r="E89" s="84"/>
      <c r="F89" s="84"/>
    </row>
    <row r="90" spans="1:8" ht="18" customHeight="1" x14ac:dyDescent="0.25">
      <c r="A90" s="1473"/>
      <c r="B90" s="1636" t="str">
        <f>"لحم اوريانتل 2 / " &amp; COUNTIF($C$53:$C$55, "&gt;0")</f>
        <v>لحم اوريانتل 2 / 2</v>
      </c>
      <c r="C90" s="1637"/>
      <c r="D90" s="1637"/>
      <c r="E90" s="1637"/>
      <c r="F90" s="1637"/>
      <c r="G90" s="1637"/>
      <c r="H90" s="1637"/>
    </row>
    <row r="91" spans="1:8" ht="39.75" customHeight="1" x14ac:dyDescent="0.25">
      <c r="A91" s="1473"/>
      <c r="B91" s="1634" t="str">
        <f>"Laham Oriental 2 / " &amp; COUNTIF($C$53:$C$55, "&gt;0")</f>
        <v>Laham Oriental 2 / 2</v>
      </c>
      <c r="C91" s="1635"/>
      <c r="D91" s="1635"/>
      <c r="E91" s="1635"/>
      <c r="F91" s="1635"/>
      <c r="G91" s="1635"/>
      <c r="H91" s="1635"/>
    </row>
    <row r="92" spans="1:8" ht="38.25" x14ac:dyDescent="0.2">
      <c r="A92" s="1457"/>
      <c r="B92" s="221" t="s">
        <v>241</v>
      </c>
      <c r="C92" s="222" t="s">
        <v>242</v>
      </c>
      <c r="D92" s="223" t="s">
        <v>231</v>
      </c>
      <c r="E92" s="197" t="s">
        <v>234</v>
      </c>
      <c r="F92" s="197" t="s">
        <v>243</v>
      </c>
      <c r="G92" s="223" t="s">
        <v>244</v>
      </c>
      <c r="H92" s="197" t="s">
        <v>245</v>
      </c>
    </row>
    <row r="93" spans="1:8" x14ac:dyDescent="0.25">
      <c r="A93" s="1471"/>
      <c r="B93" s="105" t="str">
        <f t="shared" ref="B93:D112" si="18">B5</f>
        <v>Indian Meat Alana  - لحم هندى ألانا</v>
      </c>
      <c r="C93" s="105" t="str">
        <f t="shared" si="18"/>
        <v>gm</v>
      </c>
      <c r="D93" s="427">
        <f t="shared" si="18"/>
        <v>4283.6734693877552</v>
      </c>
      <c r="E93" s="177">
        <f>H54</f>
        <v>0.34181276798475402</v>
      </c>
      <c r="F93" s="276">
        <f t="shared" ref="F93:F112" si="19">F5</f>
        <v>1</v>
      </c>
      <c r="G93" s="227">
        <f t="shared" ref="G93:G112" si="20">D93*E93</f>
        <v>1464.2142857142831</v>
      </c>
      <c r="H93" s="187">
        <f t="shared" ref="H93:H112" si="21">G93*F93</f>
        <v>1464.2142857142831</v>
      </c>
    </row>
    <row r="94" spans="1:8" ht="14.25" customHeight="1" x14ac:dyDescent="0.25">
      <c r="A94" s="1471" t="s">
        <v>920</v>
      </c>
      <c r="B94" s="105" t="str">
        <f t="shared" si="18"/>
        <v>Onion - بصل</v>
      </c>
      <c r="C94" s="105" t="str">
        <f t="shared" si="18"/>
        <v>gm</v>
      </c>
      <c r="D94" s="427">
        <f t="shared" si="18"/>
        <v>50</v>
      </c>
      <c r="E94" s="177">
        <f t="shared" ref="E94:E114" si="22">$C$54</f>
        <v>0.35312886597938054</v>
      </c>
      <c r="F94" s="276">
        <f t="shared" si="19"/>
        <v>0.95</v>
      </c>
      <c r="G94" s="227">
        <f t="shared" si="20"/>
        <v>17.656443298969027</v>
      </c>
      <c r="H94" s="187">
        <f t="shared" si="21"/>
        <v>16.773621134020576</v>
      </c>
    </row>
    <row r="95" spans="1:8" ht="14.25" customHeight="1" x14ac:dyDescent="0.25">
      <c r="A95" s="1471" t="s">
        <v>907</v>
      </c>
      <c r="B95" s="105" t="str">
        <f t="shared" si="18"/>
        <v>Garlic - ثوم مقشر</v>
      </c>
      <c r="C95" s="105" t="str">
        <f t="shared" si="18"/>
        <v>gm</v>
      </c>
      <c r="D95" s="427">
        <f t="shared" si="18"/>
        <v>10</v>
      </c>
      <c r="E95" s="177">
        <f t="shared" si="22"/>
        <v>0.35312886597938054</v>
      </c>
      <c r="F95" s="276">
        <f t="shared" si="19"/>
        <v>1</v>
      </c>
      <c r="G95" s="227">
        <f t="shared" si="20"/>
        <v>3.5312886597938054</v>
      </c>
      <c r="H95" s="187">
        <f t="shared" si="21"/>
        <v>3.5312886597938054</v>
      </c>
    </row>
    <row r="96" spans="1:8" ht="14.25" customHeight="1" x14ac:dyDescent="0.25">
      <c r="A96" s="1471"/>
      <c r="B96" s="105" t="str">
        <f t="shared" si="18"/>
        <v>Demi Glaze Sauce - صوص ديمي غلاز</v>
      </c>
      <c r="C96" s="105" t="str">
        <f t="shared" si="18"/>
        <v>gm</v>
      </c>
      <c r="D96" s="427">
        <f t="shared" si="18"/>
        <v>25</v>
      </c>
      <c r="E96" s="177">
        <f t="shared" si="22"/>
        <v>0.35312886597938054</v>
      </c>
      <c r="F96" s="276">
        <f t="shared" si="19"/>
        <v>0.9</v>
      </c>
      <c r="G96" s="227">
        <f t="shared" si="20"/>
        <v>8.8282216494845134</v>
      </c>
      <c r="H96" s="187">
        <f t="shared" si="21"/>
        <v>7.945399484536062</v>
      </c>
    </row>
    <row r="97" spans="1:8" ht="14.25" customHeight="1" x14ac:dyDescent="0.25">
      <c r="A97" s="1471"/>
      <c r="B97" s="105" t="str">
        <f t="shared" si="18"/>
        <v>Cooking Cream - كريمة طبخ</v>
      </c>
      <c r="C97" s="105" t="str">
        <f t="shared" si="18"/>
        <v>ml</v>
      </c>
      <c r="D97" s="427">
        <f t="shared" si="18"/>
        <v>500</v>
      </c>
      <c r="E97" s="177">
        <f t="shared" si="22"/>
        <v>0.35312886597938054</v>
      </c>
      <c r="F97" s="276">
        <f t="shared" si="19"/>
        <v>1</v>
      </c>
      <c r="G97" s="227">
        <f t="shared" si="20"/>
        <v>176.56443298969026</v>
      </c>
      <c r="H97" s="187">
        <f t="shared" si="21"/>
        <v>176.56443298969026</v>
      </c>
    </row>
    <row r="98" spans="1:8" ht="14.25" customHeight="1" x14ac:dyDescent="0.25">
      <c r="A98" s="1471"/>
      <c r="B98" s="105" t="str">
        <f t="shared" si="18"/>
        <v>Butter - زبدة</v>
      </c>
      <c r="C98" s="105" t="str">
        <f t="shared" si="18"/>
        <v>gm</v>
      </c>
      <c r="D98" s="427">
        <f t="shared" si="18"/>
        <v>10</v>
      </c>
      <c r="E98" s="177">
        <f t="shared" si="22"/>
        <v>0.35312886597938054</v>
      </c>
      <c r="F98" s="276">
        <f t="shared" si="19"/>
        <v>1</v>
      </c>
      <c r="G98" s="227">
        <f t="shared" si="20"/>
        <v>3.5312886597938054</v>
      </c>
      <c r="H98" s="187">
        <f t="shared" si="21"/>
        <v>3.5312886597938054</v>
      </c>
    </row>
    <row r="99" spans="1:8" ht="14.25" customHeight="1" x14ac:dyDescent="0.25">
      <c r="A99" s="1471"/>
      <c r="B99" s="105" t="str">
        <f t="shared" si="18"/>
        <v>Salt - ملح</v>
      </c>
      <c r="C99" s="105" t="str">
        <f t="shared" si="18"/>
        <v>gm</v>
      </c>
      <c r="D99" s="427">
        <f t="shared" si="18"/>
        <v>5</v>
      </c>
      <c r="E99" s="177">
        <f t="shared" si="22"/>
        <v>0.35312886597938054</v>
      </c>
      <c r="F99" s="276">
        <f t="shared" si="19"/>
        <v>0.75</v>
      </c>
      <c r="G99" s="227">
        <f t="shared" si="20"/>
        <v>1.7656443298969027</v>
      </c>
      <c r="H99" s="187">
        <f t="shared" si="21"/>
        <v>1.324233247422677</v>
      </c>
    </row>
    <row r="100" spans="1:8" ht="14.25" customHeight="1" x14ac:dyDescent="0.25">
      <c r="A100" s="1471"/>
      <c r="B100" s="105" t="str">
        <f t="shared" si="18"/>
        <v>Milk - حليب</v>
      </c>
      <c r="C100" s="105" t="str">
        <f t="shared" si="18"/>
        <v>ml</v>
      </c>
      <c r="D100" s="427">
        <f t="shared" si="18"/>
        <v>400</v>
      </c>
      <c r="E100" s="177">
        <f t="shared" si="22"/>
        <v>0.35312886597938054</v>
      </c>
      <c r="F100" s="276">
        <f t="shared" si="19"/>
        <v>1</v>
      </c>
      <c r="G100" s="227">
        <f t="shared" si="20"/>
        <v>141.25154639175221</v>
      </c>
      <c r="H100" s="187">
        <f t="shared" si="21"/>
        <v>141.25154639175221</v>
      </c>
    </row>
    <row r="101" spans="1:8" ht="14.25" customHeight="1" x14ac:dyDescent="0.25">
      <c r="A101" s="1471"/>
      <c r="B101" s="105" t="str">
        <f t="shared" si="18"/>
        <v>Water - ماء</v>
      </c>
      <c r="C101" s="105" t="str">
        <f t="shared" si="18"/>
        <v>ml</v>
      </c>
      <c r="D101" s="427">
        <f t="shared" si="18"/>
        <v>300</v>
      </c>
      <c r="E101" s="177">
        <f t="shared" si="22"/>
        <v>0.35312886597938054</v>
      </c>
      <c r="F101" s="276">
        <f t="shared" si="19"/>
        <v>1</v>
      </c>
      <c r="G101" s="227">
        <f t="shared" si="20"/>
        <v>105.93865979381417</v>
      </c>
      <c r="H101" s="187">
        <f t="shared" si="21"/>
        <v>105.93865979381417</v>
      </c>
    </row>
    <row r="102" spans="1:8" ht="14.25" customHeight="1" x14ac:dyDescent="0.25">
      <c r="A102" s="1471"/>
      <c r="B102" s="105" t="str">
        <f t="shared" si="18"/>
        <v>Black Pepper Powder - فلفل أسود مطحون</v>
      </c>
      <c r="C102" s="105" t="str">
        <f t="shared" si="18"/>
        <v>gm</v>
      </c>
      <c r="D102" s="427">
        <f t="shared" si="18"/>
        <v>2</v>
      </c>
      <c r="E102" s="177">
        <f t="shared" si="22"/>
        <v>0.35312886597938054</v>
      </c>
      <c r="F102" s="276">
        <f t="shared" si="19"/>
        <v>0.75</v>
      </c>
      <c r="G102" s="227">
        <f t="shared" si="20"/>
        <v>0.70625773195876107</v>
      </c>
      <c r="H102" s="187">
        <f t="shared" si="21"/>
        <v>0.5296932989690708</v>
      </c>
    </row>
    <row r="103" spans="1:8" ht="14.25" customHeight="1" x14ac:dyDescent="0.25">
      <c r="A103" s="1471"/>
      <c r="B103" s="105" t="str">
        <f t="shared" si="18"/>
        <v>Maggi Cubes - مكعبات ماجي</v>
      </c>
      <c r="C103" s="105" t="str">
        <f t="shared" si="18"/>
        <v>gm</v>
      </c>
      <c r="D103" s="427">
        <f t="shared" si="18"/>
        <v>10</v>
      </c>
      <c r="E103" s="177">
        <f t="shared" si="22"/>
        <v>0.35312886597938054</v>
      </c>
      <c r="F103" s="276">
        <f t="shared" si="19"/>
        <v>0.6</v>
      </c>
      <c r="G103" s="227">
        <f t="shared" si="20"/>
        <v>3.5312886597938054</v>
      </c>
      <c r="H103" s="187">
        <f t="shared" si="21"/>
        <v>2.1187731958762832</v>
      </c>
    </row>
    <row r="104" spans="1:8" ht="14.25" customHeight="1" x14ac:dyDescent="0.25">
      <c r="A104" s="1471"/>
      <c r="B104" s="105" t="str">
        <f t="shared" si="18"/>
        <v>Brown Color - لون بني</v>
      </c>
      <c r="C104" s="105" t="str">
        <f t="shared" si="18"/>
        <v>gm</v>
      </c>
      <c r="D104" s="427">
        <f t="shared" si="18"/>
        <v>1</v>
      </c>
      <c r="E104" s="177">
        <f t="shared" si="22"/>
        <v>0.35312886597938054</v>
      </c>
      <c r="F104" s="276">
        <f t="shared" si="19"/>
        <v>0.9</v>
      </c>
      <c r="G104" s="227">
        <f t="shared" si="20"/>
        <v>0.35312886597938054</v>
      </c>
      <c r="H104" s="187">
        <f t="shared" si="21"/>
        <v>0.31781597938144251</v>
      </c>
    </row>
    <row r="105" spans="1:8" ht="14.25" customHeight="1" x14ac:dyDescent="0.25">
      <c r="A105" s="1471"/>
      <c r="B105" s="105" t="str">
        <f t="shared" si="18"/>
        <v>Black Pepper Whole - فلفل أسود حب</v>
      </c>
      <c r="C105" s="105" t="str">
        <f t="shared" si="18"/>
        <v>gm</v>
      </c>
      <c r="D105" s="427">
        <f t="shared" si="18"/>
        <v>2</v>
      </c>
      <c r="E105" s="177">
        <f t="shared" si="22"/>
        <v>0.35312886597938054</v>
      </c>
      <c r="F105" s="276">
        <f t="shared" si="19"/>
        <v>1</v>
      </c>
      <c r="G105" s="227">
        <f t="shared" si="20"/>
        <v>0.70625773195876107</v>
      </c>
      <c r="H105" s="187">
        <f t="shared" si="21"/>
        <v>0.70625773195876107</v>
      </c>
    </row>
    <row r="106" spans="1:8" ht="14.25" customHeight="1" x14ac:dyDescent="0.25">
      <c r="A106" s="1471"/>
      <c r="B106" s="105" t="str">
        <f t="shared" si="18"/>
        <v>Cinnamon Whole - قرفة أعواد</v>
      </c>
      <c r="C106" s="105" t="str">
        <f t="shared" si="18"/>
        <v>gm</v>
      </c>
      <c r="D106" s="427">
        <f t="shared" si="18"/>
        <v>2</v>
      </c>
      <c r="E106" s="177">
        <f t="shared" si="22"/>
        <v>0.35312886597938054</v>
      </c>
      <c r="F106" s="276">
        <f t="shared" si="19"/>
        <v>1</v>
      </c>
      <c r="G106" s="227">
        <f t="shared" si="20"/>
        <v>0.70625773195876107</v>
      </c>
      <c r="H106" s="187">
        <f t="shared" si="21"/>
        <v>0.70625773195876107</v>
      </c>
    </row>
    <row r="107" spans="1:8" ht="14.25" customHeight="1" x14ac:dyDescent="0.25">
      <c r="A107" s="1471"/>
      <c r="B107" s="105" t="str">
        <f t="shared" si="18"/>
        <v>Cumin Whole - كمون حب</v>
      </c>
      <c r="C107" s="105" t="str">
        <f t="shared" si="18"/>
        <v>gm</v>
      </c>
      <c r="D107" s="427">
        <f t="shared" si="18"/>
        <v>2</v>
      </c>
      <c r="E107" s="177">
        <f t="shared" si="22"/>
        <v>0.35312886597938054</v>
      </c>
      <c r="F107" s="276">
        <f t="shared" si="19"/>
        <v>1</v>
      </c>
      <c r="G107" s="227">
        <f t="shared" si="20"/>
        <v>0.70625773195876107</v>
      </c>
      <c r="H107" s="187">
        <f t="shared" si="21"/>
        <v>0.70625773195876107</v>
      </c>
    </row>
    <row r="108" spans="1:8" ht="14.25" customHeight="1" x14ac:dyDescent="0.25">
      <c r="A108" s="1471"/>
      <c r="B108" s="105" t="str">
        <f t="shared" si="18"/>
        <v>Cloves Whole - قرنفل حب</v>
      </c>
      <c r="C108" s="105" t="str">
        <f t="shared" si="18"/>
        <v>gm</v>
      </c>
      <c r="D108" s="427">
        <f t="shared" si="18"/>
        <v>2</v>
      </c>
      <c r="E108" s="177">
        <f t="shared" si="22"/>
        <v>0.35312886597938054</v>
      </c>
      <c r="F108" s="276">
        <f t="shared" si="19"/>
        <v>1</v>
      </c>
      <c r="G108" s="227">
        <f t="shared" si="20"/>
        <v>0.70625773195876107</v>
      </c>
      <c r="H108" s="187">
        <f t="shared" si="21"/>
        <v>0.70625773195876107</v>
      </c>
    </row>
    <row r="109" spans="1:8" ht="14.25" customHeight="1" x14ac:dyDescent="0.25">
      <c r="A109" s="1471"/>
      <c r="B109" s="105" t="str">
        <f t="shared" si="18"/>
        <v>Cardamom Whole - هيل حب</v>
      </c>
      <c r="C109" s="105" t="str">
        <f t="shared" si="18"/>
        <v>gm</v>
      </c>
      <c r="D109" s="427">
        <f t="shared" si="18"/>
        <v>2</v>
      </c>
      <c r="E109" s="177">
        <f t="shared" si="22"/>
        <v>0.35312886597938054</v>
      </c>
      <c r="F109" s="276">
        <f t="shared" si="19"/>
        <v>1</v>
      </c>
      <c r="G109" s="227">
        <f t="shared" si="20"/>
        <v>0.70625773195876107</v>
      </c>
      <c r="H109" s="187">
        <f t="shared" si="21"/>
        <v>0.70625773195876107</v>
      </c>
    </row>
    <row r="110" spans="1:8" ht="14.25" customHeight="1" x14ac:dyDescent="0.25">
      <c r="A110" s="1471"/>
      <c r="B110" s="105" t="str">
        <f t="shared" si="18"/>
        <v>Star Anise - ينسون نجمي</v>
      </c>
      <c r="C110" s="105" t="str">
        <f t="shared" si="18"/>
        <v>gm</v>
      </c>
      <c r="D110" s="427">
        <f t="shared" si="18"/>
        <v>2</v>
      </c>
      <c r="E110" s="177">
        <f t="shared" si="22"/>
        <v>0.35312886597938054</v>
      </c>
      <c r="F110" s="276">
        <f t="shared" si="19"/>
        <v>1</v>
      </c>
      <c r="G110" s="227">
        <f t="shared" si="20"/>
        <v>0.70625773195876107</v>
      </c>
      <c r="H110" s="187">
        <f t="shared" si="21"/>
        <v>0.70625773195876107</v>
      </c>
    </row>
    <row r="111" spans="1:8" ht="14.25" customHeight="1" x14ac:dyDescent="0.25">
      <c r="A111" s="1471" t="s">
        <v>923</v>
      </c>
      <c r="B111" s="105" t="str">
        <f t="shared" si="18"/>
        <v>Rosemary - روزميري مستورد</v>
      </c>
      <c r="C111" s="105" t="str">
        <f t="shared" si="18"/>
        <v>gm</v>
      </c>
      <c r="D111" s="427">
        <f t="shared" si="18"/>
        <v>2</v>
      </c>
      <c r="E111" s="177">
        <f t="shared" si="22"/>
        <v>0.35312886597938054</v>
      </c>
      <c r="F111" s="276">
        <f t="shared" si="19"/>
        <v>1</v>
      </c>
      <c r="G111" s="227">
        <f t="shared" si="20"/>
        <v>0.70625773195876107</v>
      </c>
      <c r="H111" s="187">
        <f t="shared" si="21"/>
        <v>0.70625773195876107</v>
      </c>
    </row>
    <row r="112" spans="1:8" ht="14.25" customHeight="1" x14ac:dyDescent="0.25">
      <c r="A112" s="1471"/>
      <c r="B112" s="105" t="str">
        <f t="shared" si="18"/>
        <v>Bay Leaf - ورق غار</v>
      </c>
      <c r="C112" s="105" t="str">
        <f t="shared" si="18"/>
        <v>gm</v>
      </c>
      <c r="D112" s="427">
        <f t="shared" si="18"/>
        <v>2</v>
      </c>
      <c r="E112" s="177">
        <f t="shared" si="22"/>
        <v>0.35312886597938054</v>
      </c>
      <c r="F112" s="276">
        <f t="shared" si="19"/>
        <v>1</v>
      </c>
      <c r="G112" s="227">
        <f t="shared" si="20"/>
        <v>0.70625773195876107</v>
      </c>
      <c r="H112" s="187">
        <f t="shared" si="21"/>
        <v>0.70625773195876107</v>
      </c>
    </row>
    <row r="113" spans="1:8" ht="20.25" customHeight="1" x14ac:dyDescent="0.25">
      <c r="A113" s="1471"/>
      <c r="B113" s="105" t="str">
        <f t="shared" ref="B113:D113" si="23">B25</f>
        <v>Salt - ملح</v>
      </c>
      <c r="C113" s="105" t="str">
        <f t="shared" si="23"/>
        <v>gm</v>
      </c>
      <c r="D113" s="427">
        <f t="shared" si="23"/>
        <v>5</v>
      </c>
      <c r="E113" s="177">
        <f t="shared" si="22"/>
        <v>0.35312886597938054</v>
      </c>
      <c r="F113" s="276">
        <f t="shared" ref="F113:F114" si="24">F25</f>
        <v>1</v>
      </c>
      <c r="G113" s="227">
        <f t="shared" ref="G113:G114" si="25">D113*E113</f>
        <v>1.7656443298969027</v>
      </c>
      <c r="H113" s="187">
        <f t="shared" ref="H113:H114" si="26">G113*F113</f>
        <v>1.7656443298969027</v>
      </c>
    </row>
    <row r="114" spans="1:8" x14ac:dyDescent="0.25">
      <c r="A114" s="1471"/>
      <c r="B114" s="105" t="str">
        <f t="shared" ref="B114:D114" si="27">B26</f>
        <v>Corn Starch - نشا ذرة</v>
      </c>
      <c r="C114" s="105" t="str">
        <f t="shared" si="27"/>
        <v>gm</v>
      </c>
      <c r="D114" s="427">
        <f t="shared" si="27"/>
        <v>20</v>
      </c>
      <c r="E114" s="177">
        <f t="shared" si="22"/>
        <v>0.35312886597938054</v>
      </c>
      <c r="F114" s="276">
        <f t="shared" si="24"/>
        <v>0.75</v>
      </c>
      <c r="G114" s="227">
        <f t="shared" si="25"/>
        <v>7.0625773195876107</v>
      </c>
      <c r="H114" s="187">
        <f t="shared" si="26"/>
        <v>5.296932989690708</v>
      </c>
    </row>
    <row r="115" spans="1:8" ht="18" x14ac:dyDescent="0.25">
      <c r="A115" s="1458"/>
      <c r="B115" s="178" t="s">
        <v>287</v>
      </c>
      <c r="C115" s="180" t="s">
        <v>273</v>
      </c>
      <c r="E115" s="180" t="s">
        <v>288</v>
      </c>
      <c r="G115" s="804" t="s">
        <v>264</v>
      </c>
      <c r="H115" s="804" t="s">
        <v>673</v>
      </c>
    </row>
    <row r="116" spans="1:8" ht="20.25" x14ac:dyDescent="0.3">
      <c r="A116" s="1458"/>
      <c r="B116" s="179">
        <f>$J$54</f>
        <v>717.46500000000015</v>
      </c>
      <c r="C116" s="179">
        <f>E116+G116</f>
        <v>342.53499999999912</v>
      </c>
      <c r="D116" s="839"/>
      <c r="E116" s="179">
        <f>$D$54*$S$44</f>
        <v>342.53499999999912</v>
      </c>
      <c r="F116" s="843"/>
      <c r="G116" s="179">
        <f>$D$54*$T$44</f>
        <v>0</v>
      </c>
      <c r="H116" s="179">
        <f>B116+E116</f>
        <v>1059.9999999999993</v>
      </c>
    </row>
    <row r="117" spans="1:8" x14ac:dyDescent="0.25">
      <c r="A117" s="1472"/>
    </row>
    <row r="118" spans="1:8" x14ac:dyDescent="0.25">
      <c r="A118" s="1472"/>
    </row>
    <row r="119" spans="1:8" x14ac:dyDescent="0.25">
      <c r="A119" s="1472"/>
    </row>
    <row r="120" spans="1:8" x14ac:dyDescent="0.25">
      <c r="A120" s="1472"/>
    </row>
    <row r="121" spans="1:8" x14ac:dyDescent="0.25">
      <c r="A121" s="1472"/>
    </row>
    <row r="122" spans="1:8" x14ac:dyDescent="0.25">
      <c r="A122" s="1472"/>
    </row>
    <row r="123" spans="1:8" x14ac:dyDescent="0.25">
      <c r="A123" s="1472"/>
    </row>
    <row r="124" spans="1:8" x14ac:dyDescent="0.25">
      <c r="A124" s="1472"/>
    </row>
    <row r="125" spans="1:8" x14ac:dyDescent="0.25">
      <c r="A125" s="1472"/>
    </row>
    <row r="126" spans="1:8" x14ac:dyDescent="0.25">
      <c r="A126" s="1472"/>
    </row>
    <row r="127" spans="1:8" x14ac:dyDescent="0.25">
      <c r="A127" s="1472"/>
    </row>
    <row r="128" spans="1:8"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9">
    <mergeCell ref="AE2:AG3"/>
    <mergeCell ref="B63:H63"/>
    <mergeCell ref="R26:U26"/>
    <mergeCell ref="B91:H91"/>
    <mergeCell ref="B2:H2"/>
    <mergeCell ref="B62:H62"/>
    <mergeCell ref="R25:U25"/>
    <mergeCell ref="B90:H90"/>
    <mergeCell ref="B35:F35"/>
  </mergeCells>
  <printOptions horizontalCentered="1"/>
  <pageMargins left="0.4" right="0.4" top="1" bottom="0.5" header="0.3" footer="0.511811023622047"/>
  <pageSetup paperSize="9" scale="84" fitToHeight="0" orientation="landscape" r:id="rId1"/>
  <headerFooter>
    <oddHeader>&amp;C&amp;B&amp;16Laham Oriental&amp;R&amp;B Day 3</oddHeader>
    <oddFooter>&amp;CPage &amp;P of &amp;N</oddFooter>
  </headerFooter>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5EF12-6654-4B19-8D8B-EE68964A6287}">
  <sheetPr codeName="Sheet88">
    <tabColor theme="7" tint="-0.249977111117893"/>
    <pageSetUpPr fitToPage="1"/>
  </sheetPr>
  <dimension ref="A1:AD970"/>
  <sheetViews>
    <sheetView topLeftCell="A44" zoomScaleNormal="100" workbookViewId="0">
      <selection activeCell="B85" sqref="B85"/>
    </sheetView>
  </sheetViews>
  <sheetFormatPr defaultColWidth="12.5" defaultRowHeight="12.75" x14ac:dyDescent="0.2"/>
  <cols>
    <col min="1" max="1" width="8.125" style="629" customWidth="1"/>
    <col min="2" max="2" width="42.125" style="629" customWidth="1"/>
    <col min="3" max="3" width="17.375" style="629" customWidth="1"/>
    <col min="4" max="4" width="21.625" style="629" customWidth="1"/>
    <col min="5" max="5" width="16.125" style="629" customWidth="1"/>
    <col min="6" max="6" width="12.25" style="629" customWidth="1"/>
    <col min="7" max="7" width="18.5" style="629" customWidth="1"/>
    <col min="8" max="9" width="18.375" style="629" customWidth="1"/>
    <col min="10" max="11" width="12.5" style="629" customWidth="1"/>
    <col min="12" max="12" width="8.375" style="629" customWidth="1"/>
    <col min="13" max="13" width="25.125" style="629" customWidth="1"/>
    <col min="14" max="14" width="12.5" style="629" customWidth="1"/>
    <col min="15" max="15" width="11.375" style="629" customWidth="1"/>
    <col min="16" max="16" width="7.75" style="629" customWidth="1"/>
    <col min="17" max="17" width="16.875" style="629" customWidth="1"/>
    <col min="18" max="18" width="20.25" style="629" customWidth="1"/>
    <col min="19" max="19" width="20.875" style="629" customWidth="1"/>
    <col min="20" max="20" width="14.125" style="629" customWidth="1"/>
    <col min="21" max="21" width="11.5" style="629" customWidth="1"/>
    <col min="22" max="22" width="9.375" style="629" customWidth="1"/>
    <col min="23" max="23" width="10.125" style="629" customWidth="1"/>
    <col min="24" max="24" width="14.625" style="629" customWidth="1"/>
    <col min="25" max="25" width="8.75" style="629" customWidth="1"/>
    <col min="26" max="16384" width="12.5" style="629"/>
  </cols>
  <sheetData>
    <row r="1" spans="1:30" ht="36" customHeight="1" x14ac:dyDescent="0.2">
      <c r="B1" s="684" t="s">
        <v>689</v>
      </c>
      <c r="C1" s="688">
        <v>5000</v>
      </c>
      <c r="D1" s="687" t="s">
        <v>232</v>
      </c>
      <c r="E1" s="686">
        <f>U30</f>
        <v>7256.5</v>
      </c>
      <c r="F1" s="684" t="s">
        <v>233</v>
      </c>
      <c r="G1" s="685">
        <f>E1/C1</f>
        <v>1.4513</v>
      </c>
      <c r="H1" s="684" t="s">
        <v>234</v>
      </c>
      <c r="I1" s="878">
        <f>(G1/K1)</f>
        <v>1.4513</v>
      </c>
      <c r="J1" s="879" t="s">
        <v>235</v>
      </c>
      <c r="K1" s="688">
        <v>1</v>
      </c>
      <c r="L1" s="636"/>
      <c r="M1" s="636"/>
      <c r="N1" s="636"/>
      <c r="O1" s="77" t="s">
        <v>236</v>
      </c>
      <c r="P1" s="636" t="s">
        <v>942</v>
      </c>
      <c r="Q1" s="77" t="s">
        <v>238</v>
      </c>
      <c r="R1" s="76">
        <v>0.66</v>
      </c>
      <c r="S1" s="880" t="s">
        <v>693</v>
      </c>
      <c r="T1" s="881">
        <v>0.77</v>
      </c>
      <c r="Y1" s="882" t="s">
        <v>453</v>
      </c>
      <c r="Z1" s="883">
        <v>31550</v>
      </c>
      <c r="AA1" s="882" t="s">
        <v>455</v>
      </c>
      <c r="AB1" s="883">
        <v>0</v>
      </c>
      <c r="AD1" s="629">
        <v>228</v>
      </c>
    </row>
    <row r="2" spans="1:30" ht="12.75" customHeight="1" x14ac:dyDescent="0.2">
      <c r="A2" s="1663"/>
      <c r="B2" s="1663" t="s">
        <v>690</v>
      </c>
      <c r="C2" s="1708"/>
      <c r="D2" s="1708"/>
      <c r="E2" s="1708"/>
      <c r="F2" s="1708"/>
      <c r="G2" s="1708"/>
      <c r="H2" s="1708"/>
      <c r="I2" s="636"/>
      <c r="J2" s="636"/>
      <c r="K2" s="636"/>
      <c r="L2" s="636"/>
      <c r="M2" s="636"/>
      <c r="N2" s="636"/>
      <c r="O2" s="636"/>
      <c r="P2" s="636"/>
      <c r="Q2" s="636"/>
      <c r="R2" s="636"/>
      <c r="S2" s="636"/>
    </row>
    <row r="3" spans="1:30" ht="12.75" customHeight="1" x14ac:dyDescent="0.2">
      <c r="A3" s="1708"/>
      <c r="B3" s="884"/>
      <c r="C3" s="884"/>
      <c r="D3" s="884"/>
      <c r="E3" s="884"/>
      <c r="F3" s="884"/>
      <c r="G3" s="884"/>
      <c r="H3" s="884"/>
      <c r="I3" s="636"/>
      <c r="J3" s="636"/>
      <c r="K3" s="636"/>
      <c r="L3" s="636"/>
      <c r="M3" s="636"/>
      <c r="N3" s="636"/>
      <c r="O3" s="636"/>
      <c r="P3" s="636"/>
      <c r="Q3" s="636"/>
      <c r="R3" s="636"/>
      <c r="S3" s="636"/>
    </row>
    <row r="4" spans="1:30" ht="57" customHeight="1" x14ac:dyDescent="0.2">
      <c r="A4" s="634" t="s">
        <v>903</v>
      </c>
      <c r="B4" s="634" t="s">
        <v>687</v>
      </c>
      <c r="C4" s="635" t="s">
        <v>317</v>
      </c>
      <c r="D4" s="634" t="s">
        <v>691</v>
      </c>
      <c r="E4" s="885" t="s">
        <v>319</v>
      </c>
      <c r="F4" s="885" t="s">
        <v>320</v>
      </c>
      <c r="G4" s="886" t="s">
        <v>321</v>
      </c>
      <c r="H4" s="647" t="s">
        <v>322</v>
      </c>
      <c r="I4" s="75" t="s">
        <v>246</v>
      </c>
      <c r="J4" s="75" t="s">
        <v>247</v>
      </c>
      <c r="K4" s="75" t="s">
        <v>248</v>
      </c>
      <c r="L4" s="75" t="s">
        <v>249</v>
      </c>
      <c r="M4" s="636"/>
      <c r="N4" s="636"/>
      <c r="O4" s="636"/>
      <c r="P4" s="636"/>
      <c r="Q4" s="636"/>
      <c r="R4" s="636"/>
      <c r="S4" s="636"/>
    </row>
    <row r="5" spans="1:30" ht="14.25" x14ac:dyDescent="0.2">
      <c r="B5" s="200" t="s">
        <v>226</v>
      </c>
      <c r="C5" s="641" t="s">
        <v>227</v>
      </c>
      <c r="D5" s="1516">
        <f>5000/R1</f>
        <v>7575.7575757575751</v>
      </c>
      <c r="E5" s="632">
        <f t="shared" ref="E5:E19" si="0">$G$1</f>
        <v>1.4513</v>
      </c>
      <c r="F5" s="631">
        <v>1</v>
      </c>
      <c r="G5" s="675">
        <f>D5*E5</f>
        <v>10994.696969696968</v>
      </c>
      <c r="H5" s="889">
        <f>G5*F5</f>
        <v>10994.696969696968</v>
      </c>
      <c r="I5" s="65">
        <f>VLOOKUP(B5,All_Ingredients!$A$1:$F$156,6,FALSE())</f>
        <v>0.99</v>
      </c>
      <c r="J5" s="101">
        <f>VLOOKUP(B5,All_Ingredients!$A$1:$J$156,10,FALSE())</f>
        <v>11.75</v>
      </c>
      <c r="K5" s="104">
        <f t="shared" ref="K5:K8" si="1">(H5/I5)/1000</f>
        <v>11.105754514845422</v>
      </c>
      <c r="L5" s="104">
        <f t="shared" ref="L5:L8" si="2">K5*J5</f>
        <v>130.49261554943371</v>
      </c>
    </row>
    <row r="6" spans="1:30" x14ac:dyDescent="0.2">
      <c r="A6" s="629" t="s">
        <v>908</v>
      </c>
      <c r="B6" s="887" t="s">
        <v>12</v>
      </c>
      <c r="C6" s="641" t="s">
        <v>14</v>
      </c>
      <c r="D6" s="888">
        <v>2200</v>
      </c>
      <c r="E6" s="632">
        <f t="shared" si="0"/>
        <v>1.4513</v>
      </c>
      <c r="F6" s="631">
        <v>1</v>
      </c>
      <c r="G6" s="675">
        <f t="shared" ref="G6:G19" si="3">D6*E6</f>
        <v>3192.86</v>
      </c>
      <c r="H6" s="889">
        <f t="shared" ref="H6:H19" si="4">G6*F6</f>
        <v>3192.86</v>
      </c>
      <c r="I6" s="65">
        <f>VLOOKUP(B6,All_Ingredients!$A$1:$F$156,6,FALSE())</f>
        <v>0.9</v>
      </c>
      <c r="J6" s="101">
        <f>VLOOKUP(B6,All_Ingredients!$A$1:$J$156,10,FALSE())</f>
        <v>3</v>
      </c>
      <c r="K6" s="104">
        <f t="shared" si="1"/>
        <v>3.5476222222222225</v>
      </c>
      <c r="L6" s="104">
        <f t="shared" si="2"/>
        <v>10.642866666666666</v>
      </c>
    </row>
    <row r="7" spans="1:30" x14ac:dyDescent="0.2">
      <c r="A7" s="629" t="s">
        <v>907</v>
      </c>
      <c r="B7" s="887" t="s">
        <v>727</v>
      </c>
      <c r="C7" s="641" t="s">
        <v>14</v>
      </c>
      <c r="D7" s="888">
        <v>270</v>
      </c>
      <c r="E7" s="632">
        <f t="shared" si="0"/>
        <v>1.4513</v>
      </c>
      <c r="F7" s="631">
        <v>1</v>
      </c>
      <c r="G7" s="675">
        <f t="shared" si="3"/>
        <v>391.851</v>
      </c>
      <c r="H7" s="889">
        <f t="shared" si="4"/>
        <v>391.851</v>
      </c>
      <c r="I7" s="65">
        <f>VLOOKUP(B7,All_Ingredients!$A$1:$F$156,6,FALSE())</f>
        <v>1</v>
      </c>
      <c r="J7" s="101">
        <f>VLOOKUP(B7,All_Ingredients!$A$1:$J$156,10,FALSE())</f>
        <v>10.5</v>
      </c>
      <c r="K7" s="104">
        <f t="shared" si="1"/>
        <v>0.391851</v>
      </c>
      <c r="L7" s="104">
        <f t="shared" si="2"/>
        <v>4.1144354999999999</v>
      </c>
    </row>
    <row r="8" spans="1:30" x14ac:dyDescent="0.2">
      <c r="B8" s="887" t="s">
        <v>152</v>
      </c>
      <c r="C8" s="641" t="s">
        <v>14</v>
      </c>
      <c r="D8" s="888">
        <v>360</v>
      </c>
      <c r="E8" s="632">
        <f t="shared" si="0"/>
        <v>1.4513</v>
      </c>
      <c r="F8" s="631">
        <v>1</v>
      </c>
      <c r="G8" s="675">
        <f t="shared" si="3"/>
        <v>522.46799999999996</v>
      </c>
      <c r="H8" s="889">
        <f t="shared" si="4"/>
        <v>522.46799999999996</v>
      </c>
      <c r="I8" s="65">
        <f>VLOOKUP(B8,All_Ingredients!$A$1:$F$156,6,FALSE())</f>
        <v>1</v>
      </c>
      <c r="J8" s="101">
        <f>VLOOKUP(B8,All_Ingredients!$A$1:$J$156,10,FALSE())</f>
        <v>30</v>
      </c>
      <c r="K8" s="104">
        <f t="shared" si="1"/>
        <v>0.52246799999999993</v>
      </c>
      <c r="L8" s="104">
        <f t="shared" si="2"/>
        <v>15.674039999999998</v>
      </c>
    </row>
    <row r="9" spans="1:30" x14ac:dyDescent="0.2">
      <c r="B9" s="887" t="s">
        <v>93</v>
      </c>
      <c r="C9" s="641" t="s">
        <v>14</v>
      </c>
      <c r="D9" s="888">
        <v>18</v>
      </c>
      <c r="E9" s="632">
        <f t="shared" si="0"/>
        <v>1.4513</v>
      </c>
      <c r="F9" s="631">
        <v>1</v>
      </c>
      <c r="G9" s="675">
        <f t="shared" si="3"/>
        <v>26.1234</v>
      </c>
      <c r="H9" s="889">
        <f t="shared" si="4"/>
        <v>26.1234</v>
      </c>
      <c r="I9" s="65">
        <f>VLOOKUP(B9,All_Ingredients!$A$1:$F$156,6,FALSE())</f>
        <v>1</v>
      </c>
      <c r="J9" s="101">
        <f>VLOOKUP(B9,All_Ingredients!$A$1:$J$156,10,FALSE())</f>
        <v>0.74</v>
      </c>
      <c r="K9" s="104">
        <f t="shared" ref="K9:K19" si="5">(H9/I9)/1000</f>
        <v>2.6123400000000001E-2</v>
      </c>
      <c r="L9" s="104">
        <f t="shared" ref="L9:L19" si="6">K9*J9</f>
        <v>1.9331316000000001E-2</v>
      </c>
    </row>
    <row r="10" spans="1:30" x14ac:dyDescent="0.2">
      <c r="B10" s="887" t="s">
        <v>99</v>
      </c>
      <c r="C10" s="641" t="s">
        <v>14</v>
      </c>
      <c r="D10" s="888">
        <v>18</v>
      </c>
      <c r="E10" s="632">
        <f t="shared" si="0"/>
        <v>1.4513</v>
      </c>
      <c r="F10" s="631">
        <v>1</v>
      </c>
      <c r="G10" s="675">
        <f t="shared" si="3"/>
        <v>26.1234</v>
      </c>
      <c r="H10" s="889">
        <f t="shared" si="4"/>
        <v>26.1234</v>
      </c>
      <c r="I10" s="65">
        <f>VLOOKUP(B10,All_Ingredients!$A$1:$F$156,6,FALSE())</f>
        <v>1</v>
      </c>
      <c r="J10" s="101">
        <f>VLOOKUP(B10,All_Ingredients!$A$1:$J$156,10,FALSE())</f>
        <v>31</v>
      </c>
      <c r="K10" s="104">
        <f t="shared" si="5"/>
        <v>2.6123400000000001E-2</v>
      </c>
      <c r="L10" s="104">
        <f t="shared" si="6"/>
        <v>0.80982540000000003</v>
      </c>
    </row>
    <row r="11" spans="1:30" ht="13.5" customHeight="1" x14ac:dyDescent="0.2">
      <c r="B11" s="887" t="s">
        <v>122</v>
      </c>
      <c r="C11" s="641" t="s">
        <v>14</v>
      </c>
      <c r="D11" s="888">
        <v>36</v>
      </c>
      <c r="E11" s="632">
        <f t="shared" si="0"/>
        <v>1.4513</v>
      </c>
      <c r="F11" s="631">
        <v>1</v>
      </c>
      <c r="G11" s="675">
        <f t="shared" si="3"/>
        <v>52.2468</v>
      </c>
      <c r="H11" s="889">
        <f t="shared" si="4"/>
        <v>52.2468</v>
      </c>
      <c r="I11" s="65">
        <f>VLOOKUP(B11,All_Ingredients!$A$1:$F$156,6,FALSE())</f>
        <v>1</v>
      </c>
      <c r="J11" s="101">
        <f>VLOOKUP(B11,All_Ingredients!$A$1:$J$156,10,FALSE())</f>
        <v>14</v>
      </c>
      <c r="K11" s="104">
        <f t="shared" si="5"/>
        <v>5.2246800000000003E-2</v>
      </c>
      <c r="L11" s="104">
        <f t="shared" si="6"/>
        <v>0.73145520000000008</v>
      </c>
    </row>
    <row r="12" spans="1:30" ht="13.5" customHeight="1" x14ac:dyDescent="0.2">
      <c r="B12" s="887" t="s">
        <v>105</v>
      </c>
      <c r="C12" s="641" t="s">
        <v>14</v>
      </c>
      <c r="D12" s="888">
        <v>7.2</v>
      </c>
      <c r="E12" s="632">
        <f t="shared" si="0"/>
        <v>1.4513</v>
      </c>
      <c r="F12" s="631">
        <v>1</v>
      </c>
      <c r="G12" s="675">
        <f t="shared" si="3"/>
        <v>10.44936</v>
      </c>
      <c r="H12" s="889">
        <f t="shared" si="4"/>
        <v>10.44936</v>
      </c>
      <c r="I12" s="65">
        <f>VLOOKUP(B12,All_Ingredients!$A$1:$F$156,6,FALSE())</f>
        <v>1</v>
      </c>
      <c r="J12" s="101">
        <f>VLOOKUP(B12,All_Ingredients!$A$1:$J$156,10,FALSE())</f>
        <v>15</v>
      </c>
      <c r="K12" s="104">
        <f t="shared" si="5"/>
        <v>1.0449360000000001E-2</v>
      </c>
      <c r="L12" s="104">
        <f t="shared" si="6"/>
        <v>0.15674040000000003</v>
      </c>
    </row>
    <row r="13" spans="1:30" ht="13.5" customHeight="1" x14ac:dyDescent="0.2">
      <c r="B13" s="887" t="s">
        <v>107</v>
      </c>
      <c r="C13" s="641" t="s">
        <v>14</v>
      </c>
      <c r="D13" s="888">
        <v>9</v>
      </c>
      <c r="E13" s="632">
        <f t="shared" si="0"/>
        <v>1.4513</v>
      </c>
      <c r="F13" s="631">
        <v>1</v>
      </c>
      <c r="G13" s="675">
        <f t="shared" si="3"/>
        <v>13.0617</v>
      </c>
      <c r="H13" s="889">
        <f t="shared" si="4"/>
        <v>13.0617</v>
      </c>
      <c r="I13" s="65">
        <f>VLOOKUP(B13,All_Ingredients!$A$1:$F$156,6,FALSE())</f>
        <v>1</v>
      </c>
      <c r="J13" s="101">
        <f>VLOOKUP(B13,All_Ingredients!$A$1:$J$156,10,FALSE())</f>
        <v>8</v>
      </c>
      <c r="K13" s="104">
        <f t="shared" si="5"/>
        <v>1.3061700000000001E-2</v>
      </c>
      <c r="L13" s="104">
        <f t="shared" si="6"/>
        <v>0.10449360000000001</v>
      </c>
    </row>
    <row r="14" spans="1:30" ht="13.5" customHeight="1" x14ac:dyDescent="0.2">
      <c r="B14" s="887" t="s">
        <v>194</v>
      </c>
      <c r="C14" s="641" t="s">
        <v>14</v>
      </c>
      <c r="D14" s="888">
        <v>180</v>
      </c>
      <c r="E14" s="632">
        <f t="shared" si="0"/>
        <v>1.4513</v>
      </c>
      <c r="F14" s="631">
        <v>1</v>
      </c>
      <c r="G14" s="675">
        <f t="shared" si="3"/>
        <v>261.23399999999998</v>
      </c>
      <c r="H14" s="889">
        <f t="shared" si="4"/>
        <v>261.23399999999998</v>
      </c>
      <c r="I14" s="65">
        <f>VLOOKUP(B14,All_Ingredients!$A$1:$F$156,6,FALSE())</f>
        <v>1</v>
      </c>
      <c r="J14" s="101">
        <f>VLOOKUP(B14,All_Ingredients!$A$1:$J$156,10,FALSE())</f>
        <v>22.666666666666668</v>
      </c>
      <c r="K14" s="104">
        <f t="shared" si="5"/>
        <v>0.26123399999999997</v>
      </c>
      <c r="L14" s="104">
        <f t="shared" si="6"/>
        <v>5.9213039999999992</v>
      </c>
    </row>
    <row r="15" spans="1:30" ht="14.25" customHeight="1" x14ac:dyDescent="0.2">
      <c r="B15" s="904" t="s">
        <v>139</v>
      </c>
      <c r="C15" s="641" t="s">
        <v>14</v>
      </c>
      <c r="D15" s="888">
        <v>54</v>
      </c>
      <c r="E15" s="632">
        <f t="shared" si="0"/>
        <v>1.4513</v>
      </c>
      <c r="F15" s="631">
        <v>1</v>
      </c>
      <c r="G15" s="675">
        <f t="shared" si="3"/>
        <v>78.370199999999997</v>
      </c>
      <c r="H15" s="889">
        <f t="shared" si="4"/>
        <v>78.370199999999997</v>
      </c>
      <c r="I15" s="65">
        <f>VLOOKUP(B15,All_Ingredients!$A$1:$F$156,6,FALSE())</f>
        <v>1</v>
      </c>
      <c r="J15" s="101">
        <f>VLOOKUP(B15,All_Ingredients!$A$1:$J$156,10,FALSE())</f>
        <v>15.277777777777779</v>
      </c>
      <c r="K15" s="104">
        <f t="shared" si="5"/>
        <v>7.8370200000000001E-2</v>
      </c>
      <c r="L15" s="104">
        <f t="shared" si="6"/>
        <v>1.1973225000000001</v>
      </c>
      <c r="Z15" s="1124"/>
      <c r="AA15"/>
      <c r="AB15"/>
      <c r="AC15"/>
    </row>
    <row r="16" spans="1:30" ht="14.25" customHeight="1" x14ac:dyDescent="0.2">
      <c r="B16" s="904" t="s">
        <v>90</v>
      </c>
      <c r="C16" s="641" t="s">
        <v>14</v>
      </c>
      <c r="D16" s="888">
        <v>3.6</v>
      </c>
      <c r="E16" s="632">
        <f t="shared" si="0"/>
        <v>1.4513</v>
      </c>
      <c r="F16" s="631">
        <v>1</v>
      </c>
      <c r="G16" s="675">
        <f t="shared" si="3"/>
        <v>5.2246800000000002</v>
      </c>
      <c r="H16" s="889">
        <f t="shared" si="4"/>
        <v>5.2246800000000002</v>
      </c>
      <c r="I16" s="65">
        <f>VLOOKUP(B16,All_Ingredients!$A$1:$F$156,6,FALSE())</f>
        <v>1</v>
      </c>
      <c r="J16" s="101">
        <f>VLOOKUP(B16,All_Ingredients!$A$1:$J$156,10,FALSE())</f>
        <v>3.04</v>
      </c>
      <c r="K16" s="104">
        <f t="shared" si="5"/>
        <v>5.2246800000000006E-3</v>
      </c>
      <c r="L16" s="104">
        <f t="shared" si="6"/>
        <v>1.5883027200000004E-2</v>
      </c>
      <c r="Z16" s="122" t="s">
        <v>252</v>
      </c>
      <c r="AA16" s="123">
        <v>1</v>
      </c>
      <c r="AB16" s="122" t="s">
        <v>249</v>
      </c>
      <c r="AC16" s="1075">
        <f>AC21*AA16</f>
        <v>2.3541458358616464E-2</v>
      </c>
    </row>
    <row r="17" spans="2:29" ht="13.5" customHeight="1" x14ac:dyDescent="0.2">
      <c r="B17" s="688" t="s">
        <v>126</v>
      </c>
      <c r="C17" s="641" t="s">
        <v>14</v>
      </c>
      <c r="D17" s="891">
        <v>3.6</v>
      </c>
      <c r="E17" s="632">
        <f t="shared" si="0"/>
        <v>1.4513</v>
      </c>
      <c r="F17" s="631">
        <v>1</v>
      </c>
      <c r="G17" s="675">
        <f t="shared" si="3"/>
        <v>5.2246800000000002</v>
      </c>
      <c r="H17" s="889">
        <f t="shared" si="4"/>
        <v>5.2246800000000002</v>
      </c>
      <c r="I17" s="65">
        <f>VLOOKUP(B17,All_Ingredients!$A$1:$F$156,6,FALSE())</f>
        <v>1</v>
      </c>
      <c r="J17" s="101">
        <f>VLOOKUP(B17,All_Ingredients!$A$1:$J$156,10,FALSE())</f>
        <v>125</v>
      </c>
      <c r="K17" s="104">
        <f t="shared" si="5"/>
        <v>5.2246800000000006E-3</v>
      </c>
      <c r="L17" s="104">
        <f t="shared" si="6"/>
        <v>0.65308500000000003</v>
      </c>
      <c r="Z17"/>
      <c r="AA17"/>
      <c r="AB17" s="14"/>
      <c r="AC17" s="14"/>
    </row>
    <row r="18" spans="2:29" x14ac:dyDescent="0.2">
      <c r="B18" s="688" t="s">
        <v>124</v>
      </c>
      <c r="C18" s="641" t="s">
        <v>14</v>
      </c>
      <c r="D18" s="891">
        <v>1.8</v>
      </c>
      <c r="E18" s="632">
        <f t="shared" si="0"/>
        <v>1.4513</v>
      </c>
      <c r="F18" s="631">
        <v>1</v>
      </c>
      <c r="G18" s="675">
        <f t="shared" si="3"/>
        <v>2.6123400000000001</v>
      </c>
      <c r="H18" s="889">
        <f t="shared" si="4"/>
        <v>2.6123400000000001</v>
      </c>
      <c r="I18" s="65">
        <f>VLOOKUP(B18,All_Ingredients!$A$1:$F$156,6,FALSE())</f>
        <v>1</v>
      </c>
      <c r="J18" s="101">
        <f>VLOOKUP(B18,All_Ingredients!$A$1:$J$156,10,FALSE())</f>
        <v>37</v>
      </c>
      <c r="K18" s="104">
        <f t="shared" si="5"/>
        <v>2.6123400000000003E-3</v>
      </c>
      <c r="L18" s="104">
        <f t="shared" si="6"/>
        <v>9.6656580000000006E-2</v>
      </c>
      <c r="Z18" s="122" t="s">
        <v>258</v>
      </c>
      <c r="AA18" s="128" t="s">
        <v>259</v>
      </c>
      <c r="AB18" s="1032" t="s">
        <v>260</v>
      </c>
      <c r="AC18" s="128" t="s">
        <v>262</v>
      </c>
    </row>
    <row r="19" spans="2:29" ht="14.25" customHeight="1" x14ac:dyDescent="0.2">
      <c r="B19" s="688" t="s">
        <v>97</v>
      </c>
      <c r="C19" s="641" t="s">
        <v>14</v>
      </c>
      <c r="D19" s="891">
        <v>3.6</v>
      </c>
      <c r="E19" s="632">
        <f t="shared" si="0"/>
        <v>1.4513</v>
      </c>
      <c r="F19" s="631">
        <v>1</v>
      </c>
      <c r="G19" s="892">
        <f t="shared" si="3"/>
        <v>5.2246800000000002</v>
      </c>
      <c r="H19" s="889">
        <f t="shared" si="4"/>
        <v>5.2246800000000002</v>
      </c>
      <c r="I19" s="65">
        <f>VLOOKUP(B19,All_Ingredients!$A$1:$F$156,6,FALSE())</f>
        <v>1</v>
      </c>
      <c r="J19" s="101">
        <f>VLOOKUP(B19,All_Ingredients!$A$1:$J$156,10,FALSE())</f>
        <v>38</v>
      </c>
      <c r="K19" s="104">
        <f t="shared" si="5"/>
        <v>5.2246800000000006E-3</v>
      </c>
      <c r="L19" s="104">
        <f t="shared" si="6"/>
        <v>0.19853784000000002</v>
      </c>
      <c r="Z19" s="132"/>
      <c r="AA19" s="133">
        <f>AA16*S40</f>
        <v>0.9</v>
      </c>
      <c r="AB19" s="133">
        <f>AA16*U40</f>
        <v>0.1</v>
      </c>
      <c r="AC19" s="135">
        <f>SUM(AA19:AB19)</f>
        <v>1</v>
      </c>
    </row>
    <row r="20" spans="2:29" ht="13.5" customHeight="1" x14ac:dyDescent="0.2">
      <c r="G20" s="636"/>
      <c r="I20" s="636"/>
      <c r="J20" s="636"/>
      <c r="K20" s="636"/>
      <c r="Z20" s="132"/>
      <c r="AA20" s="137">
        <f>AA19/AC19</f>
        <v>0.9</v>
      </c>
      <c r="AB20" s="137">
        <f>AB19/AC19</f>
        <v>0.1</v>
      </c>
      <c r="AC20" s="137">
        <f>AA20+AB20</f>
        <v>1</v>
      </c>
    </row>
    <row r="21" spans="2:29" ht="13.5" customHeight="1" x14ac:dyDescent="0.2">
      <c r="E21" s="636"/>
      <c r="F21" s="636"/>
      <c r="G21" s="636"/>
      <c r="J21" s="636"/>
      <c r="K21" s="636"/>
      <c r="Z21" s="122" t="s">
        <v>266</v>
      </c>
      <c r="AA21" s="138">
        <f>S33/(S30)</f>
        <v>1.9980954324388664E-2</v>
      </c>
      <c r="AB21" s="138">
        <f>T33/(T30)</f>
        <v>5.5585994666666645E-2</v>
      </c>
      <c r="AC21" s="1047">
        <f>SUMPRODUCT(AA21:AB21,AA20:AB20)</f>
        <v>2.3541458358616464E-2</v>
      </c>
    </row>
    <row r="22" spans="2:29" ht="13.5" customHeight="1" x14ac:dyDescent="0.2">
      <c r="E22" s="636"/>
      <c r="F22" s="636"/>
      <c r="G22" s="636"/>
    </row>
    <row r="23" spans="2:29" ht="13.5" customHeight="1" x14ac:dyDescent="0.2">
      <c r="E23" s="636"/>
      <c r="F23" s="636"/>
      <c r="G23" s="636"/>
    </row>
    <row r="24" spans="2:29" ht="13.5" customHeight="1" x14ac:dyDescent="0.2">
      <c r="E24" s="636"/>
      <c r="F24" s="636"/>
      <c r="G24" s="636"/>
    </row>
    <row r="25" spans="2:29" ht="18" customHeight="1" x14ac:dyDescent="0.2">
      <c r="R25" s="1709" t="s">
        <v>692</v>
      </c>
      <c r="S25" s="1710"/>
      <c r="T25" s="1710"/>
      <c r="U25" s="1711"/>
    </row>
    <row r="26" spans="2:29" ht="18" customHeight="1" x14ac:dyDescent="0.2">
      <c r="H26" s="905"/>
      <c r="R26" s="1654" t="s">
        <v>360</v>
      </c>
      <c r="S26" s="1633"/>
      <c r="T26" s="1633"/>
      <c r="U26" s="1633"/>
    </row>
    <row r="27" spans="2:29" ht="16.5" customHeight="1" x14ac:dyDescent="0.2">
      <c r="R27" s="645" t="s">
        <v>254</v>
      </c>
      <c r="S27" s="645" t="s">
        <v>379</v>
      </c>
      <c r="T27" s="645" t="s">
        <v>260</v>
      </c>
      <c r="U27" s="645" t="s">
        <v>262</v>
      </c>
    </row>
    <row r="28" spans="2:29" ht="14.25" customHeight="1" x14ac:dyDescent="0.2">
      <c r="N28" s="1669"/>
      <c r="O28" s="1712"/>
      <c r="R28" s="645" t="s">
        <v>511</v>
      </c>
      <c r="S28" s="1204">
        <f>($Z$1-(($Z$1*$T$1)+$AB$1))*$S$40</f>
        <v>6530.85</v>
      </c>
      <c r="T28" s="1205">
        <f>($Z$1-(($Z$1*$T$1)+$AB$1))*$U$40</f>
        <v>725.65000000000009</v>
      </c>
      <c r="U28" s="1192">
        <f>T28+S28</f>
        <v>7256.5</v>
      </c>
    </row>
    <row r="29" spans="2:29" ht="13.5" customHeight="1" x14ac:dyDescent="0.2">
      <c r="N29" s="810"/>
      <c r="O29" s="810"/>
      <c r="R29" s="645" t="s">
        <v>265</v>
      </c>
      <c r="S29" s="1193"/>
      <c r="T29" s="1191"/>
      <c r="U29" s="1191"/>
    </row>
    <row r="30" spans="2:29" ht="13.5" customHeight="1" x14ac:dyDescent="0.2">
      <c r="N30" s="810"/>
      <c r="O30" s="897"/>
      <c r="R30" s="645" t="s">
        <v>257</v>
      </c>
      <c r="S30" s="1193">
        <f>S28+S29</f>
        <v>6530.85</v>
      </c>
      <c r="T30" s="1193">
        <f>T28+T29</f>
        <v>725.65000000000009</v>
      </c>
      <c r="U30" s="1194">
        <f>T30+S30</f>
        <v>7256.5</v>
      </c>
    </row>
    <row r="31" spans="2:29" ht="13.5" customHeight="1" x14ac:dyDescent="0.2">
      <c r="N31" s="810"/>
      <c r="O31" s="898"/>
    </row>
    <row r="32" spans="2:29" ht="13.5" customHeight="1" thickBot="1" x14ac:dyDescent="0.25">
      <c r="O32" s="810"/>
      <c r="P32" s="898"/>
    </row>
    <row r="33" spans="1:24" ht="13.5" customHeight="1" thickBot="1" x14ac:dyDescent="0.25">
      <c r="O33" s="899"/>
      <c r="P33" s="900"/>
      <c r="R33" s="144" t="s">
        <v>249</v>
      </c>
      <c r="S33" s="990">
        <f>SUM(L5)</f>
        <v>130.49261554943371</v>
      </c>
      <c r="T33" s="990">
        <f>SUM(L6:L19)</f>
        <v>40.335977029866655</v>
      </c>
      <c r="U33" s="1078">
        <f>SUM(S33:T33)</f>
        <v>170.82859257930036</v>
      </c>
    </row>
    <row r="34" spans="1:24" ht="13.5" customHeight="1" x14ac:dyDescent="0.2">
      <c r="O34" s="810"/>
      <c r="P34" s="898"/>
    </row>
    <row r="36" spans="1:24" x14ac:dyDescent="0.2">
      <c r="S36" s="905"/>
      <c r="T36" s="905"/>
    </row>
    <row r="40" spans="1:24" x14ac:dyDescent="0.2">
      <c r="A40" s="1478"/>
      <c r="R40" s="895" t="s">
        <v>379</v>
      </c>
      <c r="S40" s="896">
        <v>0.9</v>
      </c>
      <c r="T40" s="895" t="s">
        <v>256</v>
      </c>
      <c r="U40" s="896">
        <v>0.1</v>
      </c>
    </row>
    <row r="41" spans="1:24" ht="25.5" customHeight="1" x14ac:dyDescent="0.2">
      <c r="A41" s="1478"/>
    </row>
    <row r="42" spans="1:24" x14ac:dyDescent="0.2">
      <c r="R42" s="14"/>
      <c r="S42" s="14"/>
      <c r="T42" s="14"/>
      <c r="U42" s="14"/>
      <c r="V42" s="150"/>
      <c r="W42" s="14"/>
      <c r="X42" s="14"/>
    </row>
    <row r="43" spans="1:24" ht="13.5" customHeight="1" x14ac:dyDescent="0.2">
      <c r="Q43" s="151" t="s">
        <v>272</v>
      </c>
      <c r="R43" s="151" t="s">
        <v>273</v>
      </c>
      <c r="S43" s="151" t="s">
        <v>274</v>
      </c>
      <c r="T43" s="151" t="s">
        <v>275</v>
      </c>
      <c r="U43" s="151" t="s">
        <v>276</v>
      </c>
      <c r="V43" s="151" t="s">
        <v>277</v>
      </c>
      <c r="W43" s="235" t="s">
        <v>278</v>
      </c>
      <c r="X43" s="14"/>
    </row>
    <row r="44" spans="1:24" ht="18" customHeight="1" x14ac:dyDescent="0.2">
      <c r="Q44" s="153">
        <v>50000</v>
      </c>
      <c r="R44" s="154">
        <f>D51</f>
        <v>5000</v>
      </c>
      <c r="S44" s="155">
        <v>1</v>
      </c>
      <c r="T44" s="155">
        <v>0</v>
      </c>
      <c r="U44" s="220">
        <f>R44*S44</f>
        <v>5000</v>
      </c>
      <c r="V44" s="157">
        <f>R44*T44</f>
        <v>0</v>
      </c>
      <c r="W44" s="237">
        <f>Q44-U44</f>
        <v>45000</v>
      </c>
      <c r="X44" s="14"/>
    </row>
    <row r="45" spans="1:24" ht="18" customHeight="1" x14ac:dyDescent="0.2">
      <c r="R45" s="14"/>
      <c r="S45" s="14"/>
      <c r="T45" s="14"/>
      <c r="U45" s="14"/>
      <c r="V45" s="14"/>
      <c r="W45" s="14"/>
      <c r="X45" s="14"/>
    </row>
    <row r="47" spans="1:24" x14ac:dyDescent="0.2">
      <c r="I47" s="907"/>
    </row>
    <row r="50" spans="1:10" ht="14.25" x14ac:dyDescent="0.2">
      <c r="B50" s="893"/>
      <c r="C50" s="893" t="s">
        <v>233</v>
      </c>
      <c r="D50" s="893" t="s">
        <v>279</v>
      </c>
      <c r="G50" s="126" t="s">
        <v>280</v>
      </c>
      <c r="H50" s="126" t="s">
        <v>233</v>
      </c>
      <c r="I50" s="126" t="s">
        <v>281</v>
      </c>
      <c r="J50" s="126" t="s">
        <v>282</v>
      </c>
    </row>
    <row r="51" spans="1:10" ht="14.25" x14ac:dyDescent="0.2">
      <c r="B51" s="161" t="s">
        <v>283</v>
      </c>
      <c r="C51" s="162">
        <f>30/$K$1</f>
        <v>30</v>
      </c>
      <c r="D51" s="163">
        <f>C1</f>
        <v>5000</v>
      </c>
      <c r="G51" s="161" t="s">
        <v>283</v>
      </c>
      <c r="H51" s="254">
        <f>I51/$D$5</f>
        <v>9</v>
      </c>
      <c r="I51" s="163">
        <f>J51/$R$1</f>
        <v>68181.818181818177</v>
      </c>
      <c r="J51" s="162">
        <f>$W$44</f>
        <v>45000</v>
      </c>
    </row>
    <row r="52" spans="1:10" ht="14.25" x14ac:dyDescent="0.2">
      <c r="B52" s="645" t="s">
        <v>257</v>
      </c>
      <c r="C52" s="894">
        <f>I1</f>
        <v>1.4513</v>
      </c>
      <c r="D52" s="890">
        <f>E1</f>
        <v>7256.5</v>
      </c>
      <c r="G52" s="129" t="s">
        <v>262</v>
      </c>
      <c r="H52" s="190">
        <f>I52/$D$5</f>
        <v>1.3061700000000001</v>
      </c>
      <c r="I52" s="157">
        <f>J52/$R$1</f>
        <v>9895.2272727272721</v>
      </c>
      <c r="J52" s="165">
        <f>$S$30</f>
        <v>6530.85</v>
      </c>
    </row>
    <row r="53" spans="1:10" ht="14.25" x14ac:dyDescent="0.2">
      <c r="B53" s="645" t="s">
        <v>284</v>
      </c>
      <c r="C53" s="212">
        <f>MIN(C52, C51)</f>
        <v>1.4513</v>
      </c>
      <c r="D53" s="211">
        <f>(C53*$K$1)*$C$1</f>
        <v>7256.5</v>
      </c>
      <c r="G53" s="129" t="s">
        <v>284</v>
      </c>
      <c r="H53" s="168">
        <f>MIN(H52,H51)</f>
        <v>1.3061700000000001</v>
      </c>
      <c r="I53" s="157">
        <f>J53/$R$1</f>
        <v>9895.2272727272721</v>
      </c>
      <c r="J53" s="157">
        <f>MIN(J52,J51)</f>
        <v>6530.85</v>
      </c>
    </row>
    <row r="54" spans="1:10" ht="14.25" x14ac:dyDescent="0.2">
      <c r="B54" s="645" t="s">
        <v>285</v>
      </c>
      <c r="C54" s="212">
        <f>MIN(MAX(C52-C53,0),C51)</f>
        <v>0</v>
      </c>
      <c r="D54" s="211">
        <f>(C54*$K$1)*$C$1</f>
        <v>0</v>
      </c>
      <c r="G54" s="129" t="s">
        <v>285</v>
      </c>
      <c r="H54" s="168">
        <f>MIN(MAX(H52-H53),H51)</f>
        <v>0</v>
      </c>
      <c r="I54" s="157">
        <f>J54/$R$1</f>
        <v>0</v>
      </c>
      <c r="J54" s="157">
        <f>MIN(MAX(J52-J53),J51)</f>
        <v>0</v>
      </c>
    </row>
    <row r="55" spans="1:10" ht="14.25" x14ac:dyDescent="0.2">
      <c r="B55" s="645"/>
      <c r="C55" s="212">
        <f>MIN(MAX(C52-C53-C54,0),C51)</f>
        <v>0</v>
      </c>
      <c r="D55" s="211">
        <f>(C55*$K$1)*$C$1</f>
        <v>0</v>
      </c>
      <c r="G55" s="126" t="s">
        <v>286</v>
      </c>
      <c r="H55" s="168">
        <f>MIN(MAX(H52-H53-H54),H51)</f>
        <v>0</v>
      </c>
      <c r="I55" s="157">
        <f>J55/$R$1</f>
        <v>0</v>
      </c>
      <c r="J55" s="157">
        <f>MIN(MAX(J52-J53-J54),J51)</f>
        <v>0</v>
      </c>
    </row>
    <row r="60" spans="1:10" x14ac:dyDescent="0.2">
      <c r="A60" s="1478"/>
    </row>
    <row r="61" spans="1:10" x14ac:dyDescent="0.2">
      <c r="A61" s="1478"/>
    </row>
    <row r="62" spans="1:10" ht="25.5" customHeight="1" x14ac:dyDescent="0.2">
      <c r="A62" s="1513"/>
      <c r="B62" s="1707" t="str">
        <f>"    لحم رز مكسرات  1 / " &amp; COUNTIF($C$53:$C$55,"&gt;0")</f>
        <v xml:space="preserve">    لحم رز مكسرات  1 / 1</v>
      </c>
      <c r="C62" s="1707"/>
      <c r="D62" s="1707"/>
      <c r="E62" s="1707"/>
      <c r="F62" s="1707"/>
      <c r="G62" s="1707"/>
      <c r="H62" s="1707"/>
    </row>
    <row r="63" spans="1:10" ht="24" customHeight="1" x14ac:dyDescent="0.2">
      <c r="A63" s="1513"/>
      <c r="B63" s="1707" t="str">
        <f>"  Beef for Nut Rice   1 / " &amp; COUNTIF($C$53:$C$55,"&gt;0")</f>
        <v xml:space="preserve">  Beef for Nut Rice   1 / 1</v>
      </c>
      <c r="C63" s="1707"/>
      <c r="D63" s="1707"/>
      <c r="E63" s="1707"/>
      <c r="F63" s="1707"/>
      <c r="G63" s="1707"/>
      <c r="H63" s="1707"/>
    </row>
    <row r="64" spans="1:10" ht="51" x14ac:dyDescent="0.2">
      <c r="B64" s="221" t="s">
        <v>241</v>
      </c>
      <c r="C64" s="222" t="s">
        <v>242</v>
      </c>
      <c r="D64" s="634" t="s">
        <v>691</v>
      </c>
      <c r="E64" s="197" t="s">
        <v>234</v>
      </c>
      <c r="F64" s="197" t="s">
        <v>243</v>
      </c>
      <c r="G64" s="223" t="s">
        <v>244</v>
      </c>
      <c r="H64" s="197" t="s">
        <v>245</v>
      </c>
    </row>
    <row r="65" spans="1:8" ht="14.25" x14ac:dyDescent="0.2">
      <c r="B65" s="901" t="str">
        <f t="shared" ref="B65:D79" si="7">B5</f>
        <v>Indian Meat Tammam Mafroom - مفروم هندى</v>
      </c>
      <c r="C65" s="901" t="str">
        <f t="shared" si="7"/>
        <v>KG</v>
      </c>
      <c r="D65" s="1517">
        <f>D5</f>
        <v>7575.7575757575751</v>
      </c>
      <c r="E65" s="902">
        <f>$H$53</f>
        <v>1.3061700000000001</v>
      </c>
      <c r="F65" s="908">
        <f>F5</f>
        <v>1</v>
      </c>
      <c r="G65" s="101">
        <f t="shared" ref="G65" si="8">D65*E65</f>
        <v>9895.2272727272721</v>
      </c>
      <c r="H65" s="102">
        <f t="shared" ref="H65" si="9">G65*F65</f>
        <v>9895.2272727272721</v>
      </c>
    </row>
    <row r="66" spans="1:8" ht="14.25" x14ac:dyDescent="0.2">
      <c r="A66" s="629" t="s">
        <v>908</v>
      </c>
      <c r="B66" s="901" t="str">
        <f t="shared" si="7"/>
        <v>Onion - بصل</v>
      </c>
      <c r="C66" s="901" t="str">
        <f t="shared" si="7"/>
        <v>gm</v>
      </c>
      <c r="D66" s="901">
        <f t="shared" si="7"/>
        <v>2200</v>
      </c>
      <c r="E66" s="902">
        <f t="shared" ref="E66:E79" si="10">$C$53</f>
        <v>1.4513</v>
      </c>
      <c r="F66" s="908">
        <f t="shared" ref="F66:F79" si="11">F6</f>
        <v>1</v>
      </c>
      <c r="G66" s="101">
        <f t="shared" ref="G66:G79" si="12">D66*E66</f>
        <v>3192.86</v>
      </c>
      <c r="H66" s="102">
        <f t="shared" ref="H66:H79" si="13">G66*F66</f>
        <v>3192.86</v>
      </c>
    </row>
    <row r="67" spans="1:8" ht="14.25" x14ac:dyDescent="0.2">
      <c r="A67" s="629" t="s">
        <v>907</v>
      </c>
      <c r="B67" s="901" t="str">
        <f t="shared" si="7"/>
        <v>Garlic - ثوم مقشر</v>
      </c>
      <c r="C67" s="901" t="str">
        <f t="shared" si="7"/>
        <v>gm</v>
      </c>
      <c r="D67" s="901">
        <f t="shared" si="7"/>
        <v>270</v>
      </c>
      <c r="E67" s="903">
        <f t="shared" si="10"/>
        <v>1.4513</v>
      </c>
      <c r="F67" s="908">
        <f t="shared" si="11"/>
        <v>1</v>
      </c>
      <c r="G67" s="101">
        <f t="shared" si="12"/>
        <v>391.851</v>
      </c>
      <c r="H67" s="102">
        <f t="shared" si="13"/>
        <v>391.851</v>
      </c>
    </row>
    <row r="68" spans="1:8" ht="14.25" x14ac:dyDescent="0.2">
      <c r="B68" s="901" t="str">
        <f t="shared" si="7"/>
        <v>Butter - زبدة</v>
      </c>
      <c r="C68" s="901" t="str">
        <f t="shared" si="7"/>
        <v>gm</v>
      </c>
      <c r="D68" s="901">
        <f t="shared" si="7"/>
        <v>360</v>
      </c>
      <c r="E68" s="903">
        <f t="shared" si="10"/>
        <v>1.4513</v>
      </c>
      <c r="F68" s="908">
        <f t="shared" si="11"/>
        <v>1</v>
      </c>
      <c r="G68" s="101">
        <f t="shared" si="12"/>
        <v>522.46799999999996</v>
      </c>
      <c r="H68" s="102">
        <f t="shared" si="13"/>
        <v>522.46799999999996</v>
      </c>
    </row>
    <row r="69" spans="1:8" ht="14.25" x14ac:dyDescent="0.2">
      <c r="B69" s="901" t="str">
        <f t="shared" si="7"/>
        <v>Salt - ملح</v>
      </c>
      <c r="C69" s="901" t="str">
        <f t="shared" si="7"/>
        <v>gm</v>
      </c>
      <c r="D69" s="901">
        <f t="shared" si="7"/>
        <v>18</v>
      </c>
      <c r="E69" s="903">
        <f t="shared" si="10"/>
        <v>1.4513</v>
      </c>
      <c r="F69" s="908">
        <f t="shared" si="11"/>
        <v>1</v>
      </c>
      <c r="G69" s="101">
        <f t="shared" si="12"/>
        <v>26.1234</v>
      </c>
      <c r="H69" s="102">
        <f t="shared" si="13"/>
        <v>26.1234</v>
      </c>
    </row>
    <row r="70" spans="1:8" ht="14.25" x14ac:dyDescent="0.2">
      <c r="B70" s="901" t="str">
        <f t="shared" si="7"/>
        <v>Black Pepper Powder - فلفل أسود مطحون</v>
      </c>
      <c r="C70" s="901" t="str">
        <f t="shared" si="7"/>
        <v>gm</v>
      </c>
      <c r="D70" s="901">
        <f t="shared" si="7"/>
        <v>18</v>
      </c>
      <c r="E70" s="903">
        <f t="shared" si="10"/>
        <v>1.4513</v>
      </c>
      <c r="F70" s="908">
        <f t="shared" si="11"/>
        <v>1</v>
      </c>
      <c r="G70" s="101">
        <f t="shared" si="12"/>
        <v>26.1234</v>
      </c>
      <c r="H70" s="102">
        <f t="shared" si="13"/>
        <v>26.1234</v>
      </c>
    </row>
    <row r="71" spans="1:8" ht="14.25" x14ac:dyDescent="0.2">
      <c r="B71" s="901" t="str">
        <f t="shared" si="7"/>
        <v>Cinnamon Powder - قرفة مطحونة</v>
      </c>
      <c r="C71" s="901" t="str">
        <f t="shared" si="7"/>
        <v>gm</v>
      </c>
      <c r="D71" s="901">
        <f t="shared" si="7"/>
        <v>36</v>
      </c>
      <c r="E71" s="903">
        <f t="shared" si="10"/>
        <v>1.4513</v>
      </c>
      <c r="F71" s="908">
        <f t="shared" si="11"/>
        <v>1</v>
      </c>
      <c r="G71" s="101">
        <f t="shared" si="12"/>
        <v>52.2468</v>
      </c>
      <c r="H71" s="102">
        <f t="shared" si="13"/>
        <v>52.2468</v>
      </c>
    </row>
    <row r="72" spans="1:8" ht="14.25" x14ac:dyDescent="0.2">
      <c r="B72" s="901" t="str">
        <f t="shared" si="7"/>
        <v>Cumin Powder - كمون مطحون</v>
      </c>
      <c r="C72" s="901" t="str">
        <f t="shared" si="7"/>
        <v>gm</v>
      </c>
      <c r="D72" s="901">
        <f t="shared" si="7"/>
        <v>7.2</v>
      </c>
      <c r="E72" s="903">
        <f t="shared" si="10"/>
        <v>1.4513</v>
      </c>
      <c r="F72" s="908">
        <f t="shared" si="11"/>
        <v>1</v>
      </c>
      <c r="G72" s="101">
        <f t="shared" si="12"/>
        <v>10.44936</v>
      </c>
      <c r="H72" s="102">
        <f t="shared" si="13"/>
        <v>10.44936</v>
      </c>
    </row>
    <row r="73" spans="1:8" ht="14.25" x14ac:dyDescent="0.2">
      <c r="B73" s="901" t="str">
        <f t="shared" si="7"/>
        <v>Coriander Powder - كزبرة مطحونة</v>
      </c>
      <c r="C73" s="901" t="str">
        <f t="shared" si="7"/>
        <v>gm</v>
      </c>
      <c r="D73" s="901">
        <f t="shared" si="7"/>
        <v>9</v>
      </c>
      <c r="E73" s="903">
        <f t="shared" si="10"/>
        <v>1.4513</v>
      </c>
      <c r="F73" s="908">
        <f t="shared" si="11"/>
        <v>1</v>
      </c>
      <c r="G73" s="101">
        <f t="shared" si="12"/>
        <v>13.0617</v>
      </c>
      <c r="H73" s="102">
        <f t="shared" si="13"/>
        <v>13.0617</v>
      </c>
    </row>
    <row r="74" spans="1:8" ht="14.25" x14ac:dyDescent="0.2">
      <c r="B74" s="901" t="str">
        <f t="shared" si="7"/>
        <v>Sweet Soy Sauce - صويا صوص حلو</v>
      </c>
      <c r="C74" s="901" t="str">
        <f t="shared" si="7"/>
        <v>gm</v>
      </c>
      <c r="D74" s="901">
        <f t="shared" si="7"/>
        <v>180</v>
      </c>
      <c r="E74" s="903">
        <f t="shared" si="10"/>
        <v>1.4513</v>
      </c>
      <c r="F74" s="908">
        <f t="shared" si="11"/>
        <v>1</v>
      </c>
      <c r="G74" s="101">
        <f t="shared" si="12"/>
        <v>261.23399999999998</v>
      </c>
      <c r="H74" s="102">
        <f t="shared" si="13"/>
        <v>261.23399999999998</v>
      </c>
    </row>
    <row r="75" spans="1:8" ht="14.25" x14ac:dyDescent="0.2">
      <c r="B75" s="901" t="str">
        <f t="shared" si="7"/>
        <v>Maggi Cubes - مكعبات ماجي</v>
      </c>
      <c r="C75" s="901" t="str">
        <f t="shared" si="7"/>
        <v>gm</v>
      </c>
      <c r="D75" s="901">
        <f t="shared" si="7"/>
        <v>54</v>
      </c>
      <c r="E75" s="903">
        <f t="shared" si="10"/>
        <v>1.4513</v>
      </c>
      <c r="F75" s="908">
        <f t="shared" si="11"/>
        <v>1</v>
      </c>
      <c r="G75" s="101">
        <f t="shared" si="12"/>
        <v>78.370199999999997</v>
      </c>
      <c r="H75" s="102">
        <f t="shared" si="13"/>
        <v>78.370199999999997</v>
      </c>
    </row>
    <row r="76" spans="1:8" ht="14.25" x14ac:dyDescent="0.2">
      <c r="B76" s="901" t="str">
        <f t="shared" si="7"/>
        <v>Bay Leaf - ورق غار</v>
      </c>
      <c r="C76" s="901" t="str">
        <f t="shared" si="7"/>
        <v>gm</v>
      </c>
      <c r="D76" s="901">
        <f t="shared" si="7"/>
        <v>3.6</v>
      </c>
      <c r="E76" s="903">
        <f t="shared" si="10"/>
        <v>1.4513</v>
      </c>
      <c r="F76" s="908">
        <f t="shared" si="11"/>
        <v>1</v>
      </c>
      <c r="G76" s="101">
        <f t="shared" si="12"/>
        <v>5.2246800000000002</v>
      </c>
      <c r="H76" s="102">
        <f t="shared" si="13"/>
        <v>5.2246800000000002</v>
      </c>
    </row>
    <row r="77" spans="1:8" ht="14.25" x14ac:dyDescent="0.2">
      <c r="B77" s="901" t="str">
        <f t="shared" si="7"/>
        <v>Cardamom Whole - هيل حب</v>
      </c>
      <c r="C77" s="901" t="str">
        <f t="shared" si="7"/>
        <v>gm</v>
      </c>
      <c r="D77" s="901">
        <f t="shared" si="7"/>
        <v>3.6</v>
      </c>
      <c r="E77" s="902">
        <f t="shared" si="10"/>
        <v>1.4513</v>
      </c>
      <c r="F77" s="908">
        <f t="shared" si="11"/>
        <v>1</v>
      </c>
      <c r="G77" s="101">
        <f t="shared" si="12"/>
        <v>5.2246800000000002</v>
      </c>
      <c r="H77" s="102">
        <f t="shared" si="13"/>
        <v>5.2246800000000002</v>
      </c>
    </row>
    <row r="78" spans="1:8" ht="14.25" x14ac:dyDescent="0.2">
      <c r="B78" s="901" t="str">
        <f t="shared" si="7"/>
        <v>Cloves Whole - قرنفل حب</v>
      </c>
      <c r="C78" s="901" t="str">
        <f t="shared" si="7"/>
        <v>gm</v>
      </c>
      <c r="D78" s="901">
        <f t="shared" si="7"/>
        <v>1.8</v>
      </c>
      <c r="E78" s="903">
        <f t="shared" si="10"/>
        <v>1.4513</v>
      </c>
      <c r="F78" s="908">
        <f t="shared" si="11"/>
        <v>1</v>
      </c>
      <c r="G78" s="101">
        <f t="shared" si="12"/>
        <v>2.6123400000000001</v>
      </c>
      <c r="H78" s="102">
        <f t="shared" si="13"/>
        <v>2.6123400000000001</v>
      </c>
    </row>
    <row r="79" spans="1:8" ht="14.25" x14ac:dyDescent="0.2">
      <c r="B79" s="901" t="str">
        <f t="shared" si="7"/>
        <v>Black Pepper Whole - فلفل أسود حب</v>
      </c>
      <c r="C79" s="901" t="str">
        <f t="shared" si="7"/>
        <v>gm</v>
      </c>
      <c r="D79" s="901">
        <f t="shared" si="7"/>
        <v>3.6</v>
      </c>
      <c r="E79" s="902">
        <f t="shared" si="10"/>
        <v>1.4513</v>
      </c>
      <c r="F79" s="908">
        <f t="shared" si="11"/>
        <v>1</v>
      </c>
      <c r="G79" s="101">
        <f t="shared" si="12"/>
        <v>5.2246800000000002</v>
      </c>
      <c r="H79" s="102">
        <f t="shared" si="13"/>
        <v>5.2246800000000002</v>
      </c>
    </row>
    <row r="80" spans="1:8" ht="18" x14ac:dyDescent="0.2">
      <c r="B80" s="178" t="s">
        <v>287</v>
      </c>
      <c r="C80" s="180" t="s">
        <v>273</v>
      </c>
      <c r="D80" s="14"/>
      <c r="E80" s="180" t="s">
        <v>288</v>
      </c>
      <c r="F80" s="14"/>
      <c r="G80" s="804" t="s">
        <v>264</v>
      </c>
      <c r="H80" s="804" t="s">
        <v>673</v>
      </c>
    </row>
    <row r="81" spans="1:8" ht="24" customHeight="1" x14ac:dyDescent="0.3">
      <c r="B81" s="179">
        <f>J53</f>
        <v>6530.85</v>
      </c>
      <c r="C81" s="179">
        <f>D53</f>
        <v>7256.5</v>
      </c>
      <c r="D81" s="839"/>
      <c r="E81" s="179">
        <f>$D$53*$S$44</f>
        <v>7256.5</v>
      </c>
      <c r="F81" s="843"/>
      <c r="G81" s="179">
        <f>$D$53*$T$44</f>
        <v>0</v>
      </c>
      <c r="H81" s="179">
        <f>B81+E81</f>
        <v>13787.35</v>
      </c>
    </row>
    <row r="82" spans="1:8" ht="24" customHeight="1" x14ac:dyDescent="0.3">
      <c r="B82" s="191"/>
      <c r="C82" s="450"/>
      <c r="D82" s="450"/>
      <c r="E82" s="839"/>
      <c r="F82" s="450"/>
      <c r="G82" s="843"/>
      <c r="H82" s="450"/>
    </row>
    <row r="83" spans="1:8" ht="18" x14ac:dyDescent="0.2">
      <c r="B83" s="1707" t="str">
        <f>"    لحم رز مكسرات  2 / " &amp; COUNTIF($C$53:$C$55,"&gt;0")</f>
        <v xml:space="preserve">    لحم رز مكسرات  2 / 1</v>
      </c>
      <c r="C83" s="1707"/>
      <c r="D83" s="1707"/>
      <c r="E83" s="1707"/>
      <c r="F83" s="1707"/>
      <c r="G83" s="1707"/>
      <c r="H83" s="1707"/>
    </row>
    <row r="84" spans="1:8" ht="18" x14ac:dyDescent="0.2">
      <c r="B84" s="1707" t="str">
        <f>"  Beef for Nut Rice   2 / " &amp; COUNTIF($C$53:$C$55,"&gt;0")</f>
        <v xml:space="preserve">  Beef for Nut Rice   2 / 1</v>
      </c>
      <c r="C84" s="1707"/>
      <c r="D84" s="1707"/>
      <c r="E84" s="1707"/>
      <c r="F84" s="1707"/>
      <c r="G84" s="1707"/>
      <c r="H84" s="1707"/>
    </row>
    <row r="85" spans="1:8" ht="51" x14ac:dyDescent="0.2">
      <c r="B85" s="221" t="s">
        <v>241</v>
      </c>
      <c r="C85" s="222" t="s">
        <v>242</v>
      </c>
      <c r="D85" s="223" t="s">
        <v>231</v>
      </c>
      <c r="E85" s="197" t="s">
        <v>234</v>
      </c>
      <c r="F85" s="197" t="s">
        <v>243</v>
      </c>
      <c r="G85" s="223" t="s">
        <v>244</v>
      </c>
      <c r="H85" s="197" t="s">
        <v>245</v>
      </c>
    </row>
    <row r="86" spans="1:8" ht="14.25" x14ac:dyDescent="0.2">
      <c r="B86" s="633" t="str">
        <f t="shared" ref="B86:D100" si="14">B5</f>
        <v>Indian Meat Tammam Mafroom - مفروم هندى</v>
      </c>
      <c r="C86" s="633" t="str">
        <f t="shared" si="14"/>
        <v>KG</v>
      </c>
      <c r="D86" s="633">
        <f t="shared" si="14"/>
        <v>7575.7575757575751</v>
      </c>
      <c r="E86" s="632">
        <f>$H$54</f>
        <v>0</v>
      </c>
      <c r="F86" s="909">
        <f>F5</f>
        <v>1</v>
      </c>
      <c r="G86" s="101">
        <f t="shared" ref="G86" si="15">D86*E86</f>
        <v>0</v>
      </c>
      <c r="H86" s="102">
        <f t="shared" ref="H86" si="16">G86*F86</f>
        <v>0</v>
      </c>
    </row>
    <row r="87" spans="1:8" ht="14.25" x14ac:dyDescent="0.2">
      <c r="A87" s="629" t="s">
        <v>908</v>
      </c>
      <c r="B87" s="633" t="str">
        <f t="shared" si="14"/>
        <v>Onion - بصل</v>
      </c>
      <c r="C87" s="633" t="str">
        <f t="shared" si="14"/>
        <v>gm</v>
      </c>
      <c r="D87" s="633">
        <f t="shared" si="14"/>
        <v>2200</v>
      </c>
      <c r="E87" s="632">
        <f t="shared" ref="E87:E100" si="17">$C$54</f>
        <v>0</v>
      </c>
      <c r="F87" s="909">
        <f t="shared" ref="F87:F100" si="18">F6</f>
        <v>1</v>
      </c>
      <c r="G87" s="101">
        <f t="shared" ref="G87:G100" si="19">D87*E87</f>
        <v>0</v>
      </c>
      <c r="H87" s="102">
        <f t="shared" ref="H87:H100" si="20">G87*F87</f>
        <v>0</v>
      </c>
    </row>
    <row r="88" spans="1:8" ht="14.25" x14ac:dyDescent="0.2">
      <c r="A88" s="629" t="s">
        <v>907</v>
      </c>
      <c r="B88" s="633" t="str">
        <f t="shared" si="14"/>
        <v>Garlic - ثوم مقشر</v>
      </c>
      <c r="C88" s="633" t="str">
        <f t="shared" si="14"/>
        <v>gm</v>
      </c>
      <c r="D88" s="633">
        <f t="shared" si="14"/>
        <v>270</v>
      </c>
      <c r="E88" s="632">
        <f t="shared" si="17"/>
        <v>0</v>
      </c>
      <c r="F88" s="909">
        <f t="shared" si="18"/>
        <v>1</v>
      </c>
      <c r="G88" s="101">
        <f t="shared" si="19"/>
        <v>0</v>
      </c>
      <c r="H88" s="102">
        <f t="shared" si="20"/>
        <v>0</v>
      </c>
    </row>
    <row r="89" spans="1:8" ht="14.25" x14ac:dyDescent="0.2">
      <c r="B89" s="633" t="str">
        <f t="shared" si="14"/>
        <v>Butter - زبدة</v>
      </c>
      <c r="C89" s="633" t="str">
        <f t="shared" si="14"/>
        <v>gm</v>
      </c>
      <c r="D89" s="633">
        <f t="shared" si="14"/>
        <v>360</v>
      </c>
      <c r="E89" s="632">
        <f t="shared" si="17"/>
        <v>0</v>
      </c>
      <c r="F89" s="909">
        <f t="shared" si="18"/>
        <v>1</v>
      </c>
      <c r="G89" s="101">
        <f t="shared" si="19"/>
        <v>0</v>
      </c>
      <c r="H89" s="102">
        <f t="shared" si="20"/>
        <v>0</v>
      </c>
    </row>
    <row r="90" spans="1:8" ht="14.25" x14ac:dyDescent="0.2">
      <c r="B90" s="633" t="str">
        <f t="shared" si="14"/>
        <v>Salt - ملح</v>
      </c>
      <c r="C90" s="633" t="str">
        <f t="shared" si="14"/>
        <v>gm</v>
      </c>
      <c r="D90" s="633">
        <f t="shared" si="14"/>
        <v>18</v>
      </c>
      <c r="E90" s="632">
        <f t="shared" si="17"/>
        <v>0</v>
      </c>
      <c r="F90" s="909">
        <f t="shared" si="18"/>
        <v>1</v>
      </c>
      <c r="G90" s="101">
        <f t="shared" si="19"/>
        <v>0</v>
      </c>
      <c r="H90" s="102">
        <f t="shared" si="20"/>
        <v>0</v>
      </c>
    </row>
    <row r="91" spans="1:8" ht="14.25" x14ac:dyDescent="0.2">
      <c r="B91" s="633" t="str">
        <f t="shared" si="14"/>
        <v>Black Pepper Powder - فلفل أسود مطحون</v>
      </c>
      <c r="C91" s="633" t="str">
        <f t="shared" si="14"/>
        <v>gm</v>
      </c>
      <c r="D91" s="633">
        <f t="shared" si="14"/>
        <v>18</v>
      </c>
      <c r="E91" s="632">
        <f t="shared" si="17"/>
        <v>0</v>
      </c>
      <c r="F91" s="909">
        <f t="shared" si="18"/>
        <v>1</v>
      </c>
      <c r="G91" s="101">
        <f t="shared" si="19"/>
        <v>0</v>
      </c>
      <c r="H91" s="102">
        <f t="shared" si="20"/>
        <v>0</v>
      </c>
    </row>
    <row r="92" spans="1:8" ht="14.25" x14ac:dyDescent="0.2">
      <c r="B92" s="633" t="str">
        <f t="shared" si="14"/>
        <v>Cinnamon Powder - قرفة مطحونة</v>
      </c>
      <c r="C92" s="633" t="str">
        <f t="shared" si="14"/>
        <v>gm</v>
      </c>
      <c r="D92" s="633">
        <f t="shared" si="14"/>
        <v>36</v>
      </c>
      <c r="E92" s="632">
        <f t="shared" si="17"/>
        <v>0</v>
      </c>
      <c r="F92" s="909">
        <f t="shared" si="18"/>
        <v>1</v>
      </c>
      <c r="G92" s="101">
        <f t="shared" si="19"/>
        <v>0</v>
      </c>
      <c r="H92" s="102">
        <f t="shared" si="20"/>
        <v>0</v>
      </c>
    </row>
    <row r="93" spans="1:8" ht="14.25" x14ac:dyDescent="0.2">
      <c r="B93" s="633" t="str">
        <f t="shared" si="14"/>
        <v>Cumin Powder - كمون مطحون</v>
      </c>
      <c r="C93" s="633" t="str">
        <f t="shared" si="14"/>
        <v>gm</v>
      </c>
      <c r="D93" s="633">
        <f t="shared" si="14"/>
        <v>7.2</v>
      </c>
      <c r="E93" s="632">
        <f t="shared" si="17"/>
        <v>0</v>
      </c>
      <c r="F93" s="909">
        <f t="shared" si="18"/>
        <v>1</v>
      </c>
      <c r="G93" s="101">
        <f t="shared" si="19"/>
        <v>0</v>
      </c>
      <c r="H93" s="102">
        <f t="shared" si="20"/>
        <v>0</v>
      </c>
    </row>
    <row r="94" spans="1:8" ht="14.25" x14ac:dyDescent="0.2">
      <c r="B94" s="633" t="str">
        <f t="shared" si="14"/>
        <v>Coriander Powder - كزبرة مطحونة</v>
      </c>
      <c r="C94" s="633" t="str">
        <f t="shared" si="14"/>
        <v>gm</v>
      </c>
      <c r="D94" s="633">
        <f t="shared" si="14"/>
        <v>9</v>
      </c>
      <c r="E94" s="632">
        <f t="shared" si="17"/>
        <v>0</v>
      </c>
      <c r="F94" s="909">
        <f t="shared" si="18"/>
        <v>1</v>
      </c>
      <c r="G94" s="101">
        <f t="shared" si="19"/>
        <v>0</v>
      </c>
      <c r="H94" s="102">
        <f t="shared" si="20"/>
        <v>0</v>
      </c>
    </row>
    <row r="95" spans="1:8" ht="14.25" x14ac:dyDescent="0.2">
      <c r="B95" s="633" t="str">
        <f t="shared" si="14"/>
        <v>Sweet Soy Sauce - صويا صوص حلو</v>
      </c>
      <c r="C95" s="633" t="str">
        <f t="shared" si="14"/>
        <v>gm</v>
      </c>
      <c r="D95" s="633">
        <f t="shared" si="14"/>
        <v>180</v>
      </c>
      <c r="E95" s="632">
        <f t="shared" si="17"/>
        <v>0</v>
      </c>
      <c r="F95" s="909">
        <f t="shared" si="18"/>
        <v>1</v>
      </c>
      <c r="G95" s="101">
        <f t="shared" si="19"/>
        <v>0</v>
      </c>
      <c r="H95" s="102">
        <f t="shared" si="20"/>
        <v>0</v>
      </c>
    </row>
    <row r="96" spans="1:8" ht="14.25" x14ac:dyDescent="0.2">
      <c r="B96" s="633" t="str">
        <f t="shared" si="14"/>
        <v>Maggi Cubes - مكعبات ماجي</v>
      </c>
      <c r="C96" s="633" t="str">
        <f t="shared" si="14"/>
        <v>gm</v>
      </c>
      <c r="D96" s="633">
        <f t="shared" si="14"/>
        <v>54</v>
      </c>
      <c r="E96" s="632">
        <f t="shared" si="17"/>
        <v>0</v>
      </c>
      <c r="F96" s="909">
        <f t="shared" si="18"/>
        <v>1</v>
      </c>
      <c r="G96" s="101">
        <f t="shared" si="19"/>
        <v>0</v>
      </c>
      <c r="H96" s="102">
        <f t="shared" si="20"/>
        <v>0</v>
      </c>
    </row>
    <row r="97" spans="2:8" ht="14.25" x14ac:dyDescent="0.2">
      <c r="B97" s="633" t="str">
        <f t="shared" si="14"/>
        <v>Bay Leaf - ورق غار</v>
      </c>
      <c r="C97" s="633" t="str">
        <f t="shared" si="14"/>
        <v>gm</v>
      </c>
      <c r="D97" s="633">
        <f t="shared" si="14"/>
        <v>3.6</v>
      </c>
      <c r="E97" s="632">
        <f t="shared" si="17"/>
        <v>0</v>
      </c>
      <c r="F97" s="909">
        <f t="shared" si="18"/>
        <v>1</v>
      </c>
      <c r="G97" s="101">
        <f t="shared" si="19"/>
        <v>0</v>
      </c>
      <c r="H97" s="102">
        <f t="shared" si="20"/>
        <v>0</v>
      </c>
    </row>
    <row r="98" spans="2:8" ht="14.25" x14ac:dyDescent="0.2">
      <c r="B98" s="633" t="str">
        <f t="shared" si="14"/>
        <v>Cardamom Whole - هيل حب</v>
      </c>
      <c r="C98" s="633" t="str">
        <f t="shared" si="14"/>
        <v>gm</v>
      </c>
      <c r="D98" s="633">
        <f t="shared" si="14"/>
        <v>3.6</v>
      </c>
      <c r="E98" s="632">
        <f t="shared" si="17"/>
        <v>0</v>
      </c>
      <c r="F98" s="909">
        <f t="shared" si="18"/>
        <v>1</v>
      </c>
      <c r="G98" s="101">
        <f t="shared" si="19"/>
        <v>0</v>
      </c>
      <c r="H98" s="102">
        <f t="shared" si="20"/>
        <v>0</v>
      </c>
    </row>
    <row r="99" spans="2:8" ht="14.25" x14ac:dyDescent="0.2">
      <c r="B99" s="633" t="str">
        <f t="shared" si="14"/>
        <v>Cloves Whole - قرنفل حب</v>
      </c>
      <c r="C99" s="633" t="str">
        <f t="shared" si="14"/>
        <v>gm</v>
      </c>
      <c r="D99" s="633">
        <f t="shared" si="14"/>
        <v>1.8</v>
      </c>
      <c r="E99" s="632">
        <f t="shared" si="17"/>
        <v>0</v>
      </c>
      <c r="F99" s="909">
        <f t="shared" si="18"/>
        <v>1</v>
      </c>
      <c r="G99" s="101">
        <f t="shared" si="19"/>
        <v>0</v>
      </c>
      <c r="H99" s="102">
        <f t="shared" si="20"/>
        <v>0</v>
      </c>
    </row>
    <row r="100" spans="2:8" ht="14.25" x14ac:dyDescent="0.2">
      <c r="B100" s="633" t="str">
        <f t="shared" si="14"/>
        <v>Black Pepper Whole - فلفل أسود حب</v>
      </c>
      <c r="C100" s="633" t="str">
        <f t="shared" si="14"/>
        <v>gm</v>
      </c>
      <c r="D100" s="633">
        <f t="shared" si="14"/>
        <v>3.6</v>
      </c>
      <c r="E100" s="632">
        <f t="shared" si="17"/>
        <v>0</v>
      </c>
      <c r="F100" s="909">
        <f t="shared" si="18"/>
        <v>1</v>
      </c>
      <c r="G100" s="101">
        <f t="shared" si="19"/>
        <v>0</v>
      </c>
      <c r="H100" s="102">
        <f t="shared" si="20"/>
        <v>0</v>
      </c>
    </row>
    <row r="101" spans="2:8" ht="18" x14ac:dyDescent="0.2">
      <c r="B101" s="178" t="s">
        <v>287</v>
      </c>
      <c r="C101" s="180" t="s">
        <v>273</v>
      </c>
      <c r="D101" s="14"/>
      <c r="E101" s="180" t="s">
        <v>288</v>
      </c>
      <c r="F101" s="14"/>
      <c r="G101" s="804" t="s">
        <v>264</v>
      </c>
      <c r="H101" s="804" t="s">
        <v>673</v>
      </c>
    </row>
    <row r="102" spans="2:8" ht="20.25" x14ac:dyDescent="0.3">
      <c r="B102" s="179">
        <f>$J$54</f>
        <v>0</v>
      </c>
      <c r="C102" s="179">
        <f>E102+G102</f>
        <v>0</v>
      </c>
      <c r="D102" s="839"/>
      <c r="E102" s="179">
        <f>$D$54*$S$44</f>
        <v>0</v>
      </c>
      <c r="F102" s="843"/>
      <c r="G102" s="179">
        <f>$D$54*$T$44</f>
        <v>0</v>
      </c>
      <c r="H102" s="179">
        <f>B102+E102</f>
        <v>0</v>
      </c>
    </row>
    <row r="103" spans="2:8" x14ac:dyDescent="0.2">
      <c r="B103" s="636"/>
      <c r="E103" s="636"/>
      <c r="F103" s="636"/>
    </row>
    <row r="104" spans="2:8" x14ac:dyDescent="0.2">
      <c r="B104" s="636"/>
      <c r="E104" s="636"/>
      <c r="F104" s="636"/>
    </row>
    <row r="105" spans="2:8" x14ac:dyDescent="0.2">
      <c r="B105" s="636"/>
      <c r="E105" s="636"/>
      <c r="F105" s="636"/>
    </row>
    <row r="106" spans="2:8" x14ac:dyDescent="0.2">
      <c r="B106" s="636"/>
      <c r="E106" s="636"/>
      <c r="F106" s="636"/>
    </row>
    <row r="107" spans="2:8" x14ac:dyDescent="0.2">
      <c r="B107" s="636"/>
      <c r="E107" s="636"/>
      <c r="F107" s="636"/>
    </row>
    <row r="108" spans="2:8" x14ac:dyDescent="0.2">
      <c r="B108" s="636"/>
      <c r="E108" s="636"/>
      <c r="F108" s="636"/>
    </row>
    <row r="109" spans="2:8" x14ac:dyDescent="0.2">
      <c r="B109" s="636"/>
      <c r="E109" s="636"/>
      <c r="F109" s="636"/>
    </row>
    <row r="110" spans="2:8" x14ac:dyDescent="0.2">
      <c r="B110" s="636"/>
      <c r="E110" s="636"/>
      <c r="F110" s="636"/>
    </row>
    <row r="111" spans="2:8" x14ac:dyDescent="0.2">
      <c r="B111" s="636"/>
      <c r="E111" s="636"/>
      <c r="F111" s="636"/>
    </row>
    <row r="112" spans="2:8" x14ac:dyDescent="0.2">
      <c r="B112" s="636"/>
      <c r="E112" s="636"/>
      <c r="F112" s="636"/>
    </row>
    <row r="113" spans="2:6" x14ac:dyDescent="0.2">
      <c r="B113" s="636"/>
      <c r="E113" s="636"/>
      <c r="F113" s="636"/>
    </row>
    <row r="114" spans="2:6" x14ac:dyDescent="0.2">
      <c r="B114" s="636"/>
      <c r="E114" s="636"/>
      <c r="F114" s="636"/>
    </row>
    <row r="115" spans="2:6" x14ac:dyDescent="0.2">
      <c r="B115" s="636"/>
      <c r="E115" s="636"/>
      <c r="F115" s="636"/>
    </row>
    <row r="116" spans="2:6" x14ac:dyDescent="0.2">
      <c r="B116" s="636"/>
      <c r="E116" s="636"/>
      <c r="F116" s="636"/>
    </row>
    <row r="117" spans="2:6" x14ac:dyDescent="0.2">
      <c r="B117" s="636"/>
      <c r="E117" s="636"/>
      <c r="F117" s="636"/>
    </row>
    <row r="118" spans="2:6" x14ac:dyDescent="0.2">
      <c r="B118" s="636"/>
      <c r="E118" s="636"/>
      <c r="F118" s="636"/>
    </row>
    <row r="119" spans="2:6" x14ac:dyDescent="0.2">
      <c r="B119" s="636"/>
      <c r="E119" s="636"/>
      <c r="F119" s="636"/>
    </row>
    <row r="120" spans="2:6" x14ac:dyDescent="0.2">
      <c r="B120" s="636"/>
      <c r="E120" s="636"/>
      <c r="F120" s="636"/>
    </row>
    <row r="121" spans="2:6" x14ac:dyDescent="0.2">
      <c r="B121" s="636"/>
      <c r="E121" s="636"/>
      <c r="F121" s="636"/>
    </row>
    <row r="122" spans="2:6" x14ac:dyDescent="0.2">
      <c r="B122" s="636"/>
      <c r="E122" s="636"/>
      <c r="F122" s="636"/>
    </row>
    <row r="123" spans="2:6" x14ac:dyDescent="0.2">
      <c r="B123" s="636"/>
      <c r="E123" s="636"/>
      <c r="F123" s="636"/>
    </row>
    <row r="124" spans="2:6" x14ac:dyDescent="0.2">
      <c r="B124" s="636"/>
      <c r="E124" s="636"/>
      <c r="F124" s="636"/>
    </row>
    <row r="125" spans="2:6" x14ac:dyDescent="0.2">
      <c r="B125" s="636"/>
      <c r="E125" s="636"/>
      <c r="F125" s="636"/>
    </row>
    <row r="126" spans="2:6" x14ac:dyDescent="0.2">
      <c r="B126" s="636"/>
      <c r="E126" s="636"/>
      <c r="F126" s="636"/>
    </row>
    <row r="127" spans="2:6" x14ac:dyDescent="0.2">
      <c r="B127" s="636"/>
      <c r="E127" s="636"/>
      <c r="F127" s="636"/>
    </row>
    <row r="128" spans="2:6" x14ac:dyDescent="0.2">
      <c r="B128" s="636"/>
      <c r="E128" s="636"/>
      <c r="F128" s="636"/>
    </row>
    <row r="129" spans="2:6" x14ac:dyDescent="0.2">
      <c r="B129" s="636"/>
      <c r="E129" s="636"/>
      <c r="F129" s="636"/>
    </row>
    <row r="130" spans="2:6" x14ac:dyDescent="0.2">
      <c r="B130" s="636"/>
      <c r="E130" s="636"/>
      <c r="F130" s="636"/>
    </row>
    <row r="131" spans="2:6" x14ac:dyDescent="0.2">
      <c r="B131" s="636"/>
      <c r="E131" s="636"/>
      <c r="F131" s="636"/>
    </row>
    <row r="132" spans="2:6" x14ac:dyDescent="0.2">
      <c r="B132" s="636"/>
      <c r="E132" s="636"/>
      <c r="F132" s="636"/>
    </row>
    <row r="133" spans="2:6" x14ac:dyDescent="0.2">
      <c r="B133" s="636"/>
      <c r="E133" s="636"/>
      <c r="F133" s="636"/>
    </row>
    <row r="134" spans="2:6" x14ac:dyDescent="0.2">
      <c r="B134" s="636"/>
      <c r="E134" s="636"/>
      <c r="F134" s="636"/>
    </row>
    <row r="135" spans="2:6" x14ac:dyDescent="0.2">
      <c r="B135" s="636"/>
      <c r="E135" s="636"/>
      <c r="F135" s="636"/>
    </row>
    <row r="136" spans="2:6" x14ac:dyDescent="0.2">
      <c r="B136" s="636"/>
      <c r="E136" s="636"/>
      <c r="F136" s="636"/>
    </row>
    <row r="137" spans="2:6" x14ac:dyDescent="0.2">
      <c r="B137" s="636"/>
      <c r="E137" s="636"/>
      <c r="F137" s="636"/>
    </row>
    <row r="138" spans="2:6" x14ac:dyDescent="0.2">
      <c r="B138" s="636"/>
      <c r="E138" s="636"/>
      <c r="F138" s="636"/>
    </row>
    <row r="139" spans="2:6" x14ac:dyDescent="0.2">
      <c r="B139" s="636"/>
      <c r="E139" s="636"/>
      <c r="F139" s="636"/>
    </row>
    <row r="140" spans="2:6" x14ac:dyDescent="0.2">
      <c r="B140" s="636"/>
      <c r="E140" s="636"/>
      <c r="F140" s="636"/>
    </row>
    <row r="141" spans="2:6" x14ac:dyDescent="0.2">
      <c r="B141" s="636"/>
      <c r="E141" s="636"/>
      <c r="F141" s="636"/>
    </row>
    <row r="142" spans="2:6" x14ac:dyDescent="0.2">
      <c r="B142" s="636"/>
      <c r="E142" s="636"/>
      <c r="F142" s="636"/>
    </row>
    <row r="143" spans="2:6" x14ac:dyDescent="0.2">
      <c r="B143" s="636"/>
      <c r="E143" s="636"/>
      <c r="F143" s="636"/>
    </row>
    <row r="144" spans="2:6" x14ac:dyDescent="0.2">
      <c r="B144" s="636"/>
      <c r="E144" s="636"/>
      <c r="F144" s="636"/>
    </row>
    <row r="145" spans="2:6" x14ac:dyDescent="0.2">
      <c r="B145" s="636"/>
      <c r="E145" s="636"/>
      <c r="F145" s="636"/>
    </row>
    <row r="146" spans="2:6" x14ac:dyDescent="0.2">
      <c r="B146" s="636"/>
      <c r="E146" s="636"/>
      <c r="F146" s="636"/>
    </row>
    <row r="147" spans="2:6" x14ac:dyDescent="0.2">
      <c r="B147" s="636"/>
      <c r="E147" s="636"/>
      <c r="F147" s="636"/>
    </row>
    <row r="148" spans="2:6" x14ac:dyDescent="0.2">
      <c r="B148" s="636"/>
      <c r="E148" s="636"/>
      <c r="F148" s="636"/>
    </row>
    <row r="149" spans="2:6" x14ac:dyDescent="0.2">
      <c r="B149" s="636"/>
      <c r="E149" s="636"/>
      <c r="F149" s="636"/>
    </row>
    <row r="150" spans="2:6" x14ac:dyDescent="0.2">
      <c r="B150" s="636"/>
      <c r="E150" s="636"/>
      <c r="F150" s="636"/>
    </row>
    <row r="151" spans="2:6" x14ac:dyDescent="0.2">
      <c r="B151" s="636"/>
      <c r="E151" s="636"/>
      <c r="F151" s="636"/>
    </row>
    <row r="152" spans="2:6" x14ac:dyDescent="0.2">
      <c r="B152" s="636"/>
      <c r="E152" s="636"/>
      <c r="F152" s="636"/>
    </row>
    <row r="153" spans="2:6" x14ac:dyDescent="0.2">
      <c r="B153" s="636"/>
      <c r="E153" s="636"/>
      <c r="F153" s="636"/>
    </row>
    <row r="154" spans="2:6" x14ac:dyDescent="0.2">
      <c r="B154" s="636"/>
      <c r="E154" s="636"/>
      <c r="F154" s="636"/>
    </row>
    <row r="155" spans="2:6" x14ac:dyDescent="0.2">
      <c r="B155" s="636"/>
      <c r="E155" s="636"/>
      <c r="F155" s="636"/>
    </row>
    <row r="156" spans="2:6" x14ac:dyDescent="0.2">
      <c r="B156" s="636"/>
      <c r="E156" s="636"/>
      <c r="F156" s="636"/>
    </row>
    <row r="157" spans="2:6" x14ac:dyDescent="0.2">
      <c r="B157" s="636"/>
      <c r="E157" s="636"/>
      <c r="F157" s="636"/>
    </row>
    <row r="158" spans="2:6" x14ac:dyDescent="0.2">
      <c r="B158" s="636"/>
      <c r="E158" s="636"/>
      <c r="F158" s="636"/>
    </row>
    <row r="159" spans="2:6" x14ac:dyDescent="0.2">
      <c r="B159" s="636"/>
      <c r="E159" s="636"/>
      <c r="F159" s="636"/>
    </row>
    <row r="160" spans="2:6" x14ac:dyDescent="0.2">
      <c r="B160" s="636"/>
      <c r="E160" s="636"/>
      <c r="F160" s="636"/>
    </row>
    <row r="161" spans="2:6" x14ac:dyDescent="0.2">
      <c r="B161" s="636"/>
      <c r="E161" s="636"/>
      <c r="F161" s="636"/>
    </row>
    <row r="162" spans="2:6" x14ac:dyDescent="0.2">
      <c r="B162" s="636"/>
      <c r="E162" s="636"/>
      <c r="F162" s="636"/>
    </row>
    <row r="163" spans="2:6" x14ac:dyDescent="0.2">
      <c r="B163" s="636"/>
      <c r="E163" s="636"/>
      <c r="F163" s="636"/>
    </row>
    <row r="164" spans="2:6" x14ac:dyDescent="0.2">
      <c r="B164" s="636"/>
      <c r="E164" s="636"/>
      <c r="F164" s="636"/>
    </row>
    <row r="165" spans="2:6" x14ac:dyDescent="0.2">
      <c r="B165" s="636"/>
      <c r="E165" s="636"/>
      <c r="F165" s="636"/>
    </row>
    <row r="166" spans="2:6" x14ac:dyDescent="0.2">
      <c r="B166" s="636"/>
      <c r="E166" s="636"/>
      <c r="F166" s="636"/>
    </row>
    <row r="167" spans="2:6" x14ac:dyDescent="0.2">
      <c r="B167" s="636"/>
      <c r="E167" s="636"/>
      <c r="F167" s="636"/>
    </row>
    <row r="168" spans="2:6" x14ac:dyDescent="0.2">
      <c r="B168" s="636"/>
      <c r="E168" s="636"/>
      <c r="F168" s="636"/>
    </row>
    <row r="169" spans="2:6" x14ac:dyDescent="0.2">
      <c r="B169" s="636"/>
      <c r="E169" s="636"/>
      <c r="F169" s="636"/>
    </row>
    <row r="170" spans="2:6" x14ac:dyDescent="0.2">
      <c r="B170" s="636"/>
      <c r="E170" s="636"/>
      <c r="F170" s="636"/>
    </row>
    <row r="171" spans="2:6" x14ac:dyDescent="0.2">
      <c r="B171" s="636"/>
      <c r="E171" s="636"/>
      <c r="F171" s="636"/>
    </row>
    <row r="172" spans="2:6" x14ac:dyDescent="0.2">
      <c r="B172" s="636"/>
      <c r="E172" s="636"/>
      <c r="F172" s="636"/>
    </row>
    <row r="173" spans="2:6" x14ac:dyDescent="0.2">
      <c r="B173" s="636"/>
      <c r="E173" s="636"/>
      <c r="F173" s="636"/>
    </row>
    <row r="174" spans="2:6" x14ac:dyDescent="0.2">
      <c r="B174" s="636"/>
      <c r="E174" s="636"/>
      <c r="F174" s="636"/>
    </row>
    <row r="175" spans="2:6" x14ac:dyDescent="0.2">
      <c r="B175" s="636"/>
      <c r="E175" s="636"/>
      <c r="F175" s="636"/>
    </row>
    <row r="176" spans="2:6" x14ac:dyDescent="0.2">
      <c r="B176" s="636"/>
      <c r="E176" s="636"/>
      <c r="F176" s="636"/>
    </row>
    <row r="177" spans="2:6" x14ac:dyDescent="0.2">
      <c r="B177" s="636"/>
      <c r="E177" s="636"/>
      <c r="F177" s="636"/>
    </row>
    <row r="178" spans="2:6" x14ac:dyDescent="0.2">
      <c r="B178" s="636"/>
      <c r="E178" s="636"/>
      <c r="F178" s="636"/>
    </row>
    <row r="179" spans="2:6" x14ac:dyDescent="0.2">
      <c r="B179" s="636"/>
      <c r="E179" s="636"/>
      <c r="F179" s="636"/>
    </row>
    <row r="180" spans="2:6" x14ac:dyDescent="0.2">
      <c r="B180" s="636"/>
      <c r="E180" s="636"/>
      <c r="F180" s="636"/>
    </row>
    <row r="181" spans="2:6" x14ac:dyDescent="0.2">
      <c r="B181" s="636"/>
      <c r="E181" s="636"/>
      <c r="F181" s="636"/>
    </row>
    <row r="182" spans="2:6" x14ac:dyDescent="0.2">
      <c r="B182" s="636"/>
      <c r="E182" s="636"/>
      <c r="F182" s="636"/>
    </row>
    <row r="183" spans="2:6" x14ac:dyDescent="0.2">
      <c r="B183" s="636"/>
      <c r="E183" s="636"/>
      <c r="F183" s="636"/>
    </row>
    <row r="184" spans="2:6" x14ac:dyDescent="0.2">
      <c r="B184" s="636"/>
      <c r="E184" s="636"/>
      <c r="F184" s="636"/>
    </row>
    <row r="185" spans="2:6" x14ac:dyDescent="0.2">
      <c r="B185" s="636"/>
      <c r="E185" s="636"/>
      <c r="F185" s="636"/>
    </row>
    <row r="186" spans="2:6" x14ac:dyDescent="0.2">
      <c r="B186" s="636"/>
      <c r="E186" s="636"/>
      <c r="F186" s="636"/>
    </row>
    <row r="187" spans="2:6" x14ac:dyDescent="0.2">
      <c r="B187" s="636"/>
      <c r="E187" s="636"/>
      <c r="F187" s="636"/>
    </row>
    <row r="188" spans="2:6" x14ac:dyDescent="0.2">
      <c r="B188" s="636"/>
      <c r="E188" s="636"/>
      <c r="F188" s="636"/>
    </row>
    <row r="189" spans="2:6" x14ac:dyDescent="0.2">
      <c r="B189" s="636"/>
      <c r="E189" s="636"/>
      <c r="F189" s="636"/>
    </row>
    <row r="190" spans="2:6" x14ac:dyDescent="0.2">
      <c r="B190" s="636"/>
      <c r="E190" s="636"/>
      <c r="F190" s="636"/>
    </row>
    <row r="191" spans="2:6" x14ac:dyDescent="0.2">
      <c r="B191" s="636"/>
      <c r="E191" s="636"/>
      <c r="F191" s="636"/>
    </row>
    <row r="192" spans="2:6" x14ac:dyDescent="0.2">
      <c r="B192" s="636"/>
      <c r="E192" s="636"/>
      <c r="F192" s="636"/>
    </row>
    <row r="193" spans="2:6" x14ac:dyDescent="0.2">
      <c r="B193" s="636"/>
      <c r="E193" s="636"/>
      <c r="F193" s="636"/>
    </row>
    <row r="194" spans="2:6" x14ac:dyDescent="0.2">
      <c r="B194" s="636"/>
      <c r="E194" s="636"/>
      <c r="F194" s="636"/>
    </row>
    <row r="195" spans="2:6" x14ac:dyDescent="0.2">
      <c r="B195" s="636"/>
      <c r="E195" s="636"/>
      <c r="F195" s="636"/>
    </row>
    <row r="196" spans="2:6" x14ac:dyDescent="0.2">
      <c r="B196" s="636"/>
      <c r="E196" s="636"/>
      <c r="F196" s="636"/>
    </row>
    <row r="197" spans="2:6" x14ac:dyDescent="0.2">
      <c r="B197" s="636"/>
      <c r="E197" s="636"/>
      <c r="F197" s="636"/>
    </row>
    <row r="198" spans="2:6" x14ac:dyDescent="0.2">
      <c r="B198" s="636"/>
      <c r="E198" s="636"/>
      <c r="F198" s="636"/>
    </row>
    <row r="199" spans="2:6" x14ac:dyDescent="0.2">
      <c r="B199" s="636"/>
      <c r="E199" s="636"/>
      <c r="F199" s="636"/>
    </row>
    <row r="200" spans="2:6" x14ac:dyDescent="0.2">
      <c r="B200" s="636"/>
      <c r="E200" s="636"/>
      <c r="F200" s="636"/>
    </row>
    <row r="201" spans="2:6" x14ac:dyDescent="0.2">
      <c r="B201" s="636"/>
      <c r="E201" s="636"/>
      <c r="F201" s="636"/>
    </row>
    <row r="202" spans="2:6" x14ac:dyDescent="0.2">
      <c r="B202" s="636"/>
      <c r="E202" s="636"/>
      <c r="F202" s="636"/>
    </row>
    <row r="203" spans="2:6" x14ac:dyDescent="0.2">
      <c r="B203" s="636"/>
      <c r="E203" s="636"/>
      <c r="F203" s="636"/>
    </row>
    <row r="204" spans="2:6" x14ac:dyDescent="0.2">
      <c r="B204" s="636"/>
      <c r="E204" s="636"/>
      <c r="F204" s="636"/>
    </row>
    <row r="205" spans="2:6" x14ac:dyDescent="0.2">
      <c r="B205" s="636"/>
      <c r="E205" s="636"/>
      <c r="F205" s="636"/>
    </row>
    <row r="206" spans="2:6" x14ac:dyDescent="0.2">
      <c r="B206" s="636"/>
      <c r="E206" s="636"/>
      <c r="F206" s="636"/>
    </row>
    <row r="207" spans="2:6" x14ac:dyDescent="0.2">
      <c r="B207" s="636"/>
      <c r="E207" s="636"/>
      <c r="F207" s="636"/>
    </row>
    <row r="208" spans="2:6" x14ac:dyDescent="0.2">
      <c r="B208" s="636"/>
      <c r="E208" s="636"/>
      <c r="F208" s="636"/>
    </row>
    <row r="209" spans="2:6" x14ac:dyDescent="0.2">
      <c r="B209" s="636"/>
      <c r="E209" s="636"/>
      <c r="F209" s="636"/>
    </row>
    <row r="210" spans="2:6" x14ac:dyDescent="0.2">
      <c r="B210" s="636"/>
      <c r="E210" s="636"/>
      <c r="F210" s="636"/>
    </row>
    <row r="211" spans="2:6" x14ac:dyDescent="0.2">
      <c r="B211" s="636"/>
      <c r="E211" s="636"/>
      <c r="F211" s="636"/>
    </row>
    <row r="212" spans="2:6" x14ac:dyDescent="0.2">
      <c r="B212" s="636"/>
      <c r="E212" s="636"/>
      <c r="F212" s="636"/>
    </row>
    <row r="213" spans="2:6" x14ac:dyDescent="0.2">
      <c r="B213" s="636"/>
      <c r="E213" s="636"/>
      <c r="F213" s="636"/>
    </row>
    <row r="214" spans="2:6" x14ac:dyDescent="0.2">
      <c r="B214" s="636"/>
      <c r="E214" s="636"/>
      <c r="F214" s="636"/>
    </row>
    <row r="215" spans="2:6" x14ac:dyDescent="0.2">
      <c r="B215" s="636"/>
      <c r="E215" s="636"/>
      <c r="F215" s="636"/>
    </row>
    <row r="216" spans="2:6" x14ac:dyDescent="0.2">
      <c r="B216" s="636"/>
      <c r="E216" s="636"/>
      <c r="F216" s="636"/>
    </row>
    <row r="217" spans="2:6" x14ac:dyDescent="0.2">
      <c r="B217" s="636"/>
      <c r="E217" s="636"/>
      <c r="F217" s="636"/>
    </row>
    <row r="218" spans="2:6" x14ac:dyDescent="0.2">
      <c r="B218" s="636"/>
      <c r="E218" s="636"/>
      <c r="F218" s="636"/>
    </row>
    <row r="219" spans="2:6" x14ac:dyDescent="0.2">
      <c r="B219" s="636"/>
      <c r="E219" s="636"/>
      <c r="F219" s="636"/>
    </row>
    <row r="220" spans="2:6" x14ac:dyDescent="0.2">
      <c r="B220" s="636"/>
      <c r="E220" s="636"/>
      <c r="F220" s="636"/>
    </row>
    <row r="221" spans="2:6" x14ac:dyDescent="0.2">
      <c r="B221" s="636"/>
      <c r="E221" s="636"/>
      <c r="F221" s="636"/>
    </row>
    <row r="222" spans="2:6" x14ac:dyDescent="0.2">
      <c r="B222" s="636"/>
      <c r="E222" s="636"/>
      <c r="F222" s="636"/>
    </row>
    <row r="223" spans="2:6" x14ac:dyDescent="0.2">
      <c r="B223" s="636"/>
      <c r="E223" s="636"/>
      <c r="F223" s="636"/>
    </row>
    <row r="224" spans="2:6" x14ac:dyDescent="0.2">
      <c r="B224" s="636"/>
      <c r="E224" s="636"/>
      <c r="F224" s="636"/>
    </row>
    <row r="225" spans="2:6" x14ac:dyDescent="0.2">
      <c r="B225" s="636"/>
      <c r="E225" s="636"/>
      <c r="F225" s="636"/>
    </row>
    <row r="226" spans="2:6" x14ac:dyDescent="0.2">
      <c r="B226" s="636"/>
      <c r="E226" s="636"/>
      <c r="F226" s="636"/>
    </row>
    <row r="227" spans="2:6" x14ac:dyDescent="0.2">
      <c r="B227" s="636"/>
      <c r="E227" s="636"/>
      <c r="F227" s="636"/>
    </row>
    <row r="228" spans="2:6" x14ac:dyDescent="0.2">
      <c r="B228" s="636"/>
      <c r="E228" s="636"/>
      <c r="F228" s="636"/>
    </row>
    <row r="229" spans="2:6" x14ac:dyDescent="0.2">
      <c r="B229" s="636"/>
      <c r="E229" s="636"/>
      <c r="F229" s="636"/>
    </row>
    <row r="230" spans="2:6" x14ac:dyDescent="0.2">
      <c r="B230" s="636"/>
      <c r="E230" s="636"/>
      <c r="F230" s="636"/>
    </row>
    <row r="231" spans="2:6" x14ac:dyDescent="0.2">
      <c r="B231" s="636"/>
      <c r="E231" s="636"/>
      <c r="F231" s="636"/>
    </row>
    <row r="232" spans="2:6" x14ac:dyDescent="0.2">
      <c r="B232" s="636"/>
      <c r="E232" s="636"/>
      <c r="F232" s="636"/>
    </row>
    <row r="233" spans="2:6" x14ac:dyDescent="0.2">
      <c r="B233" s="636"/>
      <c r="E233" s="636"/>
      <c r="F233" s="636"/>
    </row>
    <row r="234" spans="2:6" x14ac:dyDescent="0.2">
      <c r="B234" s="636"/>
      <c r="E234" s="636"/>
      <c r="F234" s="636"/>
    </row>
    <row r="235" spans="2:6" x14ac:dyDescent="0.2">
      <c r="B235" s="636"/>
      <c r="E235" s="636"/>
      <c r="F235" s="636"/>
    </row>
    <row r="236" spans="2:6" x14ac:dyDescent="0.2">
      <c r="B236" s="636"/>
      <c r="E236" s="636"/>
      <c r="F236" s="636"/>
    </row>
    <row r="237" spans="2:6" x14ac:dyDescent="0.2">
      <c r="B237" s="636"/>
      <c r="E237" s="636"/>
      <c r="F237" s="636"/>
    </row>
    <row r="238" spans="2:6" x14ac:dyDescent="0.2">
      <c r="B238" s="636"/>
      <c r="E238" s="636"/>
      <c r="F238" s="636"/>
    </row>
    <row r="239" spans="2:6" x14ac:dyDescent="0.2">
      <c r="B239" s="636"/>
      <c r="E239" s="636"/>
      <c r="F239" s="636"/>
    </row>
    <row r="240" spans="2:6" x14ac:dyDescent="0.2">
      <c r="B240" s="636"/>
      <c r="E240" s="636"/>
      <c r="F240" s="636"/>
    </row>
    <row r="241" spans="2:6" x14ac:dyDescent="0.2">
      <c r="B241" s="636"/>
      <c r="E241" s="636"/>
      <c r="F241" s="636"/>
    </row>
    <row r="242" spans="2:6" x14ac:dyDescent="0.2">
      <c r="B242" s="636"/>
      <c r="E242" s="636"/>
      <c r="F242" s="636"/>
    </row>
    <row r="243" spans="2:6" x14ac:dyDescent="0.2">
      <c r="B243" s="636"/>
      <c r="E243" s="636"/>
      <c r="F243" s="636"/>
    </row>
    <row r="244" spans="2:6" x14ac:dyDescent="0.2">
      <c r="B244" s="636"/>
      <c r="E244" s="636"/>
      <c r="F244" s="636"/>
    </row>
    <row r="245" spans="2:6" x14ac:dyDescent="0.2">
      <c r="B245" s="636"/>
      <c r="E245" s="636"/>
      <c r="F245" s="636"/>
    </row>
    <row r="246" spans="2:6" x14ac:dyDescent="0.2">
      <c r="B246" s="636"/>
      <c r="E246" s="636"/>
      <c r="F246" s="636"/>
    </row>
    <row r="247" spans="2:6" x14ac:dyDescent="0.2">
      <c r="B247" s="636"/>
      <c r="E247" s="636"/>
      <c r="F247" s="636"/>
    </row>
    <row r="248" spans="2:6" x14ac:dyDescent="0.2">
      <c r="B248" s="636"/>
      <c r="E248" s="636"/>
      <c r="F248" s="636"/>
    </row>
    <row r="249" spans="2:6" x14ac:dyDescent="0.2">
      <c r="B249" s="636"/>
      <c r="E249" s="636"/>
      <c r="F249" s="636"/>
    </row>
    <row r="250" spans="2:6" x14ac:dyDescent="0.2">
      <c r="B250" s="636"/>
      <c r="E250" s="636"/>
      <c r="F250" s="636"/>
    </row>
    <row r="251" spans="2:6" x14ac:dyDescent="0.2">
      <c r="B251" s="636"/>
      <c r="E251" s="636"/>
      <c r="F251" s="636"/>
    </row>
    <row r="252" spans="2:6" x14ac:dyDescent="0.2">
      <c r="B252" s="636"/>
      <c r="E252" s="636"/>
      <c r="F252" s="636"/>
    </row>
    <row r="253" spans="2:6" x14ac:dyDescent="0.2">
      <c r="B253" s="636"/>
      <c r="E253" s="636"/>
      <c r="F253" s="636"/>
    </row>
    <row r="254" spans="2:6" x14ac:dyDescent="0.2">
      <c r="B254" s="636"/>
      <c r="E254" s="636"/>
      <c r="F254" s="636"/>
    </row>
    <row r="255" spans="2:6" x14ac:dyDescent="0.2">
      <c r="B255" s="636"/>
      <c r="E255" s="636"/>
      <c r="F255" s="636"/>
    </row>
    <row r="256" spans="2:6" x14ac:dyDescent="0.2">
      <c r="B256" s="636"/>
      <c r="E256" s="636"/>
      <c r="F256" s="636"/>
    </row>
    <row r="257" spans="2:6" x14ac:dyDescent="0.2">
      <c r="B257" s="636"/>
      <c r="E257" s="636"/>
      <c r="F257" s="636"/>
    </row>
    <row r="258" spans="2:6" x14ac:dyDescent="0.2">
      <c r="B258" s="636"/>
      <c r="E258" s="636"/>
      <c r="F258" s="636"/>
    </row>
    <row r="259" spans="2:6" x14ac:dyDescent="0.2">
      <c r="B259" s="636"/>
      <c r="E259" s="636"/>
      <c r="F259" s="636"/>
    </row>
    <row r="260" spans="2:6" x14ac:dyDescent="0.2">
      <c r="B260" s="636"/>
      <c r="E260" s="636"/>
      <c r="F260" s="636"/>
    </row>
    <row r="261" spans="2:6" x14ac:dyDescent="0.2">
      <c r="B261" s="636"/>
      <c r="E261" s="636"/>
      <c r="F261" s="636"/>
    </row>
    <row r="262" spans="2:6" x14ac:dyDescent="0.2">
      <c r="B262" s="636"/>
      <c r="E262" s="636"/>
      <c r="F262" s="636"/>
    </row>
    <row r="263" spans="2:6" x14ac:dyDescent="0.2">
      <c r="B263" s="636"/>
      <c r="E263" s="636"/>
      <c r="F263" s="636"/>
    </row>
    <row r="264" spans="2:6" x14ac:dyDescent="0.2">
      <c r="B264" s="636"/>
      <c r="E264" s="636"/>
      <c r="F264" s="636"/>
    </row>
    <row r="265" spans="2:6" x14ac:dyDescent="0.2">
      <c r="B265" s="636"/>
      <c r="E265" s="636"/>
      <c r="F265" s="636"/>
    </row>
    <row r="266" spans="2:6" x14ac:dyDescent="0.2">
      <c r="B266" s="636"/>
      <c r="E266" s="636"/>
      <c r="F266" s="636"/>
    </row>
    <row r="267" spans="2:6" x14ac:dyDescent="0.2">
      <c r="B267" s="636"/>
      <c r="E267" s="636"/>
      <c r="F267" s="636"/>
    </row>
    <row r="268" spans="2:6" x14ac:dyDescent="0.2">
      <c r="B268" s="636"/>
      <c r="E268" s="636"/>
      <c r="F268" s="636"/>
    </row>
    <row r="269" spans="2:6" x14ac:dyDescent="0.2">
      <c r="B269" s="636"/>
      <c r="E269" s="636"/>
      <c r="F269" s="636"/>
    </row>
    <row r="270" spans="2:6" x14ac:dyDescent="0.2">
      <c r="B270" s="636"/>
      <c r="E270" s="636"/>
      <c r="F270" s="636"/>
    </row>
    <row r="271" spans="2:6" x14ac:dyDescent="0.2">
      <c r="B271" s="636"/>
      <c r="E271" s="636"/>
      <c r="F271" s="636"/>
    </row>
    <row r="272" spans="2:6" x14ac:dyDescent="0.2">
      <c r="B272" s="636"/>
      <c r="E272" s="636"/>
      <c r="F272" s="636"/>
    </row>
    <row r="273" spans="2:6" x14ac:dyDescent="0.2">
      <c r="B273" s="636"/>
      <c r="E273" s="636"/>
      <c r="F273" s="636"/>
    </row>
    <row r="274" spans="2:6" x14ac:dyDescent="0.2">
      <c r="B274" s="636"/>
      <c r="E274" s="636"/>
      <c r="F274" s="636"/>
    </row>
    <row r="275" spans="2:6" x14ac:dyDescent="0.2">
      <c r="B275" s="636"/>
      <c r="E275" s="636"/>
      <c r="F275" s="636"/>
    </row>
    <row r="276" spans="2:6" x14ac:dyDescent="0.2">
      <c r="B276" s="636"/>
      <c r="E276" s="636"/>
      <c r="F276" s="636"/>
    </row>
    <row r="277" spans="2:6" x14ac:dyDescent="0.2">
      <c r="B277" s="636"/>
      <c r="E277" s="636"/>
      <c r="F277" s="636"/>
    </row>
    <row r="278" spans="2:6" x14ac:dyDescent="0.2">
      <c r="B278" s="636"/>
      <c r="E278" s="636"/>
      <c r="F278" s="636"/>
    </row>
    <row r="279" spans="2:6" x14ac:dyDescent="0.2">
      <c r="B279" s="636"/>
      <c r="E279" s="636"/>
      <c r="F279" s="636"/>
    </row>
    <row r="280" spans="2:6" x14ac:dyDescent="0.2">
      <c r="B280" s="636"/>
      <c r="E280" s="636"/>
      <c r="F280" s="636"/>
    </row>
    <row r="281" spans="2:6" x14ac:dyDescent="0.2">
      <c r="B281" s="636"/>
      <c r="E281" s="636"/>
      <c r="F281" s="636"/>
    </row>
    <row r="282" spans="2:6" x14ac:dyDescent="0.2">
      <c r="B282" s="636"/>
      <c r="E282" s="636"/>
      <c r="F282" s="636"/>
    </row>
    <row r="283" spans="2:6" x14ac:dyDescent="0.2">
      <c r="B283" s="636"/>
      <c r="E283" s="636"/>
      <c r="F283" s="636"/>
    </row>
    <row r="284" spans="2:6" x14ac:dyDescent="0.2">
      <c r="B284" s="636"/>
      <c r="E284" s="636"/>
      <c r="F284" s="636"/>
    </row>
    <row r="285" spans="2:6" x14ac:dyDescent="0.2">
      <c r="B285" s="636"/>
      <c r="E285" s="636"/>
      <c r="F285" s="636"/>
    </row>
    <row r="286" spans="2:6" x14ac:dyDescent="0.2">
      <c r="B286" s="636"/>
      <c r="E286" s="636"/>
      <c r="F286" s="636"/>
    </row>
    <row r="287" spans="2:6" x14ac:dyDescent="0.2">
      <c r="B287" s="636"/>
      <c r="E287" s="636"/>
      <c r="F287" s="636"/>
    </row>
    <row r="288" spans="2:6" x14ac:dyDescent="0.2">
      <c r="B288" s="636"/>
      <c r="E288" s="636"/>
      <c r="F288" s="636"/>
    </row>
    <row r="289" spans="2:6" x14ac:dyDescent="0.2">
      <c r="B289" s="636"/>
      <c r="E289" s="636"/>
      <c r="F289" s="636"/>
    </row>
    <row r="290" spans="2:6" x14ac:dyDescent="0.2">
      <c r="B290" s="636"/>
      <c r="E290" s="636"/>
      <c r="F290" s="636"/>
    </row>
    <row r="291" spans="2:6" x14ac:dyDescent="0.2">
      <c r="B291" s="636"/>
      <c r="E291" s="636"/>
      <c r="F291" s="636"/>
    </row>
    <row r="292" spans="2:6" x14ac:dyDescent="0.2">
      <c r="B292" s="636"/>
      <c r="E292" s="636"/>
      <c r="F292" s="636"/>
    </row>
    <row r="293" spans="2:6" x14ac:dyDescent="0.2">
      <c r="B293" s="636"/>
      <c r="E293" s="636"/>
      <c r="F293" s="636"/>
    </row>
    <row r="294" spans="2:6" x14ac:dyDescent="0.2">
      <c r="B294" s="636"/>
      <c r="E294" s="636"/>
      <c r="F294" s="636"/>
    </row>
    <row r="295" spans="2:6" x14ac:dyDescent="0.2">
      <c r="B295" s="636"/>
      <c r="E295" s="636"/>
      <c r="F295" s="636"/>
    </row>
    <row r="296" spans="2:6" x14ac:dyDescent="0.2">
      <c r="B296" s="636"/>
      <c r="E296" s="636"/>
      <c r="F296" s="636"/>
    </row>
    <row r="297" spans="2:6" x14ac:dyDescent="0.2">
      <c r="B297" s="636"/>
      <c r="E297" s="636"/>
      <c r="F297" s="636"/>
    </row>
    <row r="298" spans="2:6" x14ac:dyDescent="0.2">
      <c r="B298" s="636"/>
      <c r="E298" s="636"/>
      <c r="F298" s="636"/>
    </row>
    <row r="299" spans="2:6" x14ac:dyDescent="0.2">
      <c r="B299" s="636"/>
      <c r="E299" s="636"/>
      <c r="F299" s="636"/>
    </row>
    <row r="300" spans="2:6" x14ac:dyDescent="0.2">
      <c r="B300" s="636"/>
      <c r="E300" s="636"/>
      <c r="F300" s="636"/>
    </row>
    <row r="301" spans="2:6" x14ac:dyDescent="0.2">
      <c r="B301" s="636"/>
      <c r="E301" s="636"/>
      <c r="F301" s="636"/>
    </row>
    <row r="302" spans="2:6" x14ac:dyDescent="0.2">
      <c r="B302" s="636"/>
      <c r="E302" s="636"/>
      <c r="F302" s="636"/>
    </row>
    <row r="303" spans="2:6" x14ac:dyDescent="0.2">
      <c r="B303" s="636"/>
      <c r="E303" s="636"/>
      <c r="F303" s="636"/>
    </row>
    <row r="304" spans="2:6" x14ac:dyDescent="0.2">
      <c r="B304" s="636"/>
      <c r="E304" s="636"/>
      <c r="F304" s="636"/>
    </row>
    <row r="305" spans="2:6" x14ac:dyDescent="0.2">
      <c r="B305" s="636"/>
      <c r="E305" s="636"/>
      <c r="F305" s="636"/>
    </row>
    <row r="306" spans="2:6" x14ac:dyDescent="0.2">
      <c r="B306" s="636"/>
      <c r="E306" s="636"/>
      <c r="F306" s="636"/>
    </row>
    <row r="307" spans="2:6" x14ac:dyDescent="0.2">
      <c r="B307" s="636"/>
      <c r="E307" s="636"/>
      <c r="F307" s="636"/>
    </row>
    <row r="308" spans="2:6" x14ac:dyDescent="0.2">
      <c r="B308" s="636"/>
      <c r="E308" s="636"/>
      <c r="F308" s="636"/>
    </row>
    <row r="309" spans="2:6" x14ac:dyDescent="0.2">
      <c r="B309" s="636"/>
      <c r="E309" s="636"/>
      <c r="F309" s="636"/>
    </row>
    <row r="310" spans="2:6" x14ac:dyDescent="0.2">
      <c r="B310" s="636"/>
      <c r="E310" s="636"/>
      <c r="F310" s="636"/>
    </row>
    <row r="311" spans="2:6" x14ac:dyDescent="0.2">
      <c r="B311" s="636"/>
      <c r="E311" s="636"/>
      <c r="F311" s="636"/>
    </row>
    <row r="312" spans="2:6" x14ac:dyDescent="0.2">
      <c r="B312" s="636"/>
      <c r="E312" s="636"/>
      <c r="F312" s="636"/>
    </row>
    <row r="313" spans="2:6" x14ac:dyDescent="0.2">
      <c r="B313" s="636"/>
      <c r="E313" s="636"/>
      <c r="F313" s="636"/>
    </row>
    <row r="314" spans="2:6" x14ac:dyDescent="0.2">
      <c r="B314" s="636"/>
      <c r="E314" s="636"/>
      <c r="F314" s="636"/>
    </row>
    <row r="315" spans="2:6" x14ac:dyDescent="0.2">
      <c r="B315" s="636"/>
      <c r="E315" s="636"/>
      <c r="F315" s="636"/>
    </row>
    <row r="316" spans="2:6" x14ac:dyDescent="0.2">
      <c r="B316" s="636"/>
      <c r="E316" s="636"/>
      <c r="F316" s="636"/>
    </row>
    <row r="317" spans="2:6" x14ac:dyDescent="0.2">
      <c r="B317" s="636"/>
      <c r="E317" s="636"/>
      <c r="F317" s="636"/>
    </row>
    <row r="318" spans="2:6" x14ac:dyDescent="0.2">
      <c r="B318" s="636"/>
      <c r="E318" s="636"/>
      <c r="F318" s="636"/>
    </row>
    <row r="319" spans="2:6" x14ac:dyDescent="0.2">
      <c r="B319" s="636"/>
      <c r="E319" s="636"/>
      <c r="F319" s="636"/>
    </row>
    <row r="320" spans="2:6" x14ac:dyDescent="0.2">
      <c r="B320" s="636"/>
      <c r="E320" s="636"/>
      <c r="F320" s="636"/>
    </row>
    <row r="321" spans="2:6" x14ac:dyDescent="0.2">
      <c r="B321" s="636"/>
      <c r="E321" s="636"/>
      <c r="F321" s="636"/>
    </row>
    <row r="322" spans="2:6" x14ac:dyDescent="0.2">
      <c r="B322" s="636"/>
      <c r="E322" s="636"/>
      <c r="F322" s="636"/>
    </row>
    <row r="323" spans="2:6" x14ac:dyDescent="0.2">
      <c r="B323" s="636"/>
      <c r="E323" s="636"/>
      <c r="F323" s="636"/>
    </row>
    <row r="324" spans="2:6" x14ac:dyDescent="0.2">
      <c r="B324" s="636"/>
      <c r="E324" s="636"/>
      <c r="F324" s="636"/>
    </row>
    <row r="325" spans="2:6" x14ac:dyDescent="0.2">
      <c r="B325" s="636"/>
      <c r="E325" s="636"/>
      <c r="F325" s="636"/>
    </row>
    <row r="326" spans="2:6" x14ac:dyDescent="0.2">
      <c r="B326" s="636"/>
      <c r="E326" s="636"/>
      <c r="F326" s="636"/>
    </row>
    <row r="327" spans="2:6" x14ac:dyDescent="0.2">
      <c r="B327" s="636"/>
      <c r="E327" s="636"/>
      <c r="F327" s="636"/>
    </row>
    <row r="328" spans="2:6" x14ac:dyDescent="0.2">
      <c r="B328" s="636"/>
      <c r="E328" s="636"/>
      <c r="F328" s="636"/>
    </row>
    <row r="329" spans="2:6" x14ac:dyDescent="0.2">
      <c r="B329" s="636"/>
      <c r="E329" s="636"/>
      <c r="F329" s="636"/>
    </row>
    <row r="330" spans="2:6" x14ac:dyDescent="0.2">
      <c r="B330" s="636"/>
      <c r="E330" s="636"/>
      <c r="F330" s="636"/>
    </row>
    <row r="331" spans="2:6" x14ac:dyDescent="0.2">
      <c r="B331" s="636"/>
      <c r="E331" s="636"/>
      <c r="F331" s="636"/>
    </row>
    <row r="332" spans="2:6" x14ac:dyDescent="0.2">
      <c r="B332" s="636"/>
      <c r="E332" s="636"/>
      <c r="F332" s="636"/>
    </row>
    <row r="333" spans="2:6" x14ac:dyDescent="0.2">
      <c r="B333" s="636"/>
      <c r="E333" s="636"/>
      <c r="F333" s="636"/>
    </row>
    <row r="334" spans="2:6" x14ac:dyDescent="0.2">
      <c r="B334" s="636"/>
      <c r="E334" s="636"/>
      <c r="F334" s="636"/>
    </row>
    <row r="335" spans="2:6" x14ac:dyDescent="0.2">
      <c r="B335" s="636"/>
      <c r="E335" s="636"/>
      <c r="F335" s="636"/>
    </row>
    <row r="336" spans="2:6" x14ac:dyDescent="0.2">
      <c r="B336" s="636"/>
      <c r="E336" s="636"/>
      <c r="F336" s="636"/>
    </row>
    <row r="337" spans="2:6" x14ac:dyDescent="0.2">
      <c r="B337" s="636"/>
      <c r="E337" s="636"/>
      <c r="F337" s="636"/>
    </row>
    <row r="338" spans="2:6" x14ac:dyDescent="0.2">
      <c r="B338" s="636"/>
      <c r="E338" s="636"/>
      <c r="F338" s="636"/>
    </row>
    <row r="339" spans="2:6" x14ac:dyDescent="0.2">
      <c r="B339" s="636"/>
      <c r="E339" s="636"/>
      <c r="F339" s="636"/>
    </row>
    <row r="340" spans="2:6" x14ac:dyDescent="0.2">
      <c r="B340" s="636"/>
      <c r="E340" s="636"/>
      <c r="F340" s="636"/>
    </row>
    <row r="341" spans="2:6" x14ac:dyDescent="0.2">
      <c r="B341" s="636"/>
      <c r="E341" s="636"/>
      <c r="F341" s="636"/>
    </row>
    <row r="342" spans="2:6" x14ac:dyDescent="0.2">
      <c r="B342" s="636"/>
      <c r="E342" s="636"/>
      <c r="F342" s="636"/>
    </row>
    <row r="343" spans="2:6" x14ac:dyDescent="0.2">
      <c r="B343" s="636"/>
      <c r="E343" s="636"/>
      <c r="F343" s="636"/>
    </row>
    <row r="344" spans="2:6" x14ac:dyDescent="0.2">
      <c r="B344" s="636"/>
      <c r="E344" s="636"/>
      <c r="F344" s="636"/>
    </row>
    <row r="345" spans="2:6" x14ac:dyDescent="0.2">
      <c r="B345" s="636"/>
      <c r="E345" s="636"/>
      <c r="F345" s="636"/>
    </row>
    <row r="346" spans="2:6" x14ac:dyDescent="0.2">
      <c r="B346" s="636"/>
      <c r="E346" s="636"/>
      <c r="F346" s="636"/>
    </row>
    <row r="347" spans="2:6" x14ac:dyDescent="0.2">
      <c r="B347" s="636"/>
      <c r="E347" s="636"/>
      <c r="F347" s="636"/>
    </row>
    <row r="348" spans="2:6" x14ac:dyDescent="0.2">
      <c r="B348" s="636"/>
      <c r="E348" s="636"/>
      <c r="F348" s="636"/>
    </row>
    <row r="349" spans="2:6" x14ac:dyDescent="0.2">
      <c r="B349" s="636"/>
      <c r="E349" s="636"/>
      <c r="F349" s="636"/>
    </row>
    <row r="350" spans="2:6" x14ac:dyDescent="0.2">
      <c r="B350" s="636"/>
      <c r="E350" s="636"/>
      <c r="F350" s="636"/>
    </row>
    <row r="351" spans="2:6" x14ac:dyDescent="0.2">
      <c r="B351" s="636"/>
      <c r="E351" s="636"/>
      <c r="F351" s="636"/>
    </row>
    <row r="352" spans="2:6" x14ac:dyDescent="0.2">
      <c r="B352" s="636"/>
      <c r="E352" s="636"/>
      <c r="F352" s="636"/>
    </row>
    <row r="353" spans="2:6" x14ac:dyDescent="0.2">
      <c r="B353" s="636"/>
      <c r="E353" s="636"/>
      <c r="F353" s="636"/>
    </row>
    <row r="354" spans="2:6" x14ac:dyDescent="0.2">
      <c r="B354" s="636"/>
      <c r="E354" s="636"/>
      <c r="F354" s="636"/>
    </row>
    <row r="355" spans="2:6" x14ac:dyDescent="0.2">
      <c r="B355" s="636"/>
      <c r="E355" s="636"/>
      <c r="F355" s="636"/>
    </row>
    <row r="356" spans="2:6" x14ac:dyDescent="0.2">
      <c r="B356" s="636"/>
      <c r="E356" s="636"/>
      <c r="F356" s="636"/>
    </row>
    <row r="357" spans="2:6" x14ac:dyDescent="0.2">
      <c r="B357" s="636"/>
      <c r="E357" s="636"/>
      <c r="F357" s="636"/>
    </row>
    <row r="358" spans="2:6" x14ac:dyDescent="0.2">
      <c r="B358" s="636"/>
      <c r="E358" s="636"/>
      <c r="F358" s="636"/>
    </row>
    <row r="359" spans="2:6" x14ac:dyDescent="0.2">
      <c r="B359" s="636"/>
      <c r="E359" s="636"/>
      <c r="F359" s="636"/>
    </row>
    <row r="360" spans="2:6" x14ac:dyDescent="0.2">
      <c r="B360" s="636"/>
      <c r="E360" s="636"/>
      <c r="F360" s="636"/>
    </row>
    <row r="361" spans="2:6" x14ac:dyDescent="0.2">
      <c r="B361" s="636"/>
      <c r="E361" s="636"/>
      <c r="F361" s="636"/>
    </row>
    <row r="362" spans="2:6" x14ac:dyDescent="0.2">
      <c r="B362" s="636"/>
      <c r="E362" s="636"/>
      <c r="F362" s="636"/>
    </row>
    <row r="363" spans="2:6" x14ac:dyDescent="0.2">
      <c r="B363" s="636"/>
      <c r="E363" s="636"/>
      <c r="F363" s="636"/>
    </row>
    <row r="364" spans="2:6" x14ac:dyDescent="0.2">
      <c r="B364" s="636"/>
      <c r="E364" s="636"/>
      <c r="F364" s="636"/>
    </row>
    <row r="365" spans="2:6" x14ac:dyDescent="0.2">
      <c r="B365" s="636"/>
      <c r="E365" s="636"/>
      <c r="F365" s="636"/>
    </row>
    <row r="366" spans="2:6" x14ac:dyDescent="0.2">
      <c r="B366" s="636"/>
      <c r="E366" s="636"/>
      <c r="F366" s="636"/>
    </row>
    <row r="367" spans="2:6" x14ac:dyDescent="0.2">
      <c r="B367" s="636"/>
      <c r="E367" s="636"/>
      <c r="F367" s="636"/>
    </row>
    <row r="368" spans="2:6" x14ac:dyDescent="0.2">
      <c r="B368" s="636"/>
      <c r="E368" s="636"/>
      <c r="F368" s="636"/>
    </row>
    <row r="369" spans="2:6" x14ac:dyDescent="0.2">
      <c r="B369" s="636"/>
      <c r="E369" s="636"/>
      <c r="F369" s="636"/>
    </row>
    <row r="370" spans="2:6" x14ac:dyDescent="0.2">
      <c r="B370" s="636"/>
      <c r="E370" s="636"/>
      <c r="F370" s="636"/>
    </row>
    <row r="371" spans="2:6" x14ac:dyDescent="0.2">
      <c r="B371" s="636"/>
      <c r="E371" s="636"/>
      <c r="F371" s="636"/>
    </row>
    <row r="372" spans="2:6" x14ac:dyDescent="0.2">
      <c r="B372" s="636"/>
      <c r="E372" s="636"/>
      <c r="F372" s="636"/>
    </row>
    <row r="373" spans="2:6" x14ac:dyDescent="0.2">
      <c r="B373" s="636"/>
      <c r="E373" s="636"/>
      <c r="F373" s="636"/>
    </row>
    <row r="374" spans="2:6" x14ac:dyDescent="0.2">
      <c r="B374" s="636"/>
      <c r="E374" s="636"/>
      <c r="F374" s="636"/>
    </row>
    <row r="375" spans="2:6" x14ac:dyDescent="0.2">
      <c r="B375" s="636"/>
      <c r="E375" s="636"/>
      <c r="F375" s="636"/>
    </row>
    <row r="376" spans="2:6" x14ac:dyDescent="0.2">
      <c r="B376" s="636"/>
      <c r="E376" s="636"/>
      <c r="F376" s="636"/>
    </row>
    <row r="377" spans="2:6" x14ac:dyDescent="0.2">
      <c r="B377" s="636"/>
      <c r="E377" s="636"/>
      <c r="F377" s="636"/>
    </row>
    <row r="378" spans="2:6" x14ac:dyDescent="0.2">
      <c r="B378" s="636"/>
      <c r="E378" s="636"/>
      <c r="F378" s="636"/>
    </row>
    <row r="379" spans="2:6" x14ac:dyDescent="0.2">
      <c r="B379" s="636"/>
      <c r="E379" s="636"/>
      <c r="F379" s="636"/>
    </row>
    <row r="380" spans="2:6" x14ac:dyDescent="0.2">
      <c r="B380" s="636"/>
      <c r="E380" s="636"/>
      <c r="F380" s="636"/>
    </row>
    <row r="381" spans="2:6" x14ac:dyDescent="0.2">
      <c r="B381" s="636"/>
      <c r="E381" s="636"/>
      <c r="F381" s="636"/>
    </row>
    <row r="382" spans="2:6" x14ac:dyDescent="0.2">
      <c r="B382" s="636"/>
      <c r="E382" s="636"/>
      <c r="F382" s="636"/>
    </row>
    <row r="383" spans="2:6" x14ac:dyDescent="0.2">
      <c r="B383" s="636"/>
      <c r="E383" s="636"/>
      <c r="F383" s="636"/>
    </row>
    <row r="384" spans="2:6" x14ac:dyDescent="0.2">
      <c r="B384" s="636"/>
      <c r="E384" s="636"/>
      <c r="F384" s="636"/>
    </row>
    <row r="385" spans="2:6" x14ac:dyDescent="0.2">
      <c r="B385" s="636"/>
      <c r="E385" s="636"/>
      <c r="F385" s="636"/>
    </row>
    <row r="386" spans="2:6" x14ac:dyDescent="0.2">
      <c r="B386" s="636"/>
      <c r="E386" s="636"/>
      <c r="F386" s="636"/>
    </row>
    <row r="387" spans="2:6" x14ac:dyDescent="0.2">
      <c r="B387" s="636"/>
      <c r="E387" s="636"/>
      <c r="F387" s="636"/>
    </row>
    <row r="388" spans="2:6" x14ac:dyDescent="0.2">
      <c r="B388" s="636"/>
      <c r="E388" s="636"/>
      <c r="F388" s="636"/>
    </row>
    <row r="389" spans="2:6" x14ac:dyDescent="0.2">
      <c r="B389" s="636"/>
      <c r="E389" s="636"/>
      <c r="F389" s="636"/>
    </row>
    <row r="390" spans="2:6" x14ac:dyDescent="0.2">
      <c r="B390" s="636"/>
      <c r="E390" s="636"/>
      <c r="F390" s="636"/>
    </row>
    <row r="391" spans="2:6" x14ac:dyDescent="0.2">
      <c r="B391" s="636"/>
      <c r="E391" s="636"/>
      <c r="F391" s="636"/>
    </row>
    <row r="392" spans="2:6" x14ac:dyDescent="0.2">
      <c r="B392" s="636"/>
      <c r="E392" s="636"/>
      <c r="F392" s="636"/>
    </row>
    <row r="393" spans="2:6" x14ac:dyDescent="0.2">
      <c r="B393" s="636"/>
      <c r="E393" s="636"/>
      <c r="F393" s="636"/>
    </row>
    <row r="394" spans="2:6" x14ac:dyDescent="0.2">
      <c r="B394" s="636"/>
      <c r="E394" s="636"/>
      <c r="F394" s="636"/>
    </row>
    <row r="395" spans="2:6" x14ac:dyDescent="0.2">
      <c r="B395" s="636"/>
      <c r="E395" s="636"/>
      <c r="F395" s="636"/>
    </row>
    <row r="396" spans="2:6" x14ac:dyDescent="0.2">
      <c r="B396" s="636"/>
      <c r="E396" s="636"/>
      <c r="F396" s="636"/>
    </row>
    <row r="397" spans="2:6" x14ac:dyDescent="0.2">
      <c r="B397" s="636"/>
      <c r="E397" s="636"/>
      <c r="F397" s="636"/>
    </row>
    <row r="398" spans="2:6" x14ac:dyDescent="0.2">
      <c r="B398" s="636"/>
      <c r="E398" s="636"/>
      <c r="F398" s="636"/>
    </row>
    <row r="399" spans="2:6" x14ac:dyDescent="0.2">
      <c r="B399" s="636"/>
      <c r="E399" s="636"/>
      <c r="F399" s="636"/>
    </row>
    <row r="400" spans="2:6" x14ac:dyDescent="0.2">
      <c r="B400" s="636"/>
      <c r="E400" s="636"/>
      <c r="F400" s="636"/>
    </row>
    <row r="401" spans="2:6" x14ac:dyDescent="0.2">
      <c r="B401" s="636"/>
      <c r="E401" s="636"/>
      <c r="F401" s="636"/>
    </row>
    <row r="402" spans="2:6" x14ac:dyDescent="0.2">
      <c r="B402" s="636"/>
      <c r="E402" s="636"/>
      <c r="F402" s="636"/>
    </row>
    <row r="403" spans="2:6" x14ac:dyDescent="0.2">
      <c r="B403" s="636"/>
      <c r="E403" s="636"/>
      <c r="F403" s="636"/>
    </row>
    <row r="404" spans="2:6" x14ac:dyDescent="0.2">
      <c r="B404" s="636"/>
      <c r="E404" s="636"/>
      <c r="F404" s="636"/>
    </row>
    <row r="405" spans="2:6" x14ac:dyDescent="0.2">
      <c r="B405" s="636"/>
      <c r="E405" s="636"/>
      <c r="F405" s="636"/>
    </row>
    <row r="406" spans="2:6" x14ac:dyDescent="0.2">
      <c r="B406" s="636"/>
      <c r="E406" s="636"/>
      <c r="F406" s="636"/>
    </row>
    <row r="407" spans="2:6" x14ac:dyDescent="0.2">
      <c r="B407" s="636"/>
      <c r="E407" s="636"/>
      <c r="F407" s="636"/>
    </row>
    <row r="408" spans="2:6" x14ac:dyDescent="0.2">
      <c r="B408" s="636"/>
      <c r="E408" s="636"/>
      <c r="F408" s="636"/>
    </row>
    <row r="409" spans="2:6" x14ac:dyDescent="0.2">
      <c r="B409" s="636"/>
      <c r="E409" s="636"/>
      <c r="F409" s="636"/>
    </row>
    <row r="410" spans="2:6" x14ac:dyDescent="0.2">
      <c r="B410" s="636"/>
      <c r="E410" s="636"/>
      <c r="F410" s="636"/>
    </row>
    <row r="411" spans="2:6" x14ac:dyDescent="0.2">
      <c r="B411" s="636"/>
      <c r="E411" s="636"/>
      <c r="F411" s="636"/>
    </row>
    <row r="412" spans="2:6" x14ac:dyDescent="0.2">
      <c r="B412" s="636"/>
      <c r="E412" s="636"/>
      <c r="F412" s="636"/>
    </row>
    <row r="413" spans="2:6" x14ac:dyDescent="0.2">
      <c r="B413" s="636"/>
      <c r="E413" s="636"/>
      <c r="F413" s="636"/>
    </row>
    <row r="414" spans="2:6" x14ac:dyDescent="0.2">
      <c r="B414" s="636"/>
      <c r="E414" s="636"/>
      <c r="F414" s="636"/>
    </row>
    <row r="415" spans="2:6" x14ac:dyDescent="0.2">
      <c r="B415" s="636"/>
      <c r="E415" s="636"/>
      <c r="F415" s="636"/>
    </row>
    <row r="416" spans="2:6" x14ac:dyDescent="0.2">
      <c r="B416" s="636"/>
      <c r="E416" s="636"/>
      <c r="F416" s="636"/>
    </row>
    <row r="417" spans="2:6" x14ac:dyDescent="0.2">
      <c r="B417" s="636"/>
      <c r="E417" s="636"/>
      <c r="F417" s="636"/>
    </row>
    <row r="418" spans="2:6" x14ac:dyDescent="0.2">
      <c r="B418" s="636"/>
      <c r="E418" s="636"/>
      <c r="F418" s="636"/>
    </row>
    <row r="419" spans="2:6" x14ac:dyDescent="0.2">
      <c r="B419" s="636"/>
      <c r="E419" s="636"/>
      <c r="F419" s="636"/>
    </row>
    <row r="420" spans="2:6" x14ac:dyDescent="0.2">
      <c r="B420" s="636"/>
      <c r="E420" s="636"/>
      <c r="F420" s="636"/>
    </row>
    <row r="421" spans="2:6" x14ac:dyDescent="0.2">
      <c r="B421" s="636"/>
      <c r="E421" s="636"/>
      <c r="F421" s="636"/>
    </row>
    <row r="422" spans="2:6" x14ac:dyDescent="0.2">
      <c r="B422" s="636"/>
      <c r="E422" s="636"/>
      <c r="F422" s="636"/>
    </row>
    <row r="423" spans="2:6" x14ac:dyDescent="0.2">
      <c r="B423" s="636"/>
      <c r="E423" s="636"/>
      <c r="F423" s="636"/>
    </row>
    <row r="424" spans="2:6" x14ac:dyDescent="0.2">
      <c r="B424" s="636"/>
      <c r="E424" s="636"/>
      <c r="F424" s="636"/>
    </row>
    <row r="425" spans="2:6" x14ac:dyDescent="0.2">
      <c r="B425" s="636"/>
      <c r="E425" s="636"/>
      <c r="F425" s="636"/>
    </row>
    <row r="426" spans="2:6" x14ac:dyDescent="0.2">
      <c r="B426" s="636"/>
      <c r="E426" s="636"/>
      <c r="F426" s="636"/>
    </row>
    <row r="427" spans="2:6" x14ac:dyDescent="0.2">
      <c r="B427" s="636"/>
      <c r="E427" s="636"/>
      <c r="F427" s="636"/>
    </row>
    <row r="428" spans="2:6" x14ac:dyDescent="0.2">
      <c r="B428" s="636"/>
      <c r="E428" s="636"/>
      <c r="F428" s="636"/>
    </row>
    <row r="429" spans="2:6" x14ac:dyDescent="0.2">
      <c r="B429" s="636"/>
      <c r="E429" s="636"/>
      <c r="F429" s="636"/>
    </row>
    <row r="430" spans="2:6" x14ac:dyDescent="0.2">
      <c r="B430" s="636"/>
      <c r="E430" s="636"/>
      <c r="F430" s="636"/>
    </row>
    <row r="431" spans="2:6" x14ac:dyDescent="0.2">
      <c r="B431" s="636"/>
      <c r="E431" s="636"/>
      <c r="F431" s="636"/>
    </row>
    <row r="432" spans="2:6" x14ac:dyDescent="0.2">
      <c r="B432" s="636"/>
      <c r="E432" s="636"/>
      <c r="F432" s="636"/>
    </row>
    <row r="433" spans="2:6" x14ac:dyDescent="0.2">
      <c r="B433" s="636"/>
      <c r="E433" s="636"/>
      <c r="F433" s="636"/>
    </row>
    <row r="434" spans="2:6" x14ac:dyDescent="0.2">
      <c r="B434" s="636"/>
      <c r="E434" s="636"/>
      <c r="F434" s="636"/>
    </row>
    <row r="435" spans="2:6" x14ac:dyDescent="0.2">
      <c r="B435" s="636"/>
      <c r="E435" s="636"/>
      <c r="F435" s="636"/>
    </row>
    <row r="436" spans="2:6" x14ac:dyDescent="0.2">
      <c r="B436" s="636"/>
      <c r="E436" s="636"/>
      <c r="F436" s="636"/>
    </row>
    <row r="437" spans="2:6" x14ac:dyDescent="0.2">
      <c r="B437" s="636"/>
      <c r="E437" s="636"/>
      <c r="F437" s="636"/>
    </row>
    <row r="438" spans="2:6" x14ac:dyDescent="0.2">
      <c r="B438" s="636"/>
      <c r="E438" s="636"/>
      <c r="F438" s="636"/>
    </row>
    <row r="439" spans="2:6" x14ac:dyDescent="0.2">
      <c r="B439" s="636"/>
      <c r="E439" s="636"/>
      <c r="F439" s="636"/>
    </row>
    <row r="440" spans="2:6" x14ac:dyDescent="0.2">
      <c r="B440" s="636"/>
      <c r="E440" s="636"/>
      <c r="F440" s="636"/>
    </row>
    <row r="441" spans="2:6" x14ac:dyDescent="0.2">
      <c r="B441" s="636"/>
      <c r="E441" s="636"/>
      <c r="F441" s="636"/>
    </row>
    <row r="442" spans="2:6" x14ac:dyDescent="0.2">
      <c r="B442" s="636"/>
      <c r="E442" s="636"/>
      <c r="F442" s="636"/>
    </row>
    <row r="443" spans="2:6" x14ac:dyDescent="0.2">
      <c r="B443" s="636"/>
      <c r="E443" s="636"/>
      <c r="F443" s="636"/>
    </row>
    <row r="444" spans="2:6" x14ac:dyDescent="0.2">
      <c r="B444" s="636"/>
      <c r="E444" s="636"/>
      <c r="F444" s="636"/>
    </row>
    <row r="445" spans="2:6" x14ac:dyDescent="0.2">
      <c r="B445" s="636"/>
      <c r="E445" s="636"/>
      <c r="F445" s="636"/>
    </row>
    <row r="446" spans="2:6" x14ac:dyDescent="0.2">
      <c r="B446" s="636"/>
      <c r="E446" s="636"/>
      <c r="F446" s="636"/>
    </row>
    <row r="447" spans="2:6" x14ac:dyDescent="0.2">
      <c r="B447" s="636"/>
      <c r="E447" s="636"/>
      <c r="F447" s="636"/>
    </row>
    <row r="448" spans="2:6" x14ac:dyDescent="0.2">
      <c r="B448" s="636"/>
      <c r="E448" s="636"/>
      <c r="F448" s="636"/>
    </row>
    <row r="449" spans="2:6" x14ac:dyDescent="0.2">
      <c r="B449" s="636"/>
      <c r="E449" s="636"/>
      <c r="F449" s="636"/>
    </row>
    <row r="450" spans="2:6" x14ac:dyDescent="0.2">
      <c r="B450" s="636"/>
      <c r="E450" s="636"/>
      <c r="F450" s="636"/>
    </row>
    <row r="451" spans="2:6" x14ac:dyDescent="0.2">
      <c r="B451" s="636"/>
      <c r="E451" s="636"/>
      <c r="F451" s="636"/>
    </row>
    <row r="452" spans="2:6" x14ac:dyDescent="0.2">
      <c r="B452" s="636"/>
      <c r="E452" s="636"/>
      <c r="F452" s="636"/>
    </row>
    <row r="453" spans="2:6" x14ac:dyDescent="0.2">
      <c r="B453" s="636"/>
      <c r="E453" s="636"/>
      <c r="F453" s="636"/>
    </row>
    <row r="454" spans="2:6" x14ac:dyDescent="0.2">
      <c r="B454" s="636"/>
      <c r="E454" s="636"/>
      <c r="F454" s="636"/>
    </row>
    <row r="455" spans="2:6" x14ac:dyDescent="0.2">
      <c r="B455" s="636"/>
      <c r="E455" s="636"/>
      <c r="F455" s="636"/>
    </row>
    <row r="456" spans="2:6" x14ac:dyDescent="0.2">
      <c r="B456" s="636"/>
      <c r="E456" s="636"/>
      <c r="F456" s="636"/>
    </row>
    <row r="457" spans="2:6" x14ac:dyDescent="0.2">
      <c r="B457" s="636"/>
      <c r="E457" s="636"/>
      <c r="F457" s="636"/>
    </row>
    <row r="458" spans="2:6" x14ac:dyDescent="0.2">
      <c r="B458" s="636"/>
      <c r="E458" s="636"/>
      <c r="F458" s="636"/>
    </row>
    <row r="459" spans="2:6" x14ac:dyDescent="0.2">
      <c r="B459" s="636"/>
      <c r="E459" s="636"/>
      <c r="F459" s="636"/>
    </row>
    <row r="460" spans="2:6" x14ac:dyDescent="0.2">
      <c r="B460" s="636"/>
      <c r="E460" s="636"/>
      <c r="F460" s="636"/>
    </row>
    <row r="461" spans="2:6" x14ac:dyDescent="0.2">
      <c r="B461" s="636"/>
      <c r="E461" s="636"/>
      <c r="F461" s="636"/>
    </row>
    <row r="462" spans="2:6" x14ac:dyDescent="0.2">
      <c r="B462" s="636"/>
      <c r="E462" s="636"/>
      <c r="F462" s="636"/>
    </row>
    <row r="463" spans="2:6" x14ac:dyDescent="0.2">
      <c r="B463" s="636"/>
      <c r="E463" s="636"/>
      <c r="F463" s="636"/>
    </row>
    <row r="464" spans="2:6" x14ac:dyDescent="0.2">
      <c r="B464" s="636"/>
      <c r="E464" s="636"/>
      <c r="F464" s="636"/>
    </row>
    <row r="465" spans="2:6" x14ac:dyDescent="0.2">
      <c r="B465" s="636"/>
      <c r="E465" s="636"/>
      <c r="F465" s="636"/>
    </row>
    <row r="466" spans="2:6" x14ac:dyDescent="0.2">
      <c r="B466" s="636"/>
      <c r="E466" s="636"/>
      <c r="F466" s="636"/>
    </row>
    <row r="467" spans="2:6" x14ac:dyDescent="0.2">
      <c r="B467" s="636"/>
      <c r="E467" s="636"/>
      <c r="F467" s="636"/>
    </row>
    <row r="468" spans="2:6" x14ac:dyDescent="0.2">
      <c r="B468" s="636"/>
      <c r="E468" s="636"/>
      <c r="F468" s="636"/>
    </row>
    <row r="469" spans="2:6" x14ac:dyDescent="0.2">
      <c r="B469" s="636"/>
      <c r="E469" s="636"/>
      <c r="F469" s="636"/>
    </row>
    <row r="470" spans="2:6" x14ac:dyDescent="0.2">
      <c r="B470" s="636"/>
      <c r="E470" s="636"/>
      <c r="F470" s="636"/>
    </row>
    <row r="471" spans="2:6" x14ac:dyDescent="0.2">
      <c r="B471" s="636"/>
      <c r="E471" s="636"/>
      <c r="F471" s="636"/>
    </row>
    <row r="472" spans="2:6" x14ac:dyDescent="0.2">
      <c r="B472" s="636"/>
      <c r="E472" s="636"/>
      <c r="F472" s="636"/>
    </row>
    <row r="473" spans="2:6" x14ac:dyDescent="0.2">
      <c r="B473" s="636"/>
      <c r="E473" s="636"/>
      <c r="F473" s="636"/>
    </row>
    <row r="474" spans="2:6" x14ac:dyDescent="0.2">
      <c r="B474" s="636"/>
      <c r="E474" s="636"/>
      <c r="F474" s="636"/>
    </row>
    <row r="475" spans="2:6" x14ac:dyDescent="0.2">
      <c r="B475" s="636"/>
      <c r="E475" s="636"/>
      <c r="F475" s="636"/>
    </row>
    <row r="476" spans="2:6" x14ac:dyDescent="0.2">
      <c r="B476" s="636"/>
      <c r="E476" s="636"/>
      <c r="F476" s="636"/>
    </row>
    <row r="477" spans="2:6" x14ac:dyDescent="0.2">
      <c r="B477" s="636"/>
      <c r="E477" s="636"/>
      <c r="F477" s="636"/>
    </row>
    <row r="478" spans="2:6" x14ac:dyDescent="0.2">
      <c r="B478" s="636"/>
      <c r="E478" s="636"/>
      <c r="F478" s="636"/>
    </row>
    <row r="479" spans="2:6" x14ac:dyDescent="0.2">
      <c r="B479" s="636"/>
      <c r="E479" s="636"/>
      <c r="F479" s="636"/>
    </row>
    <row r="480" spans="2:6" x14ac:dyDescent="0.2">
      <c r="B480" s="636"/>
      <c r="E480" s="636"/>
      <c r="F480" s="636"/>
    </row>
    <row r="481" spans="2:6" x14ac:dyDescent="0.2">
      <c r="B481" s="636"/>
      <c r="E481" s="636"/>
      <c r="F481" s="636"/>
    </row>
    <row r="482" spans="2:6" x14ac:dyDescent="0.2">
      <c r="B482" s="636"/>
      <c r="E482" s="636"/>
      <c r="F482" s="636"/>
    </row>
    <row r="483" spans="2:6" x14ac:dyDescent="0.2">
      <c r="B483" s="636"/>
      <c r="E483" s="636"/>
      <c r="F483" s="636"/>
    </row>
    <row r="484" spans="2:6" x14ac:dyDescent="0.2">
      <c r="B484" s="636"/>
      <c r="E484" s="636"/>
      <c r="F484" s="636"/>
    </row>
    <row r="485" spans="2:6" x14ac:dyDescent="0.2">
      <c r="B485" s="636"/>
      <c r="E485" s="636"/>
      <c r="F485" s="636"/>
    </row>
    <row r="486" spans="2:6" x14ac:dyDescent="0.2">
      <c r="B486" s="636"/>
      <c r="E486" s="636"/>
      <c r="F486" s="636"/>
    </row>
    <row r="487" spans="2:6" x14ac:dyDescent="0.2">
      <c r="B487" s="636"/>
      <c r="E487" s="636"/>
      <c r="F487" s="636"/>
    </row>
    <row r="488" spans="2:6" x14ac:dyDescent="0.2">
      <c r="B488" s="636"/>
      <c r="E488" s="636"/>
      <c r="F488" s="636"/>
    </row>
    <row r="489" spans="2:6" x14ac:dyDescent="0.2">
      <c r="B489" s="636"/>
      <c r="E489" s="636"/>
      <c r="F489" s="636"/>
    </row>
    <row r="490" spans="2:6" x14ac:dyDescent="0.2">
      <c r="B490" s="636"/>
      <c r="E490" s="636"/>
      <c r="F490" s="636"/>
    </row>
    <row r="491" spans="2:6" x14ac:dyDescent="0.2">
      <c r="B491" s="636"/>
      <c r="E491" s="636"/>
      <c r="F491" s="636"/>
    </row>
    <row r="492" spans="2:6" x14ac:dyDescent="0.2">
      <c r="B492" s="636"/>
      <c r="E492" s="636"/>
      <c r="F492" s="636"/>
    </row>
    <row r="493" spans="2:6" x14ac:dyDescent="0.2">
      <c r="B493" s="636"/>
      <c r="E493" s="636"/>
      <c r="F493" s="636"/>
    </row>
    <row r="494" spans="2:6" x14ac:dyDescent="0.2">
      <c r="B494" s="636"/>
      <c r="E494" s="636"/>
      <c r="F494" s="636"/>
    </row>
    <row r="495" spans="2:6" x14ac:dyDescent="0.2">
      <c r="B495" s="636"/>
      <c r="E495" s="636"/>
      <c r="F495" s="636"/>
    </row>
    <row r="496" spans="2:6" x14ac:dyDescent="0.2">
      <c r="B496" s="636"/>
      <c r="E496" s="636"/>
      <c r="F496" s="636"/>
    </row>
    <row r="497" spans="2:6" x14ac:dyDescent="0.2">
      <c r="B497" s="636"/>
      <c r="E497" s="636"/>
      <c r="F497" s="636"/>
    </row>
    <row r="498" spans="2:6" x14ac:dyDescent="0.2">
      <c r="B498" s="636"/>
      <c r="E498" s="636"/>
      <c r="F498" s="636"/>
    </row>
    <row r="499" spans="2:6" x14ac:dyDescent="0.2">
      <c r="B499" s="636"/>
      <c r="E499" s="636"/>
      <c r="F499" s="636"/>
    </row>
    <row r="500" spans="2:6" x14ac:dyDescent="0.2">
      <c r="B500" s="636"/>
      <c r="E500" s="636"/>
      <c r="F500" s="636"/>
    </row>
    <row r="501" spans="2:6" x14ac:dyDescent="0.2">
      <c r="B501" s="636"/>
      <c r="E501" s="636"/>
      <c r="F501" s="636"/>
    </row>
    <row r="502" spans="2:6" x14ac:dyDescent="0.2">
      <c r="B502" s="636"/>
      <c r="E502" s="636"/>
      <c r="F502" s="636"/>
    </row>
    <row r="503" spans="2:6" x14ac:dyDescent="0.2">
      <c r="B503" s="636"/>
      <c r="E503" s="636"/>
      <c r="F503" s="636"/>
    </row>
    <row r="504" spans="2:6" x14ac:dyDescent="0.2">
      <c r="B504" s="636"/>
      <c r="E504" s="636"/>
      <c r="F504" s="636"/>
    </row>
    <row r="505" spans="2:6" x14ac:dyDescent="0.2">
      <c r="B505" s="636"/>
      <c r="E505" s="636"/>
      <c r="F505" s="636"/>
    </row>
    <row r="506" spans="2:6" x14ac:dyDescent="0.2">
      <c r="B506" s="636"/>
      <c r="E506" s="636"/>
      <c r="F506" s="636"/>
    </row>
    <row r="507" spans="2:6" x14ac:dyDescent="0.2">
      <c r="B507" s="636"/>
      <c r="E507" s="636"/>
      <c r="F507" s="636"/>
    </row>
    <row r="508" spans="2:6" x14ac:dyDescent="0.2">
      <c r="B508" s="636"/>
      <c r="E508" s="636"/>
      <c r="F508" s="636"/>
    </row>
    <row r="509" spans="2:6" x14ac:dyDescent="0.2">
      <c r="B509" s="636"/>
      <c r="E509" s="636"/>
      <c r="F509" s="636"/>
    </row>
    <row r="510" spans="2:6" x14ac:dyDescent="0.2">
      <c r="B510" s="636"/>
      <c r="E510" s="636"/>
      <c r="F510" s="636"/>
    </row>
    <row r="511" spans="2:6" x14ac:dyDescent="0.2">
      <c r="B511" s="636"/>
      <c r="E511" s="636"/>
      <c r="F511" s="636"/>
    </row>
    <row r="512" spans="2:6" x14ac:dyDescent="0.2">
      <c r="B512" s="636"/>
      <c r="E512" s="636"/>
      <c r="F512" s="636"/>
    </row>
    <row r="513" spans="2:6" x14ac:dyDescent="0.2">
      <c r="B513" s="636"/>
      <c r="E513" s="636"/>
      <c r="F513" s="636"/>
    </row>
    <row r="514" spans="2:6" x14ac:dyDescent="0.2">
      <c r="B514" s="636"/>
      <c r="E514" s="636"/>
      <c r="F514" s="636"/>
    </row>
    <row r="515" spans="2:6" x14ac:dyDescent="0.2">
      <c r="B515" s="636"/>
      <c r="E515" s="636"/>
      <c r="F515" s="636"/>
    </row>
    <row r="516" spans="2:6" x14ac:dyDescent="0.2">
      <c r="B516" s="636"/>
      <c r="E516" s="636"/>
      <c r="F516" s="636"/>
    </row>
    <row r="517" spans="2:6" x14ac:dyDescent="0.2">
      <c r="B517" s="636"/>
      <c r="E517" s="636"/>
      <c r="F517" s="636"/>
    </row>
    <row r="518" spans="2:6" x14ac:dyDescent="0.2">
      <c r="B518" s="636"/>
      <c r="E518" s="636"/>
      <c r="F518" s="636"/>
    </row>
    <row r="519" spans="2:6" x14ac:dyDescent="0.2">
      <c r="B519" s="636"/>
      <c r="E519" s="636"/>
      <c r="F519" s="636"/>
    </row>
    <row r="520" spans="2:6" x14ac:dyDescent="0.2">
      <c r="B520" s="636"/>
      <c r="E520" s="636"/>
      <c r="F520" s="636"/>
    </row>
    <row r="521" spans="2:6" x14ac:dyDescent="0.2">
      <c r="B521" s="636"/>
      <c r="E521" s="636"/>
      <c r="F521" s="636"/>
    </row>
    <row r="522" spans="2:6" x14ac:dyDescent="0.2">
      <c r="B522" s="636"/>
      <c r="E522" s="636"/>
      <c r="F522" s="636"/>
    </row>
    <row r="523" spans="2:6" x14ac:dyDescent="0.2">
      <c r="B523" s="636"/>
      <c r="E523" s="636"/>
      <c r="F523" s="636"/>
    </row>
    <row r="524" spans="2:6" x14ac:dyDescent="0.2">
      <c r="B524" s="636"/>
      <c r="E524" s="636"/>
      <c r="F524" s="636"/>
    </row>
    <row r="525" spans="2:6" x14ac:dyDescent="0.2">
      <c r="B525" s="636"/>
      <c r="E525" s="636"/>
      <c r="F525" s="636"/>
    </row>
    <row r="526" spans="2:6" x14ac:dyDescent="0.2">
      <c r="B526" s="636"/>
      <c r="E526" s="636"/>
      <c r="F526" s="636"/>
    </row>
    <row r="527" spans="2:6" x14ac:dyDescent="0.2">
      <c r="B527" s="636"/>
      <c r="E527" s="636"/>
      <c r="F527" s="636"/>
    </row>
    <row r="528" spans="2:6" x14ac:dyDescent="0.2">
      <c r="B528" s="636"/>
      <c r="E528" s="636"/>
      <c r="F528" s="636"/>
    </row>
    <row r="529" spans="2:6" x14ac:dyDescent="0.2">
      <c r="B529" s="636"/>
      <c r="E529" s="636"/>
      <c r="F529" s="636"/>
    </row>
    <row r="530" spans="2:6" x14ac:dyDescent="0.2">
      <c r="B530" s="636"/>
      <c r="E530" s="636"/>
      <c r="F530" s="636"/>
    </row>
    <row r="531" spans="2:6" x14ac:dyDescent="0.2">
      <c r="B531" s="636"/>
      <c r="E531" s="636"/>
      <c r="F531" s="636"/>
    </row>
    <row r="532" spans="2:6" x14ac:dyDescent="0.2">
      <c r="B532" s="636"/>
      <c r="E532" s="636"/>
      <c r="F532" s="636"/>
    </row>
    <row r="533" spans="2:6" x14ac:dyDescent="0.2">
      <c r="B533" s="636"/>
      <c r="E533" s="636"/>
      <c r="F533" s="636"/>
    </row>
    <row r="534" spans="2:6" x14ac:dyDescent="0.2">
      <c r="B534" s="636"/>
      <c r="E534" s="636"/>
      <c r="F534" s="636"/>
    </row>
    <row r="535" spans="2:6" x14ac:dyDescent="0.2">
      <c r="B535" s="636"/>
      <c r="E535" s="636"/>
      <c r="F535" s="636"/>
    </row>
    <row r="536" spans="2:6" x14ac:dyDescent="0.2">
      <c r="B536" s="636"/>
      <c r="E536" s="636"/>
      <c r="F536" s="636"/>
    </row>
    <row r="537" spans="2:6" x14ac:dyDescent="0.2">
      <c r="B537" s="636"/>
      <c r="E537" s="636"/>
      <c r="F537" s="636"/>
    </row>
    <row r="538" spans="2:6" x14ac:dyDescent="0.2">
      <c r="B538" s="636"/>
      <c r="E538" s="636"/>
      <c r="F538" s="636"/>
    </row>
    <row r="539" spans="2:6" x14ac:dyDescent="0.2">
      <c r="B539" s="636"/>
      <c r="E539" s="636"/>
      <c r="F539" s="636"/>
    </row>
    <row r="540" spans="2:6" x14ac:dyDescent="0.2">
      <c r="B540" s="636"/>
      <c r="E540" s="636"/>
      <c r="F540" s="636"/>
    </row>
    <row r="541" spans="2:6" x14ac:dyDescent="0.2">
      <c r="B541" s="636"/>
      <c r="E541" s="636"/>
      <c r="F541" s="636"/>
    </row>
    <row r="542" spans="2:6" x14ac:dyDescent="0.2">
      <c r="B542" s="636"/>
      <c r="E542" s="636"/>
      <c r="F542" s="636"/>
    </row>
    <row r="543" spans="2:6" x14ac:dyDescent="0.2">
      <c r="B543" s="636"/>
      <c r="E543" s="636"/>
      <c r="F543" s="636"/>
    </row>
    <row r="544" spans="2:6" x14ac:dyDescent="0.2">
      <c r="B544" s="636"/>
      <c r="E544" s="636"/>
      <c r="F544" s="636"/>
    </row>
    <row r="545" spans="2:6" x14ac:dyDescent="0.2">
      <c r="B545" s="636"/>
      <c r="E545" s="636"/>
      <c r="F545" s="636"/>
    </row>
    <row r="546" spans="2:6" x14ac:dyDescent="0.2">
      <c r="B546" s="636"/>
      <c r="E546" s="636"/>
      <c r="F546" s="636"/>
    </row>
    <row r="547" spans="2:6" x14ac:dyDescent="0.2">
      <c r="B547" s="636"/>
      <c r="E547" s="636"/>
      <c r="F547" s="636"/>
    </row>
    <row r="548" spans="2:6" x14ac:dyDescent="0.2">
      <c r="B548" s="636"/>
      <c r="E548" s="636"/>
      <c r="F548" s="636"/>
    </row>
    <row r="549" spans="2:6" x14ac:dyDescent="0.2">
      <c r="B549" s="636"/>
      <c r="E549" s="636"/>
      <c r="F549" s="636"/>
    </row>
    <row r="550" spans="2:6" x14ac:dyDescent="0.2">
      <c r="B550" s="636"/>
      <c r="E550" s="636"/>
      <c r="F550" s="636"/>
    </row>
    <row r="551" spans="2:6" x14ac:dyDescent="0.2">
      <c r="B551" s="636"/>
      <c r="E551" s="636"/>
      <c r="F551" s="636"/>
    </row>
    <row r="552" spans="2:6" x14ac:dyDescent="0.2">
      <c r="B552" s="636"/>
      <c r="E552" s="636"/>
      <c r="F552" s="636"/>
    </row>
    <row r="553" spans="2:6" x14ac:dyDescent="0.2">
      <c r="B553" s="636"/>
      <c r="E553" s="636"/>
      <c r="F553" s="636"/>
    </row>
    <row r="554" spans="2:6" x14ac:dyDescent="0.2">
      <c r="B554" s="636"/>
      <c r="E554" s="636"/>
      <c r="F554" s="636"/>
    </row>
    <row r="555" spans="2:6" x14ac:dyDescent="0.2">
      <c r="B555" s="636"/>
      <c r="E555" s="636"/>
      <c r="F555" s="636"/>
    </row>
    <row r="556" spans="2:6" x14ac:dyDescent="0.2">
      <c r="B556" s="636"/>
      <c r="E556" s="636"/>
      <c r="F556" s="636"/>
    </row>
    <row r="557" spans="2:6" x14ac:dyDescent="0.2">
      <c r="B557" s="636"/>
      <c r="E557" s="636"/>
      <c r="F557" s="636"/>
    </row>
    <row r="558" spans="2:6" x14ac:dyDescent="0.2">
      <c r="B558" s="636"/>
      <c r="E558" s="636"/>
      <c r="F558" s="636"/>
    </row>
    <row r="559" spans="2:6" x14ac:dyDescent="0.2">
      <c r="B559" s="636"/>
      <c r="E559" s="636"/>
      <c r="F559" s="636"/>
    </row>
    <row r="560" spans="2:6" x14ac:dyDescent="0.2">
      <c r="B560" s="636"/>
      <c r="E560" s="636"/>
      <c r="F560" s="636"/>
    </row>
    <row r="561" spans="2:6" x14ac:dyDescent="0.2">
      <c r="B561" s="636"/>
      <c r="E561" s="636"/>
      <c r="F561" s="636"/>
    </row>
    <row r="562" spans="2:6" x14ac:dyDescent="0.2">
      <c r="B562" s="636"/>
      <c r="E562" s="636"/>
      <c r="F562" s="636"/>
    </row>
    <row r="563" spans="2:6" x14ac:dyDescent="0.2">
      <c r="B563" s="636"/>
      <c r="E563" s="636"/>
      <c r="F563" s="636"/>
    </row>
    <row r="564" spans="2:6" x14ac:dyDescent="0.2">
      <c r="B564" s="636"/>
      <c r="E564" s="636"/>
      <c r="F564" s="636"/>
    </row>
    <row r="565" spans="2:6" x14ac:dyDescent="0.2">
      <c r="B565" s="636"/>
      <c r="E565" s="636"/>
      <c r="F565" s="636"/>
    </row>
    <row r="566" spans="2:6" x14ac:dyDescent="0.2">
      <c r="B566" s="636"/>
      <c r="E566" s="636"/>
      <c r="F566" s="636"/>
    </row>
    <row r="567" spans="2:6" x14ac:dyDescent="0.2">
      <c r="B567" s="636"/>
      <c r="E567" s="636"/>
      <c r="F567" s="636"/>
    </row>
    <row r="568" spans="2:6" x14ac:dyDescent="0.2">
      <c r="B568" s="636"/>
      <c r="E568" s="636"/>
      <c r="F568" s="636"/>
    </row>
    <row r="569" spans="2:6" x14ac:dyDescent="0.2">
      <c r="B569" s="636"/>
      <c r="E569" s="636"/>
      <c r="F569" s="636"/>
    </row>
    <row r="570" spans="2:6" x14ac:dyDescent="0.2">
      <c r="B570" s="636"/>
      <c r="E570" s="636"/>
      <c r="F570" s="636"/>
    </row>
    <row r="571" spans="2:6" x14ac:dyDescent="0.2">
      <c r="B571" s="636"/>
      <c r="E571" s="636"/>
      <c r="F571" s="636"/>
    </row>
    <row r="572" spans="2:6" x14ac:dyDescent="0.2">
      <c r="B572" s="636"/>
      <c r="E572" s="636"/>
      <c r="F572" s="636"/>
    </row>
    <row r="573" spans="2:6" x14ac:dyDescent="0.2">
      <c r="B573" s="636"/>
      <c r="E573" s="636"/>
      <c r="F573" s="636"/>
    </row>
    <row r="574" spans="2:6" x14ac:dyDescent="0.2">
      <c r="B574" s="636"/>
      <c r="E574" s="636"/>
      <c r="F574" s="636"/>
    </row>
    <row r="575" spans="2:6" x14ac:dyDescent="0.2">
      <c r="B575" s="636"/>
      <c r="E575" s="636"/>
      <c r="F575" s="636"/>
    </row>
    <row r="576" spans="2:6" x14ac:dyDescent="0.2">
      <c r="B576" s="636"/>
      <c r="E576" s="636"/>
      <c r="F576" s="636"/>
    </row>
    <row r="577" spans="2:6" x14ac:dyDescent="0.2">
      <c r="B577" s="636"/>
      <c r="E577" s="636"/>
      <c r="F577" s="636"/>
    </row>
    <row r="578" spans="2:6" x14ac:dyDescent="0.2">
      <c r="B578" s="636"/>
      <c r="E578" s="636"/>
      <c r="F578" s="636"/>
    </row>
    <row r="579" spans="2:6" x14ac:dyDescent="0.2">
      <c r="B579" s="636"/>
      <c r="E579" s="636"/>
      <c r="F579" s="636"/>
    </row>
    <row r="580" spans="2:6" x14ac:dyDescent="0.2">
      <c r="B580" s="636"/>
      <c r="E580" s="636"/>
      <c r="F580" s="636"/>
    </row>
    <row r="581" spans="2:6" x14ac:dyDescent="0.2">
      <c r="B581" s="636"/>
      <c r="E581" s="636"/>
      <c r="F581" s="636"/>
    </row>
    <row r="582" spans="2:6" x14ac:dyDescent="0.2">
      <c r="B582" s="636"/>
      <c r="E582" s="636"/>
      <c r="F582" s="636"/>
    </row>
    <row r="583" spans="2:6" x14ac:dyDescent="0.2">
      <c r="B583" s="636"/>
      <c r="E583" s="636"/>
      <c r="F583" s="636"/>
    </row>
    <row r="584" spans="2:6" x14ac:dyDescent="0.2">
      <c r="B584" s="636"/>
      <c r="E584" s="636"/>
      <c r="F584" s="636"/>
    </row>
    <row r="585" spans="2:6" x14ac:dyDescent="0.2">
      <c r="B585" s="636"/>
      <c r="E585" s="636"/>
      <c r="F585" s="636"/>
    </row>
    <row r="586" spans="2:6" x14ac:dyDescent="0.2">
      <c r="B586" s="636"/>
      <c r="E586" s="636"/>
      <c r="F586" s="636"/>
    </row>
    <row r="587" spans="2:6" x14ac:dyDescent="0.2">
      <c r="B587" s="636"/>
      <c r="E587" s="636"/>
      <c r="F587" s="636"/>
    </row>
    <row r="588" spans="2:6" x14ac:dyDescent="0.2">
      <c r="B588" s="636"/>
      <c r="E588" s="636"/>
      <c r="F588" s="636"/>
    </row>
    <row r="589" spans="2:6" x14ac:dyDescent="0.2">
      <c r="B589" s="636"/>
      <c r="E589" s="636"/>
      <c r="F589" s="636"/>
    </row>
    <row r="590" spans="2:6" x14ac:dyDescent="0.2">
      <c r="B590" s="636"/>
      <c r="E590" s="636"/>
      <c r="F590" s="636"/>
    </row>
    <row r="591" spans="2:6" x14ac:dyDescent="0.2">
      <c r="B591" s="636"/>
      <c r="E591" s="636"/>
      <c r="F591" s="636"/>
    </row>
    <row r="592" spans="2:6" x14ac:dyDescent="0.2">
      <c r="B592" s="636"/>
      <c r="E592" s="636"/>
      <c r="F592" s="636"/>
    </row>
    <row r="593" spans="2:6" x14ac:dyDescent="0.2">
      <c r="B593" s="636"/>
      <c r="E593" s="636"/>
      <c r="F593" s="636"/>
    </row>
    <row r="594" spans="2:6" x14ac:dyDescent="0.2">
      <c r="B594" s="636"/>
      <c r="E594" s="636"/>
      <c r="F594" s="636"/>
    </row>
    <row r="595" spans="2:6" x14ac:dyDescent="0.2">
      <c r="B595" s="636"/>
      <c r="E595" s="636"/>
      <c r="F595" s="636"/>
    </row>
    <row r="596" spans="2:6" x14ac:dyDescent="0.2">
      <c r="B596" s="636"/>
      <c r="E596" s="636"/>
      <c r="F596" s="636"/>
    </row>
    <row r="597" spans="2:6" x14ac:dyDescent="0.2">
      <c r="B597" s="636"/>
      <c r="E597" s="636"/>
      <c r="F597" s="636"/>
    </row>
    <row r="598" spans="2:6" x14ac:dyDescent="0.2">
      <c r="B598" s="636"/>
      <c r="E598" s="636"/>
      <c r="F598" s="636"/>
    </row>
    <row r="599" spans="2:6" x14ac:dyDescent="0.2">
      <c r="B599" s="636"/>
      <c r="E599" s="636"/>
      <c r="F599" s="636"/>
    </row>
    <row r="600" spans="2:6" x14ac:dyDescent="0.2">
      <c r="B600" s="636"/>
      <c r="E600" s="636"/>
      <c r="F600" s="636"/>
    </row>
    <row r="601" spans="2:6" x14ac:dyDescent="0.2">
      <c r="B601" s="636"/>
      <c r="E601" s="636"/>
      <c r="F601" s="636"/>
    </row>
    <row r="602" spans="2:6" x14ac:dyDescent="0.2">
      <c r="B602" s="636"/>
      <c r="E602" s="636"/>
      <c r="F602" s="636"/>
    </row>
    <row r="603" spans="2:6" x14ac:dyDescent="0.2">
      <c r="B603" s="636"/>
      <c r="E603" s="636"/>
      <c r="F603" s="636"/>
    </row>
    <row r="604" spans="2:6" x14ac:dyDescent="0.2">
      <c r="B604" s="636"/>
      <c r="E604" s="636"/>
      <c r="F604" s="636"/>
    </row>
    <row r="605" spans="2:6" x14ac:dyDescent="0.2">
      <c r="B605" s="636"/>
      <c r="E605" s="636"/>
      <c r="F605" s="636"/>
    </row>
    <row r="606" spans="2:6" x14ac:dyDescent="0.2">
      <c r="B606" s="636"/>
      <c r="E606" s="636"/>
      <c r="F606" s="636"/>
    </row>
    <row r="607" spans="2:6" x14ac:dyDescent="0.2">
      <c r="B607" s="636"/>
      <c r="E607" s="636"/>
      <c r="F607" s="636"/>
    </row>
    <row r="608" spans="2:6" x14ac:dyDescent="0.2">
      <c r="B608" s="636"/>
      <c r="E608" s="636"/>
      <c r="F608" s="636"/>
    </row>
    <row r="609" spans="2:6" x14ac:dyDescent="0.2">
      <c r="B609" s="636"/>
      <c r="E609" s="636"/>
      <c r="F609" s="636"/>
    </row>
    <row r="610" spans="2:6" x14ac:dyDescent="0.2">
      <c r="B610" s="636"/>
      <c r="E610" s="636"/>
      <c r="F610" s="636"/>
    </row>
    <row r="611" spans="2:6" x14ac:dyDescent="0.2">
      <c r="B611" s="636"/>
      <c r="E611" s="636"/>
      <c r="F611" s="636"/>
    </row>
    <row r="612" spans="2:6" x14ac:dyDescent="0.2">
      <c r="B612" s="636"/>
      <c r="E612" s="636"/>
      <c r="F612" s="636"/>
    </row>
    <row r="613" spans="2:6" x14ac:dyDescent="0.2">
      <c r="B613" s="636"/>
      <c r="E613" s="636"/>
      <c r="F613" s="636"/>
    </row>
    <row r="614" spans="2:6" x14ac:dyDescent="0.2">
      <c r="B614" s="636"/>
      <c r="E614" s="636"/>
      <c r="F614" s="636"/>
    </row>
    <row r="615" spans="2:6" x14ac:dyDescent="0.2">
      <c r="B615" s="636"/>
      <c r="E615" s="636"/>
      <c r="F615" s="636"/>
    </row>
    <row r="616" spans="2:6" x14ac:dyDescent="0.2">
      <c r="B616" s="636"/>
      <c r="E616" s="636"/>
      <c r="F616" s="636"/>
    </row>
    <row r="617" spans="2:6" x14ac:dyDescent="0.2">
      <c r="B617" s="636"/>
      <c r="E617" s="636"/>
      <c r="F617" s="636"/>
    </row>
    <row r="618" spans="2:6" x14ac:dyDescent="0.2">
      <c r="B618" s="636"/>
      <c r="E618" s="636"/>
      <c r="F618" s="636"/>
    </row>
    <row r="619" spans="2:6" x14ac:dyDescent="0.2">
      <c r="B619" s="636"/>
      <c r="E619" s="636"/>
      <c r="F619" s="636"/>
    </row>
    <row r="620" spans="2:6" x14ac:dyDescent="0.2">
      <c r="B620" s="636"/>
      <c r="E620" s="636"/>
      <c r="F620" s="636"/>
    </row>
    <row r="621" spans="2:6" x14ac:dyDescent="0.2">
      <c r="B621" s="636"/>
      <c r="E621" s="636"/>
      <c r="F621" s="636"/>
    </row>
    <row r="622" spans="2:6" x14ac:dyDescent="0.2">
      <c r="B622" s="636"/>
      <c r="E622" s="636"/>
      <c r="F622" s="636"/>
    </row>
    <row r="623" spans="2:6" x14ac:dyDescent="0.2">
      <c r="B623" s="636"/>
      <c r="E623" s="636"/>
      <c r="F623" s="636"/>
    </row>
    <row r="624" spans="2:6" x14ac:dyDescent="0.2">
      <c r="B624" s="636"/>
      <c r="E624" s="636"/>
      <c r="F624" s="636"/>
    </row>
    <row r="625" spans="2:6" x14ac:dyDescent="0.2">
      <c r="B625" s="636"/>
      <c r="E625" s="636"/>
      <c r="F625" s="636"/>
    </row>
    <row r="626" spans="2:6" x14ac:dyDescent="0.2">
      <c r="B626" s="636"/>
      <c r="E626" s="636"/>
      <c r="F626" s="636"/>
    </row>
    <row r="627" spans="2:6" x14ac:dyDescent="0.2">
      <c r="B627" s="636"/>
      <c r="E627" s="636"/>
      <c r="F627" s="636"/>
    </row>
    <row r="628" spans="2:6" x14ac:dyDescent="0.2">
      <c r="B628" s="636"/>
      <c r="E628" s="636"/>
      <c r="F628" s="636"/>
    </row>
    <row r="629" spans="2:6" x14ac:dyDescent="0.2">
      <c r="B629" s="636"/>
      <c r="E629" s="636"/>
      <c r="F629" s="636"/>
    </row>
    <row r="630" spans="2:6" x14ac:dyDescent="0.2">
      <c r="B630" s="636"/>
      <c r="E630" s="636"/>
      <c r="F630" s="636"/>
    </row>
    <row r="631" spans="2:6" x14ac:dyDescent="0.2">
      <c r="B631" s="636"/>
      <c r="E631" s="636"/>
      <c r="F631" s="636"/>
    </row>
    <row r="632" spans="2:6" x14ac:dyDescent="0.2">
      <c r="B632" s="636"/>
      <c r="E632" s="636"/>
      <c r="F632" s="636"/>
    </row>
    <row r="633" spans="2:6" x14ac:dyDescent="0.2">
      <c r="B633" s="636"/>
      <c r="E633" s="636"/>
      <c r="F633" s="636"/>
    </row>
    <row r="634" spans="2:6" x14ac:dyDescent="0.2">
      <c r="B634" s="636"/>
      <c r="E634" s="636"/>
      <c r="F634" s="636"/>
    </row>
    <row r="635" spans="2:6" x14ac:dyDescent="0.2">
      <c r="B635" s="636"/>
      <c r="E635" s="636"/>
      <c r="F635" s="636"/>
    </row>
    <row r="636" spans="2:6" x14ac:dyDescent="0.2">
      <c r="B636" s="636"/>
      <c r="E636" s="636"/>
      <c r="F636" s="636"/>
    </row>
    <row r="637" spans="2:6" x14ac:dyDescent="0.2">
      <c r="B637" s="636"/>
      <c r="E637" s="636"/>
      <c r="F637" s="636"/>
    </row>
    <row r="638" spans="2:6" x14ac:dyDescent="0.2">
      <c r="B638" s="636"/>
      <c r="E638" s="636"/>
      <c r="F638" s="636"/>
    </row>
    <row r="639" spans="2:6" x14ac:dyDescent="0.2">
      <c r="B639" s="636"/>
      <c r="E639" s="636"/>
      <c r="F639" s="636"/>
    </row>
    <row r="640" spans="2:6" x14ac:dyDescent="0.2">
      <c r="B640" s="636"/>
      <c r="E640" s="636"/>
      <c r="F640" s="636"/>
    </row>
    <row r="641" spans="2:6" x14ac:dyDescent="0.2">
      <c r="B641" s="636"/>
      <c r="E641" s="636"/>
      <c r="F641" s="636"/>
    </row>
    <row r="642" spans="2:6" x14ac:dyDescent="0.2">
      <c r="B642" s="636"/>
      <c r="E642" s="636"/>
      <c r="F642" s="636"/>
    </row>
    <row r="643" spans="2:6" x14ac:dyDescent="0.2">
      <c r="B643" s="636"/>
      <c r="E643" s="636"/>
      <c r="F643" s="636"/>
    </row>
    <row r="644" spans="2:6" x14ac:dyDescent="0.2">
      <c r="B644" s="636"/>
      <c r="E644" s="636"/>
      <c r="F644" s="636"/>
    </row>
    <row r="645" spans="2:6" x14ac:dyDescent="0.2">
      <c r="B645" s="636"/>
      <c r="E645" s="636"/>
      <c r="F645" s="636"/>
    </row>
    <row r="646" spans="2:6" x14ac:dyDescent="0.2">
      <c r="B646" s="636"/>
      <c r="E646" s="636"/>
      <c r="F646" s="636"/>
    </row>
    <row r="647" spans="2:6" x14ac:dyDescent="0.2">
      <c r="B647" s="636"/>
      <c r="E647" s="636"/>
      <c r="F647" s="636"/>
    </row>
    <row r="648" spans="2:6" x14ac:dyDescent="0.2">
      <c r="B648" s="636"/>
      <c r="E648" s="636"/>
      <c r="F648" s="636"/>
    </row>
    <row r="649" spans="2:6" x14ac:dyDescent="0.2">
      <c r="B649" s="636"/>
      <c r="E649" s="636"/>
      <c r="F649" s="636"/>
    </row>
    <row r="650" spans="2:6" x14ac:dyDescent="0.2">
      <c r="B650" s="636"/>
      <c r="E650" s="636"/>
      <c r="F650" s="636"/>
    </row>
    <row r="651" spans="2:6" x14ac:dyDescent="0.2">
      <c r="B651" s="636"/>
      <c r="E651" s="636"/>
      <c r="F651" s="636"/>
    </row>
    <row r="652" spans="2:6" x14ac:dyDescent="0.2">
      <c r="B652" s="636"/>
      <c r="E652" s="636"/>
      <c r="F652" s="636"/>
    </row>
    <row r="653" spans="2:6" x14ac:dyDescent="0.2">
      <c r="B653" s="636"/>
      <c r="E653" s="636"/>
      <c r="F653" s="636"/>
    </row>
    <row r="654" spans="2:6" x14ac:dyDescent="0.2">
      <c r="B654" s="636"/>
      <c r="E654" s="636"/>
      <c r="F654" s="636"/>
    </row>
    <row r="655" spans="2:6" x14ac:dyDescent="0.2">
      <c r="B655" s="636"/>
      <c r="E655" s="636"/>
      <c r="F655" s="636"/>
    </row>
    <row r="656" spans="2:6" x14ac:dyDescent="0.2">
      <c r="B656" s="636"/>
      <c r="E656" s="636"/>
      <c r="F656" s="636"/>
    </row>
    <row r="657" spans="2:6" x14ac:dyDescent="0.2">
      <c r="B657" s="636"/>
      <c r="E657" s="636"/>
      <c r="F657" s="636"/>
    </row>
    <row r="658" spans="2:6" x14ac:dyDescent="0.2">
      <c r="B658" s="636"/>
      <c r="E658" s="636"/>
      <c r="F658" s="636"/>
    </row>
    <row r="659" spans="2:6" x14ac:dyDescent="0.2">
      <c r="B659" s="636"/>
      <c r="E659" s="636"/>
      <c r="F659" s="636"/>
    </row>
    <row r="660" spans="2:6" x14ac:dyDescent="0.2">
      <c r="B660" s="636"/>
      <c r="E660" s="636"/>
      <c r="F660" s="636"/>
    </row>
    <row r="661" spans="2:6" x14ac:dyDescent="0.2">
      <c r="B661" s="636"/>
      <c r="E661" s="636"/>
      <c r="F661" s="636"/>
    </row>
    <row r="662" spans="2:6" x14ac:dyDescent="0.2">
      <c r="B662" s="636"/>
      <c r="E662" s="636"/>
      <c r="F662" s="636"/>
    </row>
    <row r="663" spans="2:6" x14ac:dyDescent="0.2">
      <c r="B663" s="636"/>
      <c r="E663" s="636"/>
      <c r="F663" s="636"/>
    </row>
    <row r="664" spans="2:6" x14ac:dyDescent="0.2">
      <c r="B664" s="636"/>
      <c r="E664" s="636"/>
      <c r="F664" s="636"/>
    </row>
    <row r="665" spans="2:6" x14ac:dyDescent="0.2">
      <c r="B665" s="636"/>
      <c r="E665" s="636"/>
      <c r="F665" s="636"/>
    </row>
    <row r="666" spans="2:6" x14ac:dyDescent="0.2">
      <c r="B666" s="636"/>
      <c r="E666" s="636"/>
      <c r="F666" s="636"/>
    </row>
    <row r="667" spans="2:6" x14ac:dyDescent="0.2">
      <c r="B667" s="636"/>
      <c r="E667" s="636"/>
      <c r="F667" s="636"/>
    </row>
    <row r="668" spans="2:6" x14ac:dyDescent="0.2">
      <c r="B668" s="636"/>
      <c r="E668" s="636"/>
      <c r="F668" s="636"/>
    </row>
    <row r="669" spans="2:6" x14ac:dyDescent="0.2">
      <c r="B669" s="636"/>
      <c r="E669" s="636"/>
      <c r="F669" s="636"/>
    </row>
    <row r="670" spans="2:6" x14ac:dyDescent="0.2">
      <c r="B670" s="636"/>
      <c r="E670" s="636"/>
      <c r="F670" s="636"/>
    </row>
    <row r="671" spans="2:6" x14ac:dyDescent="0.2">
      <c r="B671" s="636"/>
      <c r="E671" s="636"/>
      <c r="F671" s="636"/>
    </row>
    <row r="672" spans="2:6" x14ac:dyDescent="0.2">
      <c r="B672" s="636"/>
      <c r="E672" s="636"/>
      <c r="F672" s="636"/>
    </row>
    <row r="673" spans="2:6" x14ac:dyDescent="0.2">
      <c r="B673" s="636"/>
      <c r="E673" s="636"/>
      <c r="F673" s="636"/>
    </row>
    <row r="674" spans="2:6" x14ac:dyDescent="0.2">
      <c r="B674" s="636"/>
      <c r="E674" s="636"/>
      <c r="F674" s="636"/>
    </row>
    <row r="675" spans="2:6" x14ac:dyDescent="0.2">
      <c r="B675" s="636"/>
      <c r="E675" s="636"/>
      <c r="F675" s="636"/>
    </row>
    <row r="676" spans="2:6" x14ac:dyDescent="0.2">
      <c r="B676" s="636"/>
      <c r="E676" s="636"/>
      <c r="F676" s="636"/>
    </row>
    <row r="677" spans="2:6" x14ac:dyDescent="0.2">
      <c r="B677" s="636"/>
      <c r="E677" s="636"/>
      <c r="F677" s="636"/>
    </row>
    <row r="678" spans="2:6" x14ac:dyDescent="0.2">
      <c r="B678" s="636"/>
      <c r="E678" s="636"/>
      <c r="F678" s="636"/>
    </row>
    <row r="679" spans="2:6" x14ac:dyDescent="0.2">
      <c r="B679" s="636"/>
      <c r="E679" s="636"/>
      <c r="F679" s="636"/>
    </row>
    <row r="680" spans="2:6" x14ac:dyDescent="0.2">
      <c r="B680" s="636"/>
      <c r="E680" s="636"/>
      <c r="F680" s="636"/>
    </row>
    <row r="681" spans="2:6" x14ac:dyDescent="0.2">
      <c r="B681" s="636"/>
      <c r="E681" s="636"/>
      <c r="F681" s="636"/>
    </row>
    <row r="682" spans="2:6" x14ac:dyDescent="0.2">
      <c r="B682" s="636"/>
      <c r="E682" s="636"/>
      <c r="F682" s="636"/>
    </row>
    <row r="683" spans="2:6" x14ac:dyDescent="0.2">
      <c r="B683" s="636"/>
      <c r="E683" s="636"/>
      <c r="F683" s="636"/>
    </row>
    <row r="684" spans="2:6" x14ac:dyDescent="0.2">
      <c r="B684" s="636"/>
      <c r="E684" s="636"/>
      <c r="F684" s="636"/>
    </row>
    <row r="685" spans="2:6" x14ac:dyDescent="0.2">
      <c r="B685" s="636"/>
      <c r="E685" s="636"/>
      <c r="F685" s="636"/>
    </row>
    <row r="686" spans="2:6" x14ac:dyDescent="0.2">
      <c r="B686" s="636"/>
      <c r="E686" s="636"/>
      <c r="F686" s="636"/>
    </row>
    <row r="687" spans="2:6" x14ac:dyDescent="0.2">
      <c r="B687" s="636"/>
      <c r="E687" s="636"/>
      <c r="F687" s="636"/>
    </row>
    <row r="688" spans="2:6" x14ac:dyDescent="0.2">
      <c r="B688" s="636"/>
      <c r="E688" s="636"/>
      <c r="F688" s="636"/>
    </row>
    <row r="689" spans="2:6" x14ac:dyDescent="0.2">
      <c r="B689" s="636"/>
      <c r="E689" s="636"/>
      <c r="F689" s="636"/>
    </row>
    <row r="690" spans="2:6" x14ac:dyDescent="0.2">
      <c r="B690" s="636"/>
      <c r="E690" s="636"/>
      <c r="F690" s="636"/>
    </row>
    <row r="691" spans="2:6" x14ac:dyDescent="0.2">
      <c r="B691" s="636"/>
      <c r="E691" s="636"/>
      <c r="F691" s="636"/>
    </row>
    <row r="692" spans="2:6" x14ac:dyDescent="0.2">
      <c r="B692" s="636"/>
      <c r="E692" s="636"/>
      <c r="F692" s="636"/>
    </row>
    <row r="693" spans="2:6" x14ac:dyDescent="0.2">
      <c r="B693" s="636"/>
      <c r="E693" s="636"/>
      <c r="F693" s="636"/>
    </row>
    <row r="694" spans="2:6" x14ac:dyDescent="0.2">
      <c r="B694" s="636"/>
      <c r="E694" s="636"/>
      <c r="F694" s="636"/>
    </row>
    <row r="695" spans="2:6" x14ac:dyDescent="0.2">
      <c r="B695" s="636"/>
      <c r="E695" s="636"/>
      <c r="F695" s="636"/>
    </row>
    <row r="696" spans="2:6" x14ac:dyDescent="0.2">
      <c r="B696" s="636"/>
      <c r="E696" s="636"/>
      <c r="F696" s="636"/>
    </row>
    <row r="697" spans="2:6" x14ac:dyDescent="0.2">
      <c r="B697" s="636"/>
      <c r="E697" s="636"/>
      <c r="F697" s="636"/>
    </row>
    <row r="698" spans="2:6" x14ac:dyDescent="0.2">
      <c r="B698" s="636"/>
      <c r="E698" s="636"/>
      <c r="F698" s="636"/>
    </row>
    <row r="699" spans="2:6" x14ac:dyDescent="0.2">
      <c r="B699" s="636"/>
      <c r="E699" s="636"/>
      <c r="F699" s="636"/>
    </row>
    <row r="700" spans="2:6" x14ac:dyDescent="0.2">
      <c r="B700" s="636"/>
      <c r="E700" s="636"/>
      <c r="F700" s="636"/>
    </row>
    <row r="701" spans="2:6" x14ac:dyDescent="0.2">
      <c r="B701" s="636"/>
      <c r="E701" s="636"/>
      <c r="F701" s="636"/>
    </row>
    <row r="702" spans="2:6" x14ac:dyDescent="0.2">
      <c r="B702" s="636"/>
      <c r="E702" s="636"/>
      <c r="F702" s="636"/>
    </row>
    <row r="703" spans="2:6" x14ac:dyDescent="0.2">
      <c r="B703" s="636"/>
      <c r="E703" s="636"/>
      <c r="F703" s="636"/>
    </row>
    <row r="704" spans="2:6" x14ac:dyDescent="0.2">
      <c r="B704" s="636"/>
      <c r="E704" s="636"/>
      <c r="F704" s="636"/>
    </row>
    <row r="705" spans="2:6" x14ac:dyDescent="0.2">
      <c r="B705" s="636"/>
      <c r="E705" s="636"/>
      <c r="F705" s="636"/>
    </row>
    <row r="706" spans="2:6" x14ac:dyDescent="0.2">
      <c r="B706" s="636"/>
      <c r="E706" s="636"/>
      <c r="F706" s="636"/>
    </row>
    <row r="707" spans="2:6" x14ac:dyDescent="0.2">
      <c r="B707" s="636"/>
      <c r="E707" s="636"/>
      <c r="F707" s="636"/>
    </row>
    <row r="708" spans="2:6" x14ac:dyDescent="0.2">
      <c r="B708" s="636"/>
      <c r="E708" s="636"/>
      <c r="F708" s="636"/>
    </row>
    <row r="709" spans="2:6" x14ac:dyDescent="0.2">
      <c r="B709" s="636"/>
      <c r="E709" s="636"/>
      <c r="F709" s="636"/>
    </row>
    <row r="710" spans="2:6" x14ac:dyDescent="0.2">
      <c r="B710" s="636"/>
      <c r="E710" s="636"/>
      <c r="F710" s="636"/>
    </row>
    <row r="711" spans="2:6" x14ac:dyDescent="0.2">
      <c r="B711" s="636"/>
      <c r="E711" s="636"/>
      <c r="F711" s="636"/>
    </row>
    <row r="712" spans="2:6" x14ac:dyDescent="0.2">
      <c r="B712" s="636"/>
      <c r="E712" s="636"/>
      <c r="F712" s="636"/>
    </row>
    <row r="713" spans="2:6" x14ac:dyDescent="0.2">
      <c r="B713" s="636"/>
      <c r="E713" s="636"/>
      <c r="F713" s="636"/>
    </row>
    <row r="714" spans="2:6" x14ac:dyDescent="0.2">
      <c r="B714" s="636"/>
      <c r="E714" s="636"/>
      <c r="F714" s="636"/>
    </row>
    <row r="715" spans="2:6" x14ac:dyDescent="0.2">
      <c r="B715" s="636"/>
      <c r="E715" s="636"/>
      <c r="F715" s="636"/>
    </row>
    <row r="716" spans="2:6" x14ac:dyDescent="0.2">
      <c r="B716" s="636"/>
      <c r="E716" s="636"/>
      <c r="F716" s="636"/>
    </row>
    <row r="717" spans="2:6" x14ac:dyDescent="0.2">
      <c r="B717" s="636"/>
      <c r="E717" s="636"/>
      <c r="F717" s="636"/>
    </row>
    <row r="718" spans="2:6" x14ac:dyDescent="0.2">
      <c r="B718" s="636"/>
      <c r="E718" s="636"/>
      <c r="F718" s="636"/>
    </row>
    <row r="719" spans="2:6" x14ac:dyDescent="0.2">
      <c r="B719" s="636"/>
      <c r="E719" s="636"/>
      <c r="F719" s="636"/>
    </row>
    <row r="720" spans="2:6" x14ac:dyDescent="0.2">
      <c r="B720" s="636"/>
      <c r="E720" s="636"/>
      <c r="F720" s="636"/>
    </row>
    <row r="721" spans="2:6" x14ac:dyDescent="0.2">
      <c r="B721" s="636"/>
      <c r="E721" s="636"/>
      <c r="F721" s="636"/>
    </row>
    <row r="722" spans="2:6" x14ac:dyDescent="0.2">
      <c r="B722" s="636"/>
      <c r="E722" s="636"/>
      <c r="F722" s="636"/>
    </row>
    <row r="723" spans="2:6" x14ac:dyDescent="0.2">
      <c r="B723" s="636"/>
      <c r="E723" s="636"/>
      <c r="F723" s="636"/>
    </row>
    <row r="724" spans="2:6" x14ac:dyDescent="0.2">
      <c r="B724" s="636"/>
      <c r="E724" s="636"/>
      <c r="F724" s="636"/>
    </row>
    <row r="725" spans="2:6" x14ac:dyDescent="0.2">
      <c r="B725" s="636"/>
      <c r="E725" s="636"/>
      <c r="F725" s="636"/>
    </row>
    <row r="726" spans="2:6" x14ac:dyDescent="0.2">
      <c r="B726" s="636"/>
      <c r="E726" s="636"/>
      <c r="F726" s="636"/>
    </row>
    <row r="727" spans="2:6" x14ac:dyDescent="0.2">
      <c r="B727" s="636"/>
      <c r="E727" s="636"/>
      <c r="F727" s="636"/>
    </row>
    <row r="728" spans="2:6" x14ac:dyDescent="0.2">
      <c r="B728" s="636"/>
      <c r="E728" s="636"/>
      <c r="F728" s="636"/>
    </row>
    <row r="729" spans="2:6" x14ac:dyDescent="0.2">
      <c r="B729" s="636"/>
      <c r="E729" s="636"/>
      <c r="F729" s="636"/>
    </row>
    <row r="730" spans="2:6" x14ac:dyDescent="0.2">
      <c r="B730" s="636"/>
      <c r="E730" s="636"/>
      <c r="F730" s="636"/>
    </row>
    <row r="731" spans="2:6" x14ac:dyDescent="0.2">
      <c r="B731" s="636"/>
      <c r="E731" s="636"/>
      <c r="F731" s="636"/>
    </row>
    <row r="732" spans="2:6" x14ac:dyDescent="0.2">
      <c r="B732" s="636"/>
      <c r="E732" s="636"/>
      <c r="F732" s="636"/>
    </row>
    <row r="733" spans="2:6" x14ac:dyDescent="0.2">
      <c r="B733" s="636"/>
      <c r="E733" s="636"/>
      <c r="F733" s="636"/>
    </row>
    <row r="734" spans="2:6" x14ac:dyDescent="0.2">
      <c r="B734" s="636"/>
      <c r="E734" s="636"/>
      <c r="F734" s="636"/>
    </row>
    <row r="735" spans="2:6" x14ac:dyDescent="0.2">
      <c r="B735" s="636"/>
      <c r="E735" s="636"/>
      <c r="F735" s="636"/>
    </row>
    <row r="736" spans="2:6" x14ac:dyDescent="0.2">
      <c r="B736" s="636"/>
      <c r="E736" s="636"/>
      <c r="F736" s="636"/>
    </row>
    <row r="737" spans="2:6" x14ac:dyDescent="0.2">
      <c r="B737" s="636"/>
      <c r="E737" s="636"/>
      <c r="F737" s="636"/>
    </row>
    <row r="738" spans="2:6" x14ac:dyDescent="0.2">
      <c r="B738" s="636"/>
      <c r="E738" s="636"/>
      <c r="F738" s="636"/>
    </row>
    <row r="739" spans="2:6" x14ac:dyDescent="0.2">
      <c r="B739" s="636"/>
      <c r="E739" s="636"/>
      <c r="F739" s="636"/>
    </row>
    <row r="740" spans="2:6" x14ac:dyDescent="0.2">
      <c r="B740" s="636"/>
      <c r="E740" s="636"/>
      <c r="F740" s="636"/>
    </row>
    <row r="741" spans="2:6" x14ac:dyDescent="0.2">
      <c r="B741" s="636"/>
      <c r="E741" s="636"/>
      <c r="F741" s="636"/>
    </row>
    <row r="742" spans="2:6" x14ac:dyDescent="0.2">
      <c r="B742" s="636"/>
      <c r="E742" s="636"/>
      <c r="F742" s="636"/>
    </row>
    <row r="743" spans="2:6" x14ac:dyDescent="0.2">
      <c r="B743" s="636"/>
      <c r="E743" s="636"/>
      <c r="F743" s="636"/>
    </row>
    <row r="744" spans="2:6" x14ac:dyDescent="0.2">
      <c r="B744" s="636"/>
      <c r="E744" s="636"/>
      <c r="F744" s="636"/>
    </row>
    <row r="745" spans="2:6" x14ac:dyDescent="0.2">
      <c r="B745" s="636"/>
      <c r="E745" s="636"/>
      <c r="F745" s="636"/>
    </row>
    <row r="746" spans="2:6" x14ac:dyDescent="0.2">
      <c r="B746" s="636"/>
      <c r="E746" s="636"/>
      <c r="F746" s="636"/>
    </row>
    <row r="747" spans="2:6" x14ac:dyDescent="0.2">
      <c r="B747" s="636"/>
      <c r="E747" s="636"/>
      <c r="F747" s="636"/>
    </row>
    <row r="748" spans="2:6" x14ac:dyDescent="0.2">
      <c r="B748" s="636"/>
      <c r="E748" s="636"/>
      <c r="F748" s="636"/>
    </row>
    <row r="749" spans="2:6" x14ac:dyDescent="0.2">
      <c r="B749" s="636"/>
      <c r="E749" s="636"/>
      <c r="F749" s="636"/>
    </row>
    <row r="750" spans="2:6" x14ac:dyDescent="0.2">
      <c r="B750" s="636"/>
      <c r="E750" s="636"/>
      <c r="F750" s="636"/>
    </row>
    <row r="751" spans="2:6" x14ac:dyDescent="0.2">
      <c r="B751" s="636"/>
      <c r="E751" s="636"/>
      <c r="F751" s="636"/>
    </row>
    <row r="752" spans="2:6" x14ac:dyDescent="0.2">
      <c r="B752" s="636"/>
      <c r="E752" s="636"/>
      <c r="F752" s="636"/>
    </row>
    <row r="753" spans="2:6" x14ac:dyDescent="0.2">
      <c r="B753" s="636"/>
      <c r="E753" s="636"/>
      <c r="F753" s="636"/>
    </row>
    <row r="754" spans="2:6" x14ac:dyDescent="0.2">
      <c r="B754" s="636"/>
      <c r="E754" s="636"/>
      <c r="F754" s="636"/>
    </row>
    <row r="755" spans="2:6" x14ac:dyDescent="0.2">
      <c r="B755" s="636"/>
      <c r="E755" s="636"/>
      <c r="F755" s="636"/>
    </row>
    <row r="756" spans="2:6" x14ac:dyDescent="0.2">
      <c r="B756" s="636"/>
      <c r="E756" s="636"/>
      <c r="F756" s="636"/>
    </row>
    <row r="757" spans="2:6" x14ac:dyDescent="0.2">
      <c r="B757" s="636"/>
      <c r="E757" s="636"/>
      <c r="F757" s="636"/>
    </row>
    <row r="758" spans="2:6" x14ac:dyDescent="0.2">
      <c r="B758" s="636"/>
      <c r="E758" s="636"/>
      <c r="F758" s="636"/>
    </row>
    <row r="759" spans="2:6" x14ac:dyDescent="0.2">
      <c r="B759" s="636"/>
      <c r="E759" s="636"/>
      <c r="F759" s="636"/>
    </row>
    <row r="760" spans="2:6" x14ac:dyDescent="0.2">
      <c r="B760" s="636"/>
      <c r="E760" s="636"/>
      <c r="F760" s="636"/>
    </row>
    <row r="761" spans="2:6" x14ac:dyDescent="0.2">
      <c r="B761" s="636"/>
      <c r="E761" s="636"/>
      <c r="F761" s="636"/>
    </row>
    <row r="762" spans="2:6" x14ac:dyDescent="0.2">
      <c r="B762" s="636"/>
      <c r="E762" s="636"/>
      <c r="F762" s="636"/>
    </row>
    <row r="763" spans="2:6" x14ac:dyDescent="0.2">
      <c r="B763" s="636"/>
      <c r="E763" s="636"/>
      <c r="F763" s="636"/>
    </row>
    <row r="764" spans="2:6" x14ac:dyDescent="0.2">
      <c r="B764" s="636"/>
      <c r="E764" s="636"/>
      <c r="F764" s="636"/>
    </row>
    <row r="765" spans="2:6" x14ac:dyDescent="0.2">
      <c r="B765" s="636"/>
      <c r="E765" s="636"/>
      <c r="F765" s="636"/>
    </row>
    <row r="766" spans="2:6" x14ac:dyDescent="0.2">
      <c r="B766" s="636"/>
      <c r="E766" s="636"/>
      <c r="F766" s="636"/>
    </row>
    <row r="767" spans="2:6" x14ac:dyDescent="0.2">
      <c r="B767" s="636"/>
      <c r="E767" s="636"/>
      <c r="F767" s="636"/>
    </row>
    <row r="768" spans="2:6" x14ac:dyDescent="0.2">
      <c r="B768" s="636"/>
      <c r="E768" s="636"/>
      <c r="F768" s="636"/>
    </row>
    <row r="769" spans="2:6" x14ac:dyDescent="0.2">
      <c r="B769" s="636"/>
      <c r="E769" s="636"/>
      <c r="F769" s="636"/>
    </row>
    <row r="770" spans="2:6" x14ac:dyDescent="0.2">
      <c r="B770" s="636"/>
      <c r="E770" s="636"/>
      <c r="F770" s="636"/>
    </row>
    <row r="771" spans="2:6" x14ac:dyDescent="0.2">
      <c r="B771" s="636"/>
      <c r="E771" s="636"/>
      <c r="F771" s="636"/>
    </row>
    <row r="772" spans="2:6" x14ac:dyDescent="0.2">
      <c r="B772" s="636"/>
      <c r="E772" s="636"/>
      <c r="F772" s="636"/>
    </row>
    <row r="773" spans="2:6" x14ac:dyDescent="0.2">
      <c r="B773" s="636"/>
      <c r="E773" s="636"/>
      <c r="F773" s="636"/>
    </row>
    <row r="774" spans="2:6" x14ac:dyDescent="0.2">
      <c r="B774" s="636"/>
      <c r="E774" s="636"/>
      <c r="F774" s="636"/>
    </row>
    <row r="775" spans="2:6" x14ac:dyDescent="0.2">
      <c r="B775" s="636"/>
      <c r="E775" s="636"/>
      <c r="F775" s="636"/>
    </row>
    <row r="776" spans="2:6" x14ac:dyDescent="0.2">
      <c r="B776" s="636"/>
      <c r="E776" s="636"/>
      <c r="F776" s="636"/>
    </row>
    <row r="777" spans="2:6" x14ac:dyDescent="0.2">
      <c r="B777" s="636"/>
      <c r="E777" s="636"/>
      <c r="F777" s="636"/>
    </row>
    <row r="778" spans="2:6" x14ac:dyDescent="0.2">
      <c r="B778" s="636"/>
      <c r="E778" s="636"/>
      <c r="F778" s="636"/>
    </row>
    <row r="779" spans="2:6" x14ac:dyDescent="0.2">
      <c r="B779" s="636"/>
      <c r="E779" s="636"/>
      <c r="F779" s="636"/>
    </row>
    <row r="780" spans="2:6" x14ac:dyDescent="0.2">
      <c r="B780" s="636"/>
      <c r="E780" s="636"/>
      <c r="F780" s="636"/>
    </row>
    <row r="781" spans="2:6" x14ac:dyDescent="0.2">
      <c r="B781" s="636"/>
      <c r="E781" s="636"/>
      <c r="F781" s="636"/>
    </row>
    <row r="782" spans="2:6" x14ac:dyDescent="0.2">
      <c r="B782" s="636"/>
      <c r="E782" s="636"/>
      <c r="F782" s="636"/>
    </row>
    <row r="783" spans="2:6" x14ac:dyDescent="0.2">
      <c r="B783" s="636"/>
      <c r="E783" s="636"/>
      <c r="F783" s="636"/>
    </row>
    <row r="784" spans="2:6" x14ac:dyDescent="0.2">
      <c r="B784" s="636"/>
      <c r="E784" s="636"/>
      <c r="F784" s="636"/>
    </row>
    <row r="785" spans="2:6" x14ac:dyDescent="0.2">
      <c r="B785" s="636"/>
      <c r="E785" s="636"/>
      <c r="F785" s="636"/>
    </row>
    <row r="786" spans="2:6" x14ac:dyDescent="0.2">
      <c r="B786" s="636"/>
      <c r="E786" s="636"/>
      <c r="F786" s="636"/>
    </row>
    <row r="787" spans="2:6" x14ac:dyDescent="0.2">
      <c r="B787" s="636"/>
      <c r="E787" s="636"/>
      <c r="F787" s="636"/>
    </row>
    <row r="788" spans="2:6" x14ac:dyDescent="0.2">
      <c r="B788" s="636"/>
      <c r="E788" s="636"/>
      <c r="F788" s="636"/>
    </row>
    <row r="789" spans="2:6" x14ac:dyDescent="0.2">
      <c r="B789" s="636"/>
      <c r="E789" s="636"/>
      <c r="F789" s="636"/>
    </row>
    <row r="790" spans="2:6" x14ac:dyDescent="0.2">
      <c r="B790" s="636"/>
      <c r="E790" s="636"/>
      <c r="F790" s="636"/>
    </row>
    <row r="791" spans="2:6" x14ac:dyDescent="0.2">
      <c r="B791" s="636"/>
      <c r="E791" s="636"/>
      <c r="F791" s="636"/>
    </row>
    <row r="792" spans="2:6" x14ac:dyDescent="0.2">
      <c r="B792" s="636"/>
      <c r="E792" s="636"/>
      <c r="F792" s="636"/>
    </row>
    <row r="793" spans="2:6" x14ac:dyDescent="0.2">
      <c r="B793" s="636"/>
      <c r="E793" s="636"/>
      <c r="F793" s="636"/>
    </row>
    <row r="794" spans="2:6" x14ac:dyDescent="0.2">
      <c r="B794" s="636"/>
      <c r="E794" s="636"/>
      <c r="F794" s="636"/>
    </row>
    <row r="795" spans="2:6" x14ac:dyDescent="0.2">
      <c r="B795" s="636"/>
      <c r="E795" s="636"/>
      <c r="F795" s="636"/>
    </row>
    <row r="796" spans="2:6" x14ac:dyDescent="0.2">
      <c r="B796" s="636"/>
      <c r="E796" s="636"/>
      <c r="F796" s="636"/>
    </row>
    <row r="797" spans="2:6" x14ac:dyDescent="0.2">
      <c r="B797" s="636"/>
      <c r="E797" s="636"/>
      <c r="F797" s="636"/>
    </row>
    <row r="798" spans="2:6" x14ac:dyDescent="0.2">
      <c r="B798" s="636"/>
      <c r="E798" s="636"/>
      <c r="F798" s="636"/>
    </row>
    <row r="799" spans="2:6" x14ac:dyDescent="0.2">
      <c r="B799" s="636"/>
      <c r="E799" s="636"/>
      <c r="F799" s="636"/>
    </row>
    <row r="800" spans="2:6" x14ac:dyDescent="0.2">
      <c r="B800" s="636"/>
      <c r="E800" s="636"/>
      <c r="F800" s="636"/>
    </row>
    <row r="801" spans="2:6" x14ac:dyDescent="0.2">
      <c r="B801" s="636"/>
      <c r="E801" s="636"/>
      <c r="F801" s="636"/>
    </row>
    <row r="802" spans="2:6" x14ac:dyDescent="0.2">
      <c r="B802" s="636"/>
      <c r="E802" s="636"/>
      <c r="F802" s="636"/>
    </row>
    <row r="803" spans="2:6" x14ac:dyDescent="0.2">
      <c r="B803" s="636"/>
      <c r="E803" s="636"/>
      <c r="F803" s="636"/>
    </row>
    <row r="804" spans="2:6" x14ac:dyDescent="0.2">
      <c r="B804" s="636"/>
      <c r="E804" s="636"/>
      <c r="F804" s="636"/>
    </row>
    <row r="805" spans="2:6" x14ac:dyDescent="0.2">
      <c r="B805" s="636"/>
      <c r="E805" s="636"/>
      <c r="F805" s="636"/>
    </row>
    <row r="806" spans="2:6" x14ac:dyDescent="0.2">
      <c r="B806" s="636"/>
      <c r="E806" s="636"/>
      <c r="F806" s="636"/>
    </row>
    <row r="807" spans="2:6" x14ac:dyDescent="0.2">
      <c r="B807" s="636"/>
      <c r="E807" s="636"/>
      <c r="F807" s="636"/>
    </row>
    <row r="808" spans="2:6" x14ac:dyDescent="0.2">
      <c r="B808" s="636"/>
      <c r="E808" s="636"/>
      <c r="F808" s="636"/>
    </row>
    <row r="809" spans="2:6" x14ac:dyDescent="0.2">
      <c r="B809" s="636"/>
      <c r="E809" s="636"/>
      <c r="F809" s="636"/>
    </row>
    <row r="810" spans="2:6" x14ac:dyDescent="0.2">
      <c r="B810" s="636"/>
      <c r="E810" s="636"/>
      <c r="F810" s="636"/>
    </row>
    <row r="811" spans="2:6" x14ac:dyDescent="0.2">
      <c r="B811" s="636"/>
      <c r="E811" s="636"/>
      <c r="F811" s="636"/>
    </row>
    <row r="812" spans="2:6" x14ac:dyDescent="0.2">
      <c r="B812" s="636"/>
      <c r="E812" s="636"/>
      <c r="F812" s="636"/>
    </row>
    <row r="813" spans="2:6" x14ac:dyDescent="0.2">
      <c r="B813" s="636"/>
      <c r="E813" s="636"/>
      <c r="F813" s="636"/>
    </row>
    <row r="814" spans="2:6" x14ac:dyDescent="0.2">
      <c r="B814" s="636"/>
      <c r="E814" s="636"/>
      <c r="F814" s="636"/>
    </row>
    <row r="815" spans="2:6" x14ac:dyDescent="0.2">
      <c r="B815" s="636"/>
      <c r="E815" s="636"/>
      <c r="F815" s="636"/>
    </row>
    <row r="816" spans="2:6" x14ac:dyDescent="0.2">
      <c r="B816" s="636"/>
      <c r="E816" s="636"/>
      <c r="F816" s="636"/>
    </row>
    <row r="817" spans="2:6" x14ac:dyDescent="0.2">
      <c r="B817" s="636"/>
      <c r="E817" s="636"/>
      <c r="F817" s="636"/>
    </row>
    <row r="818" spans="2:6" x14ac:dyDescent="0.2">
      <c r="B818" s="636"/>
      <c r="E818" s="636"/>
      <c r="F818" s="636"/>
    </row>
    <row r="819" spans="2:6" x14ac:dyDescent="0.2">
      <c r="B819" s="636"/>
      <c r="E819" s="636"/>
      <c r="F819" s="636"/>
    </row>
    <row r="820" spans="2:6" x14ac:dyDescent="0.2">
      <c r="B820" s="636"/>
      <c r="E820" s="636"/>
      <c r="F820" s="636"/>
    </row>
    <row r="821" spans="2:6" x14ac:dyDescent="0.2">
      <c r="B821" s="636"/>
      <c r="E821" s="636"/>
      <c r="F821" s="636"/>
    </row>
    <row r="822" spans="2:6" x14ac:dyDescent="0.2">
      <c r="B822" s="636"/>
      <c r="E822" s="636"/>
      <c r="F822" s="636"/>
    </row>
    <row r="823" spans="2:6" x14ac:dyDescent="0.2">
      <c r="B823" s="636"/>
      <c r="E823" s="636"/>
      <c r="F823" s="636"/>
    </row>
    <row r="824" spans="2:6" x14ac:dyDescent="0.2">
      <c r="B824" s="636"/>
      <c r="E824" s="636"/>
      <c r="F824" s="636"/>
    </row>
    <row r="825" spans="2:6" x14ac:dyDescent="0.2">
      <c r="B825" s="636"/>
      <c r="E825" s="636"/>
      <c r="F825" s="636"/>
    </row>
    <row r="826" spans="2:6" x14ac:dyDescent="0.2">
      <c r="B826" s="636"/>
      <c r="E826" s="636"/>
      <c r="F826" s="636"/>
    </row>
    <row r="827" spans="2:6" x14ac:dyDescent="0.2">
      <c r="B827" s="636"/>
      <c r="E827" s="636"/>
      <c r="F827" s="636"/>
    </row>
    <row r="828" spans="2:6" x14ac:dyDescent="0.2">
      <c r="B828" s="636"/>
      <c r="E828" s="636"/>
      <c r="F828" s="636"/>
    </row>
    <row r="829" spans="2:6" x14ac:dyDescent="0.2">
      <c r="B829" s="636"/>
      <c r="E829" s="636"/>
      <c r="F829" s="636"/>
    </row>
    <row r="830" spans="2:6" x14ac:dyDescent="0.2">
      <c r="B830" s="636"/>
      <c r="E830" s="636"/>
      <c r="F830" s="636"/>
    </row>
    <row r="831" spans="2:6" x14ac:dyDescent="0.2">
      <c r="B831" s="636"/>
      <c r="E831" s="636"/>
      <c r="F831" s="636"/>
    </row>
    <row r="832" spans="2:6" x14ac:dyDescent="0.2">
      <c r="B832" s="636"/>
      <c r="E832" s="636"/>
      <c r="F832" s="636"/>
    </row>
    <row r="833" spans="2:6" x14ac:dyDescent="0.2">
      <c r="B833" s="636"/>
      <c r="E833" s="636"/>
      <c r="F833" s="636"/>
    </row>
    <row r="834" spans="2:6" x14ac:dyDescent="0.2">
      <c r="B834" s="636"/>
      <c r="E834" s="636"/>
      <c r="F834" s="636"/>
    </row>
    <row r="835" spans="2:6" x14ac:dyDescent="0.2">
      <c r="B835" s="636"/>
      <c r="E835" s="636"/>
      <c r="F835" s="636"/>
    </row>
    <row r="836" spans="2:6" x14ac:dyDescent="0.2">
      <c r="B836" s="636"/>
      <c r="E836" s="636"/>
      <c r="F836" s="636"/>
    </row>
    <row r="837" spans="2:6" x14ac:dyDescent="0.2">
      <c r="B837" s="636"/>
      <c r="E837" s="636"/>
      <c r="F837" s="636"/>
    </row>
    <row r="838" spans="2:6" x14ac:dyDescent="0.2">
      <c r="B838" s="636"/>
      <c r="E838" s="636"/>
      <c r="F838" s="636"/>
    </row>
    <row r="839" spans="2:6" x14ac:dyDescent="0.2">
      <c r="B839" s="636"/>
      <c r="E839" s="636"/>
      <c r="F839" s="636"/>
    </row>
    <row r="840" spans="2:6" x14ac:dyDescent="0.2">
      <c r="B840" s="636"/>
      <c r="E840" s="636"/>
      <c r="F840" s="636"/>
    </row>
    <row r="841" spans="2:6" x14ac:dyDescent="0.2">
      <c r="B841" s="636"/>
      <c r="E841" s="636"/>
      <c r="F841" s="636"/>
    </row>
    <row r="842" spans="2:6" x14ac:dyDescent="0.2">
      <c r="B842" s="636"/>
      <c r="E842" s="636"/>
      <c r="F842" s="636"/>
    </row>
    <row r="843" spans="2:6" x14ac:dyDescent="0.2">
      <c r="B843" s="636"/>
      <c r="E843" s="636"/>
      <c r="F843" s="636"/>
    </row>
    <row r="844" spans="2:6" x14ac:dyDescent="0.2">
      <c r="B844" s="636"/>
      <c r="E844" s="636"/>
      <c r="F844" s="636"/>
    </row>
    <row r="845" spans="2:6" x14ac:dyDescent="0.2">
      <c r="B845" s="636"/>
      <c r="E845" s="636"/>
      <c r="F845" s="636"/>
    </row>
    <row r="846" spans="2:6" x14ac:dyDescent="0.2">
      <c r="B846" s="636"/>
      <c r="E846" s="636"/>
      <c r="F846" s="636"/>
    </row>
    <row r="847" spans="2:6" x14ac:dyDescent="0.2">
      <c r="B847" s="636"/>
      <c r="E847" s="636"/>
      <c r="F847" s="636"/>
    </row>
    <row r="848" spans="2:6" x14ac:dyDescent="0.2">
      <c r="B848" s="636"/>
      <c r="E848" s="636"/>
      <c r="F848" s="636"/>
    </row>
    <row r="849" spans="2:6" x14ac:dyDescent="0.2">
      <c r="B849" s="636"/>
      <c r="E849" s="636"/>
      <c r="F849" s="636"/>
    </row>
    <row r="850" spans="2:6" x14ac:dyDescent="0.2">
      <c r="B850" s="636"/>
      <c r="E850" s="636"/>
      <c r="F850" s="636"/>
    </row>
    <row r="851" spans="2:6" x14ac:dyDescent="0.2">
      <c r="B851" s="636"/>
      <c r="E851" s="636"/>
      <c r="F851" s="636"/>
    </row>
    <row r="852" spans="2:6" x14ac:dyDescent="0.2">
      <c r="B852" s="636"/>
      <c r="E852" s="636"/>
      <c r="F852" s="636"/>
    </row>
    <row r="853" spans="2:6" x14ac:dyDescent="0.2">
      <c r="B853" s="636"/>
      <c r="E853" s="636"/>
      <c r="F853" s="636"/>
    </row>
    <row r="854" spans="2:6" x14ac:dyDescent="0.2">
      <c r="B854" s="636"/>
      <c r="E854" s="636"/>
      <c r="F854" s="636"/>
    </row>
    <row r="855" spans="2:6" x14ac:dyDescent="0.2">
      <c r="B855" s="636"/>
      <c r="E855" s="636"/>
      <c r="F855" s="636"/>
    </row>
    <row r="856" spans="2:6" x14ac:dyDescent="0.2">
      <c r="B856" s="636"/>
      <c r="E856" s="636"/>
      <c r="F856" s="636"/>
    </row>
    <row r="857" spans="2:6" x14ac:dyDescent="0.2">
      <c r="B857" s="636"/>
      <c r="E857" s="636"/>
      <c r="F857" s="636"/>
    </row>
    <row r="858" spans="2:6" x14ac:dyDescent="0.2">
      <c r="B858" s="636"/>
      <c r="E858" s="636"/>
      <c r="F858" s="636"/>
    </row>
    <row r="859" spans="2:6" x14ac:dyDescent="0.2">
      <c r="B859" s="636"/>
      <c r="E859" s="636"/>
      <c r="F859" s="636"/>
    </row>
    <row r="860" spans="2:6" x14ac:dyDescent="0.2">
      <c r="B860" s="636"/>
      <c r="E860" s="636"/>
      <c r="F860" s="636"/>
    </row>
    <row r="861" spans="2:6" x14ac:dyDescent="0.2">
      <c r="B861" s="636"/>
      <c r="E861" s="636"/>
      <c r="F861" s="636"/>
    </row>
    <row r="862" spans="2:6" x14ac:dyDescent="0.2">
      <c r="B862" s="636"/>
      <c r="E862" s="636"/>
      <c r="F862" s="636"/>
    </row>
    <row r="863" spans="2:6" x14ac:dyDescent="0.2">
      <c r="B863" s="636"/>
      <c r="E863" s="636"/>
      <c r="F863" s="636"/>
    </row>
    <row r="864" spans="2:6" x14ac:dyDescent="0.2">
      <c r="B864" s="636"/>
      <c r="E864" s="636"/>
      <c r="F864" s="636"/>
    </row>
    <row r="865" spans="2:6" x14ac:dyDescent="0.2">
      <c r="B865" s="636"/>
      <c r="E865" s="636"/>
      <c r="F865" s="636"/>
    </row>
    <row r="866" spans="2:6" x14ac:dyDescent="0.2">
      <c r="B866" s="636"/>
      <c r="E866" s="636"/>
      <c r="F866" s="636"/>
    </row>
    <row r="867" spans="2:6" x14ac:dyDescent="0.2">
      <c r="B867" s="636"/>
      <c r="E867" s="636"/>
      <c r="F867" s="636"/>
    </row>
    <row r="868" spans="2:6" x14ac:dyDescent="0.2">
      <c r="B868" s="636"/>
      <c r="E868" s="636"/>
      <c r="F868" s="636"/>
    </row>
    <row r="869" spans="2:6" x14ac:dyDescent="0.2">
      <c r="B869" s="636"/>
      <c r="E869" s="636"/>
      <c r="F869" s="636"/>
    </row>
    <row r="870" spans="2:6" x14ac:dyDescent="0.2">
      <c r="B870" s="636"/>
      <c r="E870" s="636"/>
      <c r="F870" s="636"/>
    </row>
    <row r="871" spans="2:6" x14ac:dyDescent="0.2">
      <c r="B871" s="636"/>
      <c r="E871" s="636"/>
      <c r="F871" s="636"/>
    </row>
    <row r="872" spans="2:6" x14ac:dyDescent="0.2">
      <c r="B872" s="636"/>
      <c r="E872" s="636"/>
      <c r="F872" s="636"/>
    </row>
    <row r="873" spans="2:6" x14ac:dyDescent="0.2">
      <c r="B873" s="636"/>
      <c r="E873" s="636"/>
      <c r="F873" s="636"/>
    </row>
    <row r="874" spans="2:6" x14ac:dyDescent="0.2">
      <c r="B874" s="636"/>
      <c r="E874" s="636"/>
      <c r="F874" s="636"/>
    </row>
    <row r="875" spans="2:6" x14ac:dyDescent="0.2">
      <c r="B875" s="636"/>
      <c r="E875" s="636"/>
      <c r="F875" s="636"/>
    </row>
    <row r="876" spans="2:6" x14ac:dyDescent="0.2">
      <c r="B876" s="636"/>
      <c r="E876" s="636"/>
      <c r="F876" s="636"/>
    </row>
    <row r="877" spans="2:6" x14ac:dyDescent="0.2">
      <c r="B877" s="636"/>
      <c r="E877" s="636"/>
      <c r="F877" s="636"/>
    </row>
    <row r="878" spans="2:6" x14ac:dyDescent="0.2">
      <c r="B878" s="636"/>
      <c r="E878" s="636"/>
      <c r="F878" s="636"/>
    </row>
    <row r="879" spans="2:6" x14ac:dyDescent="0.2">
      <c r="B879" s="636"/>
      <c r="E879" s="636"/>
      <c r="F879" s="636"/>
    </row>
    <row r="880" spans="2:6" x14ac:dyDescent="0.2">
      <c r="B880" s="636"/>
      <c r="E880" s="636"/>
      <c r="F880" s="636"/>
    </row>
    <row r="881" spans="2:6" x14ac:dyDescent="0.2">
      <c r="B881" s="636"/>
      <c r="E881" s="636"/>
      <c r="F881" s="636"/>
    </row>
    <row r="882" spans="2:6" x14ac:dyDescent="0.2">
      <c r="B882" s="636"/>
      <c r="E882" s="636"/>
      <c r="F882" s="636"/>
    </row>
    <row r="883" spans="2:6" x14ac:dyDescent="0.2">
      <c r="B883" s="636"/>
      <c r="E883" s="636"/>
      <c r="F883" s="636"/>
    </row>
    <row r="884" spans="2:6" x14ac:dyDescent="0.2">
      <c r="B884" s="636"/>
      <c r="E884" s="636"/>
      <c r="F884" s="636"/>
    </row>
    <row r="885" spans="2:6" x14ac:dyDescent="0.2">
      <c r="B885" s="636"/>
      <c r="E885" s="636"/>
      <c r="F885" s="636"/>
    </row>
    <row r="886" spans="2:6" x14ac:dyDescent="0.2">
      <c r="B886" s="636"/>
      <c r="E886" s="636"/>
      <c r="F886" s="636"/>
    </row>
    <row r="887" spans="2:6" x14ac:dyDescent="0.2">
      <c r="B887" s="636"/>
      <c r="E887" s="636"/>
      <c r="F887" s="636"/>
    </row>
    <row r="888" spans="2:6" x14ac:dyDescent="0.2">
      <c r="B888" s="636"/>
      <c r="E888" s="636"/>
      <c r="F888" s="636"/>
    </row>
    <row r="889" spans="2:6" x14ac:dyDescent="0.2">
      <c r="B889" s="636"/>
      <c r="E889" s="636"/>
      <c r="F889" s="636"/>
    </row>
    <row r="890" spans="2:6" x14ac:dyDescent="0.2">
      <c r="B890" s="636"/>
      <c r="E890" s="636"/>
      <c r="F890" s="636"/>
    </row>
    <row r="891" spans="2:6" x14ac:dyDescent="0.2">
      <c r="B891" s="636"/>
      <c r="E891" s="636"/>
      <c r="F891" s="636"/>
    </row>
    <row r="892" spans="2:6" x14ac:dyDescent="0.2">
      <c r="B892" s="636"/>
      <c r="E892" s="636"/>
      <c r="F892" s="636"/>
    </row>
    <row r="893" spans="2:6" x14ac:dyDescent="0.2">
      <c r="B893" s="636"/>
      <c r="E893" s="636"/>
      <c r="F893" s="636"/>
    </row>
    <row r="894" spans="2:6" x14ac:dyDescent="0.2">
      <c r="B894" s="636"/>
      <c r="E894" s="636"/>
      <c r="F894" s="636"/>
    </row>
    <row r="895" spans="2:6" x14ac:dyDescent="0.2">
      <c r="B895" s="636"/>
      <c r="E895" s="636"/>
      <c r="F895" s="636"/>
    </row>
    <row r="896" spans="2:6" x14ac:dyDescent="0.2">
      <c r="B896" s="636"/>
      <c r="E896" s="636"/>
      <c r="F896" s="636"/>
    </row>
    <row r="897" spans="2:6" x14ac:dyDescent="0.2">
      <c r="B897" s="636"/>
      <c r="E897" s="636"/>
      <c r="F897" s="636"/>
    </row>
    <row r="898" spans="2:6" x14ac:dyDescent="0.2">
      <c r="B898" s="636"/>
      <c r="E898" s="636"/>
      <c r="F898" s="636"/>
    </row>
    <row r="899" spans="2:6" x14ac:dyDescent="0.2">
      <c r="B899" s="636"/>
      <c r="E899" s="636"/>
      <c r="F899" s="636"/>
    </row>
    <row r="900" spans="2:6" x14ac:dyDescent="0.2">
      <c r="B900" s="636"/>
      <c r="E900" s="636"/>
      <c r="F900" s="636"/>
    </row>
    <row r="901" spans="2:6" x14ac:dyDescent="0.2">
      <c r="B901" s="636"/>
      <c r="E901" s="636"/>
      <c r="F901" s="636"/>
    </row>
    <row r="902" spans="2:6" x14ac:dyDescent="0.2">
      <c r="B902" s="636"/>
      <c r="E902" s="636"/>
      <c r="F902" s="636"/>
    </row>
    <row r="903" spans="2:6" x14ac:dyDescent="0.2">
      <c r="B903" s="636"/>
      <c r="E903" s="636"/>
      <c r="F903" s="636"/>
    </row>
    <row r="904" spans="2:6" x14ac:dyDescent="0.2">
      <c r="B904" s="636"/>
      <c r="E904" s="636"/>
      <c r="F904" s="636"/>
    </row>
    <row r="905" spans="2:6" x14ac:dyDescent="0.2">
      <c r="B905" s="636"/>
      <c r="E905" s="636"/>
      <c r="F905" s="636"/>
    </row>
    <row r="906" spans="2:6" x14ac:dyDescent="0.2">
      <c r="B906" s="636"/>
      <c r="E906" s="636"/>
      <c r="F906" s="636"/>
    </row>
    <row r="907" spans="2:6" x14ac:dyDescent="0.2">
      <c r="B907" s="636"/>
      <c r="E907" s="636"/>
      <c r="F907" s="636"/>
    </row>
    <row r="908" spans="2:6" x14ac:dyDescent="0.2">
      <c r="B908" s="636"/>
      <c r="E908" s="636"/>
      <c r="F908" s="636"/>
    </row>
    <row r="909" spans="2:6" x14ac:dyDescent="0.2">
      <c r="B909" s="636"/>
      <c r="E909" s="636"/>
      <c r="F909" s="636"/>
    </row>
    <row r="910" spans="2:6" x14ac:dyDescent="0.2">
      <c r="B910" s="636"/>
      <c r="E910" s="636"/>
      <c r="F910" s="636"/>
    </row>
    <row r="911" spans="2:6" x14ac:dyDescent="0.2">
      <c r="B911" s="636"/>
      <c r="E911" s="636"/>
      <c r="F911" s="636"/>
    </row>
    <row r="912" spans="2:6" x14ac:dyDescent="0.2">
      <c r="B912" s="636"/>
      <c r="E912" s="636"/>
      <c r="F912" s="636"/>
    </row>
    <row r="913" spans="2:6" x14ac:dyDescent="0.2">
      <c r="B913" s="636"/>
      <c r="E913" s="636"/>
      <c r="F913" s="636"/>
    </row>
    <row r="914" spans="2:6" x14ac:dyDescent="0.2">
      <c r="B914" s="636"/>
      <c r="E914" s="636"/>
      <c r="F914" s="636"/>
    </row>
    <row r="915" spans="2:6" x14ac:dyDescent="0.2">
      <c r="B915" s="636"/>
      <c r="E915" s="636"/>
      <c r="F915" s="636"/>
    </row>
    <row r="916" spans="2:6" x14ac:dyDescent="0.2">
      <c r="B916" s="636"/>
      <c r="E916" s="636"/>
      <c r="F916" s="636"/>
    </row>
    <row r="917" spans="2:6" x14ac:dyDescent="0.2">
      <c r="B917" s="636"/>
      <c r="E917" s="636"/>
      <c r="F917" s="636"/>
    </row>
    <row r="918" spans="2:6" x14ac:dyDescent="0.2">
      <c r="B918" s="636"/>
      <c r="E918" s="636"/>
      <c r="F918" s="636"/>
    </row>
    <row r="919" spans="2:6" x14ac:dyDescent="0.2">
      <c r="B919" s="636"/>
      <c r="E919" s="636"/>
      <c r="F919" s="636"/>
    </row>
    <row r="920" spans="2:6" x14ac:dyDescent="0.2">
      <c r="B920" s="636"/>
      <c r="E920" s="636"/>
      <c r="F920" s="636"/>
    </row>
    <row r="921" spans="2:6" x14ac:dyDescent="0.2">
      <c r="B921" s="636"/>
      <c r="E921" s="636"/>
      <c r="F921" s="636"/>
    </row>
    <row r="922" spans="2:6" x14ac:dyDescent="0.2">
      <c r="B922" s="636"/>
      <c r="E922" s="636"/>
      <c r="F922" s="636"/>
    </row>
    <row r="923" spans="2:6" x14ac:dyDescent="0.2">
      <c r="B923" s="636"/>
      <c r="E923" s="636"/>
      <c r="F923" s="636"/>
    </row>
    <row r="924" spans="2:6" x14ac:dyDescent="0.2">
      <c r="B924" s="636"/>
      <c r="E924" s="636"/>
      <c r="F924" s="636"/>
    </row>
    <row r="925" spans="2:6" x14ac:dyDescent="0.2">
      <c r="B925" s="636"/>
      <c r="E925" s="636"/>
      <c r="F925" s="636"/>
    </row>
    <row r="926" spans="2:6" x14ac:dyDescent="0.2">
      <c r="B926" s="636"/>
      <c r="E926" s="636"/>
      <c r="F926" s="636"/>
    </row>
    <row r="927" spans="2:6" x14ac:dyDescent="0.2">
      <c r="B927" s="636"/>
      <c r="E927" s="636"/>
      <c r="F927" s="636"/>
    </row>
    <row r="928" spans="2:6" x14ac:dyDescent="0.2">
      <c r="B928" s="636"/>
      <c r="E928" s="636"/>
      <c r="F928" s="636"/>
    </row>
    <row r="929" spans="2:6" x14ac:dyDescent="0.2">
      <c r="B929" s="636"/>
      <c r="E929" s="636"/>
      <c r="F929" s="636"/>
    </row>
    <row r="930" spans="2:6" x14ac:dyDescent="0.2">
      <c r="B930" s="636"/>
      <c r="E930" s="636"/>
      <c r="F930" s="636"/>
    </row>
    <row r="931" spans="2:6" x14ac:dyDescent="0.2">
      <c r="B931" s="636"/>
      <c r="E931" s="636"/>
      <c r="F931" s="636"/>
    </row>
    <row r="932" spans="2:6" x14ac:dyDescent="0.2">
      <c r="B932" s="636"/>
      <c r="E932" s="636"/>
      <c r="F932" s="636"/>
    </row>
    <row r="933" spans="2:6" x14ac:dyDescent="0.2">
      <c r="B933" s="636"/>
      <c r="E933" s="636"/>
      <c r="F933" s="636"/>
    </row>
    <row r="934" spans="2:6" x14ac:dyDescent="0.2">
      <c r="B934" s="636"/>
      <c r="E934" s="636"/>
      <c r="F934" s="636"/>
    </row>
    <row r="935" spans="2:6" x14ac:dyDescent="0.2">
      <c r="B935" s="636"/>
      <c r="E935" s="636"/>
      <c r="F935" s="636"/>
    </row>
    <row r="936" spans="2:6" x14ac:dyDescent="0.2">
      <c r="B936" s="636"/>
      <c r="E936" s="636"/>
      <c r="F936" s="636"/>
    </row>
    <row r="937" spans="2:6" x14ac:dyDescent="0.2">
      <c r="B937" s="636"/>
      <c r="E937" s="636"/>
      <c r="F937" s="636"/>
    </row>
    <row r="938" spans="2:6" x14ac:dyDescent="0.2">
      <c r="B938" s="636"/>
      <c r="E938" s="636"/>
      <c r="F938" s="636"/>
    </row>
    <row r="939" spans="2:6" x14ac:dyDescent="0.2">
      <c r="B939" s="636"/>
      <c r="E939" s="636"/>
      <c r="F939" s="636"/>
    </row>
    <row r="940" spans="2:6" x14ac:dyDescent="0.2">
      <c r="B940" s="636"/>
      <c r="E940" s="636"/>
      <c r="F940" s="636"/>
    </row>
    <row r="941" spans="2:6" x14ac:dyDescent="0.2">
      <c r="B941" s="636"/>
      <c r="E941" s="636"/>
      <c r="F941" s="636"/>
    </row>
    <row r="942" spans="2:6" x14ac:dyDescent="0.2">
      <c r="B942" s="636"/>
      <c r="E942" s="636"/>
      <c r="F942" s="636"/>
    </row>
    <row r="943" spans="2:6" x14ac:dyDescent="0.2">
      <c r="B943" s="636"/>
      <c r="E943" s="636"/>
      <c r="F943" s="636"/>
    </row>
    <row r="944" spans="2:6" x14ac:dyDescent="0.2">
      <c r="B944" s="636"/>
      <c r="E944" s="636"/>
      <c r="F944" s="636"/>
    </row>
    <row r="945" spans="2:6" x14ac:dyDescent="0.2">
      <c r="B945" s="636"/>
      <c r="E945" s="636"/>
      <c r="F945" s="636"/>
    </row>
    <row r="946" spans="2:6" x14ac:dyDescent="0.2">
      <c r="B946" s="636"/>
      <c r="E946" s="636"/>
      <c r="F946" s="636"/>
    </row>
    <row r="947" spans="2:6" x14ac:dyDescent="0.2">
      <c r="B947" s="636"/>
      <c r="E947" s="636"/>
      <c r="F947" s="636"/>
    </row>
    <row r="948" spans="2:6" x14ac:dyDescent="0.2">
      <c r="B948" s="636"/>
      <c r="E948" s="636"/>
      <c r="F948" s="636"/>
    </row>
    <row r="949" spans="2:6" x14ac:dyDescent="0.2">
      <c r="B949" s="636"/>
      <c r="E949" s="636"/>
      <c r="F949" s="636"/>
    </row>
    <row r="950" spans="2:6" x14ac:dyDescent="0.2">
      <c r="B950" s="636"/>
      <c r="E950" s="636"/>
      <c r="F950" s="636"/>
    </row>
    <row r="951" spans="2:6" x14ac:dyDescent="0.2">
      <c r="B951" s="636"/>
      <c r="E951" s="636"/>
      <c r="F951" s="636"/>
    </row>
    <row r="952" spans="2:6" x14ac:dyDescent="0.2">
      <c r="B952" s="636"/>
      <c r="E952" s="636"/>
      <c r="F952" s="636"/>
    </row>
    <row r="953" spans="2:6" x14ac:dyDescent="0.2">
      <c r="B953" s="636"/>
      <c r="E953" s="636"/>
      <c r="F953" s="636"/>
    </row>
    <row r="954" spans="2:6" x14ac:dyDescent="0.2">
      <c r="B954" s="636"/>
      <c r="E954" s="636"/>
      <c r="F954" s="636"/>
    </row>
    <row r="955" spans="2:6" x14ac:dyDescent="0.2">
      <c r="B955" s="636"/>
      <c r="E955" s="636"/>
      <c r="F955" s="636"/>
    </row>
    <row r="956" spans="2:6" x14ac:dyDescent="0.2">
      <c r="B956" s="636"/>
      <c r="E956" s="636"/>
      <c r="F956" s="636"/>
    </row>
    <row r="957" spans="2:6" x14ac:dyDescent="0.2">
      <c r="B957" s="636"/>
      <c r="E957" s="636"/>
      <c r="F957" s="636"/>
    </row>
    <row r="958" spans="2:6" x14ac:dyDescent="0.2">
      <c r="B958" s="636"/>
      <c r="E958" s="636"/>
      <c r="F958" s="636"/>
    </row>
    <row r="959" spans="2:6" x14ac:dyDescent="0.2">
      <c r="B959" s="636"/>
      <c r="E959" s="636"/>
      <c r="F959" s="636"/>
    </row>
    <row r="960" spans="2:6" x14ac:dyDescent="0.2">
      <c r="B960" s="636"/>
      <c r="E960" s="636"/>
      <c r="F960" s="636"/>
    </row>
    <row r="961" spans="2:6" x14ac:dyDescent="0.2">
      <c r="B961" s="636"/>
      <c r="E961" s="636"/>
      <c r="F961" s="636"/>
    </row>
    <row r="962" spans="2:6" x14ac:dyDescent="0.2">
      <c r="B962" s="636"/>
      <c r="E962" s="636"/>
      <c r="F962" s="636"/>
    </row>
    <row r="963" spans="2:6" x14ac:dyDescent="0.2">
      <c r="B963" s="636"/>
      <c r="E963" s="636"/>
      <c r="F963" s="636"/>
    </row>
    <row r="964" spans="2:6" x14ac:dyDescent="0.2">
      <c r="B964" s="636"/>
      <c r="E964" s="636"/>
      <c r="F964" s="636"/>
    </row>
    <row r="965" spans="2:6" x14ac:dyDescent="0.2">
      <c r="B965" s="636"/>
      <c r="E965" s="636"/>
      <c r="F965" s="636"/>
    </row>
    <row r="966" spans="2:6" x14ac:dyDescent="0.2">
      <c r="B966" s="636"/>
      <c r="E966" s="636"/>
      <c r="F966" s="636"/>
    </row>
    <row r="967" spans="2:6" x14ac:dyDescent="0.2">
      <c r="B967" s="636"/>
      <c r="E967" s="636"/>
      <c r="F967" s="636"/>
    </row>
    <row r="968" spans="2:6" x14ac:dyDescent="0.2">
      <c r="B968" s="636"/>
      <c r="E968" s="636"/>
      <c r="F968" s="636"/>
    </row>
    <row r="969" spans="2:6" x14ac:dyDescent="0.2">
      <c r="B969" s="636"/>
      <c r="E969" s="636"/>
      <c r="F969" s="636"/>
    </row>
    <row r="970" spans="2:6" x14ac:dyDescent="0.2">
      <c r="B970" s="636"/>
      <c r="E970" s="636"/>
      <c r="F970" s="636"/>
    </row>
  </sheetData>
  <mergeCells count="9">
    <mergeCell ref="B84:H84"/>
    <mergeCell ref="R26:U26"/>
    <mergeCell ref="A2:A3"/>
    <mergeCell ref="B2:H2"/>
    <mergeCell ref="R25:U25"/>
    <mergeCell ref="N28:O28"/>
    <mergeCell ref="B62:H62"/>
    <mergeCell ref="B63:H63"/>
    <mergeCell ref="B83:H83"/>
  </mergeCells>
  <printOptions horizontalCentered="1"/>
  <pageMargins left="0.4" right="0.4" top="1" bottom="0.5" header="0.3" footer="0.511811023622047"/>
  <pageSetup paperSize="9" scale="79" fitToHeight="0" orientation="landscape" r:id="rId1"/>
  <headerFooter>
    <oddHeader>&amp;C&amp;B&amp;16Beef Oriental rice&amp;R&amp;B Day 3</oddHeader>
    <oddFooter>&amp;CPage &amp;P of &amp;N</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BF9000"/>
    <pageSetUpPr fitToPage="1"/>
  </sheetPr>
  <dimension ref="A1:AG174"/>
  <sheetViews>
    <sheetView topLeftCell="A44" zoomScale="55" zoomScaleNormal="55" workbookViewId="0">
      <selection activeCell="J70" sqref="J70"/>
    </sheetView>
  </sheetViews>
  <sheetFormatPr defaultColWidth="12.5" defaultRowHeight="15" x14ac:dyDescent="0.25"/>
  <cols>
    <col min="1" max="1" width="16.375" style="1" customWidth="1"/>
    <col min="2" max="2" width="30.875" customWidth="1"/>
    <col min="3" max="3" width="16.875" customWidth="1"/>
    <col min="4" max="4" width="19" customWidth="1"/>
    <col min="5" max="5" width="16.125" customWidth="1"/>
    <col min="6" max="6" width="23.125" customWidth="1"/>
    <col min="7" max="7" width="25.125" customWidth="1"/>
    <col min="8" max="8" width="36.125" customWidth="1"/>
    <col min="9" max="9" width="18" customWidth="1"/>
    <col min="12" max="12" width="8.375" customWidth="1"/>
    <col min="13" max="13" width="31.875" customWidth="1"/>
    <col min="18" max="18" width="32" customWidth="1"/>
    <col min="23" max="23" width="29.375" customWidth="1"/>
    <col min="24" max="24" width="31.625" customWidth="1"/>
    <col min="28" max="28" width="11" bestFit="1" customWidth="1"/>
  </cols>
  <sheetData>
    <row r="1" spans="1:33" ht="24" customHeight="1" x14ac:dyDescent="0.2">
      <c r="A1" s="64" t="s">
        <v>231</v>
      </c>
      <c r="B1" s="65">
        <v>1000</v>
      </c>
      <c r="C1" s="73" t="s">
        <v>313</v>
      </c>
      <c r="D1" s="74">
        <f>$S$30/J1</f>
        <v>23661.290322580644</v>
      </c>
      <c r="E1" s="75" t="s">
        <v>236</v>
      </c>
      <c r="F1" s="76" t="s">
        <v>388</v>
      </c>
      <c r="G1" s="75" t="s">
        <v>315</v>
      </c>
      <c r="H1" s="282">
        <f>H52</f>
        <v>14.669999999999998</v>
      </c>
      <c r="I1" s="77" t="s">
        <v>238</v>
      </c>
      <c r="J1" s="283">
        <v>0.62</v>
      </c>
      <c r="K1" s="84"/>
      <c r="Y1" s="75" t="s">
        <v>453</v>
      </c>
      <c r="Z1" s="766">
        <v>13670</v>
      </c>
      <c r="AA1" s="75" t="s">
        <v>556</v>
      </c>
      <c r="AB1" s="766">
        <v>1000</v>
      </c>
      <c r="AC1" s="75" t="s">
        <v>546</v>
      </c>
      <c r="AD1" s="766">
        <v>92</v>
      </c>
    </row>
    <row r="2" spans="1:33" ht="12.75" customHeight="1" x14ac:dyDescent="0.25">
      <c r="A2" s="242"/>
      <c r="B2" s="1645" t="s">
        <v>959</v>
      </c>
      <c r="C2" s="1653"/>
      <c r="D2" s="1653"/>
      <c r="E2" s="1653"/>
      <c r="F2" s="1653"/>
      <c r="G2" s="1653"/>
      <c r="H2" s="1653"/>
      <c r="I2" s="1653"/>
      <c r="J2" s="1653"/>
      <c r="K2" s="1653"/>
      <c r="L2" s="270"/>
      <c r="M2" s="84"/>
      <c r="N2" s="84"/>
      <c r="AE2" s="1616"/>
      <c r="AF2" s="1653"/>
      <c r="AG2" s="1653"/>
    </row>
    <row r="3" spans="1:33" ht="12.75" customHeight="1" x14ac:dyDescent="0.25">
      <c r="A3" s="242"/>
      <c r="B3" s="1633"/>
      <c r="C3" s="1633"/>
      <c r="D3" s="1633"/>
      <c r="E3" s="1633"/>
      <c r="F3" s="1633"/>
      <c r="G3" s="1633"/>
      <c r="H3" s="1633"/>
      <c r="I3" s="1633"/>
      <c r="J3" s="1633"/>
      <c r="K3" s="1633"/>
      <c r="L3" s="270"/>
      <c r="M3" s="84"/>
      <c r="N3" s="84"/>
      <c r="AE3" s="1653"/>
      <c r="AF3" s="1653"/>
      <c r="AG3" s="1653"/>
    </row>
    <row r="4" spans="1:33" ht="46.5" customHeight="1" x14ac:dyDescent="0.2">
      <c r="A4" s="75" t="s">
        <v>903</v>
      </c>
      <c r="B4" s="75" t="s">
        <v>241</v>
      </c>
      <c r="C4" s="284" t="s">
        <v>317</v>
      </c>
      <c r="D4" s="75" t="s">
        <v>318</v>
      </c>
      <c r="E4" s="91" t="s">
        <v>319</v>
      </c>
      <c r="F4" s="91" t="s">
        <v>320</v>
      </c>
      <c r="G4" s="285" t="s">
        <v>321</v>
      </c>
      <c r="H4" s="92" t="s">
        <v>322</v>
      </c>
      <c r="I4" s="75" t="s">
        <v>246</v>
      </c>
      <c r="J4" s="75" t="s">
        <v>247</v>
      </c>
      <c r="K4" s="75" t="s">
        <v>248</v>
      </c>
      <c r="L4" s="75" t="s">
        <v>249</v>
      </c>
    </row>
    <row r="5" spans="1:33" ht="14.25" customHeight="1" x14ac:dyDescent="0.2">
      <c r="A5" s="1454"/>
      <c r="B5" s="286" t="s">
        <v>220</v>
      </c>
      <c r="C5" s="106" t="s">
        <v>14</v>
      </c>
      <c r="D5" s="245">
        <f>I51/H51</f>
        <v>1612.9032258064517</v>
      </c>
      <c r="E5" s="101">
        <f>I52/D5</f>
        <v>14.669999999999998</v>
      </c>
      <c r="F5" s="109">
        <v>1</v>
      </c>
      <c r="G5" s="99">
        <f>D1</f>
        <v>23661.290322580644</v>
      </c>
      <c r="H5" s="377">
        <f>D1</f>
        <v>23661.290322580644</v>
      </c>
      <c r="I5" s="65">
        <f>VLOOKUP(B5,All_Ingredients!$A$1:$F$156,6,FALSE())</f>
        <v>0.86</v>
      </c>
      <c r="J5" s="101">
        <f>VLOOKUP(B5,All_Ingredients!$A$1:$J$156,10,FALSE())</f>
        <v>17.100000000000001</v>
      </c>
      <c r="K5" s="104">
        <f t="shared" ref="K5" si="0">(H5/I5)/1000</f>
        <v>27.513128282070518</v>
      </c>
      <c r="L5" s="104">
        <f t="shared" ref="L5" si="1">K5*J5</f>
        <v>470.47449362340592</v>
      </c>
    </row>
    <row r="6" spans="1:33" ht="14.25" customHeight="1" x14ac:dyDescent="0.25">
      <c r="A6" s="1455"/>
      <c r="B6" s="20" t="s">
        <v>105</v>
      </c>
      <c r="C6" s="106" t="s">
        <v>14</v>
      </c>
      <c r="D6" s="107">
        <v>25</v>
      </c>
      <c r="E6" s="177">
        <f>$H$52</f>
        <v>14.669999999999998</v>
      </c>
      <c r="F6" s="109">
        <v>0.7</v>
      </c>
      <c r="G6" s="101">
        <f>D6*E6</f>
        <v>366.74999999999994</v>
      </c>
      <c r="H6" s="102">
        <f>G6*F6</f>
        <v>256.72499999999997</v>
      </c>
      <c r="I6" s="65">
        <f>VLOOKUP(B6,All_Ingredients!$A$1:$F$156,6,FALSE())</f>
        <v>1</v>
      </c>
      <c r="J6" s="101">
        <f>VLOOKUP(B6,All_Ingredients!$A$1:$J$156,10,FALSE())</f>
        <v>15</v>
      </c>
      <c r="K6" s="104">
        <f t="shared" ref="K6:K10" si="2">(H6/I6)/1000</f>
        <v>0.25672499999999998</v>
      </c>
      <c r="L6" s="104">
        <f t="shared" ref="L6:L10" si="3">K6*J6</f>
        <v>3.8508749999999998</v>
      </c>
    </row>
    <row r="7" spans="1:33" ht="14.25" customHeight="1" x14ac:dyDescent="0.25">
      <c r="A7" s="1455"/>
      <c r="B7" s="271" t="s">
        <v>698</v>
      </c>
      <c r="C7" s="106" t="s">
        <v>14</v>
      </c>
      <c r="D7" s="107">
        <v>35</v>
      </c>
      <c r="E7" s="177">
        <f>$H$52</f>
        <v>14.669999999999998</v>
      </c>
      <c r="F7" s="109">
        <v>0.75</v>
      </c>
      <c r="G7" s="101">
        <f>D7*E7</f>
        <v>513.44999999999993</v>
      </c>
      <c r="H7" s="102">
        <f>G7*F7</f>
        <v>385.08749999999998</v>
      </c>
      <c r="I7" s="65">
        <f>VLOOKUP(B7,All_Ingredients!$A$1:$F$156,6,FALSE())</f>
        <v>1</v>
      </c>
      <c r="J7" s="101">
        <f>VLOOKUP(B7,All_Ingredients!$A$1:$J$156,10,FALSE())</f>
        <v>8.1520833333333336</v>
      </c>
      <c r="K7" s="104">
        <f t="shared" si="2"/>
        <v>0.38508749999999997</v>
      </c>
      <c r="L7" s="104">
        <f t="shared" si="3"/>
        <v>3.1392653906249999</v>
      </c>
    </row>
    <row r="8" spans="1:33" ht="14.25" customHeight="1" x14ac:dyDescent="0.25">
      <c r="A8" s="1455"/>
      <c r="B8" s="20" t="s">
        <v>107</v>
      </c>
      <c r="C8" s="106" t="s">
        <v>14</v>
      </c>
      <c r="D8" s="107">
        <v>20</v>
      </c>
      <c r="E8" s="177">
        <f>$H$52</f>
        <v>14.669999999999998</v>
      </c>
      <c r="F8" s="109">
        <v>0.7</v>
      </c>
      <c r="G8" s="101">
        <f>D8*E8</f>
        <v>293.39999999999998</v>
      </c>
      <c r="H8" s="102">
        <f>G8*F8</f>
        <v>205.37999999999997</v>
      </c>
      <c r="I8" s="65">
        <f>VLOOKUP(B8,All_Ingredients!$A$1:$F$156,6,FALSE())</f>
        <v>1</v>
      </c>
      <c r="J8" s="101">
        <f>VLOOKUP(B8,All_Ingredients!$A$1:$J$156,10,FALSE())</f>
        <v>8</v>
      </c>
      <c r="K8" s="104">
        <f t="shared" si="2"/>
        <v>0.20537999999999998</v>
      </c>
      <c r="L8" s="104">
        <f t="shared" si="3"/>
        <v>1.6430399999999998</v>
      </c>
    </row>
    <row r="9" spans="1:33" ht="14.25" customHeight="1" x14ac:dyDescent="0.25">
      <c r="A9" s="1455"/>
      <c r="B9" s="299" t="s">
        <v>93</v>
      </c>
      <c r="C9" s="106" t="s">
        <v>14</v>
      </c>
      <c r="D9" s="107">
        <v>15</v>
      </c>
      <c r="E9" s="177">
        <f>$H$52</f>
        <v>14.669999999999998</v>
      </c>
      <c r="F9" s="109">
        <v>0.75</v>
      </c>
      <c r="G9" s="101">
        <f>D9*E9</f>
        <v>220.04999999999998</v>
      </c>
      <c r="H9" s="102">
        <f>G9*F9</f>
        <v>165.03749999999999</v>
      </c>
      <c r="I9" s="65">
        <f>VLOOKUP(B9,All_Ingredients!$A$1:$F$156,6,FALSE())</f>
        <v>1</v>
      </c>
      <c r="J9" s="101">
        <f>VLOOKUP(B9,All_Ingredients!$A$1:$J$156,10,FALSE())</f>
        <v>0.74</v>
      </c>
      <c r="K9" s="104">
        <f t="shared" si="2"/>
        <v>0.1650375</v>
      </c>
      <c r="L9" s="104">
        <f t="shared" si="3"/>
        <v>0.12212775000000001</v>
      </c>
    </row>
    <row r="10" spans="1:33" x14ac:dyDescent="0.25">
      <c r="A10" s="1455"/>
      <c r="B10" s="299" t="s">
        <v>203</v>
      </c>
      <c r="C10" s="106" t="s">
        <v>160</v>
      </c>
      <c r="D10" s="107">
        <v>1500</v>
      </c>
      <c r="E10" s="177">
        <f>$H$52</f>
        <v>14.669999999999998</v>
      </c>
      <c r="F10" s="109">
        <v>1</v>
      </c>
      <c r="G10" s="101">
        <f>D10*E10</f>
        <v>22004.999999999996</v>
      </c>
      <c r="H10" s="102">
        <f>G10*F10</f>
        <v>22004.999999999996</v>
      </c>
      <c r="I10" s="65">
        <f>VLOOKUP(B10,All_Ingredients!$A$1:$F$156,6,FALSE())</f>
        <v>1</v>
      </c>
      <c r="J10" s="227">
        <f>VLOOKUP(B10,All_Ingredients!$A$1:$J$156,10,FALSE())</f>
        <v>0</v>
      </c>
      <c r="K10" s="104">
        <f t="shared" si="2"/>
        <v>22.004999999999995</v>
      </c>
      <c r="L10" s="104">
        <f t="shared" si="3"/>
        <v>0</v>
      </c>
    </row>
    <row r="11" spans="1:33" ht="14.25" customHeight="1" x14ac:dyDescent="0.2">
      <c r="A11" s="1466"/>
      <c r="B11" s="84"/>
      <c r="C11" s="84"/>
      <c r="D11" s="84"/>
      <c r="E11" s="84"/>
      <c r="F11" s="84"/>
      <c r="L11" s="189"/>
    </row>
    <row r="12" spans="1:33" ht="14.25" customHeight="1" x14ac:dyDescent="0.2">
      <c r="A12" s="1466"/>
      <c r="B12" s="84"/>
      <c r="C12" s="84"/>
      <c r="D12" s="84"/>
      <c r="E12" s="84"/>
      <c r="F12" s="84"/>
      <c r="L12" s="189"/>
    </row>
    <row r="13" spans="1:33" ht="14.25" customHeight="1" x14ac:dyDescent="0.2">
      <c r="A13" s="1466"/>
      <c r="B13" s="84"/>
      <c r="C13" s="84"/>
      <c r="D13" s="84"/>
      <c r="E13" s="84"/>
      <c r="F13" s="84"/>
      <c r="L13" s="189"/>
    </row>
    <row r="14" spans="1:33" ht="14.25" customHeight="1" x14ac:dyDescent="0.2">
      <c r="A14" s="1466"/>
      <c r="F14" s="84"/>
      <c r="L14" s="189"/>
    </row>
    <row r="15" spans="1:33" ht="15" customHeight="1" x14ac:dyDescent="0.2">
      <c r="A15" s="1466"/>
      <c r="F15" s="84"/>
      <c r="L15" s="189"/>
    </row>
    <row r="16" spans="1:33" ht="14.25" customHeight="1" x14ac:dyDescent="0.2">
      <c r="A16" s="1466"/>
      <c r="F16" s="84"/>
    </row>
    <row r="17" spans="1:29" ht="14.25" customHeight="1" x14ac:dyDescent="0.2">
      <c r="A17" s="1466"/>
      <c r="F17" s="84"/>
    </row>
    <row r="18" spans="1:29" ht="14.25" customHeight="1" x14ac:dyDescent="0.2">
      <c r="A18" s="1466"/>
      <c r="F18" s="84"/>
    </row>
    <row r="19" spans="1:29" ht="14.25" customHeight="1" x14ac:dyDescent="0.2">
      <c r="A19" s="1466"/>
      <c r="F19" s="84"/>
    </row>
    <row r="20" spans="1:29" ht="14.25" customHeight="1" x14ac:dyDescent="0.25">
      <c r="A20" s="62"/>
      <c r="F20" s="84"/>
    </row>
    <row r="21" spans="1:29" ht="14.25" customHeight="1" x14ac:dyDescent="0.25">
      <c r="A21" s="62"/>
      <c r="B21" s="84"/>
      <c r="E21" s="84"/>
      <c r="F21" s="84"/>
    </row>
    <row r="22" spans="1:29" ht="14.25" customHeight="1" x14ac:dyDescent="0.25">
      <c r="A22" s="62"/>
      <c r="B22" s="84"/>
      <c r="E22" s="84"/>
      <c r="F22" s="84"/>
    </row>
    <row r="23" spans="1:29" ht="14.25" customHeight="1" x14ac:dyDescent="0.25">
      <c r="A23" s="62"/>
      <c r="B23" s="84"/>
      <c r="E23" s="84"/>
      <c r="F23" s="84"/>
    </row>
    <row r="24" spans="1:29" ht="14.25" customHeight="1" x14ac:dyDescent="0.25">
      <c r="A24" s="62"/>
      <c r="B24" s="84"/>
      <c r="E24" s="84"/>
      <c r="F24" s="84"/>
      <c r="Z24" s="1124"/>
    </row>
    <row r="25" spans="1:29" ht="15.75" customHeight="1" x14ac:dyDescent="0.25">
      <c r="A25" s="62"/>
      <c r="B25" s="84"/>
      <c r="D25" s="626"/>
      <c r="E25" s="84"/>
      <c r="F25" s="84"/>
      <c r="R25" s="1640" t="str">
        <f>B2</f>
        <v>Chicken Saleeq - سليق دجاج</v>
      </c>
      <c r="S25" s="1633"/>
      <c r="T25" s="1633"/>
      <c r="Z25" s="122" t="s">
        <v>252</v>
      </c>
      <c r="AA25" s="123">
        <v>1</v>
      </c>
      <c r="AB25" s="122" t="s">
        <v>249</v>
      </c>
      <c r="AC25" s="124">
        <f>AC30*AA25</f>
        <v>3.2667334816907354E-2</v>
      </c>
    </row>
    <row r="26" spans="1:29" ht="27.75" customHeight="1" x14ac:dyDescent="0.25">
      <c r="A26" s="62"/>
      <c r="B26" s="84"/>
      <c r="E26" s="84"/>
      <c r="F26" s="84"/>
      <c r="R26" s="1638" t="s">
        <v>324</v>
      </c>
      <c r="S26" s="1639"/>
      <c r="T26" s="1639"/>
      <c r="AB26" s="14"/>
      <c r="AC26" s="14"/>
    </row>
    <row r="27" spans="1:29" ht="14.25" customHeight="1" thickBot="1" x14ac:dyDescent="0.3">
      <c r="A27" s="62"/>
      <c r="B27" s="84"/>
      <c r="E27" s="84"/>
      <c r="F27" s="84"/>
      <c r="R27" s="126" t="s">
        <v>254</v>
      </c>
      <c r="S27" s="127" t="s">
        <v>255</v>
      </c>
      <c r="T27" s="127" t="s">
        <v>257</v>
      </c>
      <c r="U27" s="127" t="s">
        <v>779</v>
      </c>
      <c r="Z27" s="122" t="s">
        <v>258</v>
      </c>
      <c r="AA27" s="128" t="s">
        <v>259</v>
      </c>
      <c r="AB27" s="1032" t="s">
        <v>779</v>
      </c>
      <c r="AC27" s="128" t="s">
        <v>262</v>
      </c>
    </row>
    <row r="28" spans="1:29" ht="14.25" customHeight="1" thickBot="1" x14ac:dyDescent="0.3">
      <c r="A28" s="62"/>
      <c r="B28" s="84"/>
      <c r="E28" s="84"/>
      <c r="F28" s="84"/>
      <c r="R28" s="129" t="s">
        <v>325</v>
      </c>
      <c r="S28" s="696">
        <f>$Z$1</f>
        <v>13670</v>
      </c>
      <c r="T28" s="690">
        <f>S28</f>
        <v>13670</v>
      </c>
      <c r="U28" s="690">
        <f>SUM(G21)</f>
        <v>0</v>
      </c>
      <c r="Z28" s="132"/>
      <c r="AA28" s="133">
        <f>AA25</f>
        <v>1</v>
      </c>
      <c r="AB28" s="1034"/>
      <c r="AC28" s="135">
        <f>SUM(AA28:AB28)</f>
        <v>1</v>
      </c>
    </row>
    <row r="29" spans="1:29" ht="14.25" customHeight="1" thickBot="1" x14ac:dyDescent="0.3">
      <c r="A29" s="62"/>
      <c r="B29" s="84"/>
      <c r="E29" s="84"/>
      <c r="F29" s="84"/>
      <c r="R29" s="129" t="s">
        <v>326</v>
      </c>
      <c r="S29" s="718">
        <f>$AB$1</f>
        <v>1000</v>
      </c>
      <c r="T29" s="692">
        <f>S29</f>
        <v>1000</v>
      </c>
      <c r="U29" s="692"/>
      <c r="Z29" s="132"/>
      <c r="AA29" s="137">
        <v>1</v>
      </c>
      <c r="AB29" s="1038"/>
      <c r="AC29" s="137">
        <f>AC28/$AC$28</f>
        <v>1</v>
      </c>
    </row>
    <row r="30" spans="1:29" ht="14.25" customHeight="1" thickBot="1" x14ac:dyDescent="0.3">
      <c r="A30" s="62"/>
      <c r="B30" s="84"/>
      <c r="E30" s="84"/>
      <c r="F30" s="84"/>
      <c r="R30" s="141" t="s">
        <v>327</v>
      </c>
      <c r="S30" s="130">
        <f>S28+S29</f>
        <v>14670</v>
      </c>
      <c r="T30" s="130">
        <f>T28+T29</f>
        <v>14670</v>
      </c>
      <c r="U30" s="130">
        <f>U28+U29</f>
        <v>0</v>
      </c>
      <c r="Z30" s="122" t="s">
        <v>266</v>
      </c>
      <c r="AA30" s="138">
        <f>S33/(S30)</f>
        <v>3.2667334816907354E-2</v>
      </c>
      <c r="AB30" s="1045">
        <f>U33/T30</f>
        <v>0</v>
      </c>
      <c r="AC30" s="1047">
        <f>SUMPRODUCT(AA30,AA29)+AB30</f>
        <v>3.2667334816907354E-2</v>
      </c>
    </row>
    <row r="31" spans="1:29" ht="14.25" customHeight="1" thickBot="1" x14ac:dyDescent="0.3">
      <c r="A31" s="62"/>
      <c r="B31" s="84"/>
      <c r="E31" s="84"/>
      <c r="F31" s="84"/>
      <c r="R31" s="142" t="s">
        <v>268</v>
      </c>
      <c r="S31" s="136"/>
      <c r="T31" s="136"/>
      <c r="U31" s="136"/>
    </row>
    <row r="32" spans="1:29" ht="14.25" customHeight="1" thickBot="1" x14ac:dyDescent="0.3">
      <c r="A32" s="62"/>
      <c r="R32" s="143" t="s">
        <v>269</v>
      </c>
      <c r="S32" s="136"/>
      <c r="T32" s="136"/>
      <c r="U32" s="136"/>
    </row>
    <row r="33" spans="1:24" ht="14.25" customHeight="1" thickBot="1" x14ac:dyDescent="0.3">
      <c r="A33" s="62"/>
      <c r="R33" s="144" t="s">
        <v>249</v>
      </c>
      <c r="S33" s="145">
        <f>SUM(L5:L10)</f>
        <v>479.22980176403087</v>
      </c>
      <c r="T33" s="145">
        <f>S33</f>
        <v>479.22980176403087</v>
      </c>
      <c r="U33" s="145">
        <f>SUM(L37)</f>
        <v>0</v>
      </c>
    </row>
    <row r="34" spans="1:24" x14ac:dyDescent="0.25">
      <c r="A34" s="62"/>
    </row>
    <row r="35" spans="1:24" x14ac:dyDescent="0.25">
      <c r="A35" s="62"/>
    </row>
    <row r="36" spans="1:24" x14ac:dyDescent="0.25">
      <c r="A36" s="62"/>
    </row>
    <row r="37" spans="1:24" x14ac:dyDescent="0.25">
      <c r="A37" s="62"/>
    </row>
    <row r="38" spans="1:24" x14ac:dyDescent="0.25">
      <c r="A38" s="62"/>
    </row>
    <row r="39" spans="1:24" x14ac:dyDescent="0.25">
      <c r="A39" s="62"/>
    </row>
    <row r="40" spans="1:24" ht="14.25" customHeight="1" x14ac:dyDescent="0.25">
      <c r="A40" s="62"/>
      <c r="Q40" s="14"/>
      <c r="R40" s="146" t="s">
        <v>328</v>
      </c>
      <c r="S40" s="217">
        <v>1</v>
      </c>
      <c r="X40" s="14"/>
    </row>
    <row r="41" spans="1:24" ht="14.25" customHeight="1" x14ac:dyDescent="0.25">
      <c r="A41" s="62"/>
      <c r="Q41" s="14"/>
      <c r="R41" s="14"/>
      <c r="S41" s="14"/>
      <c r="T41" s="14"/>
      <c r="U41" s="150"/>
      <c r="V41" s="14"/>
      <c r="W41" s="14"/>
      <c r="X41" s="14"/>
    </row>
    <row r="42" spans="1:24" ht="14.25" customHeight="1" x14ac:dyDescent="0.25">
      <c r="A42" s="62"/>
      <c r="Q42" s="14"/>
      <c r="R42" s="14"/>
      <c r="S42" s="14"/>
      <c r="T42" s="14"/>
      <c r="U42" s="14"/>
      <c r="V42" s="14"/>
      <c r="W42" s="14"/>
      <c r="X42" s="14"/>
    </row>
    <row r="43" spans="1:24" ht="14.25" customHeight="1" x14ac:dyDescent="0.25">
      <c r="A43" s="62"/>
      <c r="Q43" s="151" t="s">
        <v>272</v>
      </c>
      <c r="R43" s="151" t="s">
        <v>273</v>
      </c>
      <c r="S43" s="151" t="s">
        <v>274</v>
      </c>
      <c r="T43" s="151" t="s">
        <v>275</v>
      </c>
      <c r="U43" s="151" t="s">
        <v>276</v>
      </c>
      <c r="V43" s="151" t="s">
        <v>277</v>
      </c>
      <c r="W43" s="235" t="s">
        <v>329</v>
      </c>
      <c r="X43" s="298"/>
    </row>
    <row r="44" spans="1:24" ht="14.25" customHeight="1" x14ac:dyDescent="0.25">
      <c r="A44" s="62"/>
      <c r="Q44" s="153">
        <v>10000</v>
      </c>
      <c r="R44" s="154">
        <v>0</v>
      </c>
      <c r="S44" s="219">
        <v>0</v>
      </c>
      <c r="T44" s="219">
        <v>0</v>
      </c>
      <c r="U44" s="220">
        <f>R44*S44</f>
        <v>0</v>
      </c>
      <c r="V44" s="157">
        <f>R44*T44</f>
        <v>0</v>
      </c>
      <c r="W44" s="237">
        <f>Q44-U44</f>
        <v>10000</v>
      </c>
      <c r="X44" s="275"/>
    </row>
    <row r="45" spans="1:24" x14ac:dyDescent="0.25">
      <c r="A45" s="62"/>
    </row>
    <row r="46" spans="1:24" x14ac:dyDescent="0.25">
      <c r="A46" s="62"/>
    </row>
    <row r="47" spans="1:24" x14ac:dyDescent="0.25">
      <c r="A47" s="62"/>
    </row>
    <row r="48" spans="1:24" x14ac:dyDescent="0.25">
      <c r="A48" s="62"/>
    </row>
    <row r="49" spans="1:10" x14ac:dyDescent="0.25">
      <c r="A49" s="62"/>
    </row>
    <row r="50" spans="1:10" ht="15.75" thickBot="1" x14ac:dyDescent="0.3">
      <c r="A50" s="62"/>
      <c r="G50" s="127" t="s">
        <v>280</v>
      </c>
      <c r="H50" s="127" t="s">
        <v>233</v>
      </c>
      <c r="I50" s="127" t="s">
        <v>281</v>
      </c>
      <c r="J50" s="127" t="s">
        <v>282</v>
      </c>
    </row>
    <row r="51" spans="1:10" ht="15.75" thickBot="1" x14ac:dyDescent="0.3">
      <c r="A51" s="62"/>
      <c r="G51" s="287" t="s">
        <v>323</v>
      </c>
      <c r="H51" s="288">
        <v>10</v>
      </c>
      <c r="I51" s="288">
        <f>J51/J1</f>
        <v>16129.032258064517</v>
      </c>
      <c r="J51" s="289">
        <f>$W$44</f>
        <v>10000</v>
      </c>
    </row>
    <row r="52" spans="1:10" x14ac:dyDescent="0.25">
      <c r="A52" s="62"/>
      <c r="G52" s="143" t="s">
        <v>262</v>
      </c>
      <c r="H52" s="290">
        <f>E5</f>
        <v>14.669999999999998</v>
      </c>
      <c r="I52" s="291">
        <f>J52/$J$1</f>
        <v>23661.290322580644</v>
      </c>
      <c r="J52" s="292">
        <f>$S$30</f>
        <v>14670</v>
      </c>
    </row>
    <row r="53" spans="1:10" x14ac:dyDescent="0.25">
      <c r="A53" s="62"/>
      <c r="D53" s="458"/>
      <c r="G53" s="129" t="s">
        <v>284</v>
      </c>
      <c r="H53" s="293">
        <f>MIN($H$52, H51)</f>
        <v>10</v>
      </c>
      <c r="I53" s="157">
        <f>J53/$J$1</f>
        <v>16129.032258064517</v>
      </c>
      <c r="J53" s="294">
        <f>MIN(MAX($J$52,0),$J$51)</f>
        <v>10000</v>
      </c>
    </row>
    <row r="54" spans="1:10" x14ac:dyDescent="0.25">
      <c r="A54" s="62"/>
      <c r="D54" s="458"/>
      <c r="G54" s="129" t="s">
        <v>285</v>
      </c>
      <c r="H54" s="293">
        <f>MIN(MAX($H$52-H53,0),H51)</f>
        <v>4.6699999999999982</v>
      </c>
      <c r="I54" s="157">
        <f>J54/$J$1</f>
        <v>7532.2580645161288</v>
      </c>
      <c r="J54" s="165">
        <f>MIN(MAX($J$52-J53,0),$J$51)</f>
        <v>4670</v>
      </c>
    </row>
    <row r="55" spans="1:10" x14ac:dyDescent="0.25">
      <c r="A55" s="62"/>
      <c r="D55" s="458"/>
      <c r="G55" s="126" t="s">
        <v>286</v>
      </c>
      <c r="H55" s="293">
        <f>MIN(MAX($H$52-H53-H54,0),H51)</f>
        <v>0</v>
      </c>
      <c r="I55" s="157">
        <f>J55/$J$1</f>
        <v>0</v>
      </c>
      <c r="J55" s="294">
        <f>MIN(MAX($J$52-J53-J54,0),$J$51)</f>
        <v>0</v>
      </c>
    </row>
    <row r="56" spans="1:10" x14ac:dyDescent="0.25">
      <c r="A56" s="62"/>
      <c r="G56" s="126" t="s">
        <v>293</v>
      </c>
      <c r="H56" s="293">
        <f>MIN(MAX($H$52-H53-H54-H55,0),H52)</f>
        <v>0</v>
      </c>
      <c r="I56" s="157">
        <f>J56/$J$1</f>
        <v>0</v>
      </c>
      <c r="J56" s="294">
        <f>MIN(MAX($J$52-J53-J54-J55,0),$J$51)</f>
        <v>0</v>
      </c>
    </row>
    <row r="57" spans="1:10" x14ac:dyDescent="0.25">
      <c r="A57" s="62"/>
    </row>
    <row r="58" spans="1:10" x14ac:dyDescent="0.25">
      <c r="A58" s="62"/>
    </row>
    <row r="59" spans="1:10" x14ac:dyDescent="0.25">
      <c r="A59" s="62"/>
    </row>
    <row r="60" spans="1:10" x14ac:dyDescent="0.25">
      <c r="A60" s="62"/>
    </row>
    <row r="61" spans="1:10" x14ac:dyDescent="0.25">
      <c r="A61" s="62"/>
    </row>
    <row r="62" spans="1:10" ht="18" customHeight="1" x14ac:dyDescent="0.2">
      <c r="A62" s="1467"/>
      <c r="B62" s="1642" t="str">
        <f>"سليق دجاج 1 / " &amp; COUNTIF($H$53:$H$55, "&gt;0")</f>
        <v>سليق دجاج 1 / 2</v>
      </c>
      <c r="C62" s="1651"/>
      <c r="D62" s="1651"/>
      <c r="E62" s="1651"/>
      <c r="F62" s="1651"/>
      <c r="G62" s="1651"/>
      <c r="H62" s="1651"/>
    </row>
    <row r="63" spans="1:10" ht="18" customHeight="1" x14ac:dyDescent="0.2">
      <c r="A63" s="1467"/>
      <c r="B63" s="1642" t="str">
        <f>"Chicken Saleeq 1 / " &amp; COUNTIF($H$53:$H$55, "&gt;0")</f>
        <v>Chicken Saleeq 1 / 2</v>
      </c>
      <c r="C63" s="1651"/>
      <c r="D63" s="1651"/>
      <c r="E63" s="1651"/>
      <c r="F63" s="1651"/>
      <c r="G63" s="1651"/>
      <c r="H63" s="1651"/>
    </row>
    <row r="64" spans="1:10" ht="46.5" customHeight="1" x14ac:dyDescent="0.2">
      <c r="A64" s="1457"/>
      <c r="B64" s="75" t="s">
        <v>241</v>
      </c>
      <c r="C64" s="284" t="s">
        <v>317</v>
      </c>
      <c r="D64" s="75" t="s">
        <v>318</v>
      </c>
      <c r="E64" s="91" t="s">
        <v>319</v>
      </c>
      <c r="F64" s="91" t="s">
        <v>320</v>
      </c>
      <c r="G64" s="285" t="s">
        <v>321</v>
      </c>
      <c r="H64" s="92" t="s">
        <v>322</v>
      </c>
    </row>
    <row r="65" spans="1:8" ht="14.25" customHeight="1" x14ac:dyDescent="0.2">
      <c r="A65" s="1459"/>
      <c r="B65" s="299" t="str">
        <f t="shared" ref="B65:D70" si="4">B5</f>
        <v>Chicken - دجاج</v>
      </c>
      <c r="C65" s="299" t="str">
        <f t="shared" si="4"/>
        <v>gm</v>
      </c>
      <c r="D65" s="300">
        <f t="shared" si="4"/>
        <v>1612.9032258064517</v>
      </c>
      <c r="E65" s="177">
        <f t="shared" ref="E65:E70" si="5">$H$53</f>
        <v>10</v>
      </c>
      <c r="F65" s="109">
        <f t="shared" ref="F65:F70" si="6">F5</f>
        <v>1</v>
      </c>
      <c r="G65" s="101">
        <f t="shared" ref="G65:G70" si="7">D65*E65</f>
        <v>16129.032258064517</v>
      </c>
      <c r="H65" s="102">
        <f t="shared" ref="H65:H70" si="8">G65*F65</f>
        <v>16129.032258064517</v>
      </c>
    </row>
    <row r="66" spans="1:8" ht="14.25" customHeight="1" x14ac:dyDescent="0.25">
      <c r="A66" s="1455"/>
      <c r="B66" s="299" t="str">
        <f t="shared" si="4"/>
        <v>Cumin Powder - كمون مطحون</v>
      </c>
      <c r="C66" s="299" t="str">
        <f t="shared" si="4"/>
        <v>gm</v>
      </c>
      <c r="D66" s="299">
        <f t="shared" si="4"/>
        <v>25</v>
      </c>
      <c r="E66" s="177">
        <f t="shared" si="5"/>
        <v>10</v>
      </c>
      <c r="F66" s="109">
        <f t="shared" si="6"/>
        <v>0.7</v>
      </c>
      <c r="G66" s="65">
        <f t="shared" si="7"/>
        <v>250</v>
      </c>
      <c r="H66" s="102">
        <f t="shared" si="8"/>
        <v>175</v>
      </c>
    </row>
    <row r="67" spans="1:8" ht="14.25" customHeight="1" x14ac:dyDescent="0.25">
      <c r="A67" s="1455"/>
      <c r="B67" s="299" t="str">
        <f t="shared" si="4"/>
        <v>Tomato Paste - صلصة طماطم</v>
      </c>
      <c r="C67" s="299" t="str">
        <f t="shared" si="4"/>
        <v>gm</v>
      </c>
      <c r="D67" s="299">
        <f t="shared" si="4"/>
        <v>35</v>
      </c>
      <c r="E67" s="177">
        <f t="shared" si="5"/>
        <v>10</v>
      </c>
      <c r="F67" s="109">
        <f t="shared" si="6"/>
        <v>0.75</v>
      </c>
      <c r="G67" s="65">
        <f t="shared" si="7"/>
        <v>350</v>
      </c>
      <c r="H67" s="102">
        <f t="shared" si="8"/>
        <v>262.5</v>
      </c>
    </row>
    <row r="68" spans="1:8" ht="14.25" customHeight="1" x14ac:dyDescent="0.25">
      <c r="A68" s="1455"/>
      <c r="B68" s="299" t="str">
        <f t="shared" si="4"/>
        <v>Coriander Powder - كزبرة مطحونة</v>
      </c>
      <c r="C68" s="299" t="str">
        <f t="shared" si="4"/>
        <v>gm</v>
      </c>
      <c r="D68" s="299">
        <f t="shared" si="4"/>
        <v>20</v>
      </c>
      <c r="E68" s="177">
        <f t="shared" si="5"/>
        <v>10</v>
      </c>
      <c r="F68" s="109">
        <f t="shared" si="6"/>
        <v>0.7</v>
      </c>
      <c r="G68" s="65">
        <f t="shared" si="7"/>
        <v>200</v>
      </c>
      <c r="H68" s="102">
        <f t="shared" si="8"/>
        <v>140</v>
      </c>
    </row>
    <row r="69" spans="1:8" ht="14.25" customHeight="1" x14ac:dyDescent="0.25">
      <c r="A69" s="1455"/>
      <c r="B69" s="299" t="str">
        <f t="shared" si="4"/>
        <v>Salt - ملح</v>
      </c>
      <c r="C69" s="299" t="str">
        <f t="shared" si="4"/>
        <v>gm</v>
      </c>
      <c r="D69" s="299">
        <f t="shared" si="4"/>
        <v>15</v>
      </c>
      <c r="E69" s="177">
        <f t="shared" si="5"/>
        <v>10</v>
      </c>
      <c r="F69" s="109">
        <f t="shared" si="6"/>
        <v>0.75</v>
      </c>
      <c r="G69" s="65">
        <f t="shared" si="7"/>
        <v>150</v>
      </c>
      <c r="H69" s="102">
        <f t="shared" si="8"/>
        <v>112.5</v>
      </c>
    </row>
    <row r="70" spans="1:8" ht="14.25" customHeight="1" x14ac:dyDescent="0.25">
      <c r="A70" s="1455"/>
      <c r="B70" s="299" t="str">
        <f t="shared" si="4"/>
        <v>Water - ماء</v>
      </c>
      <c r="C70" s="299" t="str">
        <f t="shared" si="4"/>
        <v>ml</v>
      </c>
      <c r="D70" s="299">
        <f t="shared" si="4"/>
        <v>1500</v>
      </c>
      <c r="E70" s="177">
        <f t="shared" si="5"/>
        <v>10</v>
      </c>
      <c r="F70" s="109">
        <f t="shared" si="6"/>
        <v>1</v>
      </c>
      <c r="G70" s="65">
        <f t="shared" si="7"/>
        <v>15000</v>
      </c>
      <c r="H70" s="102">
        <f t="shared" si="8"/>
        <v>15000</v>
      </c>
    </row>
    <row r="71" spans="1:8" ht="20.25" customHeight="1" x14ac:dyDescent="0.25">
      <c r="A71" s="1458"/>
      <c r="B71" s="178" t="s">
        <v>287</v>
      </c>
      <c r="C71" s="180" t="s">
        <v>273</v>
      </c>
      <c r="D71" s="14"/>
      <c r="E71" s="180" t="s">
        <v>288</v>
      </c>
      <c r="F71" s="14"/>
      <c r="G71" s="804" t="s">
        <v>264</v>
      </c>
      <c r="H71" s="804" t="s">
        <v>673</v>
      </c>
    </row>
    <row r="72" spans="1:8" ht="23.25" customHeight="1" x14ac:dyDescent="0.3">
      <c r="A72" s="1458"/>
      <c r="B72" s="179">
        <f>$J$53</f>
        <v>10000</v>
      </c>
      <c r="C72" s="181">
        <f>E72+G72</f>
        <v>0</v>
      </c>
      <c r="D72" s="189"/>
      <c r="E72" s="181">
        <f>$C$53*$S$44</f>
        <v>0</v>
      </c>
      <c r="F72" s="84"/>
      <c r="G72" s="182">
        <f>$C$53*$T$44</f>
        <v>0</v>
      </c>
      <c r="H72" s="182">
        <f>B72+E72</f>
        <v>10000</v>
      </c>
    </row>
    <row r="73" spans="1:8" ht="14.25" customHeight="1" x14ac:dyDescent="0.25">
      <c r="A73" s="62"/>
      <c r="B73" s="84"/>
      <c r="E73" s="84"/>
      <c r="F73" s="84"/>
    </row>
    <row r="74" spans="1:8" ht="18" customHeight="1" x14ac:dyDescent="0.2">
      <c r="A74" s="1467"/>
      <c r="B74" s="1642" t="str">
        <f>"سليق دجاج 2 / " &amp; COUNTIF($H$53:$H$55, "&gt;0")</f>
        <v>سليق دجاج 2 / 2</v>
      </c>
      <c r="C74" s="1651"/>
      <c r="D74" s="1651"/>
      <c r="E74" s="1651"/>
      <c r="F74" s="1651"/>
      <c r="G74" s="1651"/>
      <c r="H74" s="1651"/>
    </row>
    <row r="75" spans="1:8" ht="18" customHeight="1" x14ac:dyDescent="0.2">
      <c r="A75" s="1467"/>
      <c r="B75" s="1642" t="str">
        <f>"Chicken Saleeq 2 / " &amp; COUNTIF($H$53:$H$55, "&gt;0")</f>
        <v>Chicken Saleeq 2 / 2</v>
      </c>
      <c r="C75" s="1651"/>
      <c r="D75" s="1651"/>
      <c r="E75" s="1651"/>
      <c r="F75" s="1651"/>
      <c r="G75" s="1651"/>
      <c r="H75" s="1651"/>
    </row>
    <row r="76" spans="1:8" ht="46.5" customHeight="1" x14ac:dyDescent="0.2">
      <c r="A76" s="1457"/>
      <c r="B76" s="75" t="s">
        <v>241</v>
      </c>
      <c r="C76" s="284" t="s">
        <v>317</v>
      </c>
      <c r="D76" s="75" t="s">
        <v>318</v>
      </c>
      <c r="E76" s="91" t="s">
        <v>319</v>
      </c>
      <c r="F76" s="91" t="s">
        <v>320</v>
      </c>
      <c r="G76" s="285" t="s">
        <v>321</v>
      </c>
      <c r="H76" s="92" t="s">
        <v>322</v>
      </c>
    </row>
    <row r="77" spans="1:8" ht="14.25" customHeight="1" x14ac:dyDescent="0.2">
      <c r="A77" s="1459"/>
      <c r="B77" s="299" t="str">
        <f t="shared" ref="B77:D82" si="9">B5</f>
        <v>Chicken - دجاج</v>
      </c>
      <c r="C77" s="299" t="str">
        <f t="shared" si="9"/>
        <v>gm</v>
      </c>
      <c r="D77" s="101">
        <f t="shared" si="9"/>
        <v>1612.9032258064517</v>
      </c>
      <c r="E77" s="177">
        <f t="shared" ref="E77:E82" si="10">$H$54</f>
        <v>4.6699999999999982</v>
      </c>
      <c r="F77" s="109">
        <f t="shared" ref="F77:F82" si="11">F5</f>
        <v>1</v>
      </c>
      <c r="G77" s="101">
        <f t="shared" ref="G77:G82" si="12">D77*E77</f>
        <v>7532.2580645161261</v>
      </c>
      <c r="H77" s="102">
        <f t="shared" ref="H77:H82" si="13">G77*F77</f>
        <v>7532.2580645161261</v>
      </c>
    </row>
    <row r="78" spans="1:8" ht="14.25" customHeight="1" x14ac:dyDescent="0.25">
      <c r="A78" s="1455"/>
      <c r="B78" s="299" t="str">
        <f t="shared" si="9"/>
        <v>Cumin Powder - كمون مطحون</v>
      </c>
      <c r="C78" s="299" t="str">
        <f t="shared" si="9"/>
        <v>gm</v>
      </c>
      <c r="D78" s="299">
        <f t="shared" si="9"/>
        <v>25</v>
      </c>
      <c r="E78" s="177">
        <f t="shared" si="10"/>
        <v>4.6699999999999982</v>
      </c>
      <c r="F78" s="109">
        <f t="shared" si="11"/>
        <v>0.7</v>
      </c>
      <c r="G78" s="101">
        <f t="shared" si="12"/>
        <v>116.74999999999996</v>
      </c>
      <c r="H78" s="102">
        <f t="shared" si="13"/>
        <v>81.724999999999966</v>
      </c>
    </row>
    <row r="79" spans="1:8" ht="14.25" customHeight="1" x14ac:dyDescent="0.25">
      <c r="A79" s="1455"/>
      <c r="B79" s="299" t="str">
        <f t="shared" si="9"/>
        <v>Tomato Paste - صلصة طماطم</v>
      </c>
      <c r="C79" s="299" t="str">
        <f t="shared" si="9"/>
        <v>gm</v>
      </c>
      <c r="D79" s="299">
        <f t="shared" si="9"/>
        <v>35</v>
      </c>
      <c r="E79" s="177">
        <f t="shared" si="10"/>
        <v>4.6699999999999982</v>
      </c>
      <c r="F79" s="109">
        <f t="shared" si="11"/>
        <v>0.75</v>
      </c>
      <c r="G79" s="101">
        <f t="shared" si="12"/>
        <v>163.44999999999993</v>
      </c>
      <c r="H79" s="102">
        <f t="shared" si="13"/>
        <v>122.58749999999995</v>
      </c>
    </row>
    <row r="80" spans="1:8" ht="14.25" customHeight="1" x14ac:dyDescent="0.25">
      <c r="A80" s="1455"/>
      <c r="B80" s="299" t="str">
        <f t="shared" si="9"/>
        <v>Coriander Powder - كزبرة مطحونة</v>
      </c>
      <c r="C80" s="299" t="str">
        <f t="shared" si="9"/>
        <v>gm</v>
      </c>
      <c r="D80" s="299">
        <f t="shared" si="9"/>
        <v>20</v>
      </c>
      <c r="E80" s="177">
        <f t="shared" si="10"/>
        <v>4.6699999999999982</v>
      </c>
      <c r="F80" s="109">
        <f t="shared" si="11"/>
        <v>0.7</v>
      </c>
      <c r="G80" s="101">
        <f t="shared" si="12"/>
        <v>93.399999999999963</v>
      </c>
      <c r="H80" s="102">
        <f t="shared" si="13"/>
        <v>65.379999999999967</v>
      </c>
    </row>
    <row r="81" spans="1:8" ht="14.25" customHeight="1" x14ac:dyDescent="0.25">
      <c r="A81" s="1455"/>
      <c r="B81" s="299" t="str">
        <f t="shared" si="9"/>
        <v>Salt - ملح</v>
      </c>
      <c r="C81" s="299" t="str">
        <f t="shared" si="9"/>
        <v>gm</v>
      </c>
      <c r="D81" s="299">
        <f t="shared" si="9"/>
        <v>15</v>
      </c>
      <c r="E81" s="177">
        <f t="shared" si="10"/>
        <v>4.6699999999999982</v>
      </c>
      <c r="F81" s="109">
        <f t="shared" si="11"/>
        <v>0.75</v>
      </c>
      <c r="G81" s="101">
        <f t="shared" si="12"/>
        <v>70.049999999999969</v>
      </c>
      <c r="H81" s="102">
        <f t="shared" si="13"/>
        <v>52.53749999999998</v>
      </c>
    </row>
    <row r="82" spans="1:8" ht="14.25" customHeight="1" x14ac:dyDescent="0.25">
      <c r="A82" s="1455"/>
      <c r="B82" s="299" t="str">
        <f t="shared" si="9"/>
        <v>Water - ماء</v>
      </c>
      <c r="C82" s="299" t="str">
        <f t="shared" si="9"/>
        <v>ml</v>
      </c>
      <c r="D82" s="299">
        <f t="shared" si="9"/>
        <v>1500</v>
      </c>
      <c r="E82" s="177">
        <f t="shared" si="10"/>
        <v>4.6699999999999982</v>
      </c>
      <c r="F82" s="109">
        <f t="shared" si="11"/>
        <v>1</v>
      </c>
      <c r="G82" s="101">
        <f t="shared" si="12"/>
        <v>7004.9999999999973</v>
      </c>
      <c r="H82" s="102">
        <f t="shared" si="13"/>
        <v>7004.9999999999973</v>
      </c>
    </row>
    <row r="83" spans="1:8" ht="20.25" customHeight="1" x14ac:dyDescent="0.25">
      <c r="A83" s="1458"/>
      <c r="B83" s="178" t="s">
        <v>287</v>
      </c>
      <c r="C83" s="180" t="s">
        <v>273</v>
      </c>
      <c r="D83" s="14"/>
      <c r="E83" s="180" t="s">
        <v>288</v>
      </c>
      <c r="F83" s="14"/>
      <c r="G83" s="804" t="s">
        <v>264</v>
      </c>
      <c r="H83" s="804" t="s">
        <v>673</v>
      </c>
    </row>
    <row r="84" spans="1:8" ht="22.5" customHeight="1" x14ac:dyDescent="0.3">
      <c r="A84" s="1458"/>
      <c r="B84" s="179">
        <f>$J$54</f>
        <v>4670</v>
      </c>
      <c r="C84" s="181">
        <f>E84+G84</f>
        <v>0</v>
      </c>
      <c r="D84" s="189"/>
      <c r="E84" s="181">
        <f>$C$54*$S$44</f>
        <v>0</v>
      </c>
      <c r="F84" s="84"/>
      <c r="G84" s="182">
        <f>$C$54*$T$44</f>
        <v>0</v>
      </c>
      <c r="H84" s="182">
        <f>B84+E84</f>
        <v>4670</v>
      </c>
    </row>
    <row r="85" spans="1:8" x14ac:dyDescent="0.25">
      <c r="A85" s="62"/>
    </row>
    <row r="86" spans="1:8" x14ac:dyDescent="0.25">
      <c r="A86" s="62"/>
    </row>
    <row r="87" spans="1:8" x14ac:dyDescent="0.25">
      <c r="A87" s="62"/>
    </row>
    <row r="88" spans="1:8" ht="18" customHeight="1" x14ac:dyDescent="0.2">
      <c r="A88" s="1467"/>
      <c r="B88" s="1642" t="str">
        <f>"سليق دجاج 3 / " &amp; COUNTIF($H$53:$H$55, "&gt;0")</f>
        <v>سليق دجاج 3 / 2</v>
      </c>
      <c r="C88" s="1651"/>
      <c r="D88" s="1651"/>
      <c r="E88" s="1651"/>
      <c r="F88" s="1651"/>
      <c r="G88" s="1651"/>
      <c r="H88" s="1651"/>
    </row>
    <row r="89" spans="1:8" ht="18" customHeight="1" x14ac:dyDescent="0.2">
      <c r="A89" s="1468"/>
      <c r="B89" s="1642" t="str">
        <f>"Chicken Saleeq 3 / " &amp; COUNTIF($H$53:$H$55, "&gt;0")</f>
        <v>Chicken Saleeq 3 / 2</v>
      </c>
      <c r="C89" s="1651"/>
      <c r="D89" s="1651"/>
      <c r="E89" s="1651"/>
      <c r="F89" s="1651"/>
      <c r="G89" s="1651"/>
      <c r="H89" s="1651"/>
    </row>
    <row r="90" spans="1:8" ht="46.5" customHeight="1" x14ac:dyDescent="0.2">
      <c r="A90" s="1457"/>
      <c r="B90" s="75" t="s">
        <v>241</v>
      </c>
      <c r="C90" s="284" t="s">
        <v>317</v>
      </c>
      <c r="D90" s="75" t="s">
        <v>318</v>
      </c>
      <c r="E90" s="91" t="s">
        <v>319</v>
      </c>
      <c r="F90" s="91" t="s">
        <v>320</v>
      </c>
      <c r="G90" s="285" t="s">
        <v>321</v>
      </c>
      <c r="H90" s="92" t="s">
        <v>322</v>
      </c>
    </row>
    <row r="91" spans="1:8" ht="14.25" customHeight="1" x14ac:dyDescent="0.2">
      <c r="A91" s="1459"/>
      <c r="B91" s="198" t="str">
        <f t="shared" ref="B91:D96" si="14">B5</f>
        <v>Chicken - دجاج</v>
      </c>
      <c r="C91" s="198" t="str">
        <f t="shared" si="14"/>
        <v>gm</v>
      </c>
      <c r="D91" s="101">
        <f t="shared" si="14"/>
        <v>1612.9032258064517</v>
      </c>
      <c r="E91" s="177">
        <f t="shared" ref="E91:E96" si="15">$H$55</f>
        <v>0</v>
      </c>
      <c r="F91" s="301">
        <f t="shared" ref="F91:F96" si="16">F5</f>
        <v>1</v>
      </c>
      <c r="G91" s="101">
        <f t="shared" ref="G91:G96" si="17">D91*E91</f>
        <v>0</v>
      </c>
      <c r="H91" s="102">
        <f t="shared" ref="H91:H96" si="18">G91*F91</f>
        <v>0</v>
      </c>
    </row>
    <row r="92" spans="1:8" ht="14.25" customHeight="1" x14ac:dyDescent="0.2">
      <c r="A92" s="1459"/>
      <c r="B92" s="198" t="str">
        <f t="shared" si="14"/>
        <v>Cumin Powder - كمون مطحون</v>
      </c>
      <c r="C92" s="198" t="str">
        <f t="shared" si="14"/>
        <v>gm</v>
      </c>
      <c r="D92" s="198">
        <f t="shared" si="14"/>
        <v>25</v>
      </c>
      <c r="E92" s="177">
        <f t="shared" si="15"/>
        <v>0</v>
      </c>
      <c r="F92" s="301">
        <f t="shared" si="16"/>
        <v>0.7</v>
      </c>
      <c r="G92" s="101">
        <f t="shared" si="17"/>
        <v>0</v>
      </c>
      <c r="H92" s="102">
        <f t="shared" si="18"/>
        <v>0</v>
      </c>
    </row>
    <row r="93" spans="1:8" ht="14.25" customHeight="1" x14ac:dyDescent="0.2">
      <c r="A93" s="1459"/>
      <c r="B93" s="198" t="str">
        <f t="shared" si="14"/>
        <v>Tomato Paste - صلصة طماطم</v>
      </c>
      <c r="C93" s="198" t="str">
        <f t="shared" si="14"/>
        <v>gm</v>
      </c>
      <c r="D93" s="198">
        <f t="shared" si="14"/>
        <v>35</v>
      </c>
      <c r="E93" s="177">
        <f t="shared" si="15"/>
        <v>0</v>
      </c>
      <c r="F93" s="301">
        <f t="shared" si="16"/>
        <v>0.75</v>
      </c>
      <c r="G93" s="101">
        <f t="shared" si="17"/>
        <v>0</v>
      </c>
      <c r="H93" s="102">
        <f t="shared" si="18"/>
        <v>0</v>
      </c>
    </row>
    <row r="94" spans="1:8" ht="14.25" customHeight="1" x14ac:dyDescent="0.2">
      <c r="A94" s="1459"/>
      <c r="B94" s="198" t="str">
        <f t="shared" si="14"/>
        <v>Coriander Powder - كزبرة مطحونة</v>
      </c>
      <c r="C94" s="198" t="str">
        <f t="shared" si="14"/>
        <v>gm</v>
      </c>
      <c r="D94" s="198">
        <f t="shared" si="14"/>
        <v>20</v>
      </c>
      <c r="E94" s="177">
        <f t="shared" si="15"/>
        <v>0</v>
      </c>
      <c r="F94" s="301">
        <f t="shared" si="16"/>
        <v>0.7</v>
      </c>
      <c r="G94" s="101">
        <f t="shared" si="17"/>
        <v>0</v>
      </c>
      <c r="H94" s="102">
        <f t="shared" si="18"/>
        <v>0</v>
      </c>
    </row>
    <row r="95" spans="1:8" ht="14.25" customHeight="1" x14ac:dyDescent="0.2">
      <c r="A95" s="1459"/>
      <c r="B95" s="198" t="str">
        <f t="shared" si="14"/>
        <v>Salt - ملح</v>
      </c>
      <c r="C95" s="198" t="str">
        <f t="shared" si="14"/>
        <v>gm</v>
      </c>
      <c r="D95" s="198">
        <f t="shared" si="14"/>
        <v>15</v>
      </c>
      <c r="E95" s="177">
        <f t="shared" si="15"/>
        <v>0</v>
      </c>
      <c r="F95" s="301">
        <f t="shared" si="16"/>
        <v>0.75</v>
      </c>
      <c r="G95" s="101">
        <f t="shared" si="17"/>
        <v>0</v>
      </c>
      <c r="H95" s="102">
        <f t="shared" si="18"/>
        <v>0</v>
      </c>
    </row>
    <row r="96" spans="1:8" ht="14.25" customHeight="1" x14ac:dyDescent="0.2">
      <c r="A96" s="1459"/>
      <c r="B96" s="198" t="str">
        <f t="shared" si="14"/>
        <v>Water - ماء</v>
      </c>
      <c r="C96" s="198" t="str">
        <f t="shared" si="14"/>
        <v>ml</v>
      </c>
      <c r="D96" s="198">
        <f t="shared" si="14"/>
        <v>1500</v>
      </c>
      <c r="E96" s="177">
        <f t="shared" si="15"/>
        <v>0</v>
      </c>
      <c r="F96" s="301">
        <f t="shared" si="16"/>
        <v>1</v>
      </c>
      <c r="G96" s="101">
        <f t="shared" si="17"/>
        <v>0</v>
      </c>
      <c r="H96" s="102">
        <f t="shared" si="18"/>
        <v>0</v>
      </c>
    </row>
    <row r="97" spans="1:8" ht="20.25" customHeight="1" x14ac:dyDescent="0.25">
      <c r="A97" s="1458"/>
      <c r="B97" s="178" t="s">
        <v>287</v>
      </c>
      <c r="C97" s="180" t="s">
        <v>273</v>
      </c>
      <c r="D97" s="14"/>
      <c r="E97" s="180" t="s">
        <v>288</v>
      </c>
      <c r="F97" s="14"/>
      <c r="G97" s="804" t="s">
        <v>264</v>
      </c>
      <c r="H97" s="804" t="s">
        <v>673</v>
      </c>
    </row>
    <row r="98" spans="1:8" ht="20.25" x14ac:dyDescent="0.3">
      <c r="A98" s="1458"/>
      <c r="B98" s="179">
        <f>$J$55</f>
        <v>0</v>
      </c>
      <c r="C98" s="181">
        <f>E98+G98</f>
        <v>0</v>
      </c>
      <c r="D98" s="189"/>
      <c r="E98" s="181">
        <f>$C$55*$S$44</f>
        <v>0</v>
      </c>
      <c r="F98" s="84"/>
      <c r="G98" s="182">
        <f>$C$55*$T$44</f>
        <v>0</v>
      </c>
      <c r="H98" s="182">
        <f>B98+E98</f>
        <v>0</v>
      </c>
    </row>
    <row r="99" spans="1:8" x14ac:dyDescent="0.25">
      <c r="A99" s="62"/>
    </row>
    <row r="100" spans="1:8" x14ac:dyDescent="0.25">
      <c r="A100" s="62"/>
    </row>
    <row r="101" spans="1:8" x14ac:dyDescent="0.25">
      <c r="A101" s="62"/>
    </row>
    <row r="102" spans="1:8" x14ac:dyDescent="0.25">
      <c r="A102" s="62"/>
    </row>
    <row r="103" spans="1:8" x14ac:dyDescent="0.25">
      <c r="A103" s="62"/>
    </row>
    <row r="104" spans="1:8" x14ac:dyDescent="0.25">
      <c r="A104" s="62"/>
    </row>
    <row r="105" spans="1:8" x14ac:dyDescent="0.25">
      <c r="A105" s="62"/>
    </row>
    <row r="106" spans="1:8" x14ac:dyDescent="0.25">
      <c r="A106" s="62"/>
    </row>
    <row r="107" spans="1:8" x14ac:dyDescent="0.25">
      <c r="A107" s="62"/>
    </row>
    <row r="108" spans="1:8" x14ac:dyDescent="0.25">
      <c r="A108" s="62"/>
    </row>
    <row r="109" spans="1:8" x14ac:dyDescent="0.25">
      <c r="A109" s="62"/>
    </row>
    <row r="110" spans="1:8" x14ac:dyDescent="0.25">
      <c r="A110" s="62"/>
    </row>
    <row r="111" spans="1:8" x14ac:dyDescent="0.25">
      <c r="A111" s="62"/>
    </row>
    <row r="112" spans="1:8"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0">
    <mergeCell ref="B89:H89"/>
    <mergeCell ref="AE2:AG3"/>
    <mergeCell ref="B74:H74"/>
    <mergeCell ref="B88:H88"/>
    <mergeCell ref="B75:H75"/>
    <mergeCell ref="B62:H62"/>
    <mergeCell ref="R26:T26"/>
    <mergeCell ref="R25:T25"/>
    <mergeCell ref="B2:K3"/>
    <mergeCell ref="B63:H63"/>
  </mergeCells>
  <printOptions horizontalCentered="1"/>
  <pageMargins left="0.4" right="0.4" top="1" bottom="0.5" header="0.3" footer="0.511811023622047"/>
  <pageSetup paperSize="9" scale="69" fitToHeight="0" orientation="landscape" r:id="rId1"/>
  <headerFooter>
    <oddHeader>&amp;C&amp;B&amp;16Chicken Saleeq (3)&amp;R&amp;B Day 3</oddHeader>
    <oddFooter>&amp;CPage &amp;P of &amp;N</oddFooter>
  </headerFooter>
  <rowBreaks count="1" manualBreakCount="1">
    <brk id="73" max="15" man="1"/>
  </rowBreaks>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BF9000"/>
    <pageSetUpPr fitToPage="1"/>
  </sheetPr>
  <dimension ref="A1:AG174"/>
  <sheetViews>
    <sheetView topLeftCell="A8" zoomScale="70" zoomScaleNormal="70" workbookViewId="0">
      <selection activeCell="B66" sqref="B66"/>
    </sheetView>
  </sheetViews>
  <sheetFormatPr defaultColWidth="12.5" defaultRowHeight="15" x14ac:dyDescent="0.25"/>
  <cols>
    <col min="1" max="1" width="16.375" style="1" customWidth="1"/>
    <col min="2" max="2" width="30.875" customWidth="1"/>
    <col min="3" max="3" width="16.875" customWidth="1"/>
    <col min="4" max="4" width="19" customWidth="1"/>
    <col min="5" max="5" width="16.125" customWidth="1"/>
    <col min="6" max="6" width="23.125" customWidth="1"/>
    <col min="7" max="7" width="25.125" customWidth="1"/>
    <col min="8" max="8" width="36.125" customWidth="1"/>
    <col min="9" max="9" width="18" customWidth="1"/>
    <col min="12" max="12" width="8.375" customWidth="1"/>
    <col min="13" max="16" width="4.625" customWidth="1"/>
    <col min="18" max="18" width="32" customWidth="1"/>
    <col min="23" max="23" width="29.375" customWidth="1"/>
    <col min="24" max="24" width="31.625" customWidth="1"/>
    <col min="28" max="28" width="6.75" customWidth="1"/>
  </cols>
  <sheetData>
    <row r="1" spans="1:33" ht="24" customHeight="1" x14ac:dyDescent="0.2">
      <c r="A1" s="64" t="s">
        <v>231</v>
      </c>
      <c r="B1" s="65">
        <v>1000</v>
      </c>
      <c r="C1" s="73" t="s">
        <v>313</v>
      </c>
      <c r="D1" s="74">
        <f>$S$30/J1</f>
        <v>20526.315789473683</v>
      </c>
      <c r="E1" s="75" t="s">
        <v>236</v>
      </c>
      <c r="F1" s="76" t="s">
        <v>314</v>
      </c>
      <c r="G1" s="75" t="s">
        <v>315</v>
      </c>
      <c r="H1" s="282">
        <f>H52</f>
        <v>14.040000000000003</v>
      </c>
      <c r="I1" s="77" t="s">
        <v>238</v>
      </c>
      <c r="J1" s="283">
        <v>0.68400000000000005</v>
      </c>
      <c r="K1" s="84"/>
      <c r="Y1" s="75" t="s">
        <v>453</v>
      </c>
      <c r="Z1" s="766">
        <v>13040</v>
      </c>
      <c r="AA1" s="75" t="s">
        <v>556</v>
      </c>
      <c r="AB1" s="766">
        <v>1000</v>
      </c>
      <c r="AC1" s="75" t="s">
        <v>546</v>
      </c>
      <c r="AD1" s="766">
        <v>88</v>
      </c>
    </row>
    <row r="2" spans="1:33" ht="12.75" customHeight="1" x14ac:dyDescent="0.25">
      <c r="A2" s="242"/>
      <c r="B2" s="1645" t="s">
        <v>316</v>
      </c>
      <c r="C2" s="1653"/>
      <c r="D2" s="1653"/>
      <c r="E2" s="1653"/>
      <c r="F2" s="1653"/>
      <c r="G2" s="1653"/>
      <c r="H2" s="1653"/>
      <c r="I2" s="1653"/>
      <c r="J2" s="1653"/>
      <c r="K2" s="1653"/>
      <c r="L2" s="270"/>
      <c r="M2" s="84"/>
      <c r="N2" s="84"/>
      <c r="AE2" s="1616"/>
      <c r="AF2" s="1653"/>
      <c r="AG2" s="1653"/>
    </row>
    <row r="3" spans="1:33" ht="12.75" customHeight="1" x14ac:dyDescent="0.25">
      <c r="A3" s="242"/>
      <c r="B3" s="1633"/>
      <c r="C3" s="1633"/>
      <c r="D3" s="1633"/>
      <c r="E3" s="1633"/>
      <c r="F3" s="1633"/>
      <c r="G3" s="1633"/>
      <c r="H3" s="1633"/>
      <c r="I3" s="1633"/>
      <c r="J3" s="1633"/>
      <c r="K3" s="1633"/>
      <c r="L3" s="270"/>
      <c r="M3" s="84"/>
      <c r="N3" s="84"/>
      <c r="AE3" s="1653"/>
      <c r="AF3" s="1653"/>
      <c r="AG3" s="1653"/>
    </row>
    <row r="4" spans="1:33" ht="46.5" customHeight="1" x14ac:dyDescent="0.2">
      <c r="A4" s="75" t="s">
        <v>903</v>
      </c>
      <c r="B4" s="75" t="s">
        <v>241</v>
      </c>
      <c r="C4" s="284" t="s">
        <v>317</v>
      </c>
      <c r="D4" s="75" t="s">
        <v>318</v>
      </c>
      <c r="E4" s="91" t="s">
        <v>319</v>
      </c>
      <c r="F4" s="91" t="s">
        <v>320</v>
      </c>
      <c r="G4" s="285" t="s">
        <v>321</v>
      </c>
      <c r="H4" s="92" t="s">
        <v>322</v>
      </c>
      <c r="I4" s="75" t="s">
        <v>246</v>
      </c>
      <c r="J4" s="75" t="s">
        <v>247</v>
      </c>
      <c r="K4" s="75" t="s">
        <v>248</v>
      </c>
      <c r="L4" s="75" t="s">
        <v>249</v>
      </c>
    </row>
    <row r="5" spans="1:33" ht="14.25" customHeight="1" x14ac:dyDescent="0.2">
      <c r="A5" s="1489"/>
      <c r="B5" s="286" t="s">
        <v>220</v>
      </c>
      <c r="C5" s="106" t="s">
        <v>14</v>
      </c>
      <c r="D5" s="98">
        <f>I51/H51</f>
        <v>1461.988304093567</v>
      </c>
      <c r="E5" s="98">
        <f>I52/D5</f>
        <v>14.040000000000003</v>
      </c>
      <c r="F5" s="109">
        <v>1</v>
      </c>
      <c r="G5" s="101">
        <f>D5*E5</f>
        <v>20526.315789473683</v>
      </c>
      <c r="H5" s="101">
        <f>D1</f>
        <v>20526.315789473683</v>
      </c>
      <c r="I5" s="65">
        <f>VLOOKUP(B5,All_Ingredients!$A$1:$F$156,6,FALSE())</f>
        <v>0.86</v>
      </c>
      <c r="J5" s="101">
        <f>VLOOKUP(B5,All_Ingredients!$A$1:$J$156,10,FALSE())</f>
        <v>17.100000000000001</v>
      </c>
      <c r="K5" s="104">
        <f>(H5/I5)/1000</f>
        <v>23.867809057527538</v>
      </c>
      <c r="L5" s="104">
        <f>K5*J5</f>
        <v>408.13953488372096</v>
      </c>
    </row>
    <row r="6" spans="1:33" ht="14.25" customHeight="1" x14ac:dyDescent="0.25">
      <c r="A6" s="1455"/>
      <c r="B6" s="20" t="s">
        <v>93</v>
      </c>
      <c r="C6" s="106" t="s">
        <v>14</v>
      </c>
      <c r="D6" s="107">
        <v>50</v>
      </c>
      <c r="E6" s="98">
        <f>$H$52</f>
        <v>14.040000000000003</v>
      </c>
      <c r="F6" s="109">
        <v>0.75</v>
      </c>
      <c r="G6" s="101">
        <f>D6*E6</f>
        <v>702.00000000000011</v>
      </c>
      <c r="H6" s="102">
        <f>G6*F6</f>
        <v>526.50000000000011</v>
      </c>
      <c r="I6" s="65">
        <f>VLOOKUP(B6,All_Ingredients!$A$1:$F$156,6,FALSE())</f>
        <v>1</v>
      </c>
      <c r="J6" s="101">
        <f>VLOOKUP(B6,All_Ingredients!$A$1:$J$156,10,FALSE())</f>
        <v>0.74</v>
      </c>
      <c r="K6" s="104">
        <f t="shared" ref="K6:K9" si="0">(H6/I6)/1000</f>
        <v>0.52650000000000008</v>
      </c>
      <c r="L6" s="104">
        <f t="shared" ref="L6:L9" si="1">K6*J6</f>
        <v>0.38961000000000007</v>
      </c>
    </row>
    <row r="7" spans="1:33" ht="14.25" customHeight="1" x14ac:dyDescent="0.25">
      <c r="A7" s="1455"/>
      <c r="B7" s="20" t="s">
        <v>837</v>
      </c>
      <c r="C7" s="106" t="s">
        <v>14</v>
      </c>
      <c r="D7" s="107">
        <v>3</v>
      </c>
      <c r="E7" s="98">
        <f>$H$52</f>
        <v>14.040000000000003</v>
      </c>
      <c r="F7" s="109">
        <v>0.75</v>
      </c>
      <c r="G7" s="101">
        <f>D7*E7</f>
        <v>42.120000000000005</v>
      </c>
      <c r="H7" s="102">
        <f>G7*F7</f>
        <v>31.590000000000003</v>
      </c>
      <c r="I7" s="65">
        <f>VLOOKUP(B7,All_Ingredients!$A$1:$F$156,6,FALSE())</f>
        <v>1</v>
      </c>
      <c r="J7" s="101">
        <f>VLOOKUP(B7,All_Ingredients!$A$1:$J$156,10,FALSE())</f>
        <v>22.5</v>
      </c>
      <c r="K7" s="104">
        <f t="shared" si="0"/>
        <v>3.159E-2</v>
      </c>
      <c r="L7" s="104">
        <f t="shared" si="1"/>
        <v>0.71077500000000005</v>
      </c>
    </row>
    <row r="8" spans="1:33" ht="14.25" customHeight="1" x14ac:dyDescent="0.25">
      <c r="A8" s="1455"/>
      <c r="B8" s="20" t="s">
        <v>214</v>
      </c>
      <c r="C8" s="106" t="s">
        <v>14</v>
      </c>
      <c r="D8" s="107">
        <v>3</v>
      </c>
      <c r="E8" s="98">
        <f>$H$52</f>
        <v>14.040000000000003</v>
      </c>
      <c r="F8" s="109">
        <v>0.9</v>
      </c>
      <c r="G8" s="101">
        <f>D8*E8</f>
        <v>42.120000000000005</v>
      </c>
      <c r="H8" s="102">
        <f>G8*F8</f>
        <v>37.908000000000008</v>
      </c>
      <c r="I8" s="65">
        <f>VLOOKUP(B8,All_Ingredients!$A$1:$F$156,6,FALSE())</f>
        <v>1</v>
      </c>
      <c r="J8" s="101">
        <f>VLOOKUP(B8,All_Ingredients!$A$1:$J$156,10,FALSE())</f>
        <v>35</v>
      </c>
      <c r="K8" s="104">
        <f t="shared" si="0"/>
        <v>3.7908000000000011E-2</v>
      </c>
      <c r="L8" s="104">
        <f t="shared" si="1"/>
        <v>1.3267800000000003</v>
      </c>
    </row>
    <row r="9" spans="1:33" ht="14.25" customHeight="1" x14ac:dyDescent="0.25">
      <c r="A9" s="1455"/>
      <c r="B9" s="20" t="s">
        <v>105</v>
      </c>
      <c r="C9" s="106" t="s">
        <v>14</v>
      </c>
      <c r="D9" s="107">
        <v>5</v>
      </c>
      <c r="E9" s="98">
        <f>$H$52</f>
        <v>14.040000000000003</v>
      </c>
      <c r="F9" s="109">
        <v>0.8</v>
      </c>
      <c r="G9" s="101">
        <f>D9*E9</f>
        <v>70.200000000000017</v>
      </c>
      <c r="H9" s="102">
        <f>G9*F9</f>
        <v>56.160000000000018</v>
      </c>
      <c r="I9" s="65">
        <f>VLOOKUP(B9,All_Ingredients!$A$1:$F$156,6,FALSE())</f>
        <v>1</v>
      </c>
      <c r="J9" s="101">
        <f>VLOOKUP(B9,All_Ingredients!$A$1:$J$156,10,FALSE())</f>
        <v>15</v>
      </c>
      <c r="K9" s="104">
        <f t="shared" si="0"/>
        <v>5.6160000000000015E-2</v>
      </c>
      <c r="L9" s="104">
        <f t="shared" si="1"/>
        <v>0.84240000000000026</v>
      </c>
    </row>
    <row r="10" spans="1:33" ht="14.25" customHeight="1" x14ac:dyDescent="0.2">
      <c r="A10" s="1466"/>
      <c r="B10" s="84"/>
      <c r="C10" s="84"/>
      <c r="D10" s="84"/>
      <c r="E10" s="84"/>
      <c r="F10" s="84"/>
      <c r="L10" s="189"/>
    </row>
    <row r="11" spans="1:33" ht="14.25" customHeight="1" x14ac:dyDescent="0.2">
      <c r="A11" s="1466"/>
      <c r="B11" s="84"/>
      <c r="C11" s="84"/>
      <c r="D11" s="84"/>
      <c r="E11" s="84"/>
      <c r="F11" s="84"/>
      <c r="L11" s="189"/>
    </row>
    <row r="12" spans="1:33" ht="14.25" customHeight="1" x14ac:dyDescent="0.2">
      <c r="A12" s="1466"/>
      <c r="B12" s="84"/>
      <c r="C12" s="84"/>
      <c r="D12" s="84"/>
      <c r="E12" s="84"/>
      <c r="F12" s="84"/>
      <c r="L12" s="189"/>
    </row>
    <row r="13" spans="1:33" ht="14.25" customHeight="1" x14ac:dyDescent="0.2">
      <c r="A13" s="1466"/>
      <c r="F13" s="84"/>
      <c r="L13" s="189"/>
    </row>
    <row r="14" spans="1:33" ht="14.25" customHeight="1" x14ac:dyDescent="0.2">
      <c r="A14" s="1466"/>
      <c r="F14" s="84"/>
      <c r="L14" s="189"/>
    </row>
    <row r="15" spans="1:33" ht="15" customHeight="1" x14ac:dyDescent="0.2">
      <c r="A15" s="1466"/>
      <c r="F15" s="84"/>
    </row>
    <row r="16" spans="1:33" ht="14.25" customHeight="1" x14ac:dyDescent="0.2">
      <c r="A16" s="1466"/>
      <c r="F16" s="84"/>
    </row>
    <row r="17" spans="1:29" ht="14.25" customHeight="1" x14ac:dyDescent="0.2">
      <c r="A17" s="1466"/>
      <c r="F17" s="84"/>
    </row>
    <row r="18" spans="1:29" ht="14.25" customHeight="1" x14ac:dyDescent="0.2">
      <c r="A18" s="1466"/>
      <c r="F18" s="84"/>
    </row>
    <row r="19" spans="1:29" ht="14.25" customHeight="1" x14ac:dyDescent="0.25">
      <c r="A19" s="62"/>
      <c r="B19" s="84"/>
      <c r="E19" s="84"/>
      <c r="F19" s="84"/>
    </row>
    <row r="20" spans="1:29" ht="14.25" customHeight="1" x14ac:dyDescent="0.25">
      <c r="A20" s="62"/>
      <c r="B20" s="84"/>
      <c r="E20" s="84"/>
      <c r="F20" s="84"/>
    </row>
    <row r="21" spans="1:29" ht="14.25" customHeight="1" x14ac:dyDescent="0.25">
      <c r="A21" s="62"/>
    </row>
    <row r="22" spans="1:29" ht="31.5" customHeight="1" x14ac:dyDescent="0.25">
      <c r="A22" s="62"/>
    </row>
    <row r="23" spans="1:29" ht="14.25" customHeight="1" x14ac:dyDescent="0.25">
      <c r="A23" s="62"/>
    </row>
    <row r="24" spans="1:29" ht="14.25" customHeight="1" x14ac:dyDescent="0.25">
      <c r="A24" s="62"/>
    </row>
    <row r="25" spans="1:29" ht="15.75" customHeight="1" x14ac:dyDescent="0.25">
      <c r="A25" s="62"/>
      <c r="B25" s="84"/>
      <c r="D25" s="576"/>
      <c r="E25" s="84"/>
      <c r="F25" s="84"/>
      <c r="R25" s="1640" t="str">
        <f>B2</f>
        <v>Chicken Mandi - مندي دجاج</v>
      </c>
      <c r="S25" s="1633"/>
      <c r="T25" s="1633"/>
      <c r="Z25" s="122" t="s">
        <v>252</v>
      </c>
      <c r="AA25" s="123">
        <v>1</v>
      </c>
      <c r="AB25" s="122" t="s">
        <v>249</v>
      </c>
      <c r="AC25" s="1195">
        <f>AC30*AA25</f>
        <v>3.1299044086174919E-2</v>
      </c>
    </row>
    <row r="26" spans="1:29" ht="14.25" customHeight="1" x14ac:dyDescent="0.25">
      <c r="A26" s="62"/>
      <c r="B26" s="84"/>
      <c r="E26" s="84"/>
      <c r="F26" s="84"/>
      <c r="R26" s="1638" t="s">
        <v>324</v>
      </c>
      <c r="S26" s="1639"/>
      <c r="T26" s="1639"/>
      <c r="AB26" s="14"/>
      <c r="AC26" s="14"/>
    </row>
    <row r="27" spans="1:29" ht="14.25" customHeight="1" thickBot="1" x14ac:dyDescent="0.3">
      <c r="A27" s="62"/>
      <c r="B27" s="84"/>
      <c r="E27" s="84"/>
      <c r="F27" s="84"/>
      <c r="R27" s="126" t="s">
        <v>254</v>
      </c>
      <c r="S27" s="127" t="s">
        <v>255</v>
      </c>
      <c r="T27" s="127" t="s">
        <v>257</v>
      </c>
      <c r="Z27" s="122" t="s">
        <v>258</v>
      </c>
      <c r="AA27" s="128" t="s">
        <v>259</v>
      </c>
      <c r="AB27" s="128" t="s">
        <v>312</v>
      </c>
      <c r="AC27" s="128" t="s">
        <v>262</v>
      </c>
    </row>
    <row r="28" spans="1:29" ht="14.25" customHeight="1" thickBot="1" x14ac:dyDescent="0.3">
      <c r="A28" s="62"/>
      <c r="B28" s="84"/>
      <c r="E28" s="84"/>
      <c r="F28" s="84"/>
      <c r="R28" s="129" t="s">
        <v>325</v>
      </c>
      <c r="S28" s="696">
        <f>$Z$1</f>
        <v>13040</v>
      </c>
      <c r="T28" s="690">
        <f>S28</f>
        <v>13040</v>
      </c>
      <c r="Z28" s="132"/>
      <c r="AA28" s="133">
        <f>AA25</f>
        <v>1</v>
      </c>
      <c r="AB28" s="133">
        <f>AA25-AA28</f>
        <v>0</v>
      </c>
      <c r="AC28" s="135">
        <f>SUM(AA28:AB28)</f>
        <v>1</v>
      </c>
    </row>
    <row r="29" spans="1:29" ht="14.25" customHeight="1" thickBot="1" x14ac:dyDescent="0.3">
      <c r="A29" s="62"/>
      <c r="B29" s="84"/>
      <c r="E29" s="84"/>
      <c r="F29" s="84"/>
      <c r="R29" s="129" t="s">
        <v>326</v>
      </c>
      <c r="S29" s="718">
        <f>$AB$1</f>
        <v>1000</v>
      </c>
      <c r="T29" s="692">
        <f>S29</f>
        <v>1000</v>
      </c>
      <c r="Z29" s="132"/>
      <c r="AA29" s="137">
        <v>1</v>
      </c>
      <c r="AB29" s="297">
        <f>AB28/$AC$28</f>
        <v>0</v>
      </c>
      <c r="AC29" s="137">
        <f>AC28/$AC$28</f>
        <v>1</v>
      </c>
    </row>
    <row r="30" spans="1:29" ht="18" customHeight="1" thickBot="1" x14ac:dyDescent="0.3">
      <c r="A30" s="62"/>
      <c r="B30" s="239"/>
      <c r="C30" s="239"/>
      <c r="D30" s="239"/>
      <c r="E30" s="239"/>
      <c r="F30" s="239"/>
      <c r="G30" s="239"/>
      <c r="H30" s="239"/>
      <c r="R30" s="141" t="s">
        <v>327</v>
      </c>
      <c r="S30" s="130">
        <f>S28+S29</f>
        <v>14040</v>
      </c>
      <c r="T30" s="130">
        <f>T28+T29</f>
        <v>14040</v>
      </c>
      <c r="Z30" s="122" t="s">
        <v>266</v>
      </c>
      <c r="AA30" s="138">
        <f>S33/(S28)</f>
        <v>3.1299044086174919E-2</v>
      </c>
      <c r="AB30" s="139">
        <f>SUM(L6:L9)/SUM(K6:K9)</f>
        <v>5.0134553283100116</v>
      </c>
      <c r="AC30" s="140">
        <f>SUMPRODUCT(AA30:AB30,AA29:AB29)</f>
        <v>3.1299044086174919E-2</v>
      </c>
    </row>
    <row r="31" spans="1:29" ht="18" customHeight="1" thickBot="1" x14ac:dyDescent="0.3">
      <c r="A31" s="62"/>
      <c r="B31" s="239"/>
      <c r="C31" s="239"/>
      <c r="D31" s="239"/>
      <c r="E31" s="239"/>
      <c r="F31" s="239"/>
      <c r="G31" s="239"/>
      <c r="H31" s="239"/>
      <c r="R31" s="142" t="s">
        <v>268</v>
      </c>
      <c r="S31" s="136"/>
      <c r="T31" s="136"/>
    </row>
    <row r="32" spans="1:29" ht="14.25" customHeight="1" x14ac:dyDescent="0.25">
      <c r="A32" s="62"/>
      <c r="R32" s="143" t="s">
        <v>269</v>
      </c>
      <c r="S32" s="136"/>
      <c r="T32" s="136"/>
    </row>
    <row r="33" spans="1:23" ht="14.25" customHeight="1" x14ac:dyDescent="0.25">
      <c r="A33" s="62"/>
      <c r="R33" s="144" t="s">
        <v>249</v>
      </c>
      <c r="S33" s="145">
        <f>$L$5</f>
        <v>408.13953488372096</v>
      </c>
      <c r="T33" s="145">
        <f>S33</f>
        <v>408.13953488372096</v>
      </c>
    </row>
    <row r="34" spans="1:23" x14ac:dyDescent="0.25">
      <c r="A34" s="62"/>
    </row>
    <row r="35" spans="1:23" ht="15.75" x14ac:dyDescent="0.25">
      <c r="A35" s="62"/>
      <c r="B35" s="1681" t="s">
        <v>657</v>
      </c>
      <c r="C35" s="1681"/>
      <c r="D35" s="1681"/>
      <c r="E35" s="1681"/>
      <c r="F35" s="1681"/>
      <c r="G35" s="797"/>
      <c r="H35" s="797"/>
      <c r="I35" s="803"/>
      <c r="J35" s="803"/>
      <c r="K35" s="803"/>
      <c r="L35" s="803"/>
    </row>
    <row r="36" spans="1:23" ht="47.25"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62"/>
      <c r="B37" s="772" t="s">
        <v>686</v>
      </c>
      <c r="C37" s="773" t="s">
        <v>14</v>
      </c>
      <c r="D37" s="774">
        <v>1</v>
      </c>
      <c r="E37" s="772">
        <f>$AD$1</f>
        <v>88</v>
      </c>
      <c r="F37" s="772">
        <f>D37*E37</f>
        <v>88</v>
      </c>
      <c r="G37" s="796"/>
      <c r="H37" s="772">
        <f>F37</f>
        <v>88</v>
      </c>
      <c r="I37" s="772">
        <f>VLOOKUP(B37,All_Ingredients!$A$1:$F$156,6,FALSE())</f>
        <v>0.65</v>
      </c>
      <c r="J37" s="772">
        <f>VLOOKUP(B37,All_Ingredients!$A$1:$J$156,10,FALSE())</f>
        <v>45</v>
      </c>
      <c r="K37" s="772">
        <f>(H37/I37)/1000</f>
        <v>0.13538461538461538</v>
      </c>
      <c r="L37" s="772">
        <f>K37*J37</f>
        <v>6.092307692307692</v>
      </c>
    </row>
    <row r="38" spans="1:23" x14ac:dyDescent="0.25">
      <c r="A38" s="62"/>
      <c r="B38" s="84"/>
      <c r="E38" s="84"/>
      <c r="F38" s="84"/>
    </row>
    <row r="39" spans="1:23" x14ac:dyDescent="0.25">
      <c r="A39" s="62"/>
    </row>
    <row r="40" spans="1:23" ht="14.25" customHeight="1" x14ac:dyDescent="0.25">
      <c r="A40" s="62"/>
      <c r="Q40" s="14"/>
      <c r="R40" s="146" t="s">
        <v>328</v>
      </c>
      <c r="S40" s="217">
        <v>1</v>
      </c>
    </row>
    <row r="41" spans="1:23" ht="14.25" customHeight="1" x14ac:dyDescent="0.25">
      <c r="A41" s="62"/>
      <c r="Q41" s="14"/>
      <c r="R41" s="14"/>
      <c r="S41" s="14"/>
      <c r="T41" s="14"/>
      <c r="U41" s="150"/>
      <c r="V41" s="14"/>
      <c r="W41" s="14"/>
    </row>
    <row r="42" spans="1:23" ht="14.25" customHeight="1" x14ac:dyDescent="0.25">
      <c r="A42" s="62"/>
      <c r="Q42" s="14"/>
      <c r="R42" s="14"/>
      <c r="S42" s="14"/>
      <c r="T42" s="14"/>
      <c r="U42" s="14"/>
      <c r="V42" s="14"/>
      <c r="W42" s="14"/>
    </row>
    <row r="43" spans="1:23" ht="14.25" customHeight="1" x14ac:dyDescent="0.25">
      <c r="A43" s="62"/>
      <c r="Q43" s="151" t="s">
        <v>272</v>
      </c>
      <c r="R43" s="151" t="s">
        <v>273</v>
      </c>
      <c r="S43" s="151" t="s">
        <v>274</v>
      </c>
      <c r="T43" s="151" t="s">
        <v>275</v>
      </c>
      <c r="U43" s="151" t="s">
        <v>276</v>
      </c>
      <c r="V43" s="151" t="s">
        <v>277</v>
      </c>
      <c r="W43" s="235" t="s">
        <v>329</v>
      </c>
    </row>
    <row r="44" spans="1:23" ht="14.25" customHeight="1" x14ac:dyDescent="0.25">
      <c r="A44" s="62"/>
      <c r="Q44" s="153">
        <v>10000</v>
      </c>
      <c r="R44" s="154">
        <v>0</v>
      </c>
      <c r="S44" s="219">
        <v>0</v>
      </c>
      <c r="T44" s="219">
        <v>0</v>
      </c>
      <c r="U44" s="220">
        <f>R44*S44</f>
        <v>0</v>
      </c>
      <c r="V44" s="157">
        <f>R44*T44</f>
        <v>0</v>
      </c>
      <c r="W44" s="237">
        <f>Q44-U44</f>
        <v>10000</v>
      </c>
    </row>
    <row r="45" spans="1:23" x14ac:dyDescent="0.25">
      <c r="A45" s="62"/>
    </row>
    <row r="46" spans="1:23" x14ac:dyDescent="0.25">
      <c r="A46" s="62"/>
    </row>
    <row r="47" spans="1:23" x14ac:dyDescent="0.25">
      <c r="A47" s="62"/>
    </row>
    <row r="48" spans="1:23" x14ac:dyDescent="0.25">
      <c r="A48" s="62"/>
    </row>
    <row r="49" spans="1:10" x14ac:dyDescent="0.25">
      <c r="A49" s="62"/>
    </row>
    <row r="50" spans="1:10" ht="15.75" thickBot="1" x14ac:dyDescent="0.3">
      <c r="A50" s="62"/>
      <c r="G50" s="127" t="s">
        <v>280</v>
      </c>
      <c r="H50" s="127" t="s">
        <v>233</v>
      </c>
      <c r="I50" s="127" t="s">
        <v>281</v>
      </c>
      <c r="J50" s="127" t="s">
        <v>282</v>
      </c>
    </row>
    <row r="51" spans="1:10" ht="15.75" thickBot="1" x14ac:dyDescent="0.3">
      <c r="A51" s="62"/>
      <c r="G51" s="287" t="s">
        <v>323</v>
      </c>
      <c r="H51" s="288">
        <v>10</v>
      </c>
      <c r="I51" s="288">
        <f>J51/J1</f>
        <v>14619.883040935671</v>
      </c>
      <c r="J51" s="289">
        <f>$W$44</f>
        <v>10000</v>
      </c>
    </row>
    <row r="52" spans="1:10" x14ac:dyDescent="0.25">
      <c r="A52" s="62"/>
      <c r="G52" s="143" t="s">
        <v>262</v>
      </c>
      <c r="H52" s="428">
        <f>E5</f>
        <v>14.040000000000003</v>
      </c>
      <c r="I52" s="429">
        <f>J52/$J$1</f>
        <v>20526.315789473683</v>
      </c>
      <c r="J52" s="292">
        <f>$S$30</f>
        <v>14040</v>
      </c>
    </row>
    <row r="53" spans="1:10" x14ac:dyDescent="0.25">
      <c r="A53" s="62"/>
      <c r="D53" s="458"/>
      <c r="G53" s="129" t="s">
        <v>284</v>
      </c>
      <c r="H53" s="430">
        <f>MIN($H$52, H51)</f>
        <v>10</v>
      </c>
      <c r="I53" s="157">
        <f>J53/$J$1</f>
        <v>14619.883040935671</v>
      </c>
      <c r="J53" s="294">
        <f>MIN(MAX($J$52,0),$J$51)</f>
        <v>10000</v>
      </c>
    </row>
    <row r="54" spans="1:10" x14ac:dyDescent="0.25">
      <c r="A54" s="62"/>
      <c r="D54" s="458"/>
      <c r="G54" s="129" t="s">
        <v>285</v>
      </c>
      <c r="H54" s="431">
        <f>MIN(MAX($H$52-H53,0),H51)</f>
        <v>4.0400000000000027</v>
      </c>
      <c r="I54" s="157">
        <f>J54/$J$1</f>
        <v>5906.4327485380109</v>
      </c>
      <c r="J54" s="165">
        <f>MIN(MAX($J$52-J53,0),$J$51)</f>
        <v>4040</v>
      </c>
    </row>
    <row r="55" spans="1:10" x14ac:dyDescent="0.25">
      <c r="A55" s="62"/>
      <c r="D55" s="458"/>
      <c r="G55" s="126" t="s">
        <v>286</v>
      </c>
      <c r="H55" s="431">
        <f>MIN(MAX($H$52-H53-H54,0),H51)</f>
        <v>0</v>
      </c>
      <c r="I55" s="157">
        <f>J55/$J$1</f>
        <v>0</v>
      </c>
      <c r="J55" s="294">
        <f>MIN(MAX($J$52-J53-J54,0),$J$51)</f>
        <v>0</v>
      </c>
    </row>
    <row r="56" spans="1:10" x14ac:dyDescent="0.25">
      <c r="A56" s="62"/>
    </row>
    <row r="57" spans="1:10" x14ac:dyDescent="0.25">
      <c r="A57" s="62"/>
    </row>
    <row r="58" spans="1:10" x14ac:dyDescent="0.25">
      <c r="A58" s="62"/>
    </row>
    <row r="59" spans="1:10" x14ac:dyDescent="0.25">
      <c r="A59" s="62"/>
    </row>
    <row r="60" spans="1:10" x14ac:dyDescent="0.25">
      <c r="A60" s="62"/>
    </row>
    <row r="61" spans="1:10" x14ac:dyDescent="0.25">
      <c r="A61" s="62"/>
    </row>
    <row r="62" spans="1:10" ht="18" customHeight="1" x14ac:dyDescent="0.2">
      <c r="A62" s="1467"/>
      <c r="B62" s="1642" t="str">
        <f>"دجاج مندى 1 / " &amp; COUNTIF($H$53:$H$55, "&gt;0")</f>
        <v>دجاج مندى 1 / 2</v>
      </c>
      <c r="C62" s="1651"/>
      <c r="D62" s="1651"/>
      <c r="E62" s="1651"/>
      <c r="F62" s="1651"/>
      <c r="G62" s="1651"/>
      <c r="H62" s="1651"/>
    </row>
    <row r="63" spans="1:10" ht="18" customHeight="1" x14ac:dyDescent="0.2">
      <c r="A63" s="1467"/>
      <c r="B63" s="1642" t="str">
        <f>"Mandi Chicken 1 / " &amp; COUNTIF($H$53:$H$55, "&gt;0")</f>
        <v>Mandi Chicken 1 / 2</v>
      </c>
      <c r="C63" s="1651"/>
      <c r="D63" s="1651"/>
      <c r="E63" s="1651"/>
      <c r="F63" s="1651"/>
      <c r="G63" s="1651"/>
      <c r="H63" s="1651"/>
    </row>
    <row r="64" spans="1:10" ht="46.5" customHeight="1" x14ac:dyDescent="0.2">
      <c r="A64" s="1457"/>
      <c r="B64" s="75" t="s">
        <v>241</v>
      </c>
      <c r="C64" s="284" t="s">
        <v>317</v>
      </c>
      <c r="D64" s="75" t="s">
        <v>318</v>
      </c>
      <c r="E64" s="91" t="s">
        <v>319</v>
      </c>
      <c r="F64" s="91" t="s">
        <v>320</v>
      </c>
      <c r="G64" s="285" t="s">
        <v>321</v>
      </c>
      <c r="H64" s="92" t="s">
        <v>322</v>
      </c>
    </row>
    <row r="65" spans="1:8" ht="14.25" customHeight="1" x14ac:dyDescent="0.2">
      <c r="A65" s="1459"/>
      <c r="B65" s="299" t="str">
        <f t="shared" ref="B65:D69" si="2">B5</f>
        <v>Chicken - دجاج</v>
      </c>
      <c r="C65" s="299" t="str">
        <f t="shared" si="2"/>
        <v>gm</v>
      </c>
      <c r="D65" s="300">
        <f t="shared" si="2"/>
        <v>1461.988304093567</v>
      </c>
      <c r="E65" s="177">
        <f>$H$53</f>
        <v>10</v>
      </c>
      <c r="F65" s="109">
        <f>F5</f>
        <v>1</v>
      </c>
      <c r="G65" s="101">
        <f>D65*E65</f>
        <v>14619.883040935671</v>
      </c>
      <c r="H65" s="102">
        <f>G65*F65</f>
        <v>14619.883040935671</v>
      </c>
    </row>
    <row r="66" spans="1:8" ht="14.25" customHeight="1" x14ac:dyDescent="0.25">
      <c r="A66" s="1455"/>
      <c r="B66" s="299" t="str">
        <f t="shared" si="2"/>
        <v>Salt - ملح</v>
      </c>
      <c r="C66" s="299" t="str">
        <f t="shared" si="2"/>
        <v>gm</v>
      </c>
      <c r="D66" s="299">
        <f t="shared" si="2"/>
        <v>50</v>
      </c>
      <c r="E66" s="177">
        <f>$H$53</f>
        <v>10</v>
      </c>
      <c r="F66" s="109">
        <f>F6</f>
        <v>0.75</v>
      </c>
      <c r="G66" s="65">
        <f>D66*E66</f>
        <v>500</v>
      </c>
      <c r="H66" s="102">
        <f>G66*F66</f>
        <v>375</v>
      </c>
    </row>
    <row r="67" spans="1:8" ht="14.25" customHeight="1" x14ac:dyDescent="0.25">
      <c r="A67" s="1455"/>
      <c r="B67" s="299" t="str">
        <f t="shared" si="2"/>
        <v>Saffron yellow color powder - لون صفار زعفران بودر</v>
      </c>
      <c r="C67" s="299" t="str">
        <f t="shared" si="2"/>
        <v>gm</v>
      </c>
      <c r="D67" s="299">
        <f t="shared" si="2"/>
        <v>3</v>
      </c>
      <c r="E67" s="177">
        <f>$H$53</f>
        <v>10</v>
      </c>
      <c r="F67" s="109">
        <f>F7</f>
        <v>0.75</v>
      </c>
      <c r="G67" s="65">
        <f>D67*E67</f>
        <v>30</v>
      </c>
      <c r="H67" s="102">
        <f>G67*F67</f>
        <v>22.5</v>
      </c>
    </row>
    <row r="68" spans="1:8" ht="14.25" customHeight="1" x14ac:dyDescent="0.25">
      <c r="A68" s="1455"/>
      <c r="B68" s="299" t="str">
        <f t="shared" si="2"/>
        <v>Orange Color - لون برتقالي</v>
      </c>
      <c r="C68" s="299" t="str">
        <f t="shared" si="2"/>
        <v>gm</v>
      </c>
      <c r="D68" s="299">
        <f t="shared" si="2"/>
        <v>3</v>
      </c>
      <c r="E68" s="177">
        <f>$H$53</f>
        <v>10</v>
      </c>
      <c r="F68" s="109">
        <f>F8</f>
        <v>0.9</v>
      </c>
      <c r="G68" s="65">
        <f>D68*E68</f>
        <v>30</v>
      </c>
      <c r="H68" s="102">
        <f>G68*F68</f>
        <v>27</v>
      </c>
    </row>
    <row r="69" spans="1:8" ht="14.25" customHeight="1" x14ac:dyDescent="0.25">
      <c r="A69" s="1455"/>
      <c r="B69" s="299" t="str">
        <f t="shared" si="2"/>
        <v>Cumin Powder - كمون مطحون</v>
      </c>
      <c r="C69" s="299" t="str">
        <f t="shared" si="2"/>
        <v>gm</v>
      </c>
      <c r="D69" s="299">
        <f t="shared" si="2"/>
        <v>5</v>
      </c>
      <c r="E69" s="177">
        <f>$H$53</f>
        <v>10</v>
      </c>
      <c r="F69" s="109">
        <f>F9</f>
        <v>0.8</v>
      </c>
      <c r="G69" s="65">
        <f>D69*E69</f>
        <v>50</v>
      </c>
      <c r="H69" s="102">
        <f>G69*F69</f>
        <v>40</v>
      </c>
    </row>
    <row r="70" spans="1:8" ht="20.25" customHeight="1" x14ac:dyDescent="0.25">
      <c r="A70" s="1458"/>
      <c r="B70" s="178" t="s">
        <v>287</v>
      </c>
      <c r="C70" s="180" t="s">
        <v>273</v>
      </c>
      <c r="D70" s="14"/>
      <c r="E70" s="180" t="s">
        <v>288</v>
      </c>
      <c r="F70" s="14"/>
      <c r="G70" s="804" t="s">
        <v>264</v>
      </c>
      <c r="H70" s="804" t="s">
        <v>673</v>
      </c>
    </row>
    <row r="71" spans="1:8" ht="28.5" customHeight="1" x14ac:dyDescent="0.3">
      <c r="A71" s="1458"/>
      <c r="B71" s="179">
        <f>$J$53</f>
        <v>10000</v>
      </c>
      <c r="C71" s="181">
        <f>E71+G71</f>
        <v>0</v>
      </c>
      <c r="D71" s="189"/>
      <c r="E71" s="181">
        <f>$C$53*$S$44</f>
        <v>0</v>
      </c>
      <c r="F71" s="84"/>
      <c r="G71" s="182">
        <f>$C$53*$T$44</f>
        <v>0</v>
      </c>
      <c r="H71" s="182">
        <f>B71+E71</f>
        <v>10000</v>
      </c>
    </row>
    <row r="72" spans="1:8" ht="14.25" customHeight="1" x14ac:dyDescent="0.25">
      <c r="A72" s="62"/>
      <c r="B72" s="84"/>
      <c r="E72" s="84"/>
      <c r="F72" s="84"/>
    </row>
    <row r="73" spans="1:8" ht="18" customHeight="1" x14ac:dyDescent="0.2">
      <c r="A73" s="1467"/>
      <c r="B73" s="1642" t="str">
        <f>"دجاج مندى 2 / " &amp; COUNTIF($H$53:$H$55, "&gt;0")</f>
        <v>دجاج مندى 2 / 2</v>
      </c>
      <c r="C73" s="1651"/>
      <c r="D73" s="1651"/>
      <c r="E73" s="1651"/>
      <c r="F73" s="1651"/>
      <c r="G73" s="1651"/>
      <c r="H73" s="1651"/>
    </row>
    <row r="74" spans="1:8" ht="18" customHeight="1" x14ac:dyDescent="0.2">
      <c r="A74" s="1467"/>
      <c r="B74" s="1642" t="str">
        <f>"Mandi Chicken 2 / " &amp; COUNTIF($H$53:$H$55, "&gt;0")</f>
        <v>Mandi Chicken 2 / 2</v>
      </c>
      <c r="C74" s="1651"/>
      <c r="D74" s="1651"/>
      <c r="E74" s="1651"/>
      <c r="F74" s="1651"/>
      <c r="G74" s="1651"/>
      <c r="H74" s="1651"/>
    </row>
    <row r="75" spans="1:8" ht="46.5" customHeight="1" x14ac:dyDescent="0.2">
      <c r="A75" s="1457"/>
      <c r="B75" s="75" t="s">
        <v>241</v>
      </c>
      <c r="C75" s="284" t="s">
        <v>317</v>
      </c>
      <c r="D75" s="75" t="s">
        <v>318</v>
      </c>
      <c r="E75" s="91" t="s">
        <v>319</v>
      </c>
      <c r="F75" s="91" t="s">
        <v>320</v>
      </c>
      <c r="G75" s="285" t="s">
        <v>321</v>
      </c>
      <c r="H75" s="92" t="s">
        <v>322</v>
      </c>
    </row>
    <row r="76" spans="1:8" ht="14.25" customHeight="1" x14ac:dyDescent="0.2">
      <c r="A76" s="1459"/>
      <c r="B76" s="299" t="str">
        <f t="shared" ref="B76:D79" si="3">B5</f>
        <v>Chicken - دجاج</v>
      </c>
      <c r="C76" s="299" t="str">
        <f t="shared" si="3"/>
        <v>gm</v>
      </c>
      <c r="D76" s="101">
        <f t="shared" si="3"/>
        <v>1461.988304093567</v>
      </c>
      <c r="E76" s="177">
        <f>$H$54</f>
        <v>4.0400000000000027</v>
      </c>
      <c r="F76" s="109">
        <f>F5</f>
        <v>1</v>
      </c>
      <c r="G76" s="101">
        <f>D76*E76</f>
        <v>5906.4327485380145</v>
      </c>
      <c r="H76" s="102">
        <f>G76*F76</f>
        <v>5906.4327485380145</v>
      </c>
    </row>
    <row r="77" spans="1:8" ht="14.25" customHeight="1" x14ac:dyDescent="0.25">
      <c r="A77" s="1455"/>
      <c r="B77" s="299" t="str">
        <f t="shared" si="3"/>
        <v>Salt - ملح</v>
      </c>
      <c r="C77" s="299" t="str">
        <f t="shared" si="3"/>
        <v>gm</v>
      </c>
      <c r="D77" s="299">
        <f t="shared" si="3"/>
        <v>50</v>
      </c>
      <c r="E77" s="177">
        <f>$H$54</f>
        <v>4.0400000000000027</v>
      </c>
      <c r="F77" s="109">
        <f>F6</f>
        <v>0.75</v>
      </c>
      <c r="G77" s="101">
        <f>D77*E77</f>
        <v>202.00000000000014</v>
      </c>
      <c r="H77" s="102">
        <f>G77*F77</f>
        <v>151.50000000000011</v>
      </c>
    </row>
    <row r="78" spans="1:8" ht="14.25" customHeight="1" x14ac:dyDescent="0.25">
      <c r="A78" s="1455"/>
      <c r="B78" s="299" t="str">
        <f t="shared" si="3"/>
        <v>Saffron yellow color powder - لون صفار زعفران بودر</v>
      </c>
      <c r="C78" s="299" t="str">
        <f t="shared" si="3"/>
        <v>gm</v>
      </c>
      <c r="D78" s="299">
        <f t="shared" si="3"/>
        <v>3</v>
      </c>
      <c r="E78" s="177">
        <f>$H$54</f>
        <v>4.0400000000000027</v>
      </c>
      <c r="F78" s="109">
        <f>F7</f>
        <v>0.75</v>
      </c>
      <c r="G78" s="101">
        <f>D78*E78</f>
        <v>12.120000000000008</v>
      </c>
      <c r="H78" s="102">
        <f>G78*F78</f>
        <v>9.090000000000007</v>
      </c>
    </row>
    <row r="79" spans="1:8" ht="14.25" customHeight="1" x14ac:dyDescent="0.25">
      <c r="A79" s="1455"/>
      <c r="B79" s="299" t="str">
        <f t="shared" si="3"/>
        <v>Orange Color - لون برتقالي</v>
      </c>
      <c r="C79" s="299" t="str">
        <f t="shared" si="3"/>
        <v>gm</v>
      </c>
      <c r="D79" s="299">
        <f t="shared" si="3"/>
        <v>3</v>
      </c>
      <c r="E79" s="177">
        <f>$H$54</f>
        <v>4.0400000000000027</v>
      </c>
      <c r="F79" s="109">
        <f>F8</f>
        <v>0.9</v>
      </c>
      <c r="G79" s="101">
        <f>D79*E79</f>
        <v>12.120000000000008</v>
      </c>
      <c r="H79" s="102">
        <f>G79*F79</f>
        <v>10.908000000000008</v>
      </c>
    </row>
    <row r="80" spans="1:8" ht="14.25" customHeight="1" x14ac:dyDescent="0.25">
      <c r="A80" s="1458"/>
      <c r="B80" s="178" t="s">
        <v>287</v>
      </c>
      <c r="C80" s="180" t="s">
        <v>273</v>
      </c>
      <c r="D80" s="14"/>
      <c r="E80" s="180" t="s">
        <v>288</v>
      </c>
      <c r="F80" s="14"/>
      <c r="G80" s="804" t="s">
        <v>264</v>
      </c>
      <c r="H80" s="804" t="s">
        <v>673</v>
      </c>
    </row>
    <row r="81" spans="1:8" ht="28.5" customHeight="1" x14ac:dyDescent="0.3">
      <c r="A81" s="1458"/>
      <c r="B81" s="179">
        <f>$J$54</f>
        <v>4040</v>
      </c>
      <c r="C81" s="181">
        <f>E81+G81</f>
        <v>0</v>
      </c>
      <c r="D81" s="189"/>
      <c r="E81" s="181">
        <f>$C$54*$S$44</f>
        <v>0</v>
      </c>
      <c r="F81" s="84"/>
      <c r="G81" s="182">
        <f>$C$54*$T$44</f>
        <v>0</v>
      </c>
      <c r="H81" s="182">
        <f>B81+E81</f>
        <v>4040</v>
      </c>
    </row>
    <row r="82" spans="1:8" ht="14.25" customHeight="1" x14ac:dyDescent="0.25">
      <c r="A82" s="62"/>
      <c r="B82" s="84"/>
      <c r="E82" s="84"/>
      <c r="F82" s="84"/>
    </row>
    <row r="83" spans="1:8" ht="14.25" customHeight="1" x14ac:dyDescent="0.25">
      <c r="A83" s="62"/>
      <c r="B83" s="84"/>
      <c r="E83" s="84"/>
      <c r="F83" s="84"/>
    </row>
    <row r="84" spans="1:8" ht="14.25" customHeight="1" x14ac:dyDescent="0.25">
      <c r="A84" s="62"/>
      <c r="B84" s="84"/>
      <c r="E84" s="84"/>
      <c r="F84" s="84"/>
    </row>
    <row r="85" spans="1:8" ht="14.25" customHeight="1" x14ac:dyDescent="0.25">
      <c r="A85" s="62"/>
      <c r="B85" s="84"/>
      <c r="E85" s="84"/>
      <c r="F85" s="84"/>
    </row>
    <row r="86" spans="1:8" ht="18" customHeight="1" x14ac:dyDescent="0.2">
      <c r="A86" s="1467"/>
      <c r="B86" s="1642" t="str">
        <f>"دجاج مندى 3 / " &amp; COUNTIF($H$53:$H$55, "&gt;0")</f>
        <v>دجاج مندى 3 / 2</v>
      </c>
      <c r="C86" s="1651"/>
      <c r="D86" s="1651"/>
      <c r="E86" s="1651"/>
      <c r="F86" s="1651"/>
      <c r="G86" s="1651"/>
      <c r="H86" s="1651"/>
    </row>
    <row r="87" spans="1:8" ht="18" customHeight="1" x14ac:dyDescent="0.2">
      <c r="A87" s="1468"/>
      <c r="B87" s="1642" t="str">
        <f>"Mandi Chicken 3 / " &amp; COUNTIF($H$53:$H$55, "&gt;0")</f>
        <v>Mandi Chicken 3 / 2</v>
      </c>
      <c r="C87" s="1651"/>
      <c r="D87" s="1651"/>
      <c r="E87" s="1651"/>
      <c r="F87" s="1651"/>
      <c r="G87" s="1651"/>
      <c r="H87" s="1651"/>
    </row>
    <row r="88" spans="1:8" ht="46.5" customHeight="1" x14ac:dyDescent="0.2">
      <c r="A88" s="1457"/>
      <c r="B88" s="75" t="s">
        <v>241</v>
      </c>
      <c r="C88" s="284" t="s">
        <v>317</v>
      </c>
      <c r="D88" s="75" t="s">
        <v>318</v>
      </c>
      <c r="E88" s="91" t="s">
        <v>319</v>
      </c>
      <c r="F88" s="91" t="s">
        <v>320</v>
      </c>
      <c r="G88" s="285" t="s">
        <v>321</v>
      </c>
      <c r="H88" s="92" t="s">
        <v>322</v>
      </c>
    </row>
    <row r="89" spans="1:8" ht="14.25" customHeight="1" x14ac:dyDescent="0.2">
      <c r="A89" s="1459"/>
      <c r="B89" s="198" t="str">
        <f t="shared" ref="B89:D93" si="4">B5</f>
        <v>Chicken - دجاج</v>
      </c>
      <c r="C89" s="198" t="str">
        <f t="shared" si="4"/>
        <v>gm</v>
      </c>
      <c r="D89" s="101">
        <f t="shared" si="4"/>
        <v>1461.988304093567</v>
      </c>
      <c r="E89" s="177">
        <f>$H$55</f>
        <v>0</v>
      </c>
      <c r="F89" s="301">
        <f>F5</f>
        <v>1</v>
      </c>
      <c r="G89" s="101">
        <f>D89*E89</f>
        <v>0</v>
      </c>
      <c r="H89" s="102">
        <f>G89*F89</f>
        <v>0</v>
      </c>
    </row>
    <row r="90" spans="1:8" ht="14.25" customHeight="1" x14ac:dyDescent="0.2">
      <c r="A90" s="1459"/>
      <c r="B90" s="198" t="str">
        <f t="shared" si="4"/>
        <v>Salt - ملح</v>
      </c>
      <c r="C90" s="198" t="str">
        <f t="shared" si="4"/>
        <v>gm</v>
      </c>
      <c r="D90" s="198">
        <f t="shared" si="4"/>
        <v>50</v>
      </c>
      <c r="E90" s="177">
        <f>$H$55</f>
        <v>0</v>
      </c>
      <c r="F90" s="301">
        <f>F6</f>
        <v>0.75</v>
      </c>
      <c r="G90" s="101">
        <f>D90*E90</f>
        <v>0</v>
      </c>
      <c r="H90" s="102">
        <f>G90*F90</f>
        <v>0</v>
      </c>
    </row>
    <row r="91" spans="1:8" ht="14.25" customHeight="1" x14ac:dyDescent="0.2">
      <c r="A91" s="1459"/>
      <c r="B91" s="198" t="str">
        <f t="shared" si="4"/>
        <v>Saffron yellow color powder - لون صفار زعفران بودر</v>
      </c>
      <c r="C91" s="198" t="str">
        <f t="shared" si="4"/>
        <v>gm</v>
      </c>
      <c r="D91" s="198">
        <f t="shared" si="4"/>
        <v>3</v>
      </c>
      <c r="E91" s="177">
        <f>$H$55</f>
        <v>0</v>
      </c>
      <c r="F91" s="301">
        <f>F7</f>
        <v>0.75</v>
      </c>
      <c r="G91" s="101">
        <f>D91*E91</f>
        <v>0</v>
      </c>
      <c r="H91" s="102">
        <f>G91*F91</f>
        <v>0</v>
      </c>
    </row>
    <row r="92" spans="1:8" ht="14.25" customHeight="1" x14ac:dyDescent="0.2">
      <c r="A92" s="1459"/>
      <c r="B92" s="198" t="str">
        <f t="shared" si="4"/>
        <v>Orange Color - لون برتقالي</v>
      </c>
      <c r="C92" s="198" t="str">
        <f t="shared" si="4"/>
        <v>gm</v>
      </c>
      <c r="D92" s="198">
        <f t="shared" si="4"/>
        <v>3</v>
      </c>
      <c r="E92" s="177">
        <f>$H$55</f>
        <v>0</v>
      </c>
      <c r="F92" s="301">
        <f>F8</f>
        <v>0.9</v>
      </c>
      <c r="G92" s="101">
        <f>D92*E92</f>
        <v>0</v>
      </c>
      <c r="H92" s="102">
        <f>G92*F92</f>
        <v>0</v>
      </c>
    </row>
    <row r="93" spans="1:8" ht="14.25" customHeight="1" x14ac:dyDescent="0.2">
      <c r="A93" s="1459"/>
      <c r="B93" s="198" t="str">
        <f t="shared" si="4"/>
        <v>Cumin Powder - كمون مطحون</v>
      </c>
      <c r="C93" s="198" t="str">
        <f t="shared" si="4"/>
        <v>gm</v>
      </c>
      <c r="D93" s="198">
        <f t="shared" si="4"/>
        <v>5</v>
      </c>
      <c r="E93" s="177">
        <f>$H$55</f>
        <v>0</v>
      </c>
      <c r="F93" s="301">
        <f>F9</f>
        <v>0.8</v>
      </c>
      <c r="G93" s="101">
        <f>D93*E93</f>
        <v>0</v>
      </c>
      <c r="H93" s="102">
        <f>G93*F93</f>
        <v>0</v>
      </c>
    </row>
    <row r="94" spans="1:8" ht="20.25" customHeight="1" x14ac:dyDescent="0.25">
      <c r="A94" s="1458"/>
      <c r="B94" s="178" t="s">
        <v>287</v>
      </c>
      <c r="C94" s="180" t="s">
        <v>273</v>
      </c>
      <c r="D94" s="14"/>
      <c r="E94" s="180" t="s">
        <v>288</v>
      </c>
      <c r="F94" s="14"/>
      <c r="G94" s="804" t="s">
        <v>264</v>
      </c>
      <c r="H94" s="804" t="s">
        <v>673</v>
      </c>
    </row>
    <row r="95" spans="1:8" ht="28.5" customHeight="1" x14ac:dyDescent="0.3">
      <c r="A95" s="1458"/>
      <c r="B95" s="179">
        <f>$J$55</f>
        <v>0</v>
      </c>
      <c r="C95" s="181">
        <f>E95+G95</f>
        <v>0</v>
      </c>
      <c r="D95" s="189"/>
      <c r="E95" s="181">
        <f>$C$55*$S$44</f>
        <v>0</v>
      </c>
      <c r="F95" s="84"/>
      <c r="G95" s="182">
        <f>$C$55*$T$44</f>
        <v>0</v>
      </c>
      <c r="H95" s="182">
        <f>B95+E95</f>
        <v>0</v>
      </c>
    </row>
    <row r="96" spans="1:8" x14ac:dyDescent="0.25">
      <c r="A96" s="62"/>
    </row>
    <row r="97" spans="1:1" x14ac:dyDescent="0.25">
      <c r="A97" s="62"/>
    </row>
    <row r="98" spans="1:1" x14ac:dyDescent="0.25">
      <c r="A98" s="62"/>
    </row>
    <row r="99" spans="1:1" x14ac:dyDescent="0.25">
      <c r="A99" s="62"/>
    </row>
    <row r="100" spans="1:1" x14ac:dyDescent="0.25">
      <c r="A100" s="62"/>
    </row>
    <row r="101" spans="1:1" x14ac:dyDescent="0.25">
      <c r="A101" s="62"/>
    </row>
    <row r="102" spans="1:1" x14ac:dyDescent="0.25">
      <c r="A102" s="62"/>
    </row>
    <row r="103" spans="1:1" x14ac:dyDescent="0.25">
      <c r="A103" s="62"/>
    </row>
    <row r="104" spans="1:1" x14ac:dyDescent="0.25">
      <c r="A104" s="62"/>
    </row>
    <row r="105" spans="1:1" x14ac:dyDescent="0.25">
      <c r="A105" s="62"/>
    </row>
    <row r="106" spans="1:1" x14ac:dyDescent="0.25">
      <c r="A106" s="62"/>
    </row>
    <row r="107" spans="1:1" x14ac:dyDescent="0.25">
      <c r="A107" s="62"/>
    </row>
    <row r="108" spans="1:1" x14ac:dyDescent="0.25">
      <c r="A108" s="62"/>
    </row>
    <row r="109" spans="1:1" x14ac:dyDescent="0.25">
      <c r="A109" s="62"/>
    </row>
    <row r="110" spans="1:1" x14ac:dyDescent="0.25">
      <c r="A110" s="62"/>
    </row>
    <row r="111" spans="1:1" x14ac:dyDescent="0.25">
      <c r="A111" s="62"/>
    </row>
    <row r="112" spans="1:1"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1">
    <mergeCell ref="AE2:AG3"/>
    <mergeCell ref="B74:H74"/>
    <mergeCell ref="B73:H73"/>
    <mergeCell ref="B87:H87"/>
    <mergeCell ref="B62:H62"/>
    <mergeCell ref="R26:T26"/>
    <mergeCell ref="B86:H86"/>
    <mergeCell ref="R25:T25"/>
    <mergeCell ref="B2:K3"/>
    <mergeCell ref="B63:H63"/>
    <mergeCell ref="B35:F35"/>
  </mergeCells>
  <printOptions horizontalCentered="1"/>
  <pageMargins left="0.4" right="0.4" top="1" bottom="0.5" header="0.3" footer="0.511811023622047"/>
  <pageSetup paperSize="9" scale="69" fitToHeight="0" orientation="landscape" r:id="rId1"/>
  <headerFooter>
    <oddHeader>&amp;C&amp;B&amp;16Chicken Mandi (3)&amp;R&amp;B Day 3</oddHeader>
    <oddFooter>&amp;CPage &amp;P of &amp;N</oddFooter>
  </headerFooter>
  <rowBreaks count="1" manualBreakCount="1">
    <brk id="72" max="15" man="1"/>
  </rowBreaks>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rgb="FFBF9000"/>
    <pageSetUpPr fitToPage="1"/>
  </sheetPr>
  <dimension ref="A1:AT174"/>
  <sheetViews>
    <sheetView topLeftCell="B4" zoomScale="70" zoomScaleNormal="70" workbookViewId="0">
      <selection activeCell="R36" sqref="R36"/>
    </sheetView>
  </sheetViews>
  <sheetFormatPr defaultColWidth="12.5" defaultRowHeight="12.75" x14ac:dyDescent="0.2"/>
  <cols>
    <col min="1" max="1" width="12.5" style="14" customWidth="1"/>
    <col min="2" max="2" width="31.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5.5" style="14" customWidth="1"/>
    <col min="15" max="15" width="16.625" style="14" customWidth="1"/>
    <col min="16" max="17" width="12.5" style="14" customWidth="1"/>
    <col min="18" max="18" width="32.125" style="14" customWidth="1"/>
    <col min="19" max="26" width="12.5" style="14" customWidth="1"/>
    <col min="27" max="27" width="11.125" style="14" bestFit="1" customWidth="1"/>
    <col min="28" max="28" width="10" style="14" bestFit="1" customWidth="1"/>
    <col min="29" max="30" width="12.5" style="14" customWidth="1"/>
    <col min="31" max="35" width="3.75" style="14" customWidth="1"/>
    <col min="36" max="36" width="36.375" style="14" customWidth="1"/>
    <col min="37" max="37" width="12.5" style="14" customWidth="1"/>
    <col min="38" max="41" width="12.5" style="14"/>
    <col min="42" max="42" width="15.375" style="14" customWidth="1"/>
    <col min="43" max="16384" width="12.5" style="14"/>
  </cols>
  <sheetData>
    <row r="1" spans="1:46" ht="28.5" customHeight="1" x14ac:dyDescent="0.2">
      <c r="B1" s="64" t="s">
        <v>331</v>
      </c>
      <c r="C1" s="65">
        <v>1</v>
      </c>
      <c r="D1" s="66" t="s">
        <v>232</v>
      </c>
      <c r="E1" s="99">
        <f>U32</f>
        <v>293</v>
      </c>
      <c r="F1" s="64" t="s">
        <v>233</v>
      </c>
      <c r="G1" s="99">
        <f>E1/C1</f>
        <v>293</v>
      </c>
      <c r="H1" s="64" t="s">
        <v>234</v>
      </c>
      <c r="I1" s="99"/>
      <c r="J1" s="302" t="s">
        <v>235</v>
      </c>
      <c r="K1" s="303"/>
      <c r="L1" s="84"/>
      <c r="M1" s="73"/>
      <c r="N1" s="74"/>
      <c r="O1" s="75" t="s">
        <v>236</v>
      </c>
      <c r="P1" s="432" t="s">
        <v>237</v>
      </c>
      <c r="Q1" s="77" t="s">
        <v>238</v>
      </c>
      <c r="R1" s="76">
        <v>0.51</v>
      </c>
      <c r="S1" s="77" t="s">
        <v>389</v>
      </c>
      <c r="T1" s="304">
        <v>20</v>
      </c>
      <c r="Y1" s="75" t="s">
        <v>453</v>
      </c>
      <c r="Z1" s="766">
        <v>288</v>
      </c>
      <c r="AA1" s="75" t="s">
        <v>556</v>
      </c>
      <c r="AB1" s="766">
        <v>5</v>
      </c>
      <c r="AC1" s="75" t="s">
        <v>546</v>
      </c>
      <c r="AD1" s="766">
        <v>288</v>
      </c>
      <c r="AE1" s="228"/>
      <c r="AF1" s="230"/>
      <c r="AG1" s="76"/>
      <c r="AJ1" s="78" t="s">
        <v>250</v>
      </c>
      <c r="AK1" s="78">
        <v>10000</v>
      </c>
      <c r="AL1" s="561" t="s">
        <v>483</v>
      </c>
      <c r="AM1" s="562">
        <f>$S$32</f>
        <v>293</v>
      </c>
      <c r="AN1" s="78" t="s">
        <v>239</v>
      </c>
      <c r="AO1" s="305">
        <f>((S32*T1)/$R$1)/$AK$1</f>
        <v>1.1490196078431372</v>
      </c>
      <c r="AP1" s="79"/>
    </row>
    <row r="2" spans="1:46" ht="12.75" customHeight="1" x14ac:dyDescent="0.2">
      <c r="A2" s="306"/>
      <c r="B2" s="1644" t="s">
        <v>390</v>
      </c>
      <c r="C2" s="1644"/>
      <c r="D2" s="1644"/>
      <c r="E2" s="1644"/>
      <c r="F2" s="1644"/>
      <c r="G2" s="1644"/>
      <c r="H2" s="1644"/>
      <c r="I2" s="580"/>
      <c r="J2" s="580"/>
      <c r="K2" s="580"/>
      <c r="L2" s="270"/>
      <c r="M2" s="84"/>
      <c r="N2" s="84"/>
      <c r="O2" s="84"/>
      <c r="P2" s="84"/>
      <c r="Q2" s="84"/>
      <c r="R2" s="84"/>
      <c r="AC2" s="83"/>
      <c r="AD2" s="83"/>
      <c r="AE2" s="1652"/>
      <c r="AF2" s="1655"/>
      <c r="AG2" s="1655"/>
      <c r="AJ2" s="85"/>
      <c r="AK2" s="1631" t="s">
        <v>391</v>
      </c>
      <c r="AL2" s="1631"/>
      <c r="AM2" s="1631"/>
      <c r="AN2" s="1631"/>
      <c r="AO2" s="85"/>
      <c r="AP2" s="85"/>
    </row>
    <row r="3" spans="1:46" ht="12.75" customHeight="1" x14ac:dyDescent="0.2">
      <c r="A3" s="306"/>
      <c r="B3" s="1645"/>
      <c r="C3" s="1645"/>
      <c r="D3" s="1645"/>
      <c r="E3" s="1645"/>
      <c r="F3" s="1645"/>
      <c r="G3" s="1645"/>
      <c r="H3" s="1645"/>
      <c r="I3" s="581"/>
      <c r="J3" s="581"/>
      <c r="K3" s="581"/>
      <c r="L3" s="270"/>
      <c r="M3" s="84"/>
      <c r="N3" s="84"/>
      <c r="O3" s="84"/>
      <c r="P3" s="84"/>
      <c r="Q3" s="84"/>
      <c r="R3" s="84"/>
      <c r="AC3" s="83"/>
      <c r="AD3" s="83"/>
      <c r="AE3" s="1655"/>
      <c r="AF3" s="1655"/>
      <c r="AG3" s="1655"/>
      <c r="AJ3" s="349"/>
      <c r="AK3" s="88"/>
      <c r="AL3" s="89"/>
      <c r="AM3" s="89"/>
      <c r="AN3" s="89"/>
      <c r="AO3" s="88"/>
      <c r="AP3" s="88"/>
    </row>
    <row r="4" spans="1:46" ht="69" customHeight="1" x14ac:dyDescent="0.2">
      <c r="A4" s="75" t="s">
        <v>903</v>
      </c>
      <c r="B4" s="75" t="s">
        <v>241</v>
      </c>
      <c r="C4" s="90" t="s">
        <v>242</v>
      </c>
      <c r="D4" s="75" t="s">
        <v>231</v>
      </c>
      <c r="E4" s="197" t="s">
        <v>234</v>
      </c>
      <c r="F4" s="91" t="s">
        <v>243</v>
      </c>
      <c r="G4" s="75" t="s">
        <v>244</v>
      </c>
      <c r="H4" s="92" t="s">
        <v>322</v>
      </c>
      <c r="I4" s="75" t="s">
        <v>246</v>
      </c>
      <c r="J4" s="75" t="s">
        <v>247</v>
      </c>
      <c r="K4" s="75" t="s">
        <v>248</v>
      </c>
      <c r="L4" s="75" t="s">
        <v>249</v>
      </c>
      <c r="M4" s="84"/>
      <c r="N4" s="84"/>
      <c r="O4" s="84"/>
      <c r="P4" s="84"/>
      <c r="AA4" s="229"/>
      <c r="AB4" s="231"/>
      <c r="AC4" s="229"/>
      <c r="AD4" s="229"/>
      <c r="AE4" s="229"/>
      <c r="AJ4" s="93" t="s">
        <v>241</v>
      </c>
      <c r="AK4" s="94" t="s">
        <v>242</v>
      </c>
      <c r="AL4" s="93" t="s">
        <v>250</v>
      </c>
      <c r="AM4" s="93" t="s">
        <v>234</v>
      </c>
      <c r="AN4" s="93" t="s">
        <v>243</v>
      </c>
      <c r="AO4" s="93" t="s">
        <v>244</v>
      </c>
      <c r="AP4" s="95" t="s">
        <v>245</v>
      </c>
      <c r="AQ4" s="75" t="s">
        <v>246</v>
      </c>
      <c r="AR4" s="75" t="s">
        <v>247</v>
      </c>
      <c r="AS4" s="75" t="s">
        <v>248</v>
      </c>
      <c r="AT4" s="75" t="s">
        <v>249</v>
      </c>
    </row>
    <row r="5" spans="1:46" ht="13.5" customHeight="1" x14ac:dyDescent="0.2">
      <c r="A5" s="1491"/>
      <c r="B5" s="433" t="s">
        <v>220</v>
      </c>
      <c r="C5" s="389" t="s">
        <v>227</v>
      </c>
      <c r="D5" s="245">
        <f>T1/R1</f>
        <v>39.215686274509807</v>
      </c>
      <c r="E5" s="98">
        <f>G1</f>
        <v>293</v>
      </c>
      <c r="F5" s="415">
        <v>1</v>
      </c>
      <c r="G5" s="422">
        <f>D5*E5</f>
        <v>11490.196078431374</v>
      </c>
      <c r="H5" s="417">
        <f>G5*F5</f>
        <v>11490.196078431374</v>
      </c>
      <c r="I5" s="434">
        <f>VLOOKUP(B5,All_Ingredients!$A$1:$F$156,6,FALSE())</f>
        <v>0.86</v>
      </c>
      <c r="J5" s="422">
        <f>VLOOKUP(B5,All_Ingredients!$A$1:$J$156,10,FALSE())</f>
        <v>17.100000000000001</v>
      </c>
      <c r="K5" s="435">
        <f>(H5/I5)/1000</f>
        <v>13.360693114455087</v>
      </c>
      <c r="L5" s="435">
        <f>K5*J5</f>
        <v>228.46785225718199</v>
      </c>
      <c r="M5" s="84"/>
      <c r="N5" s="84"/>
      <c r="O5" s="84"/>
      <c r="P5" s="84"/>
      <c r="AA5" s="76"/>
      <c r="AB5" s="114"/>
      <c r="AC5" s="232"/>
      <c r="AD5" s="116"/>
      <c r="AE5" s="117"/>
      <c r="AJ5" s="350" t="s">
        <v>220</v>
      </c>
      <c r="AK5" s="106" t="s">
        <v>227</v>
      </c>
      <c r="AL5" s="351">
        <v>10</v>
      </c>
      <c r="AM5" s="352">
        <f t="shared" ref="AM5:AM13" si="0">$AO$1</f>
        <v>1.1490196078431372</v>
      </c>
      <c r="AN5" s="353">
        <v>1</v>
      </c>
      <c r="AO5" s="354">
        <f t="shared" ref="AO5:AO13" si="1">AL5*AM5</f>
        <v>11.490196078431371</v>
      </c>
      <c r="AP5" s="355">
        <f t="shared" ref="AP5:AP13" si="2">AO5*AN5</f>
        <v>11.490196078431371</v>
      </c>
      <c r="AQ5" s="272"/>
      <c r="AR5" s="1017"/>
      <c r="AS5" s="156"/>
      <c r="AT5" s="1018"/>
    </row>
    <row r="6" spans="1:46" ht="14.25" customHeight="1" x14ac:dyDescent="0.2">
      <c r="A6" s="1469"/>
      <c r="B6" s="436"/>
      <c r="C6" s="437"/>
      <c r="D6" s="334"/>
      <c r="E6" s="335"/>
      <c r="F6" s="336"/>
      <c r="G6" s="438"/>
      <c r="H6" s="338"/>
      <c r="I6" s="392"/>
      <c r="J6" s="438"/>
      <c r="K6" s="439"/>
      <c r="L6" s="439"/>
      <c r="AJ6" s="350" t="s">
        <v>54</v>
      </c>
      <c r="AK6" s="106" t="s">
        <v>14</v>
      </c>
      <c r="AL6" s="351">
        <v>50</v>
      </c>
      <c r="AM6" s="352">
        <f t="shared" si="0"/>
        <v>1.1490196078431372</v>
      </c>
      <c r="AN6" s="353">
        <v>1</v>
      </c>
      <c r="AO6" s="354">
        <f t="shared" si="1"/>
        <v>57.450980392156858</v>
      </c>
      <c r="AP6" s="355">
        <f t="shared" si="2"/>
        <v>57.450980392156858</v>
      </c>
      <c r="AQ6" s="1018">
        <f>VLOOKUP(AJ6,Marination_Ordering!$A:$J,6,FALSE)</f>
        <v>0.87</v>
      </c>
      <c r="AR6" s="1018">
        <f>VLOOKUP(AJ6,Marination_Ordering!$A:$J,10,FALSE)</f>
        <v>7</v>
      </c>
      <c r="AS6" s="156">
        <f>AP6/AQ6</f>
        <v>66.035609646157312</v>
      </c>
      <c r="AT6" s="1018">
        <f>AR6*(AS6/1000)</f>
        <v>0.46224926752310125</v>
      </c>
    </row>
    <row r="7" spans="1:46" ht="14.25" customHeight="1" x14ac:dyDescent="0.2">
      <c r="A7" s="1461"/>
      <c r="B7" s="376"/>
      <c r="C7" s="308"/>
      <c r="D7" s="232"/>
      <c r="E7" s="309"/>
      <c r="F7" s="117"/>
      <c r="G7" s="118"/>
      <c r="H7" s="119"/>
      <c r="I7" s="76"/>
      <c r="J7" s="118"/>
      <c r="K7" s="112"/>
      <c r="L7" s="112"/>
      <c r="AJ7" s="350" t="s">
        <v>727</v>
      </c>
      <c r="AK7" s="106" t="s">
        <v>14</v>
      </c>
      <c r="AL7" s="351">
        <v>100</v>
      </c>
      <c r="AM7" s="352">
        <f t="shared" si="0"/>
        <v>1.1490196078431372</v>
      </c>
      <c r="AN7" s="353">
        <v>1</v>
      </c>
      <c r="AO7" s="354">
        <f t="shared" si="1"/>
        <v>114.90196078431372</v>
      </c>
      <c r="AP7" s="355">
        <f t="shared" si="2"/>
        <v>114.90196078431372</v>
      </c>
      <c r="AQ7" s="1018">
        <f>VLOOKUP(AJ7,Marination_Ordering!$A:$J,6,FALSE)</f>
        <v>1</v>
      </c>
      <c r="AR7" s="1018">
        <f>VLOOKUP(AJ7,Marination_Ordering!$A:$J,10,FALSE)</f>
        <v>10.5</v>
      </c>
      <c r="AS7" s="156">
        <f t="shared" ref="AS7:AS13" si="3">AP7/AQ7</f>
        <v>114.90196078431372</v>
      </c>
      <c r="AT7" s="1018">
        <f t="shared" ref="AT7:AT13" si="4">AR7*(AS7/1000)</f>
        <v>1.206470588235294</v>
      </c>
    </row>
    <row r="8" spans="1:46" ht="14.25" customHeight="1" x14ac:dyDescent="0.2">
      <c r="A8" s="1461"/>
      <c r="B8" s="376"/>
      <c r="C8" s="308"/>
      <c r="D8" s="232"/>
      <c r="E8" s="309"/>
      <c r="F8" s="117"/>
      <c r="G8" s="118"/>
      <c r="H8" s="119"/>
      <c r="I8" s="76"/>
      <c r="J8" s="118"/>
      <c r="K8" s="112"/>
      <c r="L8" s="112"/>
      <c r="AJ8" s="350" t="s">
        <v>105</v>
      </c>
      <c r="AK8" s="106" t="s">
        <v>14</v>
      </c>
      <c r="AL8" s="351">
        <v>50</v>
      </c>
      <c r="AM8" s="352">
        <f t="shared" si="0"/>
        <v>1.1490196078431372</v>
      </c>
      <c r="AN8" s="353">
        <v>1</v>
      </c>
      <c r="AO8" s="354">
        <f t="shared" si="1"/>
        <v>57.450980392156858</v>
      </c>
      <c r="AP8" s="355">
        <f t="shared" si="2"/>
        <v>57.450980392156858</v>
      </c>
      <c r="AQ8" s="1018">
        <f>VLOOKUP(AJ8,Marination_Ordering!$A:$J,6,FALSE)</f>
        <v>1</v>
      </c>
      <c r="AR8" s="1018">
        <f>VLOOKUP(AJ8,Marination_Ordering!$A:$J,10,FALSE)</f>
        <v>15</v>
      </c>
      <c r="AS8" s="156">
        <f t="shared" si="3"/>
        <v>57.450980392156858</v>
      </c>
      <c r="AT8" s="1018">
        <f t="shared" si="4"/>
        <v>0.86176470588235277</v>
      </c>
    </row>
    <row r="9" spans="1:46" ht="14.25" customHeight="1" x14ac:dyDescent="0.2">
      <c r="A9" s="1461"/>
      <c r="B9" s="376"/>
      <c r="C9" s="308"/>
      <c r="D9" s="232"/>
      <c r="E9" s="309"/>
      <c r="F9" s="117"/>
      <c r="G9" s="118"/>
      <c r="H9" s="119"/>
      <c r="I9" s="76"/>
      <c r="J9" s="118"/>
      <c r="K9" s="112"/>
      <c r="L9" s="112"/>
      <c r="AJ9" s="350" t="s">
        <v>202</v>
      </c>
      <c r="AK9" s="106" t="s">
        <v>14</v>
      </c>
      <c r="AL9" s="351">
        <v>100</v>
      </c>
      <c r="AM9" s="352">
        <f t="shared" si="0"/>
        <v>1.1490196078431372</v>
      </c>
      <c r="AN9" s="353">
        <v>1</v>
      </c>
      <c r="AO9" s="354">
        <f t="shared" si="1"/>
        <v>114.90196078431372</v>
      </c>
      <c r="AP9" s="355">
        <f t="shared" si="2"/>
        <v>114.90196078431372</v>
      </c>
      <c r="AQ9" s="1018">
        <f>VLOOKUP(AJ9,Marination_Ordering!$A:$J,6,FALSE)</f>
        <v>1</v>
      </c>
      <c r="AR9" s="1018">
        <f>VLOOKUP(AJ9,Marination_Ordering!$A:$J,10,FALSE)</f>
        <v>11.243386243386244</v>
      </c>
      <c r="AS9" s="156">
        <f t="shared" si="3"/>
        <v>114.90196078431372</v>
      </c>
      <c r="AT9" s="1018">
        <f t="shared" si="4"/>
        <v>1.2918871252204585</v>
      </c>
    </row>
    <row r="10" spans="1:46" ht="14.25" customHeight="1" x14ac:dyDescent="0.2">
      <c r="A10" s="1461"/>
      <c r="B10" s="325"/>
      <c r="C10" s="308"/>
      <c r="D10" s="232"/>
      <c r="E10" s="309"/>
      <c r="F10" s="117"/>
      <c r="G10" s="118"/>
      <c r="H10" s="119"/>
      <c r="I10" s="76"/>
      <c r="J10" s="118"/>
      <c r="K10" s="112"/>
      <c r="L10" s="112"/>
      <c r="AJ10" s="350" t="s">
        <v>93</v>
      </c>
      <c r="AK10" s="106" t="s">
        <v>14</v>
      </c>
      <c r="AL10" s="351">
        <v>20</v>
      </c>
      <c r="AM10" s="352">
        <f t="shared" si="0"/>
        <v>1.1490196078431372</v>
      </c>
      <c r="AN10" s="353">
        <v>1</v>
      </c>
      <c r="AO10" s="354">
        <f t="shared" si="1"/>
        <v>22.980392156862742</v>
      </c>
      <c r="AP10" s="355">
        <f t="shared" si="2"/>
        <v>22.980392156862742</v>
      </c>
      <c r="AQ10" s="1018">
        <f>VLOOKUP(AJ10,Marination_Ordering!$A:$J,6,FALSE)</f>
        <v>1</v>
      </c>
      <c r="AR10" s="1018">
        <f>VLOOKUP(AJ10,Marination_Ordering!$A:$J,10,FALSE)</f>
        <v>0.74</v>
      </c>
      <c r="AS10" s="156">
        <f t="shared" si="3"/>
        <v>22.980392156862742</v>
      </c>
      <c r="AT10" s="1018">
        <f t="shared" si="4"/>
        <v>1.7005490196078429E-2</v>
      </c>
    </row>
    <row r="11" spans="1:46" ht="14.25" customHeight="1" x14ac:dyDescent="0.2">
      <c r="A11" s="1461"/>
      <c r="B11" s="376"/>
      <c r="C11" s="308"/>
      <c r="D11" s="232"/>
      <c r="E11" s="309"/>
      <c r="F11" s="117"/>
      <c r="G11" s="118"/>
      <c r="H11" s="119"/>
      <c r="I11" s="76"/>
      <c r="J11" s="118"/>
      <c r="K11" s="112"/>
      <c r="L11" s="112"/>
      <c r="AJ11" s="350" t="s">
        <v>99</v>
      </c>
      <c r="AK11" s="106" t="s">
        <v>14</v>
      </c>
      <c r="AL11" s="351">
        <v>25</v>
      </c>
      <c r="AM11" s="352">
        <f t="shared" si="0"/>
        <v>1.1490196078431372</v>
      </c>
      <c r="AN11" s="353">
        <v>1</v>
      </c>
      <c r="AO11" s="354">
        <f t="shared" si="1"/>
        <v>28.725490196078429</v>
      </c>
      <c r="AP11" s="355">
        <f t="shared" si="2"/>
        <v>28.725490196078429</v>
      </c>
      <c r="AQ11" s="1018">
        <f>VLOOKUP(AJ11,Marination_Ordering!$A:$J,6,FALSE)</f>
        <v>1</v>
      </c>
      <c r="AR11" s="1018">
        <f>VLOOKUP(AJ11,Marination_Ordering!$A:$J,10,FALSE)</f>
        <v>31</v>
      </c>
      <c r="AS11" s="156">
        <f t="shared" si="3"/>
        <v>28.725490196078429</v>
      </c>
      <c r="AT11" s="1018">
        <f t="shared" si="4"/>
        <v>0.89049019607843127</v>
      </c>
    </row>
    <row r="12" spans="1:46" ht="14.25" customHeight="1" x14ac:dyDescent="0.2">
      <c r="A12" s="1461"/>
      <c r="B12" s="376"/>
      <c r="C12" s="308"/>
      <c r="D12" s="232"/>
      <c r="E12" s="309"/>
      <c r="F12" s="117"/>
      <c r="G12" s="118"/>
      <c r="H12" s="119"/>
      <c r="I12" s="76"/>
      <c r="J12" s="118"/>
      <c r="K12" s="112"/>
      <c r="L12" s="112"/>
      <c r="AJ12" s="350" t="s">
        <v>110</v>
      </c>
      <c r="AK12" s="106" t="s">
        <v>14</v>
      </c>
      <c r="AL12" s="351">
        <v>50</v>
      </c>
      <c r="AM12" s="352">
        <f t="shared" si="0"/>
        <v>1.1490196078431372</v>
      </c>
      <c r="AN12" s="353">
        <v>1</v>
      </c>
      <c r="AO12" s="354">
        <f t="shared" si="1"/>
        <v>57.450980392156858</v>
      </c>
      <c r="AP12" s="355">
        <f t="shared" si="2"/>
        <v>57.450980392156858</v>
      </c>
      <c r="AQ12" s="1018">
        <f>VLOOKUP(AJ12,Marination_Ordering!$A:$J,6,FALSE)</f>
        <v>1</v>
      </c>
      <c r="AR12" s="1018">
        <f>VLOOKUP(AJ12,Marination_Ordering!$A:$J,10,FALSE)</f>
        <v>64.243759177679877</v>
      </c>
      <c r="AS12" s="156">
        <f t="shared" si="3"/>
        <v>57.450980392156858</v>
      </c>
      <c r="AT12" s="1018">
        <f t="shared" si="4"/>
        <v>3.6908669488353336</v>
      </c>
    </row>
    <row r="13" spans="1:46" ht="14.25" customHeight="1" x14ac:dyDescent="0.2">
      <c r="A13" s="1461"/>
      <c r="B13" s="325"/>
      <c r="C13" s="308"/>
      <c r="D13" s="232"/>
      <c r="E13" s="309"/>
      <c r="F13" s="117"/>
      <c r="G13" s="118"/>
      <c r="H13" s="119"/>
      <c r="I13" s="76"/>
      <c r="J13" s="118"/>
      <c r="K13" s="112"/>
      <c r="L13" s="112"/>
      <c r="AJ13" s="350" t="s">
        <v>212</v>
      </c>
      <c r="AK13" s="106" t="s">
        <v>160</v>
      </c>
      <c r="AL13" s="351">
        <v>200</v>
      </c>
      <c r="AM13" s="352">
        <f t="shared" si="0"/>
        <v>1.1490196078431372</v>
      </c>
      <c r="AN13" s="353">
        <v>1</v>
      </c>
      <c r="AO13" s="354">
        <f t="shared" si="1"/>
        <v>229.80392156862743</v>
      </c>
      <c r="AP13" s="355">
        <f t="shared" si="2"/>
        <v>229.80392156862743</v>
      </c>
      <c r="AQ13" s="1018">
        <f>VLOOKUP(AJ13,Marination_Ordering!$A:$J,6,FALSE)</f>
        <v>1</v>
      </c>
      <c r="AR13" s="1018">
        <f>VLOOKUP(AJ13,Marination_Ordering!$A:$J,10,FALSE)</f>
        <v>5</v>
      </c>
      <c r="AS13" s="156">
        <f t="shared" si="3"/>
        <v>229.80392156862743</v>
      </c>
      <c r="AT13" s="1018">
        <f t="shared" si="4"/>
        <v>1.1490196078431372</v>
      </c>
    </row>
    <row r="14" spans="1:46" ht="14.25" customHeight="1" x14ac:dyDescent="0.2">
      <c r="A14" s="1461"/>
      <c r="B14" s="325"/>
      <c r="C14" s="114"/>
      <c r="D14" s="232"/>
      <c r="E14" s="203"/>
      <c r="F14" s="117"/>
      <c r="G14" s="121"/>
      <c r="H14" s="119"/>
      <c r="I14"/>
      <c r="J14" s="120"/>
    </row>
    <row r="15" spans="1:46" ht="12.75" customHeight="1" x14ac:dyDescent="0.2">
      <c r="A15" s="1461"/>
      <c r="B15" s="229"/>
      <c r="C15" s="229"/>
      <c r="D15" s="228"/>
      <c r="E15" s="230"/>
      <c r="F15" s="229"/>
      <c r="G15" s="440"/>
      <c r="H15" s="230"/>
    </row>
    <row r="16" spans="1:46" ht="15.75" customHeight="1" x14ac:dyDescent="0.2">
      <c r="A16" s="1461"/>
      <c r="B16" s="83"/>
      <c r="C16" s="83"/>
      <c r="D16" s="328"/>
      <c r="E16" s="328"/>
      <c r="F16" s="328"/>
      <c r="G16" s="83"/>
      <c r="H16" s="83"/>
    </row>
    <row r="17" spans="1:29" ht="15.75" customHeight="1" x14ac:dyDescent="0.2">
      <c r="A17" s="1461"/>
      <c r="B17" s="83"/>
      <c r="C17" s="83"/>
      <c r="D17" s="328"/>
      <c r="E17" s="328"/>
      <c r="F17" s="328"/>
      <c r="G17" s="83"/>
      <c r="H17" s="83"/>
    </row>
    <row r="18" spans="1:29" ht="14.25" customHeight="1" x14ac:dyDescent="0.2">
      <c r="A18" s="1461"/>
      <c r="B18" s="229"/>
      <c r="C18" s="231"/>
      <c r="D18" s="229"/>
      <c r="E18" s="229"/>
      <c r="F18" s="229"/>
      <c r="G18" s="229"/>
      <c r="H18" s="229"/>
      <c r="N18" s="241"/>
    </row>
    <row r="19" spans="1:29" ht="14.25" customHeight="1" x14ac:dyDescent="0.2">
      <c r="A19" s="1461"/>
      <c r="B19" s="376"/>
      <c r="C19" s="114"/>
      <c r="D19" s="441"/>
      <c r="E19" s="442"/>
      <c r="F19" s="443"/>
      <c r="G19" s="444"/>
      <c r="H19" s="445"/>
    </row>
    <row r="20" spans="1:29" ht="14.25" customHeight="1" x14ac:dyDescent="0.2">
      <c r="A20" s="1461"/>
      <c r="B20" s="376"/>
      <c r="C20" s="114"/>
      <c r="D20" s="309"/>
      <c r="E20" s="442"/>
      <c r="F20" s="443"/>
      <c r="G20" s="444"/>
      <c r="H20" s="445"/>
    </row>
    <row r="21" spans="1:29" ht="14.25" customHeight="1" x14ac:dyDescent="0.2">
      <c r="A21" s="1461"/>
      <c r="B21" s="376"/>
      <c r="C21" s="114"/>
      <c r="D21" s="309"/>
      <c r="E21" s="442"/>
      <c r="F21" s="443"/>
      <c r="G21" s="444"/>
      <c r="H21" s="445"/>
    </row>
    <row r="22" spans="1:29" ht="14.25" customHeight="1" x14ac:dyDescent="0.2">
      <c r="A22" s="1461"/>
      <c r="B22" s="376"/>
      <c r="C22" s="114"/>
      <c r="D22" s="203"/>
      <c r="E22" s="442"/>
      <c r="F22" s="443"/>
      <c r="G22" s="444"/>
      <c r="H22" s="445"/>
    </row>
    <row r="23" spans="1:29" ht="14.25" customHeight="1" x14ac:dyDescent="0.2">
      <c r="A23" s="1461"/>
      <c r="B23" s="376"/>
      <c r="C23" s="114"/>
      <c r="D23" s="309"/>
      <c r="E23" s="442"/>
      <c r="F23" s="443"/>
      <c r="G23" s="444"/>
      <c r="H23" s="445"/>
    </row>
    <row r="24" spans="1:29" ht="14.25" customHeight="1" x14ac:dyDescent="0.2">
      <c r="A24" s="1461"/>
      <c r="B24" s="376"/>
      <c r="C24" s="114"/>
      <c r="D24" s="309"/>
      <c r="E24" s="442"/>
      <c r="F24" s="443"/>
      <c r="G24" s="444"/>
      <c r="H24" s="445"/>
      <c r="Z24" s="1073"/>
    </row>
    <row r="25" spans="1:29" ht="14.25" customHeight="1" x14ac:dyDescent="0.2">
      <c r="A25" s="1461"/>
      <c r="B25" s="376"/>
      <c r="C25" s="114"/>
      <c r="D25" s="309"/>
      <c r="E25" s="442"/>
      <c r="F25" s="443"/>
      <c r="G25" s="444"/>
      <c r="H25" s="445"/>
      <c r="R25" s="1662" t="s">
        <v>391</v>
      </c>
      <c r="S25" s="1714"/>
      <c r="T25" s="1714"/>
      <c r="U25" s="1714"/>
      <c r="V25" s="1052"/>
      <c r="Z25" s="122" t="s">
        <v>252</v>
      </c>
      <c r="AA25" s="123">
        <v>507</v>
      </c>
      <c r="AB25" s="122" t="s">
        <v>249</v>
      </c>
      <c r="AC25" s="1075">
        <f>AC30*AA25+(AB30*(AA28/R1))</f>
        <v>411.89442435770331</v>
      </c>
    </row>
    <row r="26" spans="1:29" ht="14.25" customHeight="1" x14ac:dyDescent="0.2">
      <c r="A26" s="1461"/>
      <c r="B26" s="376"/>
      <c r="C26" s="114"/>
      <c r="D26" s="232"/>
      <c r="E26" s="442"/>
      <c r="F26" s="443"/>
      <c r="G26" s="444"/>
      <c r="H26" s="445"/>
      <c r="R26" s="1646" t="s">
        <v>297</v>
      </c>
      <c r="S26" s="1713"/>
      <c r="T26" s="1713"/>
      <c r="U26" s="1713"/>
      <c r="V26" s="1052"/>
      <c r="Z26"/>
      <c r="AA26"/>
    </row>
    <row r="27" spans="1:29" ht="14.25" customHeight="1" thickBot="1" x14ac:dyDescent="0.25">
      <c r="A27" s="1461"/>
      <c r="B27" s="376"/>
      <c r="C27" s="114"/>
      <c r="D27" s="309"/>
      <c r="E27" s="442"/>
      <c r="F27" s="443"/>
      <c r="G27" s="444"/>
      <c r="H27" s="445"/>
      <c r="P27" s="314"/>
      <c r="R27" s="126" t="s">
        <v>254</v>
      </c>
      <c r="S27" s="126" t="s">
        <v>358</v>
      </c>
      <c r="T27" s="126" t="s">
        <v>256</v>
      </c>
      <c r="U27" s="126" t="s">
        <v>257</v>
      </c>
      <c r="V27" s="127" t="s">
        <v>772</v>
      </c>
      <c r="Z27" s="122" t="s">
        <v>258</v>
      </c>
      <c r="AA27" s="128" t="s">
        <v>259</v>
      </c>
      <c r="AB27" s="1031" t="s">
        <v>312</v>
      </c>
      <c r="AC27" s="128" t="s">
        <v>262</v>
      </c>
    </row>
    <row r="28" spans="1:29" ht="14.25" customHeight="1" thickBot="1" x14ac:dyDescent="0.25">
      <c r="A28" s="1461"/>
      <c r="R28" s="126" t="s">
        <v>263</v>
      </c>
      <c r="S28" s="720">
        <f>$Z$1</f>
        <v>288</v>
      </c>
      <c r="T28" s="315"/>
      <c r="U28" s="722">
        <f>S28</f>
        <v>288</v>
      </c>
      <c r="V28" s="130">
        <f>SUM(AP5:AP13)</f>
        <v>695.15686274509801</v>
      </c>
      <c r="Z28" s="132"/>
      <c r="AA28" s="1046">
        <f>AA25</f>
        <v>507</v>
      </c>
      <c r="AB28" s="1034"/>
      <c r="AC28" s="135">
        <f>SUM(AA28:AB28)</f>
        <v>507</v>
      </c>
    </row>
    <row r="29" spans="1:29" ht="14.25" customHeight="1" thickBot="1" x14ac:dyDescent="0.25">
      <c r="A29" s="1461"/>
      <c r="R29" s="126" t="s">
        <v>264</v>
      </c>
      <c r="S29" s="271"/>
      <c r="T29" s="315"/>
      <c r="U29" s="722">
        <f>T29</f>
        <v>0</v>
      </c>
      <c r="V29" s="130"/>
      <c r="Z29" s="132"/>
      <c r="AA29" s="137">
        <v>1</v>
      </c>
      <c r="AB29" s="1038"/>
      <c r="AC29" s="137">
        <f>AC28/$AC$28</f>
        <v>1</v>
      </c>
    </row>
    <row r="30" spans="1:29" ht="14.25" customHeight="1" thickBot="1" x14ac:dyDescent="0.25">
      <c r="A30" s="1461"/>
      <c r="R30" s="126" t="s">
        <v>265</v>
      </c>
      <c r="S30" s="719">
        <f>$AB$1</f>
        <v>5</v>
      </c>
      <c r="T30" s="315"/>
      <c r="U30" s="722">
        <f>S30</f>
        <v>5</v>
      </c>
      <c r="V30" s="989"/>
      <c r="Z30" s="122" t="s">
        <v>266</v>
      </c>
      <c r="AA30" s="138">
        <f>S35/(S32)</f>
        <v>0.77975376196990442</v>
      </c>
      <c r="AB30" s="1042">
        <f>V35/(S32/R1)</f>
        <v>1.6657250867594661E-2</v>
      </c>
      <c r="AC30" s="1053">
        <f>SUMPRODUCT(AA29,AA30)</f>
        <v>0.77975376196990442</v>
      </c>
    </row>
    <row r="31" spans="1:29" ht="14.25" customHeight="1" thickBot="1" x14ac:dyDescent="0.25">
      <c r="A31" s="1461"/>
      <c r="R31" s="126" t="s">
        <v>267</v>
      </c>
      <c r="S31" s="271" t="s">
        <v>310</v>
      </c>
      <c r="T31" s="315">
        <f>T28+T29</f>
        <v>0</v>
      </c>
      <c r="U31" s="315">
        <f>T31</f>
        <v>0</v>
      </c>
      <c r="V31" s="130"/>
    </row>
    <row r="32" spans="1:29" ht="14.25" customHeight="1" thickBot="1" x14ac:dyDescent="0.25">
      <c r="A32" s="1461"/>
      <c r="R32" s="127" t="s">
        <v>257</v>
      </c>
      <c r="S32" s="316">
        <f>S28+S30</f>
        <v>293</v>
      </c>
      <c r="T32" s="316">
        <f>SUM(T28:T30)</f>
        <v>0</v>
      </c>
      <c r="U32" s="316">
        <f>U28+U30</f>
        <v>293</v>
      </c>
      <c r="V32" s="130">
        <f>SUM(V28:V30)</f>
        <v>695.15686274509801</v>
      </c>
    </row>
    <row r="33" spans="1:22" ht="18" customHeight="1" thickBot="1" x14ac:dyDescent="0.3">
      <c r="A33" s="1461"/>
      <c r="K33" s="239"/>
      <c r="R33" s="317" t="s">
        <v>268</v>
      </c>
      <c r="S33" s="318"/>
      <c r="T33" s="318"/>
      <c r="U33" s="319"/>
      <c r="V33" s="136"/>
    </row>
    <row r="34" spans="1:22" ht="18" customHeight="1" thickBot="1" x14ac:dyDescent="0.25">
      <c r="A34" s="1461"/>
      <c r="K34" s="239"/>
      <c r="R34" s="159" t="s">
        <v>269</v>
      </c>
      <c r="S34" s="320"/>
      <c r="T34" s="321">
        <f>T33-(T28+T29)</f>
        <v>0</v>
      </c>
      <c r="U34" s="320"/>
      <c r="V34" s="136"/>
    </row>
    <row r="35" spans="1:22" ht="12.75" customHeight="1" thickBot="1" x14ac:dyDescent="0.25">
      <c r="A35" s="1461"/>
      <c r="R35" s="144" t="s">
        <v>249</v>
      </c>
      <c r="S35" s="145">
        <f>$L$5</f>
        <v>228.46785225718199</v>
      </c>
      <c r="T35" s="145">
        <f>SUM(N6:N23)</f>
        <v>0</v>
      </c>
      <c r="U35" s="145">
        <f>S35+T35+V35</f>
        <v>238.03760618699619</v>
      </c>
      <c r="V35" s="990">
        <f>SUM(AT6:AT13)</f>
        <v>9.5697539298141869</v>
      </c>
    </row>
    <row r="36" spans="1:22" ht="12.75" customHeight="1" x14ac:dyDescent="0.2">
      <c r="A36" s="1461"/>
    </row>
    <row r="37" spans="1:22" ht="12.75" customHeight="1" x14ac:dyDescent="0.2">
      <c r="A37" s="1461"/>
    </row>
    <row r="38" spans="1:22" ht="12.75" customHeight="1" x14ac:dyDescent="0.2">
      <c r="A38" s="1461"/>
    </row>
    <row r="39" spans="1:22" ht="12.75" customHeight="1" x14ac:dyDescent="0.2">
      <c r="A39" s="1461"/>
    </row>
    <row r="40" spans="1:22" ht="25.5" customHeight="1" x14ac:dyDescent="0.2">
      <c r="A40" s="1461"/>
    </row>
    <row r="41" spans="1:22" ht="12.75" customHeight="1" x14ac:dyDescent="0.2">
      <c r="A41" s="1461"/>
    </row>
    <row r="42" spans="1:22" ht="12.75" customHeight="1" x14ac:dyDescent="0.2">
      <c r="A42" s="1461"/>
    </row>
    <row r="43" spans="1:22" ht="12.75" customHeight="1" x14ac:dyDescent="0.2">
      <c r="A43" s="1461"/>
    </row>
    <row r="44" spans="1:22" ht="14.25" customHeight="1" x14ac:dyDescent="0.2">
      <c r="A44" s="1461"/>
    </row>
    <row r="45" spans="1:22" x14ac:dyDescent="0.2">
      <c r="A45" s="1461"/>
    </row>
    <row r="46" spans="1:22" ht="14.25" customHeight="1" x14ac:dyDescent="0.2">
      <c r="A46" s="1461"/>
    </row>
    <row r="47" spans="1:22" ht="14.25" customHeight="1" x14ac:dyDescent="0.2">
      <c r="A47" s="1461"/>
      <c r="K47" s="796"/>
      <c r="L47" s="796"/>
    </row>
    <row r="48" spans="1:22" ht="14.25" customHeight="1" x14ac:dyDescent="0.2">
      <c r="A48" s="1461"/>
      <c r="K48" s="796"/>
      <c r="L48" s="796"/>
    </row>
    <row r="49" spans="1:12" ht="14.25" customHeight="1" x14ac:dyDescent="0.2">
      <c r="A49" s="1461"/>
      <c r="K49" s="796"/>
      <c r="L49" s="796"/>
    </row>
    <row r="50" spans="1:12" ht="14.25" customHeight="1" x14ac:dyDescent="0.2">
      <c r="A50" s="1461"/>
      <c r="E50" s="84"/>
      <c r="F50" s="84"/>
      <c r="K50" s="796"/>
      <c r="L50" s="796"/>
    </row>
    <row r="51" spans="1:12" ht="14.25" customHeight="1" x14ac:dyDescent="0.2">
      <c r="A51" s="1461"/>
      <c r="E51" s="164"/>
      <c r="F51" s="84"/>
      <c r="K51" s="796"/>
      <c r="L51" s="796"/>
    </row>
    <row r="52" spans="1:12" ht="14.25" customHeight="1" x14ac:dyDescent="0.2">
      <c r="A52" s="1461"/>
      <c r="E52" s="84"/>
      <c r="F52" s="84"/>
      <c r="K52" s="796"/>
      <c r="L52" s="796"/>
    </row>
    <row r="53" spans="1:12" ht="14.25" customHeight="1" x14ac:dyDescent="0.2">
      <c r="A53" s="1461"/>
      <c r="D53" s="383"/>
      <c r="E53" s="84"/>
      <c r="F53" s="84"/>
      <c r="K53" s="796"/>
      <c r="L53" s="796"/>
    </row>
    <row r="54" spans="1:12" ht="14.25" customHeight="1" x14ac:dyDescent="0.2">
      <c r="A54" s="1461"/>
      <c r="D54" s="383"/>
      <c r="E54" s="84"/>
      <c r="F54" s="84"/>
      <c r="K54" s="796"/>
      <c r="L54" s="796"/>
    </row>
    <row r="55" spans="1:12" ht="14.25" customHeight="1" x14ac:dyDescent="0.2">
      <c r="A55" s="1461"/>
      <c r="D55" s="383"/>
      <c r="E55" s="84"/>
      <c r="F55" s="84"/>
      <c r="K55" s="796"/>
      <c r="L55" s="796"/>
    </row>
    <row r="56" spans="1:12" ht="14.25" customHeight="1" x14ac:dyDescent="0.2">
      <c r="A56" s="1461"/>
      <c r="E56" s="84"/>
      <c r="F56" s="84"/>
      <c r="K56" s="796"/>
      <c r="L56" s="796"/>
    </row>
    <row r="57" spans="1:12" x14ac:dyDescent="0.2">
      <c r="A57" s="1461"/>
      <c r="G57" s="796"/>
      <c r="H57" s="796"/>
      <c r="I57" s="796"/>
      <c r="J57" s="796"/>
      <c r="K57" s="796"/>
      <c r="L57" s="796"/>
    </row>
    <row r="58" spans="1:12" x14ac:dyDescent="0.2">
      <c r="A58" s="1461"/>
      <c r="G58" s="796"/>
      <c r="H58" s="796"/>
      <c r="I58" s="796"/>
      <c r="J58" s="796"/>
      <c r="K58" s="796"/>
      <c r="L58" s="796"/>
    </row>
    <row r="59" spans="1:12" x14ac:dyDescent="0.2">
      <c r="A59" s="1461"/>
    </row>
    <row r="60" spans="1:12" x14ac:dyDescent="0.2">
      <c r="A60" s="1461"/>
    </row>
    <row r="61" spans="1:12" x14ac:dyDescent="0.2">
      <c r="A61" s="1461"/>
    </row>
    <row r="62" spans="1:12" ht="18" customHeight="1" x14ac:dyDescent="0.2">
      <c r="A62" s="1461"/>
      <c r="B62" s="1660"/>
      <c r="C62" s="1655"/>
      <c r="D62" s="1655"/>
      <c r="E62" s="1655"/>
      <c r="F62" s="1655"/>
      <c r="G62" s="1655"/>
      <c r="H62" s="1655"/>
      <c r="I62" s="239"/>
      <c r="J62" s="239"/>
    </row>
    <row r="63" spans="1:12" ht="18" customHeight="1" x14ac:dyDescent="0.2">
      <c r="A63" s="1461"/>
      <c r="B63" s="1660"/>
      <c r="C63" s="1655"/>
      <c r="D63" s="1655"/>
      <c r="E63" s="1655"/>
      <c r="F63" s="1655"/>
      <c r="G63" s="1655"/>
      <c r="H63" s="1655"/>
      <c r="I63" s="1655"/>
      <c r="J63" s="239"/>
    </row>
    <row r="64" spans="1:12" ht="13.5" customHeight="1" x14ac:dyDescent="0.2">
      <c r="A64" s="1470"/>
      <c r="B64" s="323"/>
      <c r="C64" s="324"/>
      <c r="D64" s="323"/>
      <c r="E64" s="323"/>
      <c r="F64" s="323"/>
      <c r="G64" s="323"/>
      <c r="H64" s="323"/>
      <c r="I64" s="323"/>
      <c r="J64" s="323"/>
    </row>
    <row r="65" spans="1:10" ht="14.25" customHeight="1" x14ac:dyDescent="0.2">
      <c r="A65" s="1461"/>
      <c r="B65" s="325"/>
      <c r="C65" s="325"/>
      <c r="D65" s="448"/>
      <c r="E65" s="449"/>
      <c r="F65" s="117"/>
      <c r="G65" s="118"/>
      <c r="H65" s="119"/>
      <c r="I65" s="76"/>
      <c r="J65" s="120"/>
    </row>
    <row r="66" spans="1:10" ht="14.25" customHeight="1" x14ac:dyDescent="0.2">
      <c r="A66" s="1461"/>
      <c r="B66" s="325"/>
      <c r="C66" s="325"/>
      <c r="D66" s="325"/>
      <c r="E66" s="449"/>
      <c r="F66" s="117"/>
      <c r="G66" s="118"/>
      <c r="H66" s="119"/>
      <c r="I66" s="76"/>
      <c r="J66" s="120"/>
    </row>
    <row r="67" spans="1:10" ht="14.25" customHeight="1" x14ac:dyDescent="0.2">
      <c r="A67" s="1461"/>
      <c r="B67" s="325"/>
      <c r="C67" s="325"/>
      <c r="D67" s="325"/>
      <c r="E67" s="449"/>
      <c r="F67" s="117"/>
      <c r="G67" s="118"/>
      <c r="H67" s="119"/>
      <c r="I67" s="76"/>
      <c r="J67" s="120"/>
    </row>
    <row r="68" spans="1:10" ht="14.25" customHeight="1" x14ac:dyDescent="0.2">
      <c r="A68" s="1461"/>
      <c r="B68" s="325"/>
      <c r="C68" s="325"/>
      <c r="D68" s="325"/>
      <c r="E68" s="449"/>
      <c r="F68" s="117"/>
      <c r="G68" s="118"/>
      <c r="H68" s="119"/>
      <c r="I68" s="76"/>
      <c r="J68" s="120"/>
    </row>
    <row r="69" spans="1:10" ht="14.25" customHeight="1" x14ac:dyDescent="0.2">
      <c r="A69" s="1461"/>
      <c r="B69" s="325"/>
      <c r="C69" s="325"/>
      <c r="D69" s="325"/>
      <c r="E69" s="449"/>
      <c r="F69" s="117"/>
      <c r="G69" s="118"/>
      <c r="H69" s="119"/>
      <c r="I69" s="76"/>
      <c r="J69" s="120"/>
    </row>
    <row r="70" spans="1:10" ht="14.25" customHeight="1" x14ac:dyDescent="0.2">
      <c r="A70" s="1461"/>
      <c r="B70" s="325"/>
      <c r="C70" s="325"/>
      <c r="D70" s="325"/>
      <c r="E70" s="449"/>
      <c r="F70" s="117"/>
      <c r="G70" s="118"/>
      <c r="H70" s="119"/>
      <c r="I70" s="76"/>
      <c r="J70" s="120"/>
    </row>
    <row r="71" spans="1:10" ht="14.25" customHeight="1" x14ac:dyDescent="0.2">
      <c r="A71" s="1461"/>
      <c r="B71" s="325"/>
      <c r="C71" s="325"/>
      <c r="D71" s="325"/>
      <c r="E71" s="449"/>
      <c r="F71" s="117"/>
      <c r="G71" s="118"/>
      <c r="H71" s="119"/>
      <c r="I71" s="76"/>
      <c r="J71" s="120"/>
    </row>
    <row r="72" spans="1:10" ht="14.25" customHeight="1" x14ac:dyDescent="0.2">
      <c r="A72" s="1461"/>
      <c r="B72" s="325"/>
      <c r="C72" s="325"/>
      <c r="D72" s="325"/>
      <c r="E72" s="449"/>
      <c r="F72" s="117"/>
      <c r="G72" s="118"/>
      <c r="H72" s="119"/>
      <c r="I72" s="76"/>
      <c r="J72" s="120"/>
    </row>
    <row r="73" spans="1:10" ht="20.25" customHeight="1" x14ac:dyDescent="0.3">
      <c r="A73" s="1461"/>
      <c r="B73" s="184"/>
      <c r="C73" s="450"/>
      <c r="D73" s="451"/>
      <c r="E73" s="452"/>
      <c r="F73" s="451"/>
      <c r="G73" s="453"/>
      <c r="H73" s="183"/>
      <c r="I73" s="184"/>
      <c r="J73" s="183"/>
    </row>
    <row r="74" spans="1:10" x14ac:dyDescent="0.2">
      <c r="A74" s="1461"/>
    </row>
    <row r="75" spans="1:10" x14ac:dyDescent="0.2">
      <c r="A75" s="1461"/>
    </row>
    <row r="76" spans="1:10" x14ac:dyDescent="0.2">
      <c r="A76" s="1461"/>
    </row>
    <row r="77" spans="1:10" x14ac:dyDescent="0.2">
      <c r="A77" s="1461"/>
    </row>
    <row r="78" spans="1:10" x14ac:dyDescent="0.2">
      <c r="A78" s="1461"/>
    </row>
    <row r="79" spans="1:10" x14ac:dyDescent="0.2">
      <c r="A79" s="1461"/>
    </row>
    <row r="80" spans="1:10" x14ac:dyDescent="0.2">
      <c r="A80" s="1461"/>
    </row>
    <row r="81" spans="1:1" x14ac:dyDescent="0.2">
      <c r="A81" s="1461"/>
    </row>
    <row r="82" spans="1:1" x14ac:dyDescent="0.2">
      <c r="A82" s="1461"/>
    </row>
    <row r="83" spans="1:1" x14ac:dyDescent="0.2">
      <c r="A83" s="1461"/>
    </row>
    <row r="84" spans="1:1" x14ac:dyDescent="0.2">
      <c r="A84" s="1461"/>
    </row>
    <row r="85" spans="1:1" x14ac:dyDescent="0.2">
      <c r="A85" s="1461"/>
    </row>
    <row r="86" spans="1:1" x14ac:dyDescent="0.2">
      <c r="A86" s="1461"/>
    </row>
    <row r="87" spans="1:1" x14ac:dyDescent="0.2">
      <c r="A87" s="1461"/>
    </row>
    <row r="88" spans="1:1" x14ac:dyDescent="0.2">
      <c r="A88" s="1461"/>
    </row>
    <row r="89" spans="1:1" x14ac:dyDescent="0.2">
      <c r="A89" s="1461"/>
    </row>
    <row r="90" spans="1:1" x14ac:dyDescent="0.2">
      <c r="A90" s="1461"/>
    </row>
    <row r="91" spans="1:1" x14ac:dyDescent="0.2">
      <c r="A91" s="1461"/>
    </row>
    <row r="92" spans="1:1" x14ac:dyDescent="0.2">
      <c r="A92" s="1461"/>
    </row>
    <row r="93" spans="1:1" x14ac:dyDescent="0.2">
      <c r="A93" s="1461"/>
    </row>
    <row r="94" spans="1:1" x14ac:dyDescent="0.2">
      <c r="A94" s="1461"/>
    </row>
    <row r="95" spans="1:1" x14ac:dyDescent="0.2">
      <c r="A95" s="1461"/>
    </row>
    <row r="96" spans="1:1" x14ac:dyDescent="0.2">
      <c r="A96" s="1461"/>
    </row>
    <row r="97" spans="1:1" x14ac:dyDescent="0.2">
      <c r="A97" s="1461"/>
    </row>
    <row r="98" spans="1:1" x14ac:dyDescent="0.2">
      <c r="A98" s="1461"/>
    </row>
    <row r="99" spans="1:1" x14ac:dyDescent="0.2">
      <c r="A99" s="1461"/>
    </row>
    <row r="100" spans="1:1" x14ac:dyDescent="0.2">
      <c r="A100" s="1461"/>
    </row>
    <row r="101" spans="1:1" x14ac:dyDescent="0.2">
      <c r="A101" s="1461"/>
    </row>
    <row r="102" spans="1:1" x14ac:dyDescent="0.2">
      <c r="A102" s="1461"/>
    </row>
    <row r="103" spans="1:1" x14ac:dyDescent="0.2">
      <c r="A103" s="1461"/>
    </row>
    <row r="104" spans="1:1" x14ac:dyDescent="0.2">
      <c r="A104" s="1461"/>
    </row>
    <row r="105" spans="1:1" x14ac:dyDescent="0.2">
      <c r="A105" s="1461"/>
    </row>
    <row r="106" spans="1:1" x14ac:dyDescent="0.2">
      <c r="A106" s="1461"/>
    </row>
    <row r="107" spans="1:1" x14ac:dyDescent="0.2">
      <c r="A107" s="1461"/>
    </row>
    <row r="108" spans="1:1" x14ac:dyDescent="0.2">
      <c r="A108" s="1461"/>
    </row>
    <row r="109" spans="1:1" x14ac:dyDescent="0.2">
      <c r="A109" s="1461"/>
    </row>
    <row r="110" spans="1:1" x14ac:dyDescent="0.2">
      <c r="A110" s="1461"/>
    </row>
    <row r="111" spans="1:1" x14ac:dyDescent="0.2">
      <c r="A111" s="1461"/>
    </row>
    <row r="112" spans="1:1" x14ac:dyDescent="0.2">
      <c r="A112" s="1461"/>
    </row>
    <row r="113" spans="1:1" x14ac:dyDescent="0.2">
      <c r="A113" s="1461"/>
    </row>
    <row r="114" spans="1:1" x14ac:dyDescent="0.2">
      <c r="A114" s="1461"/>
    </row>
    <row r="115" spans="1:1" x14ac:dyDescent="0.2">
      <c r="A115" s="1461"/>
    </row>
    <row r="116" spans="1:1" x14ac:dyDescent="0.2">
      <c r="A116" s="1461"/>
    </row>
    <row r="117" spans="1:1" x14ac:dyDescent="0.2">
      <c r="A117" s="1461"/>
    </row>
    <row r="118" spans="1:1" x14ac:dyDescent="0.2">
      <c r="A118" s="1461"/>
    </row>
    <row r="119" spans="1:1" x14ac:dyDescent="0.2">
      <c r="A119" s="1461"/>
    </row>
    <row r="120" spans="1:1" x14ac:dyDescent="0.2">
      <c r="A120" s="1461"/>
    </row>
    <row r="121" spans="1:1" x14ac:dyDescent="0.2">
      <c r="A121" s="1461"/>
    </row>
    <row r="122" spans="1:1" x14ac:dyDescent="0.2">
      <c r="A122" s="1461"/>
    </row>
    <row r="123" spans="1:1" x14ac:dyDescent="0.2">
      <c r="A123" s="1461"/>
    </row>
    <row r="124" spans="1:1" x14ac:dyDescent="0.2">
      <c r="A124" s="1461"/>
    </row>
    <row r="125" spans="1:1" x14ac:dyDescent="0.2">
      <c r="A125" s="1461"/>
    </row>
    <row r="126" spans="1:1" x14ac:dyDescent="0.2">
      <c r="A126" s="1461"/>
    </row>
    <row r="127" spans="1:1" x14ac:dyDescent="0.2">
      <c r="A127" s="1461"/>
    </row>
    <row r="128" spans="1:1" x14ac:dyDescent="0.2">
      <c r="A128" s="1461"/>
    </row>
    <row r="129" spans="1:1" x14ac:dyDescent="0.2">
      <c r="A129" s="1461"/>
    </row>
    <row r="130" spans="1:1" x14ac:dyDescent="0.2">
      <c r="A130" s="1461"/>
    </row>
    <row r="131" spans="1:1" x14ac:dyDescent="0.2">
      <c r="A131" s="1461"/>
    </row>
    <row r="132" spans="1:1" x14ac:dyDescent="0.2">
      <c r="A132" s="1461"/>
    </row>
    <row r="133" spans="1:1" x14ac:dyDescent="0.2">
      <c r="A133" s="1461"/>
    </row>
    <row r="134" spans="1:1" x14ac:dyDescent="0.2">
      <c r="A134" s="1461"/>
    </row>
    <row r="135" spans="1:1" x14ac:dyDescent="0.2">
      <c r="A135" s="1461"/>
    </row>
    <row r="136" spans="1:1" x14ac:dyDescent="0.2">
      <c r="A136" s="1461"/>
    </row>
    <row r="137" spans="1:1" x14ac:dyDescent="0.2">
      <c r="A137" s="1461"/>
    </row>
    <row r="138" spans="1:1" x14ac:dyDescent="0.2">
      <c r="A138" s="1461"/>
    </row>
    <row r="139" spans="1:1" x14ac:dyDescent="0.2">
      <c r="A139" s="1461"/>
    </row>
    <row r="140" spans="1:1" x14ac:dyDescent="0.2">
      <c r="A140" s="1461"/>
    </row>
    <row r="141" spans="1:1" x14ac:dyDescent="0.2">
      <c r="A141" s="1461"/>
    </row>
    <row r="142" spans="1:1" x14ac:dyDescent="0.2">
      <c r="A142" s="1461"/>
    </row>
    <row r="143" spans="1:1" x14ac:dyDescent="0.2">
      <c r="A143" s="1461"/>
    </row>
    <row r="144" spans="1:1"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7">
    <mergeCell ref="B63:I63"/>
    <mergeCell ref="AK2:AN2"/>
    <mergeCell ref="AE2:AG3"/>
    <mergeCell ref="R26:U26"/>
    <mergeCell ref="B62:H62"/>
    <mergeCell ref="R25:U25"/>
    <mergeCell ref="B2:H3"/>
  </mergeCells>
  <printOptions horizontalCentered="1"/>
  <pageMargins left="0.4" right="0.4" top="1" bottom="0.5" header="0.3" footer="0.511811023622047"/>
  <pageSetup paperSize="9" scale="20" orientation="landscape"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6319C-DD19-4DC2-B7D5-4690D4E9CFBE}">
  <sheetPr codeName="Sheet95">
    <tabColor theme="7" tint="-0.249977111117893"/>
    <pageSetUpPr fitToPage="1"/>
  </sheetPr>
  <dimension ref="A1:AT973"/>
  <sheetViews>
    <sheetView topLeftCell="W1" zoomScaleNormal="100" workbookViewId="0">
      <selection activeCell="AN2" sqref="AN2:AN5"/>
    </sheetView>
  </sheetViews>
  <sheetFormatPr defaultColWidth="12.5" defaultRowHeight="12.75" x14ac:dyDescent="0.2"/>
  <cols>
    <col min="1" max="1" width="12.5" style="14" customWidth="1"/>
    <col min="2" max="2" width="38.375" style="14"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75" style="14" customWidth="1"/>
    <col min="15" max="15" width="16.75" style="14" customWidth="1"/>
    <col min="16" max="18" width="12.5" style="14" customWidth="1"/>
    <col min="19" max="19" width="15.875" style="14" customWidth="1"/>
    <col min="20" max="26" width="12.5" style="14" customWidth="1"/>
    <col min="27" max="27" width="11.125" style="14" bestFit="1" customWidth="1"/>
    <col min="28" max="28" width="11.875" style="14" bestFit="1" customWidth="1"/>
    <col min="29" max="29" width="13.375" style="14" bestFit="1" customWidth="1"/>
    <col min="30" max="30" width="12.375" style="14" bestFit="1" customWidth="1"/>
    <col min="31" max="31" width="8.375" style="14" customWidth="1"/>
    <col min="32" max="32" width="7.625" style="14" customWidth="1"/>
    <col min="33" max="35" width="2.875" style="14" customWidth="1"/>
    <col min="36" max="36" width="38.375" style="14" customWidth="1"/>
    <col min="37" max="37" width="12.5" style="14" customWidth="1"/>
    <col min="38" max="41" width="12.5" style="14"/>
    <col min="42" max="42" width="18.375" style="14" customWidth="1"/>
    <col min="43" max="16384" width="12.5" style="14"/>
  </cols>
  <sheetData>
    <row r="1" spans="1:46" ht="28.5" customHeight="1" x14ac:dyDescent="0.2">
      <c r="B1" s="64" t="s">
        <v>331</v>
      </c>
      <c r="C1" s="65">
        <v>1</v>
      </c>
      <c r="D1" s="66" t="s">
        <v>232</v>
      </c>
      <c r="E1" s="99">
        <f>U32</f>
        <v>177</v>
      </c>
      <c r="F1" s="64" t="s">
        <v>233</v>
      </c>
      <c r="G1" s="99">
        <f>E1/C1</f>
        <v>177</v>
      </c>
      <c r="H1" s="64" t="s">
        <v>234</v>
      </c>
      <c r="I1" s="99"/>
      <c r="J1" s="302" t="s">
        <v>235</v>
      </c>
      <c r="K1" s="303">
        <v>1</v>
      </c>
      <c r="L1" s="84"/>
      <c r="M1" s="84"/>
      <c r="N1" s="84"/>
      <c r="O1" s="75" t="s">
        <v>236</v>
      </c>
      <c r="P1" s="76" t="s">
        <v>299</v>
      </c>
      <c r="Q1" s="77" t="s">
        <v>238</v>
      </c>
      <c r="R1" s="76">
        <v>0.89</v>
      </c>
      <c r="S1" s="77" t="s">
        <v>333</v>
      </c>
      <c r="T1" s="304">
        <v>100</v>
      </c>
      <c r="U1" s="84"/>
      <c r="V1" s="84"/>
      <c r="Y1" s="75" t="s">
        <v>453</v>
      </c>
      <c r="Z1" s="766">
        <v>172</v>
      </c>
      <c r="AA1" s="75" t="s">
        <v>556</v>
      </c>
      <c r="AB1" s="766">
        <v>5</v>
      </c>
      <c r="AC1" s="75" t="s">
        <v>546</v>
      </c>
      <c r="AD1" s="766">
        <v>172</v>
      </c>
      <c r="AE1" s="75" t="s">
        <v>538</v>
      </c>
      <c r="AF1" s="766">
        <f>Z1+AB1</f>
        <v>177</v>
      </c>
      <c r="AJ1" s="78" t="s">
        <v>250</v>
      </c>
      <c r="AK1" s="78">
        <v>10000</v>
      </c>
      <c r="AL1" s="561" t="s">
        <v>485</v>
      </c>
      <c r="AM1" s="562">
        <f>$S$32*95</f>
        <v>16815</v>
      </c>
      <c r="AN1" s="78" t="s">
        <v>239</v>
      </c>
      <c r="AO1" s="305">
        <f>((S32*95)/$R$1)/$AK$1</f>
        <v>1.8893258426966291</v>
      </c>
      <c r="AP1" s="79"/>
    </row>
    <row r="2" spans="1:46" ht="12.75" customHeight="1" x14ac:dyDescent="0.2">
      <c r="A2" s="306"/>
      <c r="B2" s="1644" t="s">
        <v>881</v>
      </c>
      <c r="C2" s="1644"/>
      <c r="D2" s="1644"/>
      <c r="E2" s="1644"/>
      <c r="F2" s="1644"/>
      <c r="G2" s="1644"/>
      <c r="H2" s="1644"/>
      <c r="I2" s="580"/>
      <c r="J2" s="580"/>
      <c r="K2" s="580"/>
      <c r="L2" s="270"/>
      <c r="M2" s="84"/>
      <c r="N2" s="84"/>
      <c r="O2" s="84"/>
      <c r="P2" s="84"/>
      <c r="Q2" s="84"/>
      <c r="R2" s="84"/>
      <c r="S2" s="84"/>
      <c r="T2" s="84"/>
      <c r="U2" s="84"/>
      <c r="AJ2" s="85"/>
      <c r="AK2" s="1631" t="s">
        <v>881</v>
      </c>
      <c r="AL2" s="1631"/>
      <c r="AM2" s="1631"/>
      <c r="AN2" s="86"/>
      <c r="AO2" s="85"/>
      <c r="AP2" s="85"/>
    </row>
    <row r="3" spans="1:46" ht="12.75" customHeight="1" x14ac:dyDescent="0.2">
      <c r="A3" s="306"/>
      <c r="B3" s="1645"/>
      <c r="C3" s="1645"/>
      <c r="D3" s="1645"/>
      <c r="E3" s="1645"/>
      <c r="F3" s="1645"/>
      <c r="G3" s="1645"/>
      <c r="H3" s="1645"/>
      <c r="I3" s="581"/>
      <c r="J3" s="581"/>
      <c r="K3" s="581"/>
      <c r="L3" s="270"/>
      <c r="M3" s="84"/>
      <c r="N3" s="84"/>
      <c r="O3" s="84"/>
      <c r="P3" s="84"/>
      <c r="Q3" s="84"/>
      <c r="R3" s="84"/>
      <c r="S3" s="84"/>
      <c r="T3" s="84"/>
      <c r="U3" s="84"/>
      <c r="AJ3" s="88"/>
      <c r="AK3" s="88"/>
      <c r="AL3" s="1670"/>
      <c r="AM3" s="1670"/>
      <c r="AN3" s="89"/>
      <c r="AO3" s="88"/>
      <c r="AP3" s="88"/>
    </row>
    <row r="4" spans="1:46" ht="69" customHeight="1" x14ac:dyDescent="0.2">
      <c r="A4" s="75" t="s">
        <v>903</v>
      </c>
      <c r="B4" s="75" t="s">
        <v>241</v>
      </c>
      <c r="C4" s="90" t="s">
        <v>242</v>
      </c>
      <c r="D4" s="75" t="s">
        <v>934</v>
      </c>
      <c r="E4" s="91" t="s">
        <v>234</v>
      </c>
      <c r="F4" s="91" t="s">
        <v>243</v>
      </c>
      <c r="G4" s="75" t="s">
        <v>244</v>
      </c>
      <c r="H4" s="307" t="s">
        <v>335</v>
      </c>
      <c r="I4" s="75" t="s">
        <v>246</v>
      </c>
      <c r="J4" s="75" t="s">
        <v>247</v>
      </c>
      <c r="K4" s="75" t="s">
        <v>248</v>
      </c>
      <c r="L4" s="75" t="s">
        <v>249</v>
      </c>
      <c r="M4" s="347"/>
      <c r="N4" s="84"/>
      <c r="O4" s="84"/>
      <c r="P4" s="84"/>
      <c r="Q4" s="84"/>
      <c r="R4" s="84"/>
      <c r="S4" s="84"/>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604"/>
      <c r="B5" s="299" t="s">
        <v>487</v>
      </c>
      <c r="C5" s="1261" t="s">
        <v>14</v>
      </c>
      <c r="D5" s="1262">
        <v>120</v>
      </c>
      <c r="E5" s="98">
        <f>$G$1</f>
        <v>177</v>
      </c>
      <c r="F5" s="109">
        <v>1</v>
      </c>
      <c r="G5" s="101">
        <f>D5*E5</f>
        <v>21240</v>
      </c>
      <c r="H5" s="102">
        <f>G5*F5</f>
        <v>21240</v>
      </c>
      <c r="I5" s="65">
        <f>VLOOKUP(B5,All_Ingredients!$A$1:$F$156,6,FALSE())</f>
        <v>0.97</v>
      </c>
      <c r="J5" s="101">
        <f>VLOOKUP(B5,All_Ingredients!$A$1:$J$156,10,FALSE())</f>
        <v>37.82</v>
      </c>
      <c r="K5" s="104">
        <f t="shared" ref="K5" si="0">(H5/I5)/1000</f>
        <v>21.896907216494846</v>
      </c>
      <c r="L5" s="104">
        <f t="shared" ref="L5" si="1">K5*J5</f>
        <v>828.14103092783512</v>
      </c>
      <c r="M5" s="112"/>
      <c r="AJ5" s="299" t="s">
        <v>487</v>
      </c>
      <c r="AK5" s="106" t="s">
        <v>227</v>
      </c>
      <c r="AL5" s="1262">
        <v>10</v>
      </c>
      <c r="AM5" s="1263">
        <f t="shared" ref="AM5:AM14" si="2">$AO$1</f>
        <v>1.8893258426966291</v>
      </c>
      <c r="AN5" s="109">
        <v>1</v>
      </c>
      <c r="AO5" s="103">
        <f t="shared" ref="AO5:AO13" si="3">AL5*AM5</f>
        <v>18.893258426966291</v>
      </c>
      <c r="AP5" s="578">
        <f>AO5*AN5</f>
        <v>18.893258426966291</v>
      </c>
      <c r="AQ5" s="272"/>
      <c r="AR5" s="1017"/>
      <c r="AS5" s="156"/>
      <c r="AT5" s="1018"/>
    </row>
    <row r="6" spans="1:46" ht="14.25" customHeight="1" x14ac:dyDescent="0.2">
      <c r="A6" s="1603" t="s">
        <v>927</v>
      </c>
      <c r="B6" s="299" t="s">
        <v>992</v>
      </c>
      <c r="C6" s="1261" t="s">
        <v>14</v>
      </c>
      <c r="D6" s="1262">
        <v>10</v>
      </c>
      <c r="E6" s="98">
        <f>$G$1</f>
        <v>177</v>
      </c>
      <c r="F6" s="109">
        <v>1</v>
      </c>
      <c r="G6" s="101">
        <f>D6*E6</f>
        <v>1770</v>
      </c>
      <c r="H6" s="102">
        <f>G6*F6</f>
        <v>1770</v>
      </c>
      <c r="I6" s="65">
        <f>VLOOKUP(B6,All_Ingredients!$A$1:$F$156,6,FALSE())</f>
        <v>0.5</v>
      </c>
      <c r="J6" s="101">
        <f>VLOOKUP(B6,All_Ingredients!$A$1:$J$156,10,FALSE())</f>
        <v>8.5</v>
      </c>
      <c r="K6" s="104">
        <f t="shared" ref="K6:K9" si="4">(H6/I6)/1000</f>
        <v>3.54</v>
      </c>
      <c r="L6" s="104">
        <f t="shared" ref="L6:L9" si="5">K6*J6</f>
        <v>30.09</v>
      </c>
      <c r="M6" s="112"/>
      <c r="AJ6" s="299" t="s">
        <v>486</v>
      </c>
      <c r="AK6" s="106" t="s">
        <v>14</v>
      </c>
      <c r="AL6" s="1262">
        <v>150</v>
      </c>
      <c r="AM6" s="1263">
        <f t="shared" si="2"/>
        <v>1.8893258426966291</v>
      </c>
      <c r="AN6" s="109">
        <v>1</v>
      </c>
      <c r="AO6" s="103">
        <f t="shared" si="3"/>
        <v>283.39887640449439</v>
      </c>
      <c r="AP6" s="102">
        <f t="shared" ref="AP6:AP13" si="6">AO6*AN6</f>
        <v>283.39887640449439</v>
      </c>
      <c r="AQ6" s="1018">
        <f>VLOOKUP(AJ6,Marination_Ordering!$A:$J,6,FALSE)</f>
        <v>1</v>
      </c>
      <c r="AR6" s="1018">
        <f>VLOOKUP(AJ6,Marination_Ordering!$A:$J,10,FALSE)</f>
        <v>35.310734463276837</v>
      </c>
      <c r="AS6" s="156">
        <f>AP6/AQ6</f>
        <v>283.39887640449439</v>
      </c>
      <c r="AT6" s="1018">
        <f>AR6*(AS6/1000)</f>
        <v>10.007022471910114</v>
      </c>
    </row>
    <row r="7" spans="1:46" ht="14.25" customHeight="1" x14ac:dyDescent="0.2">
      <c r="A7" s="1603"/>
      <c r="B7" s="299" t="s">
        <v>805</v>
      </c>
      <c r="C7" s="106" t="s">
        <v>230</v>
      </c>
      <c r="D7" s="1262">
        <v>1</v>
      </c>
      <c r="E7" s="98">
        <f>$Z$1+$AB$1</f>
        <v>177</v>
      </c>
      <c r="F7" s="109">
        <v>1</v>
      </c>
      <c r="G7" s="103">
        <f>D7*($Z$1+$AB$1)</f>
        <v>177</v>
      </c>
      <c r="H7" s="102">
        <f>G7*F7</f>
        <v>177</v>
      </c>
      <c r="I7" s="65">
        <f>VLOOKUP(B7,All_Ingredients!$A$1:$F$156,6,FALSE())</f>
        <v>1</v>
      </c>
      <c r="J7" s="101">
        <f>VLOOKUP(B7,All_Ingredients!$A$1:$J$156,10,FALSE())</f>
        <v>0.6</v>
      </c>
      <c r="K7" s="104">
        <f t="shared" si="4"/>
        <v>0.17699999999999999</v>
      </c>
      <c r="L7" s="104">
        <f t="shared" si="5"/>
        <v>0.10619999999999999</v>
      </c>
      <c r="M7" s="112"/>
      <c r="AJ7" s="299" t="s">
        <v>146</v>
      </c>
      <c r="AK7" s="106" t="s">
        <v>14</v>
      </c>
      <c r="AL7" s="1262">
        <v>110</v>
      </c>
      <c r="AM7" s="1263">
        <f t="shared" si="2"/>
        <v>1.8893258426966291</v>
      </c>
      <c r="AN7" s="109">
        <v>1</v>
      </c>
      <c r="AO7" s="103">
        <f t="shared" si="3"/>
        <v>207.82584269662919</v>
      </c>
      <c r="AP7" s="102">
        <f t="shared" si="6"/>
        <v>207.82584269662919</v>
      </c>
      <c r="AQ7" s="1018">
        <f>VLOOKUP(AJ7,Marination_Ordering!$A:$J,6,FALSE)</f>
        <v>1</v>
      </c>
      <c r="AR7" s="1018">
        <f>VLOOKUP(AJ7,Marination_Ordering!$A:$J,10,FALSE)</f>
        <v>12</v>
      </c>
      <c r="AS7" s="156">
        <f t="shared" ref="AS7:AS13" si="7">AP7/AQ7</f>
        <v>207.82584269662919</v>
      </c>
      <c r="AT7" s="1018">
        <f t="shared" ref="AT7:AT13" si="8">AR7*(AS7/1000)</f>
        <v>2.4939101123595502</v>
      </c>
    </row>
    <row r="8" spans="1:46" ht="14.25" customHeight="1" x14ac:dyDescent="0.2">
      <c r="A8" s="1603" t="s">
        <v>921</v>
      </c>
      <c r="B8" s="299" t="s">
        <v>845</v>
      </c>
      <c r="C8" s="1261" t="s">
        <v>14</v>
      </c>
      <c r="D8" s="1262">
        <v>25</v>
      </c>
      <c r="E8" s="98">
        <f t="shared" ref="E8:E9" si="9">$G$1</f>
        <v>177</v>
      </c>
      <c r="F8" s="109">
        <v>1</v>
      </c>
      <c r="G8" s="103">
        <f t="shared" ref="G8:G9" si="10">D8*($Z$1+$AB$1)</f>
        <v>4425</v>
      </c>
      <c r="H8" s="102">
        <f t="shared" ref="H8:H9" si="11">G8*F8</f>
        <v>4425</v>
      </c>
      <c r="I8" s="65">
        <f>VLOOKUP(B8,All_Ingredients!$A$1:$F$156,6,FALSE())</f>
        <v>0.66</v>
      </c>
      <c r="J8" s="101">
        <f>VLOOKUP(B8,All_Ingredients!$A$1:$J$156,10,FALSE())</f>
        <v>3.5</v>
      </c>
      <c r="K8" s="104">
        <f t="shared" si="4"/>
        <v>6.7045454545454541</v>
      </c>
      <c r="L8" s="104">
        <f t="shared" si="5"/>
        <v>23.46590909090909</v>
      </c>
      <c r="M8" s="112"/>
      <c r="AJ8" s="299" t="s">
        <v>149</v>
      </c>
      <c r="AK8" s="106" t="s">
        <v>14</v>
      </c>
      <c r="AL8" s="1262">
        <v>110</v>
      </c>
      <c r="AM8" s="1263">
        <f t="shared" si="2"/>
        <v>1.8893258426966291</v>
      </c>
      <c r="AN8" s="109">
        <v>1</v>
      </c>
      <c r="AO8" s="103">
        <f t="shared" si="3"/>
        <v>207.82584269662919</v>
      </c>
      <c r="AP8" s="102">
        <f t="shared" si="6"/>
        <v>207.82584269662919</v>
      </c>
      <c r="AQ8" s="1018">
        <f>VLOOKUP(AJ8,Marination_Ordering!$A:$J,6,FALSE)</f>
        <v>1</v>
      </c>
      <c r="AR8" s="1018">
        <f>VLOOKUP(AJ8,Marination_Ordering!$A:$J,10,FALSE)</f>
        <v>10</v>
      </c>
      <c r="AS8" s="156">
        <f t="shared" si="7"/>
        <v>207.82584269662919</v>
      </c>
      <c r="AT8" s="1018">
        <f t="shared" si="8"/>
        <v>2.0782584269662916</v>
      </c>
    </row>
    <row r="9" spans="1:46" ht="14.25" customHeight="1" x14ac:dyDescent="0.2">
      <c r="A9" s="1603"/>
      <c r="B9" s="299" t="s">
        <v>836</v>
      </c>
      <c r="C9" s="106" t="s">
        <v>230</v>
      </c>
      <c r="D9" s="1262">
        <v>1</v>
      </c>
      <c r="E9" s="98">
        <f t="shared" si="9"/>
        <v>177</v>
      </c>
      <c r="F9" s="109">
        <v>1</v>
      </c>
      <c r="G9" s="103">
        <f t="shared" si="10"/>
        <v>177</v>
      </c>
      <c r="H9" s="102">
        <f t="shared" si="11"/>
        <v>177</v>
      </c>
      <c r="I9" s="65">
        <f>VLOOKUP(B9,All_Ingredients!$A$1:$F$156,6,FALSE())</f>
        <v>1</v>
      </c>
      <c r="J9" s="101">
        <f>VLOOKUP(B9,All_Ingredients!$A$1:$J$156,10,FALSE())</f>
        <v>0.58333333333333337</v>
      </c>
      <c r="K9" s="104">
        <f t="shared" si="4"/>
        <v>0.17699999999999999</v>
      </c>
      <c r="L9" s="104">
        <f t="shared" si="5"/>
        <v>0.10324999999999999</v>
      </c>
      <c r="M9" s="112"/>
      <c r="AJ9" s="299" t="s">
        <v>850</v>
      </c>
      <c r="AK9" s="106" t="s">
        <v>14</v>
      </c>
      <c r="AL9" s="1262">
        <v>100</v>
      </c>
      <c r="AM9" s="1263">
        <f t="shared" si="2"/>
        <v>1.8893258426966291</v>
      </c>
      <c r="AN9" s="109">
        <v>1</v>
      </c>
      <c r="AO9" s="103">
        <f t="shared" si="3"/>
        <v>188.9325842696629</v>
      </c>
      <c r="AP9" s="102">
        <f t="shared" si="6"/>
        <v>188.9325842696629</v>
      </c>
      <c r="AQ9" s="1018">
        <f>VLOOKUP(AJ9,Marination_Ordering!$A:$J,6,FALSE)</f>
        <v>1</v>
      </c>
      <c r="AR9" s="1018">
        <f>VLOOKUP(AJ9,Marination_Ordering!$A:$J,10,FALSE)</f>
        <v>96.916299559471369</v>
      </c>
      <c r="AS9" s="156">
        <f t="shared" si="7"/>
        <v>188.9325842696629</v>
      </c>
      <c r="AT9" s="1018">
        <f t="shared" si="8"/>
        <v>18.310646933623715</v>
      </c>
    </row>
    <row r="10" spans="1:46" ht="14.25" customHeight="1" x14ac:dyDescent="0.2">
      <c r="A10" s="1461"/>
      <c r="B10" s="325"/>
      <c r="C10" s="325"/>
      <c r="D10" s="309"/>
      <c r="E10" s="309"/>
      <c r="F10" s="117"/>
      <c r="G10" s="118"/>
      <c r="H10" s="119"/>
      <c r="I10" s="76"/>
      <c r="J10" s="118"/>
      <c r="K10" s="112"/>
      <c r="L10" s="112"/>
      <c r="M10" s="112"/>
      <c r="AJ10" s="299" t="s">
        <v>868</v>
      </c>
      <c r="AK10" s="106" t="s">
        <v>14</v>
      </c>
      <c r="AL10" s="1262">
        <v>200</v>
      </c>
      <c r="AM10" s="1263">
        <f t="shared" si="2"/>
        <v>1.8893258426966291</v>
      </c>
      <c r="AN10" s="109">
        <v>1</v>
      </c>
      <c r="AO10" s="103">
        <f t="shared" si="3"/>
        <v>377.86516853932579</v>
      </c>
      <c r="AP10" s="102">
        <f t="shared" si="6"/>
        <v>377.86516853932579</v>
      </c>
      <c r="AQ10" s="1018">
        <f>VLOOKUP(AJ10,Marination_Ordering!$A:$J,6,FALSE)</f>
        <v>1</v>
      </c>
      <c r="AR10" s="1018">
        <f>VLOOKUP(AJ10,Marination_Ordering!$A:$J,10,FALSE)</f>
        <v>0</v>
      </c>
      <c r="AS10" s="156">
        <f t="shared" si="7"/>
        <v>377.86516853932579</v>
      </c>
      <c r="AT10" s="1018">
        <f t="shared" si="8"/>
        <v>0</v>
      </c>
    </row>
    <row r="11" spans="1:46" ht="14.25" customHeight="1" x14ac:dyDescent="0.2">
      <c r="A11" s="1461"/>
      <c r="B11" s="325"/>
      <c r="C11" s="325"/>
      <c r="D11" s="309"/>
      <c r="E11" s="309"/>
      <c r="F11" s="117"/>
      <c r="G11" s="118"/>
      <c r="H11" s="119"/>
      <c r="I11" s="76"/>
      <c r="J11" s="118"/>
      <c r="K11" s="112"/>
      <c r="L11" s="112"/>
      <c r="M11" s="112"/>
      <c r="AJ11" s="299" t="s">
        <v>188</v>
      </c>
      <c r="AK11" s="106" t="s">
        <v>14</v>
      </c>
      <c r="AL11" s="1262">
        <v>600</v>
      </c>
      <c r="AM11" s="1263">
        <f t="shared" si="2"/>
        <v>1.8893258426966291</v>
      </c>
      <c r="AN11" s="109">
        <v>1</v>
      </c>
      <c r="AO11" s="103">
        <f t="shared" si="3"/>
        <v>1133.5955056179776</v>
      </c>
      <c r="AP11" s="102">
        <f t="shared" si="6"/>
        <v>1133.5955056179776</v>
      </c>
      <c r="AQ11" s="1018">
        <f>VLOOKUP(AJ11,Marination_Ordering!$A:$J,6,FALSE)</f>
        <v>1</v>
      </c>
      <c r="AR11" s="1018">
        <f>VLOOKUP(AJ11,Marination_Ordering!$A:$J,10,FALSE)</f>
        <v>8.5</v>
      </c>
      <c r="AS11" s="156">
        <f t="shared" si="7"/>
        <v>1133.5955056179776</v>
      </c>
      <c r="AT11" s="1018">
        <f t="shared" si="8"/>
        <v>9.6355617977528105</v>
      </c>
    </row>
    <row r="12" spans="1:46" ht="14.25" customHeight="1" x14ac:dyDescent="0.2">
      <c r="A12" s="1461"/>
      <c r="B12" s="325"/>
      <c r="C12" s="325"/>
      <c r="D12" s="309"/>
      <c r="E12" s="309"/>
      <c r="F12" s="117"/>
      <c r="G12" s="118"/>
      <c r="H12" s="119"/>
      <c r="I12" s="76"/>
      <c r="J12" s="118"/>
      <c r="K12" s="112"/>
      <c r="L12" s="112"/>
      <c r="M12" s="112"/>
      <c r="AJ12" s="299" t="s">
        <v>229</v>
      </c>
      <c r="AK12" s="106" t="s">
        <v>230</v>
      </c>
      <c r="AL12" s="1262">
        <v>12</v>
      </c>
      <c r="AM12" s="1263">
        <f t="shared" si="2"/>
        <v>1.8893258426966291</v>
      </c>
      <c r="AN12" s="109">
        <v>1</v>
      </c>
      <c r="AO12" s="103">
        <f t="shared" si="3"/>
        <v>22.671910112359548</v>
      </c>
      <c r="AP12" s="102">
        <f t="shared" si="6"/>
        <v>22.671910112359548</v>
      </c>
      <c r="AQ12" s="1018">
        <f>VLOOKUP(AJ12,Marination_Ordering!$A:$J,6,FALSE)</f>
        <v>1</v>
      </c>
      <c r="AR12" s="1018">
        <f>VLOOKUP(AJ12,Marination_Ordering!$A:$J,10,FALSE)</f>
        <v>0.43333333333333335</v>
      </c>
      <c r="AS12" s="156">
        <f t="shared" si="7"/>
        <v>22.671910112359548</v>
      </c>
      <c r="AT12" s="1018">
        <f t="shared" si="8"/>
        <v>9.8244943820224723E-3</v>
      </c>
    </row>
    <row r="13" spans="1:46" ht="14.25" customHeight="1" x14ac:dyDescent="0.2">
      <c r="A13" s="1461"/>
      <c r="B13" s="325"/>
      <c r="C13" s="325"/>
      <c r="D13" s="309"/>
      <c r="E13" s="309"/>
      <c r="F13" s="117"/>
      <c r="G13" s="118"/>
      <c r="H13" s="119"/>
      <c r="I13" s="76"/>
      <c r="J13" s="118"/>
      <c r="K13" s="112"/>
      <c r="L13" s="112"/>
      <c r="M13" s="112"/>
      <c r="AJ13" s="299" t="s">
        <v>99</v>
      </c>
      <c r="AK13" s="106" t="s">
        <v>14</v>
      </c>
      <c r="AL13" s="1262">
        <v>35</v>
      </c>
      <c r="AM13" s="1369">
        <f t="shared" si="2"/>
        <v>1.8893258426966291</v>
      </c>
      <c r="AN13" s="415">
        <v>1</v>
      </c>
      <c r="AO13" s="416">
        <f t="shared" si="3"/>
        <v>66.126404494382015</v>
      </c>
      <c r="AP13" s="417">
        <f t="shared" si="6"/>
        <v>66.126404494382015</v>
      </c>
      <c r="AQ13" s="1018">
        <f>VLOOKUP(AJ13,Marination_Ordering!$A:$J,6,FALSE)</f>
        <v>1</v>
      </c>
      <c r="AR13" s="1018">
        <f>VLOOKUP(AJ13,Marination_Ordering!$A:$J,10,FALSE)</f>
        <v>31</v>
      </c>
      <c r="AS13" s="156">
        <f t="shared" si="7"/>
        <v>66.126404494382015</v>
      </c>
      <c r="AT13" s="1018">
        <f t="shared" si="8"/>
        <v>2.0499185393258426</v>
      </c>
    </row>
    <row r="14" spans="1:46" ht="14.25" customHeight="1" x14ac:dyDescent="0.2">
      <c r="A14" s="1461"/>
      <c r="B14" s="325"/>
      <c r="C14" s="325"/>
      <c r="D14" s="309"/>
      <c r="E14" s="309"/>
      <c r="F14" s="117"/>
      <c r="G14" s="118"/>
      <c r="H14" s="119"/>
      <c r="I14" s="76"/>
      <c r="J14" s="118"/>
      <c r="K14" s="112"/>
      <c r="L14" s="112"/>
      <c r="M14" s="112"/>
      <c r="AJ14" s="299" t="s">
        <v>93</v>
      </c>
      <c r="AK14" s="106" t="s">
        <v>14</v>
      </c>
      <c r="AL14" s="1262">
        <v>30</v>
      </c>
      <c r="AM14" s="1263">
        <f t="shared" si="2"/>
        <v>1.8893258426966291</v>
      </c>
      <c r="AN14" s="109">
        <v>1</v>
      </c>
      <c r="AO14" s="103">
        <f t="shared" ref="AO14" si="12">AL14*AM14</f>
        <v>56.679775280898873</v>
      </c>
      <c r="AP14" s="102">
        <f t="shared" ref="AP14" si="13">AO14*AN14</f>
        <v>56.679775280898873</v>
      </c>
      <c r="AQ14" s="1018">
        <f>VLOOKUP(AJ14,Marination_Ordering!$A:$J,6,FALSE)</f>
        <v>1</v>
      </c>
      <c r="AR14" s="1018">
        <f>VLOOKUP(AJ14,Marination_Ordering!$A:$J,10,FALSE)</f>
        <v>0.74</v>
      </c>
      <c r="AS14" s="156">
        <f t="shared" ref="AS14" si="14">AP14/AQ14</f>
        <v>56.679775280898873</v>
      </c>
      <c r="AT14" s="1018">
        <f t="shared" ref="AT14" si="15">AR14*(AS14/1000)</f>
        <v>4.1943033707865167E-2</v>
      </c>
    </row>
    <row r="15" spans="1:46" ht="14.25" customHeight="1" x14ac:dyDescent="0.2">
      <c r="A15" s="1461"/>
      <c r="B15" s="325"/>
      <c r="C15" s="325"/>
      <c r="D15" s="309"/>
      <c r="E15" s="309"/>
      <c r="F15" s="117"/>
      <c r="G15" s="118"/>
      <c r="H15" s="119"/>
      <c r="I15" s="76"/>
      <c r="J15" s="118"/>
      <c r="K15" s="112"/>
      <c r="L15" s="112"/>
      <c r="M15" s="112"/>
      <c r="AJ15" s="325"/>
      <c r="AK15" s="114"/>
      <c r="AL15" s="309"/>
      <c r="AM15" s="273"/>
      <c r="AN15" s="117"/>
      <c r="AO15" s="121"/>
      <c r="AP15" s="119"/>
      <c r="AQ15" s="991"/>
      <c r="AR15" s="991"/>
      <c r="AS15" s="514"/>
      <c r="AT15" s="991"/>
    </row>
    <row r="16" spans="1:46" ht="14.25" customHeight="1" x14ac:dyDescent="0.2">
      <c r="A16" s="1461"/>
      <c r="B16" s="325"/>
      <c r="C16" s="325"/>
      <c r="D16" s="309"/>
      <c r="E16" s="309"/>
      <c r="F16" s="117"/>
      <c r="G16" s="118"/>
      <c r="H16" s="119"/>
      <c r="I16" s="76"/>
      <c r="J16" s="118"/>
      <c r="K16" s="112"/>
      <c r="L16" s="112"/>
      <c r="M16" s="112"/>
      <c r="AJ16" s="325"/>
      <c r="AK16" s="114"/>
      <c r="AL16" s="309"/>
      <c r="AM16" s="273"/>
      <c r="AN16" s="117"/>
      <c r="AO16" s="121"/>
      <c r="AP16" s="1512"/>
      <c r="AQ16" s="991"/>
      <c r="AR16" s="991"/>
      <c r="AS16" s="514"/>
      <c r="AT16" s="991"/>
    </row>
    <row r="17" spans="1:46" ht="14.25" customHeight="1" x14ac:dyDescent="0.2">
      <c r="A17" s="1461"/>
      <c r="B17" s="376"/>
      <c r="C17" s="376"/>
      <c r="D17" s="309"/>
      <c r="E17" s="309"/>
      <c r="F17" s="117"/>
      <c r="G17" s="118"/>
      <c r="H17" s="119"/>
      <c r="I17" s="76"/>
      <c r="J17" s="118"/>
      <c r="K17" s="112"/>
      <c r="L17" s="112"/>
      <c r="M17" s="112"/>
      <c r="AJ17" s="325"/>
      <c r="AK17" s="114"/>
      <c r="AL17" s="309"/>
      <c r="AM17" s="273"/>
      <c r="AN17" s="117"/>
      <c r="AO17" s="121"/>
      <c r="AP17" s="1512"/>
      <c r="AQ17" s="991"/>
      <c r="AR17" s="991"/>
      <c r="AS17" s="514"/>
      <c r="AT17" s="991"/>
    </row>
    <row r="18" spans="1:46" ht="14.25" customHeight="1" x14ac:dyDescent="0.2">
      <c r="A18" s="1461"/>
      <c r="B18" s="325"/>
      <c r="C18" s="325"/>
      <c r="D18" s="309"/>
      <c r="E18" s="309"/>
      <c r="F18" s="117"/>
      <c r="G18" s="118"/>
      <c r="H18" s="119"/>
      <c r="I18" s="76"/>
      <c r="J18" s="118"/>
      <c r="K18" s="112"/>
      <c r="L18" s="112"/>
      <c r="M18" s="118"/>
      <c r="N18" s="112"/>
      <c r="O18" s="112"/>
    </row>
    <row r="19" spans="1:46" ht="14.25" customHeight="1" x14ac:dyDescent="0.2">
      <c r="A19" s="1461"/>
      <c r="B19" s="11"/>
      <c r="C19" s="11"/>
      <c r="D19" s="313"/>
      <c r="E19" s="84"/>
      <c r="F19" s="84"/>
      <c r="K19" s="120"/>
      <c r="L19" s="76"/>
      <c r="M19" s="118"/>
      <c r="N19" s="112"/>
      <c r="O19" s="112"/>
    </row>
    <row r="20" spans="1:46" ht="14.25" customHeight="1" x14ac:dyDescent="0.2">
      <c r="A20" s="1461"/>
      <c r="B20" s="11"/>
      <c r="C20" s="312"/>
      <c r="D20" s="313"/>
      <c r="E20" s="84"/>
      <c r="F20" s="84"/>
      <c r="K20" s="120"/>
      <c r="L20" s="76"/>
      <c r="M20" s="118"/>
      <c r="N20" s="112"/>
      <c r="O20" s="112"/>
    </row>
    <row r="21" spans="1:46" ht="12.75" customHeight="1" x14ac:dyDescent="0.2">
      <c r="A21" s="1461"/>
      <c r="B21" s="11"/>
      <c r="C21" s="312"/>
      <c r="D21" s="313"/>
      <c r="E21" s="84"/>
      <c r="F21" s="84"/>
      <c r="K21" s="120"/>
      <c r="L21" s="76"/>
      <c r="M21" s="118"/>
      <c r="N21" s="112"/>
      <c r="O21" s="112"/>
    </row>
    <row r="22" spans="1:46" ht="12.75" customHeight="1" x14ac:dyDescent="0.2">
      <c r="A22" s="1461"/>
      <c r="B22" s="84"/>
      <c r="E22" s="84"/>
      <c r="F22" s="84"/>
      <c r="K22" s="120"/>
      <c r="L22" s="76"/>
      <c r="M22" s="118"/>
      <c r="N22" s="112"/>
      <c r="O22" s="112"/>
    </row>
    <row r="23" spans="1:46" ht="12.75" customHeight="1" x14ac:dyDescent="0.2">
      <c r="A23" s="1461"/>
      <c r="B23" s="84"/>
      <c r="E23" s="84"/>
      <c r="F23" s="84"/>
      <c r="K23" s="120"/>
      <c r="L23" s="76"/>
    </row>
    <row r="24" spans="1:46" ht="12.75" customHeight="1" x14ac:dyDescent="0.2">
      <c r="A24" s="1461"/>
      <c r="Z24" s="1073"/>
    </row>
    <row r="25" spans="1:46" ht="12.75" customHeight="1" x14ac:dyDescent="0.2">
      <c r="A25" s="1461"/>
      <c r="R25" s="1662" t="s">
        <v>881</v>
      </c>
      <c r="S25" s="1633"/>
      <c r="T25" s="1633"/>
      <c r="U25" s="1633"/>
      <c r="V25" s="997"/>
      <c r="Z25" s="122" t="s">
        <v>252</v>
      </c>
      <c r="AA25" s="123">
        <v>1</v>
      </c>
      <c r="AB25" s="122" t="s">
        <v>249</v>
      </c>
      <c r="AC25" s="124">
        <f>AE30*AA25</f>
        <v>5.1012563486110487</v>
      </c>
    </row>
    <row r="26" spans="1:46" ht="12.75" customHeight="1" x14ac:dyDescent="0.2">
      <c r="A26" s="1461"/>
      <c r="R26" s="1646" t="s">
        <v>291</v>
      </c>
      <c r="S26" s="1655"/>
      <c r="T26" s="1655"/>
      <c r="U26" s="1655"/>
      <c r="V26" s="997"/>
    </row>
    <row r="27" spans="1:46" ht="14.25" customHeight="1" thickBot="1" x14ac:dyDescent="0.25">
      <c r="A27" s="1461"/>
      <c r="R27" s="126" t="s">
        <v>254</v>
      </c>
      <c r="S27" s="126" t="s">
        <v>298</v>
      </c>
      <c r="T27" s="126" t="s">
        <v>256</v>
      </c>
      <c r="U27" s="126" t="s">
        <v>262</v>
      </c>
      <c r="V27" s="127" t="s">
        <v>772</v>
      </c>
      <c r="W27" s="127" t="s">
        <v>795</v>
      </c>
      <c r="X27" s="127" t="s">
        <v>794</v>
      </c>
      <c r="Z27" s="122" t="s">
        <v>258</v>
      </c>
      <c r="AA27" s="128" t="s">
        <v>772</v>
      </c>
      <c r="AB27" s="128" t="s">
        <v>259</v>
      </c>
      <c r="AC27" s="128" t="s">
        <v>783</v>
      </c>
      <c r="AD27" s="128" t="s">
        <v>780</v>
      </c>
      <c r="AE27" s="128" t="s">
        <v>262</v>
      </c>
    </row>
    <row r="28" spans="1:46" ht="14.25" customHeight="1" thickBot="1" x14ac:dyDescent="0.25">
      <c r="A28" s="1461"/>
      <c r="M28" s="314"/>
      <c r="R28" s="126" t="s">
        <v>263</v>
      </c>
      <c r="S28" s="1206">
        <f>$Z$1</f>
        <v>172</v>
      </c>
      <c r="T28" s="1216"/>
      <c r="U28" s="1216">
        <f>S28</f>
        <v>172</v>
      </c>
      <c r="V28" s="130">
        <f>SUM(AP5:AP13)</f>
        <v>2507.1353932584266</v>
      </c>
      <c r="W28" s="130">
        <f>SUM(L6)</f>
        <v>30.09</v>
      </c>
      <c r="X28" s="130">
        <f>K13</f>
        <v>0</v>
      </c>
      <c r="Z28" s="132"/>
      <c r="AA28" s="1051"/>
      <c r="AB28" s="133">
        <f>AA25*$S$40</f>
        <v>1</v>
      </c>
      <c r="AC28" s="1051"/>
      <c r="AD28" s="1051"/>
      <c r="AE28" s="135">
        <f>SUM(AB28:AB28)</f>
        <v>1</v>
      </c>
    </row>
    <row r="29" spans="1:46" ht="14.25" customHeight="1" thickBot="1" x14ac:dyDescent="0.25">
      <c r="A29" s="1461"/>
      <c r="R29" s="126" t="s">
        <v>264</v>
      </c>
      <c r="S29" s="1224"/>
      <c r="T29" s="315"/>
      <c r="U29" s="1216">
        <f>T29</f>
        <v>0</v>
      </c>
      <c r="V29" s="130"/>
      <c r="W29" s="130"/>
      <c r="X29" s="130"/>
      <c r="Z29" s="132"/>
      <c r="AA29" s="1051"/>
      <c r="AB29" s="137">
        <f>AB28/$AE$28</f>
        <v>1</v>
      </c>
      <c r="AC29" s="1051"/>
      <c r="AD29" s="1051"/>
      <c r="AE29" s="137">
        <f>AE28/$AE$28</f>
        <v>1</v>
      </c>
    </row>
    <row r="30" spans="1:46" ht="14.25" customHeight="1" thickBot="1" x14ac:dyDescent="0.25">
      <c r="A30" s="1461"/>
      <c r="R30" s="126" t="s">
        <v>265</v>
      </c>
      <c r="S30" s="1207">
        <f>$AB$1</f>
        <v>5</v>
      </c>
      <c r="T30" s="1216"/>
      <c r="U30" s="1216"/>
      <c r="V30" s="989"/>
      <c r="W30" s="989"/>
      <c r="X30" s="989"/>
      <c r="Z30" s="122" t="s">
        <v>266</v>
      </c>
      <c r="AA30" s="991">
        <f>V35/$AF$1</f>
        <v>0.2518934620131093</v>
      </c>
      <c r="AB30" s="138">
        <f>S35/(AF1)</f>
        <v>4.6787628865979389</v>
      </c>
      <c r="AC30" s="991">
        <f>W35/AF1</f>
        <v>0.17</v>
      </c>
      <c r="AD30" s="991">
        <f>X35/$AF$1</f>
        <v>5.9999999999999995E-4</v>
      </c>
      <c r="AE30" s="1048">
        <f>AB30+AD30+AC30+AA30</f>
        <v>5.1012563486110487</v>
      </c>
    </row>
    <row r="31" spans="1:46" ht="14.25" customHeight="1" thickBot="1" x14ac:dyDescent="0.25">
      <c r="A31" s="1461"/>
      <c r="R31" s="126" t="s">
        <v>267</v>
      </c>
      <c r="S31" s="271" t="s">
        <v>310</v>
      </c>
      <c r="T31" s="315"/>
      <c r="U31" s="315"/>
      <c r="V31" s="130"/>
      <c r="W31" s="130"/>
      <c r="X31" s="130"/>
    </row>
    <row r="32" spans="1:46" ht="14.25" customHeight="1" thickBot="1" x14ac:dyDescent="0.3">
      <c r="A32" s="1461"/>
      <c r="R32" s="127" t="s">
        <v>257</v>
      </c>
      <c r="S32" s="1116">
        <f>S28+S30</f>
        <v>177</v>
      </c>
      <c r="T32" s="316">
        <f>SUM(T28:T30)</f>
        <v>0</v>
      </c>
      <c r="U32" s="316">
        <f>T32+S32</f>
        <v>177</v>
      </c>
      <c r="V32" s="130"/>
      <c r="W32" s="130"/>
      <c r="X32" s="130"/>
    </row>
    <row r="33" spans="1:24" ht="14.25" customHeight="1" thickBot="1" x14ac:dyDescent="0.3">
      <c r="A33" s="1461"/>
      <c r="R33" s="317" t="s">
        <v>254</v>
      </c>
      <c r="S33" s="318"/>
      <c r="T33" s="318">
        <f>F40+F59</f>
        <v>0</v>
      </c>
      <c r="U33" s="319"/>
      <c r="V33" s="136"/>
      <c r="W33" s="136"/>
      <c r="X33" s="136"/>
    </row>
    <row r="34" spans="1:24" ht="14.25" customHeight="1" thickBot="1" x14ac:dyDescent="0.25">
      <c r="A34" s="1461"/>
      <c r="R34" s="159" t="s">
        <v>269</v>
      </c>
      <c r="S34" s="320"/>
      <c r="T34" s="321">
        <f>T33-(T28+T29)</f>
        <v>0</v>
      </c>
      <c r="U34" s="320"/>
      <c r="V34" s="136"/>
      <c r="W34" s="136"/>
      <c r="X34" s="136"/>
    </row>
    <row r="35" spans="1:24" ht="12.75" customHeight="1" thickBot="1" x14ac:dyDescent="0.25">
      <c r="A35" s="1461"/>
      <c r="R35" s="144" t="s">
        <v>249</v>
      </c>
      <c r="S35" s="990">
        <f>L5</f>
        <v>828.14103092783512</v>
      </c>
      <c r="T35" s="990">
        <f>SUM(O6:O19)</f>
        <v>0</v>
      </c>
      <c r="U35" s="1049">
        <f>S35+T35+V35+W35+X35</f>
        <v>902.92237370415546</v>
      </c>
      <c r="V35" s="990">
        <f>SUM(AT6:AT13)</f>
        <v>44.585142776320346</v>
      </c>
      <c r="W35" s="990">
        <f>L6</f>
        <v>30.09</v>
      </c>
      <c r="X35" s="990">
        <f>L7</f>
        <v>0.10619999999999999</v>
      </c>
    </row>
    <row r="36" spans="1:24" ht="12.75" customHeight="1" x14ac:dyDescent="0.2">
      <c r="A36" s="1461"/>
    </row>
    <row r="37" spans="1:24" ht="12.75" customHeight="1" x14ac:dyDescent="0.2">
      <c r="A37" s="1461"/>
    </row>
    <row r="38" spans="1:24" ht="12.75" customHeight="1" x14ac:dyDescent="0.2">
      <c r="A38" s="1461"/>
    </row>
    <row r="39" spans="1:24" ht="12.75" customHeight="1" x14ac:dyDescent="0.2">
      <c r="A39" s="1461"/>
      <c r="B39" s="84"/>
      <c r="E39" s="84"/>
      <c r="F39" s="84"/>
    </row>
    <row r="40" spans="1:24" ht="46.5" customHeight="1" x14ac:dyDescent="0.2">
      <c r="A40" s="1461"/>
      <c r="B40" s="84"/>
      <c r="C40" s="84"/>
      <c r="D40" s="322"/>
      <c r="E40" s="84"/>
      <c r="F40" s="84"/>
      <c r="G40" s="84"/>
      <c r="H40" s="84"/>
      <c r="I40" s="84"/>
      <c r="J40" s="84"/>
      <c r="R40" s="146" t="s">
        <v>270</v>
      </c>
      <c r="S40" s="147">
        <v>1</v>
      </c>
      <c r="T40" s="146" t="s">
        <v>271</v>
      </c>
      <c r="U40" s="148">
        <v>0</v>
      </c>
      <c r="V40" s="149">
        <f>S40+U40</f>
        <v>1</v>
      </c>
    </row>
    <row r="41" spans="1:24" ht="18" customHeight="1" x14ac:dyDescent="0.2">
      <c r="A41" s="1461"/>
      <c r="B41" s="84"/>
      <c r="C41" s="84"/>
      <c r="D41" s="84"/>
      <c r="E41" s="84"/>
      <c r="F41" s="84"/>
      <c r="G41" s="84"/>
      <c r="H41" s="84"/>
      <c r="I41" s="84"/>
      <c r="J41" s="84"/>
      <c r="U41" s="150"/>
    </row>
    <row r="42" spans="1:24" ht="18" customHeight="1" x14ac:dyDescent="0.2">
      <c r="A42" s="1461"/>
      <c r="B42" s="1671"/>
      <c r="C42" s="1655"/>
      <c r="D42" s="1655"/>
      <c r="E42" s="1655"/>
      <c r="F42" s="1655"/>
      <c r="G42" s="1655"/>
      <c r="H42" s="1655"/>
      <c r="I42" s="1655"/>
      <c r="J42" s="1655"/>
    </row>
    <row r="43" spans="1:24" ht="12.75" customHeight="1" x14ac:dyDescent="0.2">
      <c r="A43" s="1461"/>
      <c r="B43" s="1660"/>
      <c r="C43" s="1655"/>
      <c r="D43" s="1655"/>
      <c r="E43" s="1655"/>
      <c r="F43" s="1655"/>
      <c r="G43" s="1655"/>
      <c r="H43" s="1655"/>
      <c r="I43" s="1655"/>
      <c r="J43" s="1655"/>
      <c r="Q43" s="151" t="s">
        <v>272</v>
      </c>
      <c r="R43" s="151" t="s">
        <v>273</v>
      </c>
      <c r="S43" s="151" t="s">
        <v>274</v>
      </c>
      <c r="T43" s="151" t="s">
        <v>275</v>
      </c>
      <c r="U43" s="151" t="s">
        <v>276</v>
      </c>
      <c r="V43" s="151" t="s">
        <v>277</v>
      </c>
      <c r="W43" s="151" t="s">
        <v>278</v>
      </c>
    </row>
    <row r="44" spans="1:24" ht="14.25" customHeight="1" x14ac:dyDescent="0.2">
      <c r="A44" s="1461"/>
      <c r="B44" s="323"/>
      <c r="C44" s="324"/>
      <c r="D44" s="323"/>
      <c r="E44" s="323"/>
      <c r="F44" s="323"/>
      <c r="G44" s="323"/>
      <c r="H44" s="323"/>
      <c r="I44" s="323"/>
      <c r="J44" s="323"/>
      <c r="Q44" s="153">
        <v>18841</v>
      </c>
      <c r="R44" s="154">
        <f>E51</f>
        <v>0</v>
      </c>
      <c r="S44" s="155">
        <v>0</v>
      </c>
      <c r="T44" s="155">
        <v>0</v>
      </c>
      <c r="U44" s="220">
        <f>R44*S44</f>
        <v>0</v>
      </c>
      <c r="V44" s="157">
        <f>R44*T44</f>
        <v>0</v>
      </c>
      <c r="W44" s="157">
        <f>Q44-U44</f>
        <v>18841</v>
      </c>
    </row>
    <row r="45" spans="1:24" ht="14.25" customHeight="1" x14ac:dyDescent="0.2">
      <c r="A45" s="1461"/>
      <c r="B45" s="325"/>
      <c r="C45" s="325"/>
      <c r="D45" s="309"/>
      <c r="E45" s="309"/>
      <c r="F45" s="117"/>
      <c r="G45" s="118"/>
      <c r="H45" s="119"/>
      <c r="I45" s="76"/>
      <c r="J45" s="120"/>
    </row>
    <row r="46" spans="1:24" ht="14.25" customHeight="1" x14ac:dyDescent="0.2">
      <c r="A46" s="1461"/>
      <c r="B46" s="325"/>
      <c r="C46" s="325"/>
      <c r="D46" s="309"/>
      <c r="E46" s="309"/>
      <c r="F46" s="117"/>
      <c r="G46" s="118"/>
      <c r="H46" s="119"/>
      <c r="I46" s="76"/>
      <c r="J46" s="120"/>
    </row>
    <row r="47" spans="1:24" ht="14.25" customHeight="1" x14ac:dyDescent="0.2">
      <c r="A47" s="1461"/>
      <c r="B47" s="325"/>
      <c r="C47" s="325"/>
      <c r="D47" s="309"/>
      <c r="E47" s="309"/>
      <c r="F47" s="117"/>
      <c r="G47" s="118"/>
      <c r="H47" s="119"/>
      <c r="I47" s="76"/>
      <c r="J47" s="120"/>
    </row>
    <row r="48" spans="1:24" ht="14.25" customHeight="1" x14ac:dyDescent="0.2">
      <c r="A48" s="1461"/>
      <c r="B48" s="325"/>
      <c r="C48" s="325"/>
      <c r="D48" s="309"/>
      <c r="E48" s="309"/>
      <c r="F48" s="117"/>
      <c r="G48" s="118"/>
      <c r="H48" s="119"/>
      <c r="I48" s="76"/>
      <c r="J48" s="120"/>
    </row>
    <row r="49" spans="1:14" ht="14.25" customHeight="1" x14ac:dyDescent="0.2">
      <c r="A49" s="1461"/>
      <c r="B49" s="325"/>
      <c r="C49" s="325"/>
      <c r="D49" s="309"/>
      <c r="E49" s="309"/>
      <c r="F49" s="117"/>
      <c r="G49" s="118"/>
      <c r="H49" s="119"/>
      <c r="I49" s="76"/>
      <c r="J49" s="120"/>
    </row>
    <row r="50" spans="1:14" ht="14.25" customHeight="1" x14ac:dyDescent="0.2">
      <c r="A50" s="1461"/>
      <c r="B50" s="326"/>
      <c r="C50" s="159" t="s">
        <v>233</v>
      </c>
      <c r="D50" s="159" t="s">
        <v>279</v>
      </c>
      <c r="E50" s="84"/>
      <c r="F50" s="84"/>
      <c r="G50" s="126" t="s">
        <v>280</v>
      </c>
      <c r="H50" s="126" t="s">
        <v>233</v>
      </c>
      <c r="I50" s="159" t="s">
        <v>281</v>
      </c>
      <c r="J50" s="159" t="s">
        <v>282</v>
      </c>
    </row>
    <row r="51" spans="1:14" ht="14.25" customHeight="1" x14ac:dyDescent="0.2">
      <c r="A51" s="1461"/>
      <c r="B51" s="161" t="s">
        <v>283</v>
      </c>
      <c r="C51" s="162">
        <f>10/$K$1</f>
        <v>10</v>
      </c>
      <c r="D51" s="163">
        <f>$C$1*10</f>
        <v>10</v>
      </c>
      <c r="E51" s="164"/>
      <c r="F51" s="84"/>
      <c r="G51" s="161" t="s">
        <v>283</v>
      </c>
      <c r="H51" s="254">
        <f>I51/$D$5</f>
        <v>176.41385767790263</v>
      </c>
      <c r="I51" s="162">
        <f>J51/$R$1</f>
        <v>21169.662921348314</v>
      </c>
      <c r="J51" s="162">
        <f>$W$44</f>
        <v>18841</v>
      </c>
    </row>
    <row r="52" spans="1:14" ht="14.25" customHeight="1" x14ac:dyDescent="0.2">
      <c r="A52" s="1461"/>
      <c r="B52" s="209" t="s">
        <v>262</v>
      </c>
      <c r="C52" s="210">
        <f>$I$1</f>
        <v>0</v>
      </c>
      <c r="D52" s="211">
        <f>$E$1</f>
        <v>177</v>
      </c>
      <c r="E52" s="84"/>
      <c r="F52" s="84"/>
      <c r="G52" s="129" t="s">
        <v>262</v>
      </c>
      <c r="H52" s="97">
        <f>I52/$D$5</f>
        <v>132.58426966292134</v>
      </c>
      <c r="I52" s="157">
        <f>J52/$R$1</f>
        <v>15910.112359550561</v>
      </c>
      <c r="J52" s="165">
        <f>$U$32*$T$1*0.8</f>
        <v>14160</v>
      </c>
    </row>
    <row r="53" spans="1:14" ht="14.25" customHeight="1" x14ac:dyDescent="0.2">
      <c r="A53" s="1461"/>
      <c r="B53" s="209" t="s">
        <v>284</v>
      </c>
      <c r="C53" s="212">
        <f>MIN(C52, C51)</f>
        <v>0</v>
      </c>
      <c r="D53" s="211">
        <f>(C53*$K$1)*$C$1</f>
        <v>0</v>
      </c>
      <c r="E53" s="84"/>
      <c r="F53" s="84"/>
      <c r="G53" s="129" t="s">
        <v>284</v>
      </c>
      <c r="H53" s="168">
        <f>MIN(H52,H51)</f>
        <v>132.58426966292134</v>
      </c>
      <c r="I53" s="157">
        <f>J53/$R$1</f>
        <v>15910.112359550561</v>
      </c>
      <c r="J53" s="157">
        <f>MIN(J52,J51)</f>
        <v>14160</v>
      </c>
    </row>
    <row r="54" spans="1:14" ht="14.25" customHeight="1" x14ac:dyDescent="0.2">
      <c r="A54" s="1461"/>
      <c r="B54" s="209" t="s">
        <v>285</v>
      </c>
      <c r="C54" s="212">
        <f>MIN(MAX(C52-C53,0),C51)</f>
        <v>0</v>
      </c>
      <c r="D54" s="211">
        <f>(C54*$K$1)*$C$1</f>
        <v>0</v>
      </c>
      <c r="E54" s="84"/>
      <c r="F54" s="84"/>
      <c r="G54" s="129" t="s">
        <v>285</v>
      </c>
      <c r="H54" s="168">
        <f>MIN(MAX(H52-H53),H51)</f>
        <v>0</v>
      </c>
      <c r="I54" s="157">
        <f>J54/$R$1</f>
        <v>0</v>
      </c>
      <c r="J54" s="157">
        <f>MIN(MAX(J52-J53),J51)</f>
        <v>0</v>
      </c>
    </row>
    <row r="55" spans="1:14" ht="14.25" customHeight="1" x14ac:dyDescent="0.2">
      <c r="A55" s="1461"/>
      <c r="B55" s="209" t="s">
        <v>286</v>
      </c>
      <c r="C55" s="212">
        <f>MIN(MAX(C52-C53-C54,0),C51)</f>
        <v>0</v>
      </c>
      <c r="D55" s="211">
        <f>(C55*$K$1)*$C$1</f>
        <v>0</v>
      </c>
      <c r="E55" s="84"/>
      <c r="F55" s="84"/>
      <c r="G55" s="126" t="s">
        <v>286</v>
      </c>
      <c r="H55" s="168">
        <f>MIN(MAX(H52-H53-H54),H51)</f>
        <v>0</v>
      </c>
      <c r="I55" s="157">
        <f>J55/$R$1</f>
        <v>0</v>
      </c>
      <c r="J55" s="157">
        <f>MIN(MAX(J52-J53-J54),J51)</f>
        <v>0</v>
      </c>
    </row>
    <row r="56" spans="1:14" ht="14.25" customHeight="1" x14ac:dyDescent="0.2">
      <c r="A56" s="1461"/>
    </row>
    <row r="57" spans="1:14" ht="18" customHeight="1" x14ac:dyDescent="0.2">
      <c r="A57" s="1461"/>
    </row>
    <row r="58" spans="1:14" ht="12.75" customHeight="1" x14ac:dyDescent="0.2">
      <c r="A58" s="1461"/>
      <c r="B58" s="1660"/>
      <c r="C58" s="1655"/>
      <c r="D58" s="1655"/>
      <c r="E58" s="1655"/>
      <c r="F58" s="1655"/>
      <c r="G58" s="1655"/>
      <c r="H58" s="1655"/>
      <c r="I58" s="1655"/>
      <c r="J58" s="1655"/>
    </row>
    <row r="59" spans="1:14" ht="14.25" customHeight="1" x14ac:dyDescent="0.2">
      <c r="A59" s="1461"/>
      <c r="B59" s="323"/>
      <c r="C59" s="324"/>
      <c r="D59" s="323"/>
      <c r="E59" s="323"/>
      <c r="F59" s="323"/>
      <c r="G59" s="323"/>
      <c r="H59" s="323"/>
      <c r="I59" s="323"/>
      <c r="J59" s="323"/>
    </row>
    <row r="60" spans="1:14" ht="14.25" customHeight="1" x14ac:dyDescent="0.2">
      <c r="A60" s="1461"/>
      <c r="B60" s="325"/>
      <c r="C60" s="325"/>
      <c r="D60" s="325"/>
      <c r="E60" s="309"/>
      <c r="F60" s="117"/>
      <c r="G60" s="118"/>
      <c r="H60" s="119"/>
      <c r="I60" s="76"/>
      <c r="J60" s="120"/>
    </row>
    <row r="61" spans="1:14" ht="14.25" customHeight="1" x14ac:dyDescent="0.2">
      <c r="A61" s="1461"/>
      <c r="B61" s="325"/>
      <c r="C61" s="325"/>
      <c r="D61" s="325"/>
      <c r="E61" s="309"/>
      <c r="F61" s="117"/>
      <c r="G61" s="118"/>
      <c r="H61" s="119"/>
      <c r="I61" s="76"/>
      <c r="J61" s="120"/>
    </row>
    <row r="62" spans="1:14" ht="18" customHeight="1" x14ac:dyDescent="0.2">
      <c r="A62" s="1464"/>
      <c r="B62" s="1642"/>
      <c r="C62" s="1656"/>
      <c r="D62" s="1656"/>
      <c r="E62" s="1656"/>
      <c r="F62" s="1656"/>
      <c r="G62" s="1656"/>
      <c r="H62" s="1656"/>
    </row>
    <row r="63" spans="1:14" ht="14.25" x14ac:dyDescent="0.2">
      <c r="A63" s="1464"/>
      <c r="B63" s="1636" t="s">
        <v>881</v>
      </c>
      <c r="C63" s="1637"/>
      <c r="D63" s="1637"/>
      <c r="E63" s="1637"/>
      <c r="F63" s="1637"/>
      <c r="G63" s="1637"/>
      <c r="H63" s="1637"/>
    </row>
    <row r="64" spans="1:14" ht="39" customHeight="1" x14ac:dyDescent="0.2">
      <c r="A64" s="1457"/>
      <c r="B64" s="221" t="s">
        <v>241</v>
      </c>
      <c r="C64" s="222" t="s">
        <v>242</v>
      </c>
      <c r="D64" s="75" t="s">
        <v>934</v>
      </c>
      <c r="E64" s="197" t="s">
        <v>234</v>
      </c>
      <c r="F64" s="197" t="s">
        <v>243</v>
      </c>
      <c r="G64" s="223" t="s">
        <v>244</v>
      </c>
      <c r="H64" s="197" t="s">
        <v>245</v>
      </c>
      <c r="M64" s="112"/>
      <c r="N64" s="112"/>
    </row>
    <row r="65" spans="1:12" ht="14.25" customHeight="1" x14ac:dyDescent="0.2">
      <c r="A65" s="1260"/>
      <c r="B65" s="299" t="str">
        <f t="shared" ref="B65:D69" si="16">B5</f>
        <v>Top Side - توب سايد مفروم</v>
      </c>
      <c r="C65" s="20" t="str">
        <f t="shared" si="16"/>
        <v>gm</v>
      </c>
      <c r="D65" s="717">
        <f t="shared" si="16"/>
        <v>120</v>
      </c>
      <c r="E65" s="98">
        <f>$D$52</f>
        <v>177</v>
      </c>
      <c r="F65" s="109">
        <f>F5</f>
        <v>1</v>
      </c>
      <c r="G65" s="103">
        <f>D65*E65</f>
        <v>21240</v>
      </c>
      <c r="H65" s="102">
        <f>G65*F65</f>
        <v>21240</v>
      </c>
      <c r="I65" s="76"/>
      <c r="J65" s="118"/>
      <c r="K65" s="76"/>
      <c r="L65" s="118"/>
    </row>
    <row r="66" spans="1:12" ht="14.25" customHeight="1" x14ac:dyDescent="0.25">
      <c r="A66" s="1458"/>
      <c r="B66" s="299" t="str">
        <f t="shared" si="16"/>
        <v>Iceberg Lettuce - خس مدور أمريكى</v>
      </c>
      <c r="C66" s="20" t="str">
        <f t="shared" si="16"/>
        <v>gm</v>
      </c>
      <c r="D66" s="717">
        <f t="shared" si="16"/>
        <v>10</v>
      </c>
      <c r="E66" s="98">
        <f t="shared" ref="E66:E69" si="17">$D$52</f>
        <v>177</v>
      </c>
      <c r="F66" s="109">
        <f t="shared" ref="F66:F69" si="18">F6</f>
        <v>1</v>
      </c>
      <c r="G66" s="103">
        <f t="shared" ref="G66:G69" si="19">D66*E66</f>
        <v>1770</v>
      </c>
      <c r="H66" s="102">
        <f t="shared" ref="H66:H69" si="20">G66*F66</f>
        <v>1770</v>
      </c>
    </row>
    <row r="67" spans="1:12" ht="14.25" customHeight="1" x14ac:dyDescent="0.2">
      <c r="A67" s="1461"/>
      <c r="B67" s="299" t="str">
        <f t="shared" si="16"/>
        <v>Whole Wheat Burger Buns 70gm - خبز برجر بني</v>
      </c>
      <c r="C67" s="20" t="str">
        <f t="shared" si="16"/>
        <v>Piece</v>
      </c>
      <c r="D67" s="717">
        <f t="shared" si="16"/>
        <v>1</v>
      </c>
      <c r="E67" s="98">
        <f t="shared" si="17"/>
        <v>177</v>
      </c>
      <c r="F67" s="109">
        <f t="shared" si="18"/>
        <v>1</v>
      </c>
      <c r="G67" s="103">
        <f t="shared" si="19"/>
        <v>177</v>
      </c>
      <c r="H67" s="102">
        <f t="shared" si="20"/>
        <v>177</v>
      </c>
    </row>
    <row r="68" spans="1:12" ht="15" x14ac:dyDescent="0.25">
      <c r="A68" s="1458"/>
      <c r="B68" s="299" t="str">
        <f t="shared" si="16"/>
        <v>Sliced tomato - طماطم شرائح</v>
      </c>
      <c r="C68" s="20" t="str">
        <f t="shared" si="16"/>
        <v>gm</v>
      </c>
      <c r="D68" s="717">
        <f t="shared" si="16"/>
        <v>25</v>
      </c>
      <c r="E68" s="98">
        <f t="shared" si="17"/>
        <v>177</v>
      </c>
      <c r="F68" s="109">
        <f t="shared" si="18"/>
        <v>1</v>
      </c>
      <c r="G68" s="103">
        <f t="shared" si="19"/>
        <v>4425</v>
      </c>
      <c r="H68" s="102">
        <f t="shared" si="20"/>
        <v>4425</v>
      </c>
    </row>
    <row r="69" spans="1:12" ht="15" x14ac:dyDescent="0.25">
      <c r="A69" s="1458"/>
      <c r="B69" s="299" t="str">
        <f t="shared" si="16"/>
        <v>Sliced cheese - جبنة شرائح</v>
      </c>
      <c r="C69" s="20" t="str">
        <f t="shared" si="16"/>
        <v>Piece</v>
      </c>
      <c r="D69" s="717">
        <f t="shared" si="16"/>
        <v>1</v>
      </c>
      <c r="E69" s="98">
        <f t="shared" si="17"/>
        <v>177</v>
      </c>
      <c r="F69" s="109">
        <f t="shared" si="18"/>
        <v>1</v>
      </c>
      <c r="G69" s="103">
        <f t="shared" si="19"/>
        <v>177</v>
      </c>
      <c r="H69" s="102">
        <f t="shared" si="20"/>
        <v>177</v>
      </c>
    </row>
    <row r="70" spans="1:12" ht="20.25" customHeight="1" x14ac:dyDescent="0.2">
      <c r="A70" s="1461"/>
      <c r="B70" s="178" t="s">
        <v>287</v>
      </c>
      <c r="C70" s="851" t="s">
        <v>273</v>
      </c>
      <c r="D70" s="850"/>
      <c r="E70" s="851" t="s">
        <v>288</v>
      </c>
      <c r="F70" s="850"/>
      <c r="G70" s="852" t="s">
        <v>264</v>
      </c>
      <c r="H70" s="852" t="s">
        <v>673</v>
      </c>
    </row>
    <row r="71" spans="1:12" ht="26.25" customHeight="1" x14ac:dyDescent="0.3">
      <c r="A71" s="1461"/>
      <c r="B71" s="179">
        <f>$J$53</f>
        <v>14160</v>
      </c>
      <c r="C71" s="179">
        <f>E71+G71</f>
        <v>0</v>
      </c>
      <c r="D71" s="839"/>
      <c r="E71" s="179">
        <f>$C$53*$S$44</f>
        <v>0</v>
      </c>
      <c r="F71" s="843"/>
      <c r="G71" s="179">
        <f>$D$53*$T$44</f>
        <v>0</v>
      </c>
      <c r="H71" s="179">
        <f>B71+E71</f>
        <v>14160</v>
      </c>
    </row>
    <row r="72" spans="1:12" ht="14.25" customHeight="1" x14ac:dyDescent="0.2">
      <c r="A72" s="1461"/>
      <c r="E72" s="84"/>
      <c r="F72" s="84"/>
    </row>
    <row r="73" spans="1:12" ht="14.25" customHeight="1" x14ac:dyDescent="0.2">
      <c r="A73" s="1461"/>
      <c r="B73" s="84"/>
      <c r="E73" s="84"/>
      <c r="F73" s="84"/>
    </row>
    <row r="74" spans="1:12" ht="12.75" customHeight="1" x14ac:dyDescent="0.2">
      <c r="A74" s="1461"/>
      <c r="B74" s="84"/>
      <c r="E74" s="84"/>
      <c r="F74" s="84"/>
    </row>
    <row r="75" spans="1:12" x14ac:dyDescent="0.2">
      <c r="A75" s="1461"/>
      <c r="B75" s="84"/>
      <c r="E75" s="84"/>
      <c r="F75" s="84"/>
    </row>
    <row r="76" spans="1:12" ht="12.75" customHeight="1" x14ac:dyDescent="0.2">
      <c r="A76" s="1461"/>
      <c r="B76" s="84"/>
    </row>
    <row r="77" spans="1:12" ht="12.75" customHeight="1" x14ac:dyDescent="0.2">
      <c r="A77" s="1461"/>
    </row>
    <row r="78" spans="1:12" ht="12.75" customHeight="1" x14ac:dyDescent="0.2">
      <c r="A78" s="1461"/>
      <c r="E78" s="84"/>
      <c r="F78" s="84"/>
    </row>
    <row r="79" spans="1:12" ht="12.75" customHeight="1" x14ac:dyDescent="0.2">
      <c r="A79" s="1461"/>
      <c r="E79" s="84"/>
      <c r="F79" s="84"/>
    </row>
    <row r="80" spans="1:12" ht="12.75" customHeight="1" x14ac:dyDescent="0.2">
      <c r="A80" s="1461"/>
      <c r="B80" s="84"/>
      <c r="E80" s="84"/>
      <c r="F80" s="84"/>
    </row>
    <row r="81" spans="1:6" ht="12.75" customHeight="1" x14ac:dyDescent="0.2">
      <c r="A81" s="1461"/>
      <c r="B81" s="84"/>
      <c r="E81" s="84"/>
      <c r="F81" s="84"/>
    </row>
    <row r="82" spans="1:6" ht="12.75" customHeight="1" x14ac:dyDescent="0.2">
      <c r="A82" s="1461"/>
      <c r="B82" s="84"/>
      <c r="E82" s="84"/>
      <c r="F82" s="84"/>
    </row>
    <row r="83" spans="1:6" ht="12.75" customHeight="1" x14ac:dyDescent="0.2">
      <c r="A83" s="1461"/>
      <c r="B83" s="84"/>
      <c r="E83" s="84"/>
      <c r="F83" s="84"/>
    </row>
    <row r="84" spans="1:6" ht="12.75" customHeight="1" x14ac:dyDescent="0.2">
      <c r="A84" s="1461"/>
      <c r="B84" s="84"/>
      <c r="E84" s="84"/>
      <c r="F84" s="84"/>
    </row>
    <row r="85" spans="1:6" ht="12.75" customHeight="1" x14ac:dyDescent="0.2">
      <c r="A85" s="1461"/>
      <c r="B85" s="84"/>
      <c r="E85" s="84"/>
      <c r="F85" s="84"/>
    </row>
    <row r="86" spans="1:6" ht="12.75" customHeight="1" x14ac:dyDescent="0.2">
      <c r="A86" s="1461"/>
      <c r="B86" s="84"/>
      <c r="E86" s="84"/>
      <c r="F86" s="84"/>
    </row>
    <row r="87" spans="1:6" ht="12.75" customHeight="1" x14ac:dyDescent="0.2">
      <c r="A87" s="1461"/>
      <c r="B87" s="84"/>
      <c r="E87" s="84"/>
      <c r="F87" s="84"/>
    </row>
    <row r="88" spans="1:6" ht="12.75" customHeight="1" x14ac:dyDescent="0.2">
      <c r="A88" s="1461"/>
      <c r="B88" s="84"/>
      <c r="E88" s="84"/>
      <c r="F88" s="84"/>
    </row>
    <row r="89" spans="1:6" ht="12.75" customHeight="1" x14ac:dyDescent="0.2">
      <c r="A89" s="1461"/>
      <c r="B89" s="84"/>
      <c r="E89" s="84"/>
      <c r="F89" s="84"/>
    </row>
    <row r="90" spans="1:6" ht="12.75" customHeight="1" x14ac:dyDescent="0.2">
      <c r="A90" s="1461"/>
      <c r="B90" s="84"/>
      <c r="E90" s="84"/>
      <c r="F90" s="84"/>
    </row>
    <row r="91" spans="1:6" ht="12.75" customHeight="1" x14ac:dyDescent="0.2">
      <c r="A91" s="1461"/>
      <c r="B91" s="84"/>
      <c r="E91" s="84"/>
      <c r="F91" s="84"/>
    </row>
    <row r="92" spans="1:6" ht="12.75" customHeight="1" x14ac:dyDescent="0.2">
      <c r="A92" s="1461"/>
      <c r="B92" s="84"/>
      <c r="E92" s="84"/>
      <c r="F92" s="84"/>
    </row>
    <row r="93" spans="1:6" ht="12.75" customHeight="1" x14ac:dyDescent="0.2">
      <c r="A93" s="1461"/>
      <c r="B93" s="84"/>
      <c r="E93" s="84"/>
      <c r="F93" s="84"/>
    </row>
    <row r="94" spans="1:6" ht="12.75" customHeight="1" x14ac:dyDescent="0.2">
      <c r="A94" s="1461"/>
      <c r="B94" s="84"/>
      <c r="E94" s="84"/>
      <c r="F94" s="84"/>
    </row>
    <row r="95" spans="1:6" ht="12.75" customHeight="1" x14ac:dyDescent="0.2">
      <c r="A95" s="1461"/>
      <c r="B95" s="84"/>
      <c r="E95" s="84"/>
      <c r="F95" s="84"/>
    </row>
    <row r="96" spans="1:6" ht="12.75" customHeight="1" x14ac:dyDescent="0.2">
      <c r="A96" s="1461"/>
      <c r="B96" s="84"/>
      <c r="E96" s="84"/>
      <c r="F96" s="84"/>
    </row>
    <row r="97" spans="1:6" ht="12.75" customHeight="1" x14ac:dyDescent="0.2">
      <c r="A97" s="1461"/>
      <c r="B97" s="84"/>
      <c r="E97" s="84"/>
      <c r="F97" s="84"/>
    </row>
    <row r="98" spans="1:6" ht="12.75" customHeight="1" x14ac:dyDescent="0.2">
      <c r="A98" s="1461"/>
      <c r="B98" s="84"/>
      <c r="E98" s="84"/>
      <c r="F98" s="84"/>
    </row>
    <row r="99" spans="1:6" ht="12.75" customHeight="1" x14ac:dyDescent="0.2">
      <c r="A99" s="1461"/>
      <c r="B99" s="84"/>
      <c r="E99" s="84"/>
      <c r="F99" s="84"/>
    </row>
    <row r="100" spans="1:6" ht="12.75" customHeight="1" x14ac:dyDescent="0.2">
      <c r="A100" s="1461"/>
      <c r="B100" s="84"/>
      <c r="E100" s="84"/>
      <c r="F100" s="84"/>
    </row>
    <row r="101" spans="1:6" ht="12.75" customHeight="1" x14ac:dyDescent="0.2">
      <c r="A101" s="1461"/>
      <c r="B101" s="84"/>
      <c r="E101" s="84"/>
      <c r="F101" s="84"/>
    </row>
    <row r="102" spans="1:6" ht="12.75" customHeight="1" x14ac:dyDescent="0.2">
      <c r="A102" s="1461"/>
      <c r="B102" s="84"/>
      <c r="E102" s="84"/>
      <c r="F102" s="84"/>
    </row>
    <row r="103" spans="1:6" ht="12.75" customHeight="1" x14ac:dyDescent="0.2">
      <c r="A103" s="1461"/>
      <c r="B103" s="84"/>
      <c r="E103" s="84"/>
      <c r="F103" s="84"/>
    </row>
    <row r="104" spans="1:6" ht="12.75" customHeight="1" x14ac:dyDescent="0.2">
      <c r="A104" s="1461"/>
      <c r="B104" s="84"/>
      <c r="E104" s="84"/>
      <c r="F104" s="84"/>
    </row>
    <row r="105" spans="1:6" ht="12.75" customHeight="1" x14ac:dyDescent="0.2">
      <c r="A105" s="1461"/>
      <c r="B105" s="84"/>
      <c r="E105" s="84"/>
      <c r="F105" s="84"/>
    </row>
    <row r="106" spans="1:6" ht="12.75" customHeight="1" x14ac:dyDescent="0.2">
      <c r="A106" s="1461"/>
      <c r="B106" s="84"/>
      <c r="E106" s="84"/>
      <c r="F106" s="84"/>
    </row>
    <row r="107" spans="1:6" ht="12.75" customHeight="1" x14ac:dyDescent="0.2">
      <c r="A107" s="1461"/>
      <c r="B107" s="84"/>
      <c r="E107" s="84"/>
      <c r="F107" s="84"/>
    </row>
    <row r="108" spans="1:6" ht="12.75" customHeight="1" x14ac:dyDescent="0.2">
      <c r="A108" s="1461"/>
      <c r="B108" s="84"/>
      <c r="E108" s="84"/>
      <c r="F108" s="84"/>
    </row>
    <row r="109" spans="1:6" ht="12.75" customHeight="1" x14ac:dyDescent="0.2">
      <c r="A109" s="1461"/>
      <c r="B109" s="84"/>
      <c r="E109" s="84"/>
      <c r="F109" s="84"/>
    </row>
    <row r="110" spans="1:6" ht="12.75" customHeight="1" x14ac:dyDescent="0.2">
      <c r="A110" s="1461"/>
      <c r="B110" s="84"/>
      <c r="E110" s="84"/>
      <c r="F110" s="84"/>
    </row>
    <row r="111" spans="1:6" ht="12.75" customHeight="1" x14ac:dyDescent="0.2">
      <c r="A111" s="1461"/>
      <c r="B111" s="84"/>
      <c r="E111" s="84"/>
      <c r="F111" s="84"/>
    </row>
    <row r="112" spans="1:6" ht="12.75" customHeight="1" x14ac:dyDescent="0.2">
      <c r="A112" s="1461"/>
      <c r="B112" s="84"/>
      <c r="E112" s="84"/>
      <c r="F112" s="84"/>
    </row>
    <row r="113" spans="1:6" ht="12.75" customHeight="1" x14ac:dyDescent="0.2">
      <c r="A113" s="1461"/>
      <c r="B113" s="84"/>
      <c r="E113" s="84"/>
      <c r="F113" s="84"/>
    </row>
    <row r="114" spans="1:6" ht="12.75" customHeight="1" x14ac:dyDescent="0.2">
      <c r="A114" s="1461"/>
      <c r="B114" s="84"/>
      <c r="E114" s="84"/>
      <c r="F114" s="84"/>
    </row>
    <row r="115" spans="1:6" ht="12.75" customHeight="1" x14ac:dyDescent="0.2">
      <c r="A115" s="1461"/>
      <c r="B115" s="84"/>
      <c r="E115" s="84"/>
      <c r="F115" s="84"/>
    </row>
    <row r="116" spans="1:6" ht="12.75" customHeight="1" x14ac:dyDescent="0.2">
      <c r="A116" s="1461"/>
      <c r="B116" s="84"/>
      <c r="E116" s="84"/>
      <c r="F116" s="84"/>
    </row>
    <row r="117" spans="1:6" ht="12.75" customHeight="1" x14ac:dyDescent="0.2">
      <c r="A117" s="1461"/>
      <c r="B117" s="84"/>
      <c r="E117" s="84"/>
      <c r="F117" s="84"/>
    </row>
    <row r="118" spans="1:6" ht="12.75" customHeight="1" x14ac:dyDescent="0.2">
      <c r="A118" s="1461"/>
      <c r="B118" s="84"/>
      <c r="E118" s="84"/>
      <c r="F118" s="84"/>
    </row>
    <row r="119" spans="1:6" ht="12.75" customHeight="1" x14ac:dyDescent="0.2">
      <c r="A119" s="1461"/>
      <c r="B119" s="84"/>
      <c r="E119" s="84"/>
      <c r="F119" s="84"/>
    </row>
    <row r="120" spans="1:6" ht="12.75" customHeight="1" x14ac:dyDescent="0.2">
      <c r="A120" s="1461"/>
      <c r="B120" s="84"/>
      <c r="E120" s="84"/>
      <c r="F120" s="84"/>
    </row>
    <row r="121" spans="1:6" ht="12.75" customHeight="1" x14ac:dyDescent="0.2">
      <c r="A121" s="1461"/>
      <c r="B121" s="84"/>
      <c r="E121" s="84"/>
      <c r="F121" s="84"/>
    </row>
    <row r="122" spans="1:6" ht="12.75" customHeight="1" x14ac:dyDescent="0.2">
      <c r="A122" s="1461"/>
      <c r="B122" s="84"/>
      <c r="E122" s="84"/>
      <c r="F122" s="84"/>
    </row>
    <row r="123" spans="1:6" ht="12.75" customHeight="1" x14ac:dyDescent="0.2">
      <c r="A123" s="1461"/>
      <c r="B123" s="84"/>
      <c r="E123" s="84"/>
      <c r="F123" s="84"/>
    </row>
    <row r="124" spans="1:6" ht="12.75" customHeight="1" x14ac:dyDescent="0.2">
      <c r="A124" s="1461"/>
      <c r="B124" s="84"/>
      <c r="E124" s="84"/>
      <c r="F124" s="84"/>
    </row>
    <row r="125" spans="1:6" ht="12.75" customHeight="1" x14ac:dyDescent="0.2">
      <c r="A125" s="1461"/>
      <c r="B125" s="84"/>
      <c r="E125" s="84"/>
      <c r="F125" s="84"/>
    </row>
    <row r="126" spans="1:6" ht="12.75" customHeight="1" x14ac:dyDescent="0.2">
      <c r="A126" s="1461"/>
      <c r="B126" s="84"/>
      <c r="E126" s="84"/>
      <c r="F126" s="84"/>
    </row>
    <row r="127" spans="1:6" ht="12.75" customHeight="1" x14ac:dyDescent="0.2">
      <c r="A127" s="1461"/>
      <c r="B127" s="84"/>
      <c r="E127" s="84"/>
      <c r="F127" s="84"/>
    </row>
    <row r="128" spans="1:6" ht="12.75" customHeight="1" x14ac:dyDescent="0.2">
      <c r="A128" s="1461"/>
      <c r="B128" s="84"/>
      <c r="E128" s="84"/>
      <c r="F128" s="84"/>
    </row>
    <row r="129" spans="1:6" ht="12.75" customHeight="1" x14ac:dyDescent="0.2">
      <c r="A129" s="1461"/>
      <c r="B129" s="84"/>
      <c r="E129" s="84"/>
      <c r="F129" s="84"/>
    </row>
    <row r="130" spans="1:6" ht="12.75" customHeight="1" x14ac:dyDescent="0.2">
      <c r="A130" s="1461"/>
      <c r="B130" s="84"/>
      <c r="E130" s="84"/>
      <c r="F130" s="84"/>
    </row>
    <row r="131" spans="1:6" ht="12.75" customHeight="1" x14ac:dyDescent="0.2">
      <c r="A131" s="1461"/>
      <c r="B131" s="84"/>
      <c r="E131" s="84"/>
      <c r="F131" s="84"/>
    </row>
    <row r="132" spans="1:6" ht="12.75" customHeight="1" x14ac:dyDescent="0.2">
      <c r="A132" s="1461"/>
      <c r="B132" s="84"/>
      <c r="E132" s="84"/>
      <c r="F132" s="84"/>
    </row>
    <row r="133" spans="1:6" ht="12.75" customHeight="1" x14ac:dyDescent="0.2">
      <c r="A133" s="1461"/>
      <c r="B133" s="84"/>
      <c r="E133" s="84"/>
      <c r="F133" s="84"/>
    </row>
    <row r="134" spans="1:6" ht="12.75" customHeight="1" x14ac:dyDescent="0.2">
      <c r="A134" s="1461"/>
      <c r="B134" s="84"/>
      <c r="E134" s="84"/>
      <c r="F134" s="84"/>
    </row>
    <row r="135" spans="1:6" ht="12.75" customHeight="1" x14ac:dyDescent="0.2">
      <c r="A135" s="1461"/>
      <c r="B135" s="84"/>
      <c r="E135" s="84"/>
      <c r="F135" s="84"/>
    </row>
    <row r="136" spans="1:6" ht="12.75" customHeight="1" x14ac:dyDescent="0.2">
      <c r="A136" s="1461"/>
      <c r="B136" s="84"/>
      <c r="E136" s="84"/>
      <c r="F136" s="84"/>
    </row>
    <row r="137" spans="1:6" ht="12.75" customHeight="1" x14ac:dyDescent="0.2">
      <c r="A137" s="1461"/>
      <c r="B137" s="84"/>
      <c r="E137" s="84"/>
      <c r="F137" s="84"/>
    </row>
    <row r="138" spans="1:6" ht="12.75" customHeight="1" x14ac:dyDescent="0.2">
      <c r="A138" s="1461"/>
      <c r="B138" s="84"/>
      <c r="E138" s="84"/>
      <c r="F138" s="84"/>
    </row>
    <row r="139" spans="1:6" ht="12.75" customHeight="1" x14ac:dyDescent="0.2">
      <c r="A139" s="1461"/>
      <c r="B139" s="84"/>
      <c r="E139" s="84"/>
      <c r="F139" s="84"/>
    </row>
    <row r="140" spans="1:6" ht="12.75" customHeight="1" x14ac:dyDescent="0.2">
      <c r="A140" s="1461"/>
      <c r="B140" s="84"/>
      <c r="E140" s="84"/>
      <c r="F140" s="84"/>
    </row>
    <row r="141" spans="1:6" ht="12.75" customHeight="1" x14ac:dyDescent="0.2">
      <c r="A141" s="1461"/>
      <c r="B141" s="84"/>
      <c r="E141" s="84"/>
      <c r="F141" s="84"/>
    </row>
    <row r="142" spans="1:6" ht="12.75" customHeight="1" x14ac:dyDescent="0.2">
      <c r="A142" s="1461"/>
      <c r="B142" s="84"/>
      <c r="E142" s="84"/>
      <c r="F142" s="84"/>
    </row>
    <row r="143" spans="1:6" ht="12.75" customHeight="1" x14ac:dyDescent="0.2">
      <c r="A143" s="1461"/>
      <c r="B143" s="84"/>
      <c r="E143" s="84"/>
      <c r="F143" s="84"/>
    </row>
    <row r="144" spans="1:6" ht="12.75" customHeight="1" x14ac:dyDescent="0.2">
      <c r="A144" s="1461"/>
      <c r="B144" s="84"/>
      <c r="E144" s="84"/>
      <c r="F144" s="84"/>
    </row>
    <row r="145" spans="1:6" ht="12.75" customHeight="1" x14ac:dyDescent="0.2">
      <c r="A145" s="1461"/>
      <c r="B145" s="84"/>
      <c r="E145" s="84"/>
      <c r="F145" s="84"/>
    </row>
    <row r="146" spans="1:6" ht="12.75" customHeight="1" x14ac:dyDescent="0.2">
      <c r="A146" s="1461"/>
      <c r="B146" s="84"/>
      <c r="E146" s="84"/>
      <c r="F146" s="84"/>
    </row>
    <row r="147" spans="1:6" ht="12.75" customHeight="1" x14ac:dyDescent="0.2">
      <c r="A147" s="1461"/>
      <c r="B147" s="84"/>
      <c r="E147" s="84"/>
      <c r="F147" s="84"/>
    </row>
    <row r="148" spans="1:6" ht="12.75" customHeight="1" x14ac:dyDescent="0.2">
      <c r="A148" s="1461"/>
      <c r="B148" s="84"/>
      <c r="E148" s="84"/>
      <c r="F148" s="84"/>
    </row>
    <row r="149" spans="1:6" ht="12.75" customHeight="1" x14ac:dyDescent="0.2">
      <c r="A149" s="1461"/>
      <c r="B149" s="84"/>
      <c r="E149" s="84"/>
      <c r="F149" s="84"/>
    </row>
    <row r="150" spans="1:6" ht="12.75" customHeight="1" x14ac:dyDescent="0.2">
      <c r="A150" s="1461"/>
      <c r="B150" s="84"/>
      <c r="E150" s="84"/>
      <c r="F150" s="84"/>
    </row>
    <row r="151" spans="1:6" ht="12.75" customHeight="1" x14ac:dyDescent="0.2">
      <c r="A151" s="1461"/>
      <c r="B151" s="84"/>
      <c r="E151" s="84"/>
      <c r="F151" s="84"/>
    </row>
    <row r="152" spans="1:6" ht="12.75" customHeight="1" x14ac:dyDescent="0.2">
      <c r="A152" s="1461"/>
      <c r="B152" s="84"/>
      <c r="E152" s="84"/>
      <c r="F152" s="84"/>
    </row>
    <row r="153" spans="1:6" ht="12.75" customHeight="1" x14ac:dyDescent="0.2">
      <c r="A153" s="1461"/>
      <c r="B153" s="84"/>
      <c r="E153" s="84"/>
      <c r="F153" s="84"/>
    </row>
    <row r="154" spans="1:6" ht="12.75" customHeight="1" x14ac:dyDescent="0.2">
      <c r="A154" s="1461"/>
      <c r="B154" s="84"/>
      <c r="E154" s="84"/>
      <c r="F154" s="84"/>
    </row>
    <row r="155" spans="1:6" ht="12.75" customHeight="1" x14ac:dyDescent="0.2">
      <c r="A155" s="1461"/>
      <c r="B155" s="84"/>
      <c r="E155" s="84"/>
      <c r="F155" s="84"/>
    </row>
    <row r="156" spans="1:6" ht="12.75" customHeight="1" x14ac:dyDescent="0.2">
      <c r="A156" s="1461"/>
      <c r="B156" s="84"/>
      <c r="E156" s="84"/>
      <c r="F156" s="84"/>
    </row>
    <row r="157" spans="1:6" ht="12.75" customHeight="1" x14ac:dyDescent="0.2">
      <c r="A157" s="1461"/>
      <c r="B157" s="84"/>
      <c r="E157" s="84"/>
      <c r="F157" s="84"/>
    </row>
    <row r="158" spans="1:6" ht="12.75" customHeight="1" x14ac:dyDescent="0.2">
      <c r="A158" s="1461"/>
      <c r="B158" s="84"/>
      <c r="E158" s="84"/>
      <c r="F158" s="84"/>
    </row>
    <row r="159" spans="1:6" ht="12.75" customHeight="1" x14ac:dyDescent="0.2">
      <c r="A159" s="1461"/>
      <c r="B159" s="84"/>
      <c r="E159" s="84"/>
      <c r="F159" s="84"/>
    </row>
    <row r="160" spans="1:6" ht="12.75" customHeight="1" x14ac:dyDescent="0.2">
      <c r="A160" s="1461"/>
      <c r="B160" s="84"/>
      <c r="E160" s="84"/>
      <c r="F160" s="84"/>
    </row>
    <row r="161" spans="1:6" ht="12.75" customHeight="1" x14ac:dyDescent="0.2">
      <c r="A161" s="1461"/>
      <c r="B161" s="84"/>
      <c r="E161" s="84"/>
      <c r="F161" s="84"/>
    </row>
    <row r="162" spans="1:6" ht="12.75" customHeight="1" x14ac:dyDescent="0.2">
      <c r="A162" s="1461"/>
      <c r="B162" s="84"/>
      <c r="E162" s="84"/>
      <c r="F162" s="84"/>
    </row>
    <row r="163" spans="1:6" ht="12.75" customHeight="1" x14ac:dyDescent="0.2">
      <c r="A163" s="1461"/>
      <c r="B163" s="84"/>
      <c r="E163" s="84"/>
      <c r="F163" s="84"/>
    </row>
    <row r="164" spans="1:6" ht="12.75" customHeight="1" x14ac:dyDescent="0.2">
      <c r="A164" s="1461"/>
      <c r="B164" s="84"/>
      <c r="E164" s="84"/>
      <c r="F164" s="84"/>
    </row>
    <row r="165" spans="1:6" ht="12.75" customHeight="1" x14ac:dyDescent="0.2">
      <c r="A165" s="1461"/>
      <c r="B165" s="84"/>
      <c r="E165" s="84"/>
      <c r="F165" s="84"/>
    </row>
    <row r="166" spans="1:6" ht="12.75" customHeight="1" x14ac:dyDescent="0.2">
      <c r="A166" s="1461"/>
      <c r="B166" s="84"/>
      <c r="E166" s="84"/>
      <c r="F166" s="84"/>
    </row>
    <row r="167" spans="1:6" ht="12.75" customHeight="1" x14ac:dyDescent="0.2">
      <c r="A167" s="1461"/>
      <c r="B167" s="84"/>
      <c r="E167" s="84"/>
      <c r="F167" s="84"/>
    </row>
    <row r="168" spans="1:6" ht="12.75" customHeight="1" x14ac:dyDescent="0.2">
      <c r="A168" s="1461"/>
      <c r="B168" s="84"/>
      <c r="E168" s="84"/>
      <c r="F168" s="84"/>
    </row>
    <row r="169" spans="1:6" ht="12.75" customHeight="1" x14ac:dyDescent="0.2">
      <c r="A169" s="1461"/>
      <c r="B169" s="84"/>
      <c r="E169" s="84"/>
      <c r="F169" s="84"/>
    </row>
    <row r="170" spans="1:6" ht="12.75" customHeight="1" x14ac:dyDescent="0.2">
      <c r="A170" s="1461"/>
      <c r="B170" s="84"/>
      <c r="E170" s="84"/>
      <c r="F170" s="84"/>
    </row>
    <row r="171" spans="1:6" ht="12.75" customHeight="1" x14ac:dyDescent="0.2">
      <c r="A171" s="1461"/>
      <c r="B171" s="84"/>
      <c r="E171" s="84"/>
      <c r="F171" s="84"/>
    </row>
    <row r="172" spans="1:6" ht="12.75" customHeight="1" x14ac:dyDescent="0.2">
      <c r="A172" s="1461"/>
      <c r="B172" s="84"/>
      <c r="E172" s="84"/>
      <c r="F172" s="84"/>
    </row>
    <row r="173" spans="1:6" ht="12.75" customHeight="1" x14ac:dyDescent="0.2">
      <c r="A173" s="1461"/>
      <c r="B173" s="84"/>
      <c r="E173" s="84"/>
      <c r="F173" s="84"/>
    </row>
    <row r="174" spans="1:6" ht="12.75" customHeight="1" x14ac:dyDescent="0.2">
      <c r="A174" s="1461"/>
      <c r="B174" s="84"/>
      <c r="E174" s="84"/>
      <c r="F174" s="84"/>
    </row>
    <row r="175" spans="1:6" ht="12.75" customHeight="1" x14ac:dyDescent="0.2">
      <c r="B175" s="84"/>
      <c r="E175" s="84"/>
      <c r="F175" s="84"/>
    </row>
    <row r="176" spans="1: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row r="972" spans="2:6" x14ac:dyDescent="0.2">
      <c r="B972" s="84"/>
      <c r="E972" s="84"/>
      <c r="F972" s="84"/>
    </row>
    <row r="973" spans="2:6" x14ac:dyDescent="0.2">
      <c r="B973" s="84"/>
      <c r="E973" s="84"/>
      <c r="F973" s="84"/>
    </row>
  </sheetData>
  <mergeCells count="10">
    <mergeCell ref="B43:J43"/>
    <mergeCell ref="B58:J58"/>
    <mergeCell ref="B62:H62"/>
    <mergeCell ref="B63:H63"/>
    <mergeCell ref="B2:H3"/>
    <mergeCell ref="AK2:AM2"/>
    <mergeCell ref="AL3:AM3"/>
    <mergeCell ref="R25:U25"/>
    <mergeCell ref="R26:U26"/>
    <mergeCell ref="B42:J42"/>
  </mergeCells>
  <printOptions horizontalCentered="1"/>
  <pageMargins left="0.4" right="0.4" top="1" bottom="0.5" header="0.3" footer="0.511811023622047"/>
  <pageSetup paperSize="9" scale="65" orientation="landscape" r:id="rId1"/>
  <headerFooter>
    <oddHeader>&amp;C&amp;B&amp;16Smoky Beef Burger</oddHeader>
  </headerFooter>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rgb="FFBF9000"/>
    <pageSetUpPr fitToPage="1"/>
  </sheetPr>
  <dimension ref="A1:AT174"/>
  <sheetViews>
    <sheetView zoomScale="55" zoomScaleNormal="55" workbookViewId="0">
      <selection activeCell="R36" sqref="R36"/>
    </sheetView>
  </sheetViews>
  <sheetFormatPr defaultColWidth="12.5" defaultRowHeight="12.75" x14ac:dyDescent="0.2"/>
  <cols>
    <col min="1" max="1" width="12.5" style="14" customWidth="1"/>
    <col min="2" max="2" width="46.62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875" style="14" customWidth="1"/>
    <col min="15" max="15" width="16.625" style="14" customWidth="1"/>
    <col min="16" max="17" width="12.5" style="14" customWidth="1"/>
    <col min="18" max="18" width="32.125" style="14" customWidth="1"/>
    <col min="19" max="19" width="12.5" style="14" customWidth="1"/>
    <col min="20" max="26" width="12.5" style="14"/>
    <col min="27" max="27" width="13.125" style="14" bestFit="1" customWidth="1"/>
    <col min="28" max="28" width="12.5" style="14" bestFit="1" customWidth="1"/>
    <col min="29" max="30" width="12.5" style="14"/>
    <col min="31" max="31" width="5.75" style="14" bestFit="1" customWidth="1"/>
    <col min="32" max="32" width="7.125" style="14" bestFit="1" customWidth="1"/>
    <col min="33" max="35" width="3.25" style="14" customWidth="1"/>
    <col min="36" max="36" width="31.375" style="14" customWidth="1"/>
    <col min="37" max="16384" width="12.5" style="14"/>
  </cols>
  <sheetData>
    <row r="1" spans="1:46" ht="28.5" customHeight="1" x14ac:dyDescent="0.2">
      <c r="B1" s="64" t="s">
        <v>231</v>
      </c>
      <c r="C1" s="65">
        <v>1000</v>
      </c>
      <c r="D1" s="66" t="s">
        <v>232</v>
      </c>
      <c r="E1" s="99">
        <f>T32</f>
        <v>2310</v>
      </c>
      <c r="F1" s="64" t="s">
        <v>233</v>
      </c>
      <c r="G1" s="99">
        <f>E1/C1</f>
        <v>2.31</v>
      </c>
      <c r="H1" s="64" t="s">
        <v>234</v>
      </c>
      <c r="I1" s="99">
        <f>G1/K1</f>
        <v>2.31</v>
      </c>
      <c r="J1" s="302" t="s">
        <v>235</v>
      </c>
      <c r="K1" s="303">
        <v>1</v>
      </c>
      <c r="L1" s="84"/>
      <c r="M1" s="73"/>
      <c r="N1" s="74"/>
      <c r="O1" s="75" t="s">
        <v>236</v>
      </c>
      <c r="P1" s="432" t="s">
        <v>237</v>
      </c>
      <c r="Q1" s="77" t="s">
        <v>238</v>
      </c>
      <c r="R1" s="76">
        <v>0.59</v>
      </c>
      <c r="S1" s="77" t="s">
        <v>333</v>
      </c>
      <c r="T1" s="304">
        <v>100</v>
      </c>
      <c r="U1" s="84"/>
      <c r="V1" s="84"/>
      <c r="Y1" s="75" t="s">
        <v>453</v>
      </c>
      <c r="Z1" s="766">
        <v>95</v>
      </c>
      <c r="AA1" s="75" t="s">
        <v>556</v>
      </c>
      <c r="AB1" s="766">
        <v>5</v>
      </c>
      <c r="AC1" s="75" t="s">
        <v>546</v>
      </c>
      <c r="AD1" s="766">
        <v>95</v>
      </c>
      <c r="AE1" s="75" t="s">
        <v>538</v>
      </c>
      <c r="AF1" s="766">
        <f>Z1+AB1</f>
        <v>100</v>
      </c>
      <c r="AJ1" s="78" t="s">
        <v>250</v>
      </c>
      <c r="AK1" s="78">
        <v>10000</v>
      </c>
      <c r="AL1" s="561" t="s">
        <v>483</v>
      </c>
      <c r="AM1" s="562">
        <f>$S$32</f>
        <v>7690</v>
      </c>
      <c r="AN1" s="78" t="s">
        <v>239</v>
      </c>
      <c r="AO1" s="80">
        <f>($S$32/$R$1)/$AK$1</f>
        <v>1.3033898305084748</v>
      </c>
      <c r="AP1" s="79"/>
    </row>
    <row r="2" spans="1:46" ht="12.75" customHeight="1" x14ac:dyDescent="0.2">
      <c r="A2" s="306"/>
      <c r="B2" s="1645" t="s">
        <v>81</v>
      </c>
      <c r="C2" s="1655"/>
      <c r="D2" s="1655"/>
      <c r="E2" s="1655"/>
      <c r="F2" s="1655"/>
      <c r="G2" s="1655"/>
      <c r="H2" s="1655"/>
      <c r="I2" s="1655"/>
      <c r="J2" s="1655"/>
      <c r="K2" s="1655"/>
      <c r="L2" s="270"/>
      <c r="M2" s="84"/>
      <c r="N2" s="84"/>
      <c r="O2" s="84"/>
      <c r="P2" s="84"/>
      <c r="Q2" s="84"/>
      <c r="R2" s="84"/>
      <c r="AC2" s="83"/>
      <c r="AD2" s="83"/>
      <c r="AE2" s="1652"/>
      <c r="AF2" s="1655"/>
      <c r="AG2" s="1655"/>
      <c r="AJ2" s="85"/>
      <c r="AK2" s="1631" t="s">
        <v>392</v>
      </c>
      <c r="AL2" s="1631"/>
      <c r="AM2" s="1631"/>
      <c r="AN2" s="1631"/>
      <c r="AO2" s="85"/>
      <c r="AP2" s="85"/>
    </row>
    <row r="3" spans="1:46" ht="12.75" customHeight="1" x14ac:dyDescent="0.2">
      <c r="A3" s="306"/>
      <c r="B3" s="1633"/>
      <c r="C3" s="1633"/>
      <c r="D3" s="1633"/>
      <c r="E3" s="1633"/>
      <c r="F3" s="1633"/>
      <c r="G3" s="1633"/>
      <c r="H3" s="1633"/>
      <c r="I3" s="1633"/>
      <c r="J3" s="1633"/>
      <c r="K3" s="1633"/>
      <c r="L3" s="270"/>
      <c r="M3" s="84"/>
      <c r="N3" s="84"/>
      <c r="O3" s="84"/>
      <c r="P3" s="84"/>
      <c r="Q3" s="84"/>
      <c r="R3" s="84"/>
      <c r="AC3" s="83"/>
      <c r="AD3" s="83"/>
      <c r="AE3" s="1655"/>
      <c r="AF3" s="1655"/>
      <c r="AG3" s="1655"/>
      <c r="AJ3" s="349"/>
      <c r="AK3" s="88"/>
      <c r="AL3" s="89"/>
      <c r="AM3" s="89"/>
      <c r="AN3" s="89"/>
      <c r="AO3" s="88"/>
      <c r="AP3" s="88"/>
    </row>
    <row r="4" spans="1:46"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347"/>
      <c r="N4" s="347"/>
      <c r="O4" s="84"/>
      <c r="P4" s="84"/>
      <c r="Q4" s="84"/>
      <c r="R4" s="84"/>
      <c r="AC4" s="229"/>
      <c r="AD4" s="231"/>
      <c r="AE4" s="229"/>
      <c r="AF4" s="229"/>
      <c r="AG4" s="229"/>
      <c r="AJ4" s="93" t="s">
        <v>241</v>
      </c>
      <c r="AK4" s="94" t="s">
        <v>242</v>
      </c>
      <c r="AL4" s="93" t="s">
        <v>250</v>
      </c>
      <c r="AM4" s="93" t="s">
        <v>234</v>
      </c>
      <c r="AN4" s="93" t="s">
        <v>243</v>
      </c>
      <c r="AO4" s="93" t="s">
        <v>244</v>
      </c>
      <c r="AP4" s="95" t="s">
        <v>245</v>
      </c>
      <c r="AQ4" s="75" t="s">
        <v>246</v>
      </c>
      <c r="AR4" s="75" t="s">
        <v>247</v>
      </c>
      <c r="AS4" s="75" t="s">
        <v>248</v>
      </c>
      <c r="AT4" s="75" t="s">
        <v>249</v>
      </c>
    </row>
    <row r="5" spans="1:46" ht="13.5" customHeight="1" x14ac:dyDescent="0.2">
      <c r="A5" s="1454"/>
      <c r="B5" s="286" t="s">
        <v>220</v>
      </c>
      <c r="C5" s="106" t="s">
        <v>14</v>
      </c>
      <c r="D5" s="454">
        <f>I51/10</f>
        <v>5649.8305084745762</v>
      </c>
      <c r="E5" s="99">
        <f>H52</f>
        <v>2.306953860922782</v>
      </c>
      <c r="F5" s="109">
        <v>1</v>
      </c>
      <c r="G5" s="101">
        <f t="shared" ref="G5:G12" si="0">D5*E5</f>
        <v>13033.898305084747</v>
      </c>
      <c r="H5" s="102">
        <f t="shared" ref="H5:H12" si="1">G5*F5</f>
        <v>13033.898305084747</v>
      </c>
      <c r="I5" s="65">
        <f>VLOOKUP(B5,All_Ingredients!$A$1:$F$156,6,FALSE())</f>
        <v>0.86</v>
      </c>
      <c r="J5" s="101">
        <f>VLOOKUP(B5,All_Ingredients!$A$1:$J$156,10,FALSE())</f>
        <v>17.100000000000001</v>
      </c>
      <c r="K5" s="104">
        <f t="shared" ref="K5" si="2">(H5/I5)/1000</f>
        <v>15.155695703586916</v>
      </c>
      <c r="L5" s="104">
        <f t="shared" ref="L5" si="3">K5*J5</f>
        <v>259.1623965313363</v>
      </c>
      <c r="M5" s="112"/>
      <c r="N5" s="112"/>
      <c r="O5" s="84"/>
      <c r="P5" s="84"/>
      <c r="Q5" s="84"/>
      <c r="R5" s="84"/>
      <c r="AC5" s="76"/>
      <c r="AD5" s="114"/>
      <c r="AE5" s="232"/>
      <c r="AF5" s="116"/>
      <c r="AG5" s="117"/>
      <c r="AJ5" s="350" t="s">
        <v>220</v>
      </c>
      <c r="AK5" s="106" t="s">
        <v>227</v>
      </c>
      <c r="AL5" s="351">
        <v>10</v>
      </c>
      <c r="AM5" s="352">
        <f t="shared" ref="AM5:AM13" si="4">$AO$1</f>
        <v>1.3033898305084748</v>
      </c>
      <c r="AN5" s="353">
        <v>1</v>
      </c>
      <c r="AO5" s="354">
        <f t="shared" ref="AO5:AO13" si="5">AL5*AM5</f>
        <v>13.033898305084747</v>
      </c>
      <c r="AP5" s="355">
        <f t="shared" ref="AP5:AP13" si="6">AO5*AN5</f>
        <v>13.033898305084747</v>
      </c>
      <c r="AQ5" s="272"/>
      <c r="AR5" s="1017"/>
      <c r="AS5" s="156"/>
      <c r="AT5" s="1018"/>
    </row>
    <row r="6" spans="1:46" ht="14.25" customHeight="1" x14ac:dyDescent="0.2">
      <c r="A6" s="1460"/>
      <c r="B6" s="200" t="s">
        <v>12</v>
      </c>
      <c r="C6" s="106" t="s">
        <v>14</v>
      </c>
      <c r="D6" s="114">
        <v>190</v>
      </c>
      <c r="E6" s="98">
        <f t="shared" ref="E6:E16" si="7">$I$1</f>
        <v>2.31</v>
      </c>
      <c r="F6" s="109">
        <v>1</v>
      </c>
      <c r="G6" s="101">
        <f t="shared" si="0"/>
        <v>438.90000000000003</v>
      </c>
      <c r="H6" s="102">
        <f t="shared" si="1"/>
        <v>438.90000000000003</v>
      </c>
      <c r="I6" s="65">
        <f>VLOOKUP(B6,All_Ingredients!$A$1:$F$156,6,FALSE())</f>
        <v>0.9</v>
      </c>
      <c r="J6" s="101">
        <f>VLOOKUP(B6,All_Ingredients!$A$1:$J$156,10,FALSE())</f>
        <v>3</v>
      </c>
      <c r="K6" s="104">
        <f t="shared" ref="K6:K12" si="8">(H6/I6)/1000</f>
        <v>0.48766666666666669</v>
      </c>
      <c r="L6" s="104">
        <f t="shared" ref="L6:L12" si="9">K6*J6</f>
        <v>1.4630000000000001</v>
      </c>
      <c r="M6" s="112"/>
      <c r="N6" s="112"/>
      <c r="AI6" s="14" t="s">
        <v>55</v>
      </c>
      <c r="AJ6" s="350" t="s">
        <v>54</v>
      </c>
      <c r="AK6" s="310" t="s">
        <v>14</v>
      </c>
      <c r="AL6" s="98">
        <v>100</v>
      </c>
      <c r="AM6" s="352">
        <f t="shared" si="4"/>
        <v>1.3033898305084748</v>
      </c>
      <c r="AN6" s="353">
        <v>1</v>
      </c>
      <c r="AO6" s="354">
        <f t="shared" si="5"/>
        <v>130.33898305084747</v>
      </c>
      <c r="AP6" s="355">
        <f t="shared" si="6"/>
        <v>130.33898305084747</v>
      </c>
      <c r="AQ6" s="1018">
        <f>VLOOKUP(AJ6,Marination_Ordering!$A:$J,6,FALSE)</f>
        <v>0.87</v>
      </c>
      <c r="AR6" s="1018">
        <f>VLOOKUP(AJ6,Marination_Ordering!$A:$J,10,FALSE)</f>
        <v>7</v>
      </c>
      <c r="AS6" s="156">
        <f>AP6/AQ6</f>
        <v>149.81492304695112</v>
      </c>
      <c r="AT6" s="1018">
        <f>AR6*(AS6/1000)</f>
        <v>1.0487044613286578</v>
      </c>
    </row>
    <row r="7" spans="1:46" ht="14.25" customHeight="1" x14ac:dyDescent="0.2">
      <c r="A7" s="1460"/>
      <c r="B7" s="200" t="s">
        <v>28</v>
      </c>
      <c r="C7" s="106" t="s">
        <v>14</v>
      </c>
      <c r="D7" s="98">
        <v>190</v>
      </c>
      <c r="E7" s="98">
        <f t="shared" si="7"/>
        <v>2.31</v>
      </c>
      <c r="F7" s="109">
        <v>1</v>
      </c>
      <c r="G7" s="101">
        <f t="shared" si="0"/>
        <v>438.90000000000003</v>
      </c>
      <c r="H7" s="102">
        <f t="shared" si="1"/>
        <v>438.90000000000003</v>
      </c>
      <c r="I7" s="65">
        <f>VLOOKUP(B7,All_Ingredients!$A$1:$F$156,6,FALSE())</f>
        <v>0.73</v>
      </c>
      <c r="J7" s="101">
        <f>VLOOKUP(B7,All_Ingredients!$A$1:$J$156,10,FALSE())</f>
        <v>8.5</v>
      </c>
      <c r="K7" s="104">
        <f t="shared" si="8"/>
        <v>0.60123287671232883</v>
      </c>
      <c r="L7" s="104">
        <f t="shared" si="9"/>
        <v>5.1104794520547951</v>
      </c>
      <c r="M7" s="112"/>
      <c r="N7" s="112"/>
      <c r="AI7" s="14" t="s">
        <v>13</v>
      </c>
      <c r="AJ7" s="350" t="s">
        <v>727</v>
      </c>
      <c r="AK7" s="310" t="s">
        <v>14</v>
      </c>
      <c r="AL7" s="98">
        <v>100</v>
      </c>
      <c r="AM7" s="352">
        <f t="shared" si="4"/>
        <v>1.3033898305084748</v>
      </c>
      <c r="AN7" s="353">
        <v>1</v>
      </c>
      <c r="AO7" s="354">
        <f t="shared" si="5"/>
        <v>130.33898305084747</v>
      </c>
      <c r="AP7" s="355">
        <f t="shared" si="6"/>
        <v>130.33898305084747</v>
      </c>
      <c r="AQ7" s="1018">
        <f>VLOOKUP(AJ7,Marination_Ordering!$A:$J,6,FALSE)</f>
        <v>1</v>
      </c>
      <c r="AR7" s="1018">
        <f>VLOOKUP(AJ7,Marination_Ordering!$A:$J,10,FALSE)</f>
        <v>10.5</v>
      </c>
      <c r="AS7" s="156">
        <f t="shared" ref="AS7:AS9" si="10">AP7/AQ7</f>
        <v>130.33898305084747</v>
      </c>
      <c r="AT7" s="1018">
        <f t="shared" ref="AT7:AT9" si="11">AR7*(AS7/1000)</f>
        <v>1.3685593220338985</v>
      </c>
    </row>
    <row r="8" spans="1:46" ht="14.25" customHeight="1" x14ac:dyDescent="0.2">
      <c r="A8" s="1460"/>
      <c r="B8" s="200" t="s">
        <v>30</v>
      </c>
      <c r="C8" s="106" t="s">
        <v>14</v>
      </c>
      <c r="D8" s="98">
        <v>190</v>
      </c>
      <c r="E8" s="98">
        <f t="shared" si="7"/>
        <v>2.31</v>
      </c>
      <c r="F8" s="109">
        <v>1</v>
      </c>
      <c r="G8" s="101">
        <f t="shared" si="0"/>
        <v>438.90000000000003</v>
      </c>
      <c r="H8" s="102">
        <f t="shared" si="1"/>
        <v>438.90000000000003</v>
      </c>
      <c r="I8" s="65">
        <f>VLOOKUP(B8,All_Ingredients!$A$1:$F$156,6,FALSE())</f>
        <v>0.71</v>
      </c>
      <c r="J8" s="101">
        <f>VLOOKUP(B8,All_Ingredients!$A$1:$J$156,10,FALSE())</f>
        <v>8.5</v>
      </c>
      <c r="K8" s="104">
        <f t="shared" si="8"/>
        <v>0.61816901408450708</v>
      </c>
      <c r="L8" s="104">
        <f t="shared" si="9"/>
        <v>5.2544366197183106</v>
      </c>
      <c r="M8" s="112"/>
      <c r="N8" s="112"/>
      <c r="AI8" s="14" t="s">
        <v>204</v>
      </c>
      <c r="AJ8" s="350" t="s">
        <v>212</v>
      </c>
      <c r="AK8" s="310" t="s">
        <v>160</v>
      </c>
      <c r="AL8" s="201">
        <v>350</v>
      </c>
      <c r="AM8" s="352">
        <f t="shared" si="4"/>
        <v>1.3033898305084748</v>
      </c>
      <c r="AN8" s="353">
        <v>1</v>
      </c>
      <c r="AO8" s="354">
        <f t="shared" si="5"/>
        <v>456.18644067796617</v>
      </c>
      <c r="AP8" s="355">
        <f t="shared" si="6"/>
        <v>456.18644067796617</v>
      </c>
      <c r="AQ8" s="1018">
        <f>VLOOKUP(AJ8,Marination_Ordering!$A:$J,6,FALSE)</f>
        <v>1</v>
      </c>
      <c r="AR8" s="1018">
        <f>VLOOKUP(AJ8,Marination_Ordering!$A:$J,10,FALSE)</f>
        <v>5</v>
      </c>
      <c r="AS8" s="156">
        <f t="shared" si="10"/>
        <v>456.18644067796617</v>
      </c>
      <c r="AT8" s="1018">
        <f t="shared" si="11"/>
        <v>2.2809322033898307</v>
      </c>
    </row>
    <row r="9" spans="1:46" ht="14.25" customHeight="1" x14ac:dyDescent="0.2">
      <c r="A9" s="1460"/>
      <c r="B9" s="20" t="s">
        <v>32</v>
      </c>
      <c r="C9" s="106" t="s">
        <v>14</v>
      </c>
      <c r="D9" s="98">
        <v>190</v>
      </c>
      <c r="E9" s="98">
        <f t="shared" si="7"/>
        <v>2.31</v>
      </c>
      <c r="F9" s="109">
        <v>1</v>
      </c>
      <c r="G9" s="101">
        <f t="shared" si="0"/>
        <v>438.90000000000003</v>
      </c>
      <c r="H9" s="102">
        <f t="shared" si="1"/>
        <v>438.90000000000003</v>
      </c>
      <c r="I9" s="65">
        <f>VLOOKUP(B9,All_Ingredients!$A$1:$F$156,6,FALSE())</f>
        <v>0.69</v>
      </c>
      <c r="J9" s="101">
        <f>VLOOKUP(B9,All_Ingredients!$A$1:$J$156,10,FALSE())</f>
        <v>4</v>
      </c>
      <c r="K9" s="104">
        <f t="shared" si="8"/>
        <v>0.63608695652173919</v>
      </c>
      <c r="L9" s="104">
        <f t="shared" si="9"/>
        <v>2.5443478260869568</v>
      </c>
      <c r="M9" s="112"/>
      <c r="N9" s="112"/>
      <c r="AI9" s="14" t="s">
        <v>204</v>
      </c>
      <c r="AJ9" s="350" t="s">
        <v>208</v>
      </c>
      <c r="AK9" s="106" t="s">
        <v>160</v>
      </c>
      <c r="AL9" s="98">
        <v>70</v>
      </c>
      <c r="AM9" s="352">
        <f t="shared" si="4"/>
        <v>1.3033898305084748</v>
      </c>
      <c r="AN9" s="353">
        <v>1</v>
      </c>
      <c r="AO9" s="354">
        <f t="shared" si="5"/>
        <v>91.237288135593232</v>
      </c>
      <c r="AP9" s="355">
        <f t="shared" si="6"/>
        <v>91.237288135593232</v>
      </c>
      <c r="AQ9" s="1018">
        <f>VLOOKUP(AJ9,Marination_Ordering!$A:$J,6,FALSE)</f>
        <v>1</v>
      </c>
      <c r="AR9" s="1018">
        <f>VLOOKUP(AJ9,Marination_Ordering!$A:$J,10,FALSE)</f>
        <v>2.1621621621621623</v>
      </c>
      <c r="AS9" s="156">
        <f t="shared" si="10"/>
        <v>91.237288135593232</v>
      </c>
      <c r="AT9" s="1018">
        <f t="shared" si="11"/>
        <v>0.19726981218506645</v>
      </c>
    </row>
    <row r="10" spans="1:46" ht="14.25" customHeight="1" x14ac:dyDescent="0.25">
      <c r="A10" s="1460"/>
      <c r="B10" s="200" t="s">
        <v>198</v>
      </c>
      <c r="C10" s="906" t="s">
        <v>160</v>
      </c>
      <c r="D10" s="98">
        <v>360</v>
      </c>
      <c r="E10" s="98">
        <f t="shared" si="7"/>
        <v>2.31</v>
      </c>
      <c r="F10" s="109">
        <v>1</v>
      </c>
      <c r="G10" s="101">
        <f t="shared" si="0"/>
        <v>831.6</v>
      </c>
      <c r="H10" s="102">
        <f t="shared" si="1"/>
        <v>831.6</v>
      </c>
      <c r="I10" s="65">
        <f>VLOOKUP(B10,All_Ingredients!$A$1:$F$156,6,FALSE())</f>
        <v>1</v>
      </c>
      <c r="J10" s="101">
        <f>VLOOKUP(B10,All_Ingredients!$A$1:$J$156,10,FALSE())</f>
        <v>3.25</v>
      </c>
      <c r="K10" s="104">
        <f t="shared" si="8"/>
        <v>0.83160000000000001</v>
      </c>
      <c r="L10" s="104">
        <f t="shared" si="9"/>
        <v>2.7027000000000001</v>
      </c>
      <c r="M10" s="112"/>
      <c r="N10" s="112"/>
      <c r="AI10" s="14" t="s">
        <v>94</v>
      </c>
      <c r="AJ10" s="350" t="s">
        <v>93</v>
      </c>
      <c r="AK10" s="310" t="s">
        <v>14</v>
      </c>
      <c r="AL10" s="98">
        <v>2</v>
      </c>
      <c r="AM10" s="352">
        <f t="shared" si="4"/>
        <v>1.3033898305084748</v>
      </c>
      <c r="AN10" s="353">
        <v>1</v>
      </c>
      <c r="AO10" s="354">
        <f t="shared" si="5"/>
        <v>2.6067796610169496</v>
      </c>
      <c r="AP10" s="355">
        <f t="shared" si="6"/>
        <v>2.6067796610169496</v>
      </c>
      <c r="AQ10" s="1018">
        <f>VLOOKUP(AJ10,Marination_Ordering!$A:$J,6,FALSE)</f>
        <v>1</v>
      </c>
      <c r="AR10" s="1018">
        <f>VLOOKUP(AJ10,Marination_Ordering!$A:$J,10,FALSE)</f>
        <v>0.74</v>
      </c>
      <c r="AS10" s="156">
        <f t="shared" ref="AS10:AS13" si="12">AP10/AQ10</f>
        <v>2.6067796610169496</v>
      </c>
      <c r="AT10" s="1018">
        <f t="shared" ref="AT10:AT13" si="13">AR10*(AS10/1000)</f>
        <v>1.9290169491525426E-3</v>
      </c>
    </row>
    <row r="11" spans="1:46" ht="14.25" customHeight="1" x14ac:dyDescent="0.2">
      <c r="A11" s="1460"/>
      <c r="B11" s="200" t="s">
        <v>192</v>
      </c>
      <c r="C11" s="106" t="s">
        <v>160</v>
      </c>
      <c r="D11" s="98">
        <v>95</v>
      </c>
      <c r="E11" s="98">
        <f t="shared" si="7"/>
        <v>2.31</v>
      </c>
      <c r="F11" s="109">
        <v>1</v>
      </c>
      <c r="G11" s="101">
        <f t="shared" si="0"/>
        <v>219.45000000000002</v>
      </c>
      <c r="H11" s="102">
        <f t="shared" si="1"/>
        <v>219.45000000000002</v>
      </c>
      <c r="I11" s="65">
        <f>VLOOKUP(B11,All_Ingredients!$A$1:$F$156,6,FALSE())</f>
        <v>1</v>
      </c>
      <c r="J11" s="101">
        <f>VLOOKUP(B11,All_Ingredients!$A$1:$J$156,10,FALSE())</f>
        <v>58.685446009389672</v>
      </c>
      <c r="K11" s="104">
        <f t="shared" si="8"/>
        <v>0.21945000000000001</v>
      </c>
      <c r="L11" s="104">
        <f t="shared" si="9"/>
        <v>12.878521126760564</v>
      </c>
      <c r="M11" s="112"/>
      <c r="N11" s="112"/>
      <c r="AI11" s="14" t="s">
        <v>94</v>
      </c>
      <c r="AJ11" s="350" t="s">
        <v>99</v>
      </c>
      <c r="AK11" s="310" t="s">
        <v>14</v>
      </c>
      <c r="AL11" s="98">
        <v>3</v>
      </c>
      <c r="AM11" s="352">
        <f t="shared" si="4"/>
        <v>1.3033898305084748</v>
      </c>
      <c r="AN11" s="353">
        <v>1</v>
      </c>
      <c r="AO11" s="354">
        <f t="shared" si="5"/>
        <v>3.9101694915254246</v>
      </c>
      <c r="AP11" s="355">
        <f t="shared" si="6"/>
        <v>3.9101694915254246</v>
      </c>
      <c r="AQ11" s="1018">
        <f>VLOOKUP(AJ11,Marination_Ordering!$A:$J,6,FALSE)</f>
        <v>1</v>
      </c>
      <c r="AR11" s="1018">
        <f>VLOOKUP(AJ11,Marination_Ordering!$A:$J,10,FALSE)</f>
        <v>31</v>
      </c>
      <c r="AS11" s="156">
        <f t="shared" si="12"/>
        <v>3.9101694915254246</v>
      </c>
      <c r="AT11" s="1018">
        <f t="shared" si="13"/>
        <v>0.12121525423728816</v>
      </c>
    </row>
    <row r="12" spans="1:46" ht="14.25" customHeight="1" x14ac:dyDescent="0.2">
      <c r="A12" s="1460"/>
      <c r="B12" s="200" t="s">
        <v>60</v>
      </c>
      <c r="C12" s="106" t="s">
        <v>14</v>
      </c>
      <c r="D12" s="98">
        <v>25</v>
      </c>
      <c r="E12" s="98">
        <f t="shared" si="7"/>
        <v>2.31</v>
      </c>
      <c r="F12" s="109">
        <v>1</v>
      </c>
      <c r="G12" s="101">
        <f t="shared" si="0"/>
        <v>57.75</v>
      </c>
      <c r="H12" s="102">
        <f t="shared" si="1"/>
        <v>57.75</v>
      </c>
      <c r="I12" s="65">
        <f>VLOOKUP(B12,All_Ingredients!$A$1:$F$156,6,FALSE())</f>
        <v>0.94</v>
      </c>
      <c r="J12" s="101">
        <f>VLOOKUP(B12,All_Ingredients!$A$1:$J$156,10,FALSE())</f>
        <v>3.6363636363636367</v>
      </c>
      <c r="K12" s="104">
        <f t="shared" si="8"/>
        <v>6.1436170212765956E-2</v>
      </c>
      <c r="L12" s="104">
        <f t="shared" si="9"/>
        <v>0.22340425531914895</v>
      </c>
      <c r="M12" s="112"/>
      <c r="N12" s="112"/>
      <c r="AI12" s="14" t="s">
        <v>94</v>
      </c>
      <c r="AJ12" s="350" t="s">
        <v>110</v>
      </c>
      <c r="AK12" s="310" t="s">
        <v>14</v>
      </c>
      <c r="AL12" s="107">
        <v>15</v>
      </c>
      <c r="AM12" s="352">
        <f t="shared" si="4"/>
        <v>1.3033898305084748</v>
      </c>
      <c r="AN12" s="353">
        <v>1</v>
      </c>
      <c r="AO12" s="354">
        <f t="shared" si="5"/>
        <v>19.550847457627121</v>
      </c>
      <c r="AP12" s="355">
        <f t="shared" si="6"/>
        <v>19.550847457627121</v>
      </c>
      <c r="AQ12" s="1018">
        <f>VLOOKUP(AJ12,Marination_Ordering!$A:$J,6,FALSE)</f>
        <v>1</v>
      </c>
      <c r="AR12" s="1018">
        <f>VLOOKUP(AJ12,Marination_Ordering!$A:$J,10,FALSE)</f>
        <v>64.243759177679877</v>
      </c>
      <c r="AS12" s="156">
        <f t="shared" si="12"/>
        <v>19.550847457627121</v>
      </c>
      <c r="AT12" s="1018">
        <f t="shared" si="13"/>
        <v>1.2560199357873516</v>
      </c>
    </row>
    <row r="13" spans="1:46" ht="14.25" customHeight="1" x14ac:dyDescent="0.2">
      <c r="A13" s="1460"/>
      <c r="B13" s="981" t="s">
        <v>838</v>
      </c>
      <c r="C13" s="106" t="s">
        <v>230</v>
      </c>
      <c r="D13" s="98">
        <v>1</v>
      </c>
      <c r="E13" s="98">
        <f>$Z$1+$AB$1</f>
        <v>100</v>
      </c>
      <c r="F13" s="109">
        <v>1</v>
      </c>
      <c r="G13" s="103">
        <f>D13*($Z$1+$AB$1)</f>
        <v>100</v>
      </c>
      <c r="H13" s="102">
        <f>G13*F13</f>
        <v>100</v>
      </c>
      <c r="I13" s="65">
        <f>VLOOKUP(B13,All_Ingredients!$A$1:$F$156,6,FALSE())</f>
        <v>1</v>
      </c>
      <c r="J13" s="101">
        <f>VLOOKUP(B13,All_Ingredients!$A$1:$J$156,10,FALSE())</f>
        <v>0.5</v>
      </c>
      <c r="K13" s="156">
        <f>H13*I13</f>
        <v>100</v>
      </c>
      <c r="L13" s="104">
        <f>K13*J13</f>
        <v>50</v>
      </c>
      <c r="AI13" s="14" t="s">
        <v>94</v>
      </c>
      <c r="AJ13" s="350" t="s">
        <v>105</v>
      </c>
      <c r="AK13" s="310" t="s">
        <v>14</v>
      </c>
      <c r="AL13" s="98">
        <v>20</v>
      </c>
      <c r="AM13" s="352">
        <f t="shared" si="4"/>
        <v>1.3033898305084748</v>
      </c>
      <c r="AN13" s="353">
        <v>1</v>
      </c>
      <c r="AO13" s="354">
        <f t="shared" si="5"/>
        <v>26.067796610169495</v>
      </c>
      <c r="AP13" s="355">
        <f t="shared" si="6"/>
        <v>26.067796610169495</v>
      </c>
      <c r="AQ13" s="1018">
        <f>VLOOKUP(AJ13,Marination_Ordering!$A:$J,6,FALSE)</f>
        <v>1</v>
      </c>
      <c r="AR13" s="1018">
        <f>VLOOKUP(AJ13,Marination_Ordering!$A:$J,10,FALSE)</f>
        <v>15</v>
      </c>
      <c r="AS13" s="156">
        <f t="shared" si="12"/>
        <v>26.067796610169495</v>
      </c>
      <c r="AT13" s="1018">
        <f t="shared" si="13"/>
        <v>0.39101694915254243</v>
      </c>
    </row>
    <row r="14" spans="1:46" ht="14.25" customHeight="1" x14ac:dyDescent="0.2">
      <c r="A14" s="1460"/>
      <c r="B14" s="981" t="s">
        <v>727</v>
      </c>
      <c r="C14" s="106" t="s">
        <v>14</v>
      </c>
      <c r="D14" s="98">
        <v>20</v>
      </c>
      <c r="E14" s="98">
        <f t="shared" si="7"/>
        <v>2.31</v>
      </c>
      <c r="F14" s="109">
        <v>1</v>
      </c>
      <c r="G14" s="101">
        <f t="shared" ref="G14" si="14">D14*E14</f>
        <v>46.2</v>
      </c>
      <c r="H14" s="102">
        <f t="shared" ref="H14" si="15">G14*F14</f>
        <v>46.2</v>
      </c>
      <c r="I14" s="65">
        <f>VLOOKUP(B14,All_Ingredients!$A$1:$F$156,6,FALSE())</f>
        <v>1</v>
      </c>
      <c r="J14" s="101">
        <f>VLOOKUP(B14,All_Ingredients!$A$1:$J$156,10,FALSE())</f>
        <v>10.5</v>
      </c>
      <c r="K14" s="156">
        <f t="shared" ref="K14:K16" si="16">H14*I14</f>
        <v>46.2</v>
      </c>
      <c r="L14" s="104">
        <f t="shared" ref="L14:L16" si="17">K14*J14</f>
        <v>485.1</v>
      </c>
    </row>
    <row r="15" spans="1:46" ht="14.25" x14ac:dyDescent="0.2">
      <c r="A15" s="1460"/>
      <c r="B15" s="981" t="s">
        <v>152</v>
      </c>
      <c r="C15" s="106" t="s">
        <v>14</v>
      </c>
      <c r="D15" s="98">
        <v>50</v>
      </c>
      <c r="E15" s="98">
        <f t="shared" si="7"/>
        <v>2.31</v>
      </c>
      <c r="F15" s="109">
        <v>1</v>
      </c>
      <c r="G15" s="101">
        <f t="shared" ref="G15:G16" si="18">D15*E15</f>
        <v>115.5</v>
      </c>
      <c r="H15" s="102">
        <f t="shared" ref="H15:H16" si="19">G15*F15</f>
        <v>115.5</v>
      </c>
      <c r="I15" s="65">
        <f>VLOOKUP(B15,All_Ingredients!$A$1:$F$156,6,FALSE())</f>
        <v>1</v>
      </c>
      <c r="J15" s="101">
        <f>VLOOKUP(B15,All_Ingredients!$A$1:$J$156,10,FALSE())</f>
        <v>30</v>
      </c>
      <c r="K15" s="156">
        <f t="shared" si="16"/>
        <v>115.5</v>
      </c>
      <c r="L15" s="104">
        <f t="shared" si="17"/>
        <v>3465</v>
      </c>
    </row>
    <row r="16" spans="1:46" ht="14.25" x14ac:dyDescent="0.2">
      <c r="A16" s="1460"/>
      <c r="B16" s="981" t="s">
        <v>93</v>
      </c>
      <c r="C16" s="106" t="s">
        <v>14</v>
      </c>
      <c r="D16" s="98">
        <v>5</v>
      </c>
      <c r="E16" s="98">
        <f t="shared" si="7"/>
        <v>2.31</v>
      </c>
      <c r="F16" s="109">
        <v>1</v>
      </c>
      <c r="G16" s="101">
        <f t="shared" si="18"/>
        <v>11.55</v>
      </c>
      <c r="H16" s="102">
        <f t="shared" si="19"/>
        <v>11.55</v>
      </c>
      <c r="I16" s="65">
        <f>VLOOKUP(B16,All_Ingredients!$A$1:$F$156,6,FALSE())</f>
        <v>1</v>
      </c>
      <c r="J16" s="101">
        <f>VLOOKUP(B16,All_Ingredients!$A$1:$J$156,10,FALSE())</f>
        <v>0.74</v>
      </c>
      <c r="K16" s="156">
        <f t="shared" si="16"/>
        <v>11.55</v>
      </c>
      <c r="L16" s="104">
        <f t="shared" si="17"/>
        <v>8.5470000000000006</v>
      </c>
    </row>
    <row r="17" spans="1:32" x14ac:dyDescent="0.2">
      <c r="A17" s="1461"/>
    </row>
    <row r="18" spans="1:32" ht="14.25" customHeight="1" x14ac:dyDescent="0.2">
      <c r="A18" s="1461"/>
      <c r="N18" s="241"/>
    </row>
    <row r="19" spans="1:32" x14ac:dyDescent="0.2">
      <c r="A19" s="1461"/>
    </row>
    <row r="20" spans="1:32" x14ac:dyDescent="0.2">
      <c r="A20" s="1461"/>
    </row>
    <row r="21" spans="1:32" x14ac:dyDescent="0.2">
      <c r="A21" s="1461"/>
    </row>
    <row r="22" spans="1:32" x14ac:dyDescent="0.2">
      <c r="A22" s="1461"/>
    </row>
    <row r="23" spans="1:32" x14ac:dyDescent="0.2">
      <c r="A23" s="1461"/>
    </row>
    <row r="24" spans="1:32" x14ac:dyDescent="0.2">
      <c r="A24" s="1461"/>
      <c r="Z24" s="1073"/>
    </row>
    <row r="25" spans="1:32" ht="12.75" customHeight="1" x14ac:dyDescent="0.2">
      <c r="A25" s="1461"/>
      <c r="R25" s="1662" t="s">
        <v>392</v>
      </c>
      <c r="S25" s="1633"/>
      <c r="T25" s="1633"/>
      <c r="U25" s="1633"/>
      <c r="V25" s="997"/>
      <c r="Z25" s="122" t="s">
        <v>784</v>
      </c>
      <c r="AA25" s="123">
        <v>1</v>
      </c>
      <c r="AB25" s="122" t="s">
        <v>249</v>
      </c>
      <c r="AC25" s="124">
        <f>AF30*AA25</f>
        <v>3.4600493276633983</v>
      </c>
    </row>
    <row r="26" spans="1:32" ht="12.75" customHeight="1" x14ac:dyDescent="0.2">
      <c r="A26" s="1461"/>
      <c r="R26" s="1646" t="s">
        <v>297</v>
      </c>
      <c r="S26" s="1655"/>
      <c r="T26" s="1655"/>
      <c r="U26" s="1655"/>
      <c r="V26" s="997"/>
    </row>
    <row r="27" spans="1:32" ht="14.25" customHeight="1" thickBot="1" x14ac:dyDescent="0.25">
      <c r="A27" s="1461"/>
      <c r="P27" s="314"/>
      <c r="R27" s="126" t="s">
        <v>254</v>
      </c>
      <c r="S27" s="126" t="s">
        <v>358</v>
      </c>
      <c r="T27" s="126" t="s">
        <v>256</v>
      </c>
      <c r="U27" s="126" t="s">
        <v>257</v>
      </c>
      <c r="V27" s="127" t="s">
        <v>772</v>
      </c>
      <c r="W27" s="127" t="s">
        <v>785</v>
      </c>
      <c r="X27" s="127" t="s">
        <v>780</v>
      </c>
      <c r="Z27" s="122" t="s">
        <v>258</v>
      </c>
      <c r="AA27" s="128" t="s">
        <v>772</v>
      </c>
      <c r="AB27" s="128" t="s">
        <v>781</v>
      </c>
      <c r="AC27" s="128" t="s">
        <v>260</v>
      </c>
      <c r="AD27" s="128" t="s">
        <v>783</v>
      </c>
      <c r="AE27" s="128" t="s">
        <v>780</v>
      </c>
      <c r="AF27" s="128" t="s">
        <v>262</v>
      </c>
    </row>
    <row r="28" spans="1:32" ht="14.25" customHeight="1" thickBot="1" x14ac:dyDescent="0.25">
      <c r="A28" s="1461"/>
      <c r="R28" s="126" t="s">
        <v>263</v>
      </c>
      <c r="S28" s="722">
        <f>U28*S40</f>
        <v>7305.5</v>
      </c>
      <c r="T28" s="722">
        <f>U28*U40</f>
        <v>2194.5</v>
      </c>
      <c r="U28" s="720">
        <f>$Z$1*$T$1</f>
        <v>9500</v>
      </c>
      <c r="V28" s="130">
        <f>SUM(AP5:AP13)</f>
        <v>873.27118644067798</v>
      </c>
      <c r="W28" s="130">
        <f>SUM(K16:K18)</f>
        <v>11.55</v>
      </c>
      <c r="X28" s="130">
        <f>Z1+AB1</f>
        <v>100</v>
      </c>
      <c r="Z28" s="132"/>
      <c r="AA28" s="1051"/>
      <c r="AB28" s="133">
        <f>T1*$S$40</f>
        <v>76.900000000000006</v>
      </c>
      <c r="AC28" s="133">
        <f>T1*$U$40</f>
        <v>23.1</v>
      </c>
      <c r="AD28" s="1051"/>
      <c r="AE28" s="1051"/>
      <c r="AF28" s="135">
        <f>SUM(AB28:AD28)</f>
        <v>100</v>
      </c>
    </row>
    <row r="29" spans="1:32" ht="14.25" customHeight="1" thickBot="1" x14ac:dyDescent="0.25">
      <c r="A29" s="1461"/>
      <c r="R29" s="126" t="s">
        <v>264</v>
      </c>
      <c r="S29" s="723"/>
      <c r="T29" s="722"/>
      <c r="U29" s="315">
        <f>T29</f>
        <v>0</v>
      </c>
      <c r="V29" s="130"/>
      <c r="W29" s="130"/>
      <c r="X29" s="130"/>
      <c r="Z29" s="132"/>
      <c r="AA29" s="1051"/>
      <c r="AB29" s="137">
        <f>AB28/$AF$28</f>
        <v>0.76900000000000002</v>
      </c>
      <c r="AC29" s="137">
        <f>AC28/$AF$28</f>
        <v>0.23100000000000001</v>
      </c>
      <c r="AD29" s="1051"/>
      <c r="AE29" s="1051"/>
      <c r="AF29" s="137">
        <f>AF28/$AF$28</f>
        <v>1</v>
      </c>
    </row>
    <row r="30" spans="1:32" ht="14.25" customHeight="1" thickBot="1" x14ac:dyDescent="0.25">
      <c r="A30" s="1461"/>
      <c r="R30" s="126" t="s">
        <v>265</v>
      </c>
      <c r="S30" s="1179">
        <f>U30*S40</f>
        <v>384.5</v>
      </c>
      <c r="T30" s="722">
        <f>U30*U40</f>
        <v>115.5</v>
      </c>
      <c r="U30" s="720">
        <f>$AB$1*$T$1</f>
        <v>500</v>
      </c>
      <c r="V30" s="989"/>
      <c r="W30" s="989"/>
      <c r="X30" s="989"/>
      <c r="Z30" s="122" t="s">
        <v>782</v>
      </c>
      <c r="AA30" s="991">
        <f>V35/$AF$1</f>
        <v>6.6656469550637892E-2</v>
      </c>
      <c r="AB30" s="138">
        <f>S35/AF1</f>
        <v>2.5916239653133628</v>
      </c>
      <c r="AC30" s="1050">
        <f>T35/AF1</f>
        <v>0.30176889279939778</v>
      </c>
      <c r="AD30" s="275">
        <f>W35/AF1</f>
        <v>0</v>
      </c>
      <c r="AE30" s="991">
        <f>X35/$AF$1</f>
        <v>0.5</v>
      </c>
      <c r="AF30" s="994">
        <f>AA30+AB30+AC30+AD30+AE30</f>
        <v>3.4600493276633983</v>
      </c>
    </row>
    <row r="31" spans="1:32" ht="14.25" customHeight="1" thickBot="1" x14ac:dyDescent="0.25">
      <c r="A31" s="1461"/>
      <c r="R31" s="126" t="s">
        <v>267</v>
      </c>
      <c r="S31" s="271"/>
      <c r="T31" s="315"/>
      <c r="U31" s="315"/>
      <c r="V31" s="130"/>
      <c r="W31" s="130"/>
      <c r="X31" s="130"/>
    </row>
    <row r="32" spans="1:32" ht="14.25" customHeight="1" thickBot="1" x14ac:dyDescent="0.25">
      <c r="A32" s="1461"/>
      <c r="R32" s="127" t="s">
        <v>257</v>
      </c>
      <c r="S32" s="316">
        <f>SUM(S28:S30)</f>
        <v>7690</v>
      </c>
      <c r="T32" s="316">
        <f>SUM(T28:T30)</f>
        <v>2310</v>
      </c>
      <c r="U32" s="316">
        <f>SUM(U28:U30)</f>
        <v>10000</v>
      </c>
      <c r="V32" s="130"/>
      <c r="W32" s="130"/>
      <c r="X32" s="130"/>
    </row>
    <row r="33" spans="1:24" ht="18" customHeight="1" thickBot="1" x14ac:dyDescent="0.3">
      <c r="A33" s="1461"/>
      <c r="K33" s="239"/>
      <c r="R33" s="317" t="s">
        <v>268</v>
      </c>
      <c r="S33" s="318"/>
      <c r="T33" s="318"/>
      <c r="U33" s="319"/>
      <c r="V33" s="136"/>
      <c r="W33" s="136"/>
      <c r="X33" s="136"/>
    </row>
    <row r="34" spans="1:24" ht="18" customHeight="1" thickBot="1" x14ac:dyDescent="0.25">
      <c r="A34" s="1461"/>
      <c r="K34" s="239"/>
      <c r="R34" s="159" t="s">
        <v>269</v>
      </c>
      <c r="S34" s="320"/>
      <c r="T34" s="321"/>
      <c r="U34" s="320"/>
      <c r="V34" s="136"/>
      <c r="W34" s="136"/>
      <c r="X34" s="136"/>
    </row>
    <row r="35" spans="1:24" ht="12.75" customHeight="1" thickBot="1" x14ac:dyDescent="0.25">
      <c r="A35" s="1461"/>
      <c r="R35" s="144" t="s">
        <v>249</v>
      </c>
      <c r="S35" s="990">
        <f>$L$5</f>
        <v>259.1623965313363</v>
      </c>
      <c r="T35" s="990">
        <f>SUM(L6:L12)</f>
        <v>30.176889279939779</v>
      </c>
      <c r="U35" s="1049">
        <f>S35+T35+V35+W35+X35</f>
        <v>346.00493276633983</v>
      </c>
      <c r="V35" s="990">
        <f>SUM(AT6:AT13)</f>
        <v>6.6656469550637887</v>
      </c>
      <c r="W35" s="990"/>
      <c r="X35" s="990">
        <f>L13</f>
        <v>50</v>
      </c>
    </row>
    <row r="36" spans="1:24" ht="12.75" customHeight="1" x14ac:dyDescent="0.2">
      <c r="A36" s="1461"/>
    </row>
    <row r="37" spans="1:24" ht="12.75" customHeight="1" x14ac:dyDescent="0.2">
      <c r="A37" s="1461"/>
    </row>
    <row r="38" spans="1:24" ht="12.75" customHeight="1" x14ac:dyDescent="0.2">
      <c r="A38" s="1461"/>
    </row>
    <row r="39" spans="1:24" ht="12.75" customHeight="1" x14ac:dyDescent="0.2">
      <c r="A39" s="1461"/>
    </row>
    <row r="40" spans="1:24" ht="25.5" customHeight="1" x14ac:dyDescent="0.2">
      <c r="A40" s="1461"/>
      <c r="R40" s="146" t="s">
        <v>270</v>
      </c>
      <c r="S40" s="217">
        <v>0.76900000000000002</v>
      </c>
      <c r="T40" s="146" t="s">
        <v>271</v>
      </c>
      <c r="U40" s="217">
        <v>0.23100000000000001</v>
      </c>
      <c r="V40" s="149">
        <f>S40+U40</f>
        <v>1</v>
      </c>
    </row>
    <row r="41" spans="1:24" ht="12.75" customHeight="1" x14ac:dyDescent="0.2">
      <c r="A41" s="1461"/>
      <c r="U41" s="150"/>
    </row>
    <row r="42" spans="1:24" ht="12.75" customHeight="1" x14ac:dyDescent="0.2">
      <c r="A42" s="1461"/>
    </row>
    <row r="43" spans="1:24" ht="12.75" customHeight="1" x14ac:dyDescent="0.2">
      <c r="A43" s="1461"/>
      <c r="Q43" s="151" t="s">
        <v>272</v>
      </c>
      <c r="R43" s="151" t="s">
        <v>273</v>
      </c>
      <c r="S43" s="151" t="s">
        <v>274</v>
      </c>
      <c r="T43" s="151" t="s">
        <v>275</v>
      </c>
      <c r="U43" s="151" t="s">
        <v>276</v>
      </c>
      <c r="V43" s="151" t="s">
        <v>277</v>
      </c>
      <c r="W43" s="235" t="s">
        <v>278</v>
      </c>
    </row>
    <row r="44" spans="1:24" ht="14.25" customHeight="1" x14ac:dyDescent="0.2">
      <c r="A44" s="1461"/>
      <c r="Q44" s="153">
        <v>43334</v>
      </c>
      <c r="R44" s="154">
        <f>D51</f>
        <v>10000</v>
      </c>
      <c r="S44" s="155">
        <v>1</v>
      </c>
      <c r="T44" s="219">
        <v>0</v>
      </c>
      <c r="U44" s="220">
        <f>R44*S44</f>
        <v>10000</v>
      </c>
      <c r="V44" s="157">
        <f>R44*T44</f>
        <v>0</v>
      </c>
      <c r="W44" s="237">
        <f>Q44-U44</f>
        <v>33334</v>
      </c>
    </row>
    <row r="45" spans="1:24" x14ac:dyDescent="0.2">
      <c r="A45" s="1461"/>
    </row>
    <row r="46" spans="1:24" x14ac:dyDescent="0.2">
      <c r="A46" s="1461"/>
    </row>
    <row r="47" spans="1:24" x14ac:dyDescent="0.2">
      <c r="A47" s="1461"/>
    </row>
    <row r="48" spans="1:24" x14ac:dyDescent="0.2">
      <c r="A48" s="1461"/>
    </row>
    <row r="49" spans="1:10" x14ac:dyDescent="0.2">
      <c r="A49" s="1461"/>
    </row>
    <row r="50" spans="1:10" ht="14.25" x14ac:dyDescent="0.2">
      <c r="A50" s="1461"/>
      <c r="B50" s="253"/>
      <c r="C50" s="126" t="s">
        <v>233</v>
      </c>
      <c r="D50" s="126" t="s">
        <v>279</v>
      </c>
      <c r="E50" s="84"/>
      <c r="F50" s="84"/>
      <c r="G50" s="126" t="s">
        <v>280</v>
      </c>
      <c r="H50" s="126" t="s">
        <v>233</v>
      </c>
      <c r="I50" s="126" t="s">
        <v>281</v>
      </c>
      <c r="J50" s="126" t="s">
        <v>282</v>
      </c>
    </row>
    <row r="51" spans="1:10" ht="14.25" customHeight="1" x14ac:dyDescent="0.2">
      <c r="A51" s="1461"/>
      <c r="B51" s="161" t="s">
        <v>283</v>
      </c>
      <c r="C51" s="162">
        <f>10/$K$1</f>
        <v>10</v>
      </c>
      <c r="D51" s="163">
        <f>$C$1*10</f>
        <v>10000</v>
      </c>
      <c r="E51" s="164"/>
      <c r="F51" s="84"/>
      <c r="G51" s="161" t="s">
        <v>283</v>
      </c>
      <c r="H51" s="456">
        <f>I51/$D$5</f>
        <v>10</v>
      </c>
      <c r="I51" s="162">
        <f>J51/$R$1</f>
        <v>56498.305084745763</v>
      </c>
      <c r="J51" s="162">
        <f>$W$44</f>
        <v>33334</v>
      </c>
    </row>
    <row r="52" spans="1:10" ht="14.25" customHeight="1" x14ac:dyDescent="0.2">
      <c r="A52" s="1461"/>
      <c r="B52" s="209" t="s">
        <v>262</v>
      </c>
      <c r="C52" s="210">
        <f>$I$1</f>
        <v>2.31</v>
      </c>
      <c r="D52" s="211">
        <f>$E$1</f>
        <v>2310</v>
      </c>
      <c r="E52" s="84"/>
      <c r="F52" s="84"/>
      <c r="G52" s="129" t="s">
        <v>262</v>
      </c>
      <c r="H52" s="190">
        <f>I52/$D$5</f>
        <v>2.306953860922782</v>
      </c>
      <c r="I52" s="157">
        <f>J52/$R$1</f>
        <v>13033.898305084747</v>
      </c>
      <c r="J52" s="165">
        <f>$S$32</f>
        <v>7690</v>
      </c>
    </row>
    <row r="53" spans="1:10" ht="14.25" customHeight="1" x14ac:dyDescent="0.2">
      <c r="A53" s="1461"/>
      <c r="B53" s="209" t="s">
        <v>284</v>
      </c>
      <c r="C53" s="212">
        <f>MIN(C52, C51)</f>
        <v>2.31</v>
      </c>
      <c r="D53" s="211">
        <f>(C53*$K$1)*$C$1</f>
        <v>2310</v>
      </c>
      <c r="E53" s="84"/>
      <c r="F53" s="84"/>
      <c r="G53" s="129" t="s">
        <v>284</v>
      </c>
      <c r="H53" s="168">
        <f>MIN(H52,H51)</f>
        <v>2.306953860922782</v>
      </c>
      <c r="I53" s="157">
        <f>J53/$R$1</f>
        <v>13033.898305084747</v>
      </c>
      <c r="J53" s="157">
        <f>MIN(J52,J51)</f>
        <v>7690</v>
      </c>
    </row>
    <row r="54" spans="1:10" ht="14.25" customHeight="1" x14ac:dyDescent="0.2">
      <c r="A54" s="1461"/>
      <c r="B54" s="209" t="s">
        <v>285</v>
      </c>
      <c r="C54" s="212">
        <f>MIN(MAX(C52-C53,0),C51)</f>
        <v>0</v>
      </c>
      <c r="D54" s="211">
        <f>(C54*$K$1)*$C$1</f>
        <v>0</v>
      </c>
      <c r="E54" s="84"/>
      <c r="F54" s="84"/>
      <c r="G54" s="129" t="s">
        <v>285</v>
      </c>
      <c r="H54" s="168">
        <f>MIN(MAX(H52-H53),H51)</f>
        <v>0</v>
      </c>
      <c r="I54" s="157">
        <f>J54/$R$1</f>
        <v>0</v>
      </c>
      <c r="J54" s="157">
        <f>MIN(MAX(J52-J53),J51)</f>
        <v>0</v>
      </c>
    </row>
    <row r="55" spans="1:10" ht="14.25" customHeight="1" x14ac:dyDescent="0.2">
      <c r="A55" s="1461"/>
      <c r="B55" s="209" t="s">
        <v>286</v>
      </c>
      <c r="C55" s="212">
        <f>MIN(MAX(C52-C53-C54,0),C51)</f>
        <v>0</v>
      </c>
      <c r="D55" s="211">
        <f>(C55*$K$1)*$C$1</f>
        <v>0</v>
      </c>
      <c r="E55" s="84"/>
      <c r="F55" s="84"/>
      <c r="G55" s="126" t="s">
        <v>286</v>
      </c>
      <c r="H55" s="168">
        <f>MIN(MAX(H52-H53-H54),H51)</f>
        <v>0</v>
      </c>
      <c r="I55" s="157">
        <f>J55/$R$1</f>
        <v>0</v>
      </c>
      <c r="J55" s="157">
        <f>MIN(MAX(J52-J53-J54),J51)</f>
        <v>0</v>
      </c>
    </row>
    <row r="56" spans="1:10" ht="14.25" customHeight="1" x14ac:dyDescent="0.2">
      <c r="A56" s="1461"/>
    </row>
    <row r="57" spans="1:10" x14ac:dyDescent="0.2">
      <c r="A57" s="1461"/>
    </row>
    <row r="58" spans="1:10" x14ac:dyDescent="0.2">
      <c r="A58" s="1461"/>
    </row>
    <row r="59" spans="1:10" x14ac:dyDescent="0.2">
      <c r="A59" s="1461"/>
    </row>
    <row r="60" spans="1:10" x14ac:dyDescent="0.2">
      <c r="A60" s="1461"/>
    </row>
    <row r="61" spans="1:10" x14ac:dyDescent="0.2">
      <c r="A61" s="1461"/>
    </row>
    <row r="62" spans="1:10" ht="18" customHeight="1" x14ac:dyDescent="0.2">
      <c r="A62" s="1464"/>
      <c r="B62" s="1636" t="str">
        <f>" ساندوتش تشيكن فاهيتا  1 / " &amp; COUNTIF($C$53:$C$55, "&gt;0")</f>
        <v xml:space="preserve"> ساندوتش تشيكن فاهيتا  1 / 1</v>
      </c>
      <c r="C62" s="1637"/>
      <c r="D62" s="1637"/>
      <c r="E62" s="1637"/>
      <c r="F62" s="1637"/>
      <c r="G62" s="1637"/>
      <c r="H62" s="1637"/>
    </row>
    <row r="63" spans="1:10" ht="18" customHeight="1" x14ac:dyDescent="0.2">
      <c r="A63" s="1464"/>
      <c r="B63" s="1634" t="str">
        <f>"Chicken Fajita 1 / " &amp; COUNTIF($C$53:$C$55, "&gt;0")</f>
        <v>Chicken Fajita 1 / 1</v>
      </c>
      <c r="C63" s="1635"/>
      <c r="D63" s="1635"/>
      <c r="E63" s="1635"/>
      <c r="F63" s="1635"/>
      <c r="G63" s="1635"/>
      <c r="H63" s="1635"/>
    </row>
    <row r="64" spans="1:10" ht="36" customHeight="1" x14ac:dyDescent="0.2">
      <c r="A64" s="1457"/>
      <c r="B64" s="221" t="s">
        <v>241</v>
      </c>
      <c r="C64" s="222" t="s">
        <v>242</v>
      </c>
      <c r="D64" s="223" t="s">
        <v>231</v>
      </c>
      <c r="E64" s="197" t="s">
        <v>234</v>
      </c>
      <c r="F64" s="197" t="s">
        <v>243</v>
      </c>
      <c r="G64" s="223" t="s">
        <v>244</v>
      </c>
      <c r="H64" s="197" t="s">
        <v>245</v>
      </c>
    </row>
    <row r="65" spans="1:10" ht="14.25" customHeight="1" x14ac:dyDescent="0.2">
      <c r="A65" s="1460"/>
      <c r="B65" s="299" t="str">
        <f t="shared" ref="B65:D70" si="20">B5</f>
        <v>Chicken - دجاج</v>
      </c>
      <c r="C65" s="299" t="str">
        <f t="shared" si="20"/>
        <v>gm</v>
      </c>
      <c r="D65" s="454">
        <f t="shared" si="20"/>
        <v>5649.8305084745762</v>
      </c>
      <c r="E65" s="327">
        <f>H53</f>
        <v>2.306953860922782</v>
      </c>
      <c r="F65" s="109">
        <f t="shared" ref="F65:F76" si="21">F5</f>
        <v>1</v>
      </c>
      <c r="G65" s="101">
        <f t="shared" ref="G65:G70" si="22">D65*E65</f>
        <v>13033.898305084747</v>
      </c>
      <c r="H65" s="102">
        <f t="shared" ref="H65:H70" si="23">G65*F65</f>
        <v>13033.898305084747</v>
      </c>
    </row>
    <row r="66" spans="1:10" ht="14.25" customHeight="1" x14ac:dyDescent="0.2">
      <c r="A66" s="1460"/>
      <c r="B66" s="299" t="str">
        <f t="shared" si="20"/>
        <v>Onion - بصل</v>
      </c>
      <c r="C66" s="299" t="str">
        <f t="shared" si="20"/>
        <v>gm</v>
      </c>
      <c r="D66" s="299">
        <f t="shared" si="20"/>
        <v>190</v>
      </c>
      <c r="E66" s="327">
        <f t="shared" ref="E66:E76" si="24">$C$53</f>
        <v>2.31</v>
      </c>
      <c r="F66" s="109">
        <f t="shared" si="21"/>
        <v>1</v>
      </c>
      <c r="G66" s="101">
        <f t="shared" si="22"/>
        <v>438.90000000000003</v>
      </c>
      <c r="H66" s="102">
        <f t="shared" si="23"/>
        <v>438.90000000000003</v>
      </c>
    </row>
    <row r="67" spans="1:10" ht="14.25" customHeight="1" x14ac:dyDescent="0.2">
      <c r="A67" s="1460"/>
      <c r="B67" s="299" t="str">
        <f t="shared" si="20"/>
        <v xml:space="preserve">Red Bell Pepper - فلفل أحمر </v>
      </c>
      <c r="C67" s="299" t="str">
        <f t="shared" si="20"/>
        <v>gm</v>
      </c>
      <c r="D67" s="299">
        <f t="shared" si="20"/>
        <v>190</v>
      </c>
      <c r="E67" s="327">
        <f t="shared" si="24"/>
        <v>2.31</v>
      </c>
      <c r="F67" s="109">
        <f t="shared" si="21"/>
        <v>1</v>
      </c>
      <c r="G67" s="101">
        <f t="shared" si="22"/>
        <v>438.90000000000003</v>
      </c>
      <c r="H67" s="102">
        <f t="shared" si="23"/>
        <v>438.90000000000003</v>
      </c>
    </row>
    <row r="68" spans="1:10" ht="14.25" customHeight="1" x14ac:dyDescent="0.2">
      <c r="A68" s="1460"/>
      <c r="B68" s="299" t="str">
        <f t="shared" si="20"/>
        <v xml:space="preserve">Yellow Bell Pepper - فلفل أصفر </v>
      </c>
      <c r="C68" s="299" t="str">
        <f t="shared" si="20"/>
        <v>gm</v>
      </c>
      <c r="D68" s="299">
        <f t="shared" si="20"/>
        <v>190</v>
      </c>
      <c r="E68" s="327">
        <f t="shared" si="24"/>
        <v>2.31</v>
      </c>
      <c r="F68" s="109">
        <f t="shared" si="21"/>
        <v>1</v>
      </c>
      <c r="G68" s="101">
        <f t="shared" si="22"/>
        <v>438.90000000000003</v>
      </c>
      <c r="H68" s="102">
        <f t="shared" si="23"/>
        <v>438.90000000000003</v>
      </c>
    </row>
    <row r="69" spans="1:10" ht="14.25" customHeight="1" x14ac:dyDescent="0.2">
      <c r="A69" s="1460"/>
      <c r="B69" s="299" t="str">
        <f t="shared" si="20"/>
        <v>Green Bell Pepper - فلفل أخضر رومى</v>
      </c>
      <c r="C69" s="299" t="str">
        <f t="shared" si="20"/>
        <v>gm</v>
      </c>
      <c r="D69" s="299">
        <f t="shared" si="20"/>
        <v>190</v>
      </c>
      <c r="E69" s="327">
        <f t="shared" si="24"/>
        <v>2.31</v>
      </c>
      <c r="F69" s="109">
        <f t="shared" si="21"/>
        <v>1</v>
      </c>
      <c r="G69" s="101">
        <f t="shared" si="22"/>
        <v>438.90000000000003</v>
      </c>
      <c r="H69" s="102">
        <f t="shared" si="23"/>
        <v>438.90000000000003</v>
      </c>
    </row>
    <row r="70" spans="1:10" ht="14.25" customHeight="1" x14ac:dyDescent="0.2">
      <c r="A70" s="1460"/>
      <c r="B70" s="299" t="str">
        <f t="shared" si="20"/>
        <v>Tomato Ketchup - كاتشب طماطم</v>
      </c>
      <c r="C70" s="299" t="str">
        <f t="shared" si="20"/>
        <v>ml</v>
      </c>
      <c r="D70" s="299">
        <f t="shared" si="20"/>
        <v>360</v>
      </c>
      <c r="E70" s="327">
        <f t="shared" si="24"/>
        <v>2.31</v>
      </c>
      <c r="F70" s="109">
        <f t="shared" si="21"/>
        <v>1</v>
      </c>
      <c r="G70" s="101">
        <f t="shared" si="22"/>
        <v>831.6</v>
      </c>
      <c r="H70" s="102">
        <f t="shared" si="23"/>
        <v>831.6</v>
      </c>
    </row>
    <row r="71" spans="1:10" ht="14.25" customHeight="1" x14ac:dyDescent="0.2">
      <c r="A71" s="1460"/>
      <c r="B71" s="299" t="str">
        <f t="shared" ref="B71:D71" si="25">B11</f>
        <v>Sriracha Sauce - صوص سريراتشا</v>
      </c>
      <c r="C71" s="299" t="str">
        <f t="shared" si="25"/>
        <v>ml</v>
      </c>
      <c r="D71" s="299">
        <f t="shared" si="25"/>
        <v>95</v>
      </c>
      <c r="E71" s="327">
        <f t="shared" si="24"/>
        <v>2.31</v>
      </c>
      <c r="F71" s="109">
        <f t="shared" si="21"/>
        <v>1</v>
      </c>
      <c r="G71" s="101">
        <f t="shared" ref="G71:G76" si="26">D71*E71</f>
        <v>219.45000000000002</v>
      </c>
      <c r="H71" s="102">
        <f t="shared" ref="H71:H76" si="27">G71*F71</f>
        <v>219.45000000000002</v>
      </c>
    </row>
    <row r="72" spans="1:10" ht="14.25" customHeight="1" x14ac:dyDescent="0.2">
      <c r="A72" s="1460"/>
      <c r="B72" s="299" t="str">
        <f t="shared" ref="B72:D72" si="28">B12</f>
        <v>Coriander Leaves - كزبرة خضراء</v>
      </c>
      <c r="C72" s="299" t="str">
        <f t="shared" si="28"/>
        <v>gm</v>
      </c>
      <c r="D72" s="299">
        <f t="shared" si="28"/>
        <v>25</v>
      </c>
      <c r="E72" s="327">
        <f t="shared" si="24"/>
        <v>2.31</v>
      </c>
      <c r="F72" s="109">
        <f t="shared" si="21"/>
        <v>1</v>
      </c>
      <c r="G72" s="101">
        <f t="shared" si="26"/>
        <v>57.75</v>
      </c>
      <c r="H72" s="102">
        <f t="shared" si="27"/>
        <v>57.75</v>
      </c>
    </row>
    <row r="73" spans="1:10" ht="20.25" customHeight="1" x14ac:dyDescent="0.3">
      <c r="A73" s="1460"/>
      <c r="B73" s="299" t="str">
        <f t="shared" ref="B73:D73" si="29">B13</f>
        <v>Whole Wheat Oat Sub Roll - صامولي اسمر شوفان 16 سم</v>
      </c>
      <c r="C73" s="299" t="str">
        <f t="shared" si="29"/>
        <v>Piece</v>
      </c>
      <c r="D73" s="299">
        <f t="shared" si="29"/>
        <v>1</v>
      </c>
      <c r="E73" s="327">
        <f>E13</f>
        <v>100</v>
      </c>
      <c r="F73" s="109">
        <f t="shared" si="21"/>
        <v>1</v>
      </c>
      <c r="G73" s="101">
        <f t="shared" si="26"/>
        <v>100</v>
      </c>
      <c r="H73" s="102">
        <f t="shared" si="27"/>
        <v>100</v>
      </c>
      <c r="I73" s="184"/>
      <c r="J73" s="183"/>
    </row>
    <row r="74" spans="1:10" ht="14.25" x14ac:dyDescent="0.2">
      <c r="A74" s="1460"/>
      <c r="B74" s="299" t="str">
        <f t="shared" ref="B74:D74" si="30">B14</f>
        <v>Garlic - ثوم مقشر</v>
      </c>
      <c r="C74" s="299" t="str">
        <f t="shared" si="30"/>
        <v>gm</v>
      </c>
      <c r="D74" s="299">
        <f t="shared" si="30"/>
        <v>20</v>
      </c>
      <c r="E74" s="327">
        <f t="shared" si="24"/>
        <v>2.31</v>
      </c>
      <c r="F74" s="109">
        <f t="shared" si="21"/>
        <v>1</v>
      </c>
      <c r="G74" s="101">
        <f t="shared" si="26"/>
        <v>46.2</v>
      </c>
      <c r="H74" s="102">
        <f t="shared" si="27"/>
        <v>46.2</v>
      </c>
    </row>
    <row r="75" spans="1:10" ht="14.25" x14ac:dyDescent="0.2">
      <c r="A75" s="1460"/>
      <c r="B75" s="299" t="str">
        <f t="shared" ref="B75:D75" si="31">B15</f>
        <v>Butter - زبدة</v>
      </c>
      <c r="C75" s="299" t="str">
        <f t="shared" si="31"/>
        <v>gm</v>
      </c>
      <c r="D75" s="299">
        <f t="shared" si="31"/>
        <v>50</v>
      </c>
      <c r="E75" s="327">
        <f t="shared" si="24"/>
        <v>2.31</v>
      </c>
      <c r="F75" s="109">
        <f t="shared" si="21"/>
        <v>1</v>
      </c>
      <c r="G75" s="101">
        <f t="shared" si="26"/>
        <v>115.5</v>
      </c>
      <c r="H75" s="102">
        <f t="shared" si="27"/>
        <v>115.5</v>
      </c>
    </row>
    <row r="76" spans="1:10" ht="14.25" x14ac:dyDescent="0.2">
      <c r="A76" s="1460"/>
      <c r="B76" s="299" t="str">
        <f t="shared" ref="B76:D76" si="32">B16</f>
        <v>Salt - ملح</v>
      </c>
      <c r="C76" s="299" t="str">
        <f t="shared" si="32"/>
        <v>gm</v>
      </c>
      <c r="D76" s="299">
        <f t="shared" si="32"/>
        <v>5</v>
      </c>
      <c r="E76" s="327">
        <f t="shared" si="24"/>
        <v>2.31</v>
      </c>
      <c r="F76" s="109">
        <f t="shared" si="21"/>
        <v>1</v>
      </c>
      <c r="G76" s="101">
        <f t="shared" si="26"/>
        <v>11.55</v>
      </c>
      <c r="H76" s="102">
        <f t="shared" si="27"/>
        <v>11.55</v>
      </c>
    </row>
    <row r="77" spans="1:10" ht="18" x14ac:dyDescent="0.25">
      <c r="A77" s="1458"/>
      <c r="B77" s="178" t="s">
        <v>287</v>
      </c>
      <c r="C77" s="180" t="s">
        <v>273</v>
      </c>
      <c r="E77" s="180" t="s">
        <v>288</v>
      </c>
      <c r="G77" s="804" t="s">
        <v>264</v>
      </c>
      <c r="H77" s="804" t="s">
        <v>673</v>
      </c>
    </row>
    <row r="78" spans="1:10" ht="20.25" x14ac:dyDescent="0.3">
      <c r="A78" s="1458"/>
      <c r="B78" s="179">
        <f>$J$53</f>
        <v>7690</v>
      </c>
      <c r="C78" s="181">
        <f>E78+G78</f>
        <v>2310</v>
      </c>
      <c r="D78" s="189"/>
      <c r="E78" s="181">
        <f>$D$53*$S$44</f>
        <v>2310</v>
      </c>
      <c r="F78" s="84"/>
      <c r="G78" s="182">
        <f>$D$53*$T$44</f>
        <v>0</v>
      </c>
      <c r="H78" s="182">
        <f>B78+E78</f>
        <v>10000</v>
      </c>
    </row>
    <row r="79" spans="1:10" x14ac:dyDescent="0.2">
      <c r="A79" s="1461"/>
    </row>
    <row r="80" spans="1:10" x14ac:dyDescent="0.2">
      <c r="A80" s="1461"/>
    </row>
    <row r="81" spans="1:1" x14ac:dyDescent="0.2">
      <c r="A81" s="1461"/>
    </row>
    <row r="82" spans="1:1" x14ac:dyDescent="0.2">
      <c r="A82" s="1461"/>
    </row>
    <row r="83" spans="1:1" x14ac:dyDescent="0.2">
      <c r="A83" s="1461"/>
    </row>
    <row r="84" spans="1:1" x14ac:dyDescent="0.2">
      <c r="A84" s="1461"/>
    </row>
    <row r="85" spans="1:1" x14ac:dyDescent="0.2">
      <c r="A85" s="1461"/>
    </row>
    <row r="86" spans="1:1" x14ac:dyDescent="0.2">
      <c r="A86" s="1461"/>
    </row>
    <row r="87" spans="1:1" x14ac:dyDescent="0.2">
      <c r="A87" s="1461"/>
    </row>
    <row r="88" spans="1:1" x14ac:dyDescent="0.2">
      <c r="A88" s="1461"/>
    </row>
    <row r="89" spans="1:1" x14ac:dyDescent="0.2">
      <c r="A89" s="1461"/>
    </row>
    <row r="90" spans="1:1" x14ac:dyDescent="0.2">
      <c r="A90" s="1461"/>
    </row>
    <row r="91" spans="1:1" x14ac:dyDescent="0.2">
      <c r="A91" s="1461"/>
    </row>
    <row r="92" spans="1:1" x14ac:dyDescent="0.2">
      <c r="A92" s="1461"/>
    </row>
    <row r="93" spans="1:1" x14ac:dyDescent="0.2">
      <c r="A93" s="1461"/>
    </row>
    <row r="94" spans="1:1" x14ac:dyDescent="0.2">
      <c r="A94" s="1461"/>
    </row>
    <row r="95" spans="1:1" x14ac:dyDescent="0.2">
      <c r="A95" s="1461"/>
    </row>
    <row r="96" spans="1:1" x14ac:dyDescent="0.2">
      <c r="A96" s="1461"/>
    </row>
    <row r="97" spans="1:1" x14ac:dyDescent="0.2">
      <c r="A97" s="1461"/>
    </row>
    <row r="98" spans="1:1" x14ac:dyDescent="0.2">
      <c r="A98" s="1461"/>
    </row>
    <row r="99" spans="1:1" x14ac:dyDescent="0.2">
      <c r="A99" s="1461"/>
    </row>
    <row r="100" spans="1:1" x14ac:dyDescent="0.2">
      <c r="A100" s="1461"/>
    </row>
    <row r="101" spans="1:1" x14ac:dyDescent="0.2">
      <c r="A101" s="1461"/>
    </row>
    <row r="102" spans="1:1" x14ac:dyDescent="0.2">
      <c r="A102" s="1461"/>
    </row>
    <row r="103" spans="1:1" x14ac:dyDescent="0.2">
      <c r="A103" s="1461"/>
    </row>
    <row r="104" spans="1:1" x14ac:dyDescent="0.2">
      <c r="A104" s="1461"/>
    </row>
    <row r="105" spans="1:1" x14ac:dyDescent="0.2">
      <c r="A105" s="1461"/>
    </row>
    <row r="106" spans="1:1" x14ac:dyDescent="0.2">
      <c r="A106" s="1461"/>
    </row>
    <row r="107" spans="1:1" x14ac:dyDescent="0.2">
      <c r="A107" s="1461"/>
    </row>
    <row r="108" spans="1:1" x14ac:dyDescent="0.2">
      <c r="A108" s="1461"/>
    </row>
    <row r="109" spans="1:1" x14ac:dyDescent="0.2">
      <c r="A109" s="1461"/>
    </row>
    <row r="110" spans="1:1" x14ac:dyDescent="0.2">
      <c r="A110" s="1461"/>
    </row>
    <row r="111" spans="1:1" x14ac:dyDescent="0.2">
      <c r="A111" s="1461"/>
    </row>
    <row r="112" spans="1:1" x14ac:dyDescent="0.2">
      <c r="A112" s="1461"/>
    </row>
    <row r="113" spans="1:1" x14ac:dyDescent="0.2">
      <c r="A113" s="1461"/>
    </row>
    <row r="114" spans="1:1" x14ac:dyDescent="0.2">
      <c r="A114" s="1461"/>
    </row>
    <row r="115" spans="1:1" x14ac:dyDescent="0.2">
      <c r="A115" s="1461"/>
    </row>
    <row r="116" spans="1:1" x14ac:dyDescent="0.2">
      <c r="A116" s="1461"/>
    </row>
    <row r="117" spans="1:1" x14ac:dyDescent="0.2">
      <c r="A117" s="1461"/>
    </row>
    <row r="118" spans="1:1" x14ac:dyDescent="0.2">
      <c r="A118" s="1461"/>
    </row>
    <row r="119" spans="1:1" x14ac:dyDescent="0.2">
      <c r="A119" s="1461"/>
    </row>
    <row r="120" spans="1:1" x14ac:dyDescent="0.2">
      <c r="A120" s="1461"/>
    </row>
    <row r="121" spans="1:1" x14ac:dyDescent="0.2">
      <c r="A121" s="1461"/>
    </row>
    <row r="122" spans="1:1" x14ac:dyDescent="0.2">
      <c r="A122" s="1461"/>
    </row>
    <row r="123" spans="1:1" x14ac:dyDescent="0.2">
      <c r="A123" s="1461"/>
    </row>
    <row r="124" spans="1:1" x14ac:dyDescent="0.2">
      <c r="A124" s="1461"/>
    </row>
    <row r="125" spans="1:1" x14ac:dyDescent="0.2">
      <c r="A125" s="1461"/>
    </row>
    <row r="126" spans="1:1" x14ac:dyDescent="0.2">
      <c r="A126" s="1461"/>
    </row>
    <row r="127" spans="1:1" x14ac:dyDescent="0.2">
      <c r="A127" s="1461"/>
    </row>
    <row r="128" spans="1:1" x14ac:dyDescent="0.2">
      <c r="A128" s="1461"/>
    </row>
    <row r="129" spans="1:1" x14ac:dyDescent="0.2">
      <c r="A129" s="1461"/>
    </row>
    <row r="130" spans="1:1" x14ac:dyDescent="0.2">
      <c r="A130" s="1461"/>
    </row>
    <row r="131" spans="1:1" x14ac:dyDescent="0.2">
      <c r="A131" s="1461"/>
    </row>
    <row r="132" spans="1:1" x14ac:dyDescent="0.2">
      <c r="A132" s="1461"/>
    </row>
    <row r="133" spans="1:1" x14ac:dyDescent="0.2">
      <c r="A133" s="1461"/>
    </row>
    <row r="134" spans="1:1" x14ac:dyDescent="0.2">
      <c r="A134" s="1461"/>
    </row>
    <row r="135" spans="1:1" x14ac:dyDescent="0.2">
      <c r="A135" s="1461"/>
    </row>
    <row r="136" spans="1:1" x14ac:dyDescent="0.2">
      <c r="A136" s="1461"/>
    </row>
    <row r="137" spans="1:1" x14ac:dyDescent="0.2">
      <c r="A137" s="1461"/>
    </row>
    <row r="138" spans="1:1" x14ac:dyDescent="0.2">
      <c r="A138" s="1461"/>
    </row>
    <row r="139" spans="1:1" x14ac:dyDescent="0.2">
      <c r="A139" s="1461"/>
    </row>
    <row r="140" spans="1:1" x14ac:dyDescent="0.2">
      <c r="A140" s="1461"/>
    </row>
    <row r="141" spans="1:1" x14ac:dyDescent="0.2">
      <c r="A141" s="1461"/>
    </row>
    <row r="142" spans="1:1" x14ac:dyDescent="0.2">
      <c r="A142" s="1461"/>
    </row>
    <row r="143" spans="1:1" x14ac:dyDescent="0.2">
      <c r="A143" s="1461"/>
    </row>
    <row r="144" spans="1:1"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7">
    <mergeCell ref="AK2:AN2"/>
    <mergeCell ref="B63:H63"/>
    <mergeCell ref="AE2:AG3"/>
    <mergeCell ref="R26:U26"/>
    <mergeCell ref="B62:H62"/>
    <mergeCell ref="R25:U25"/>
    <mergeCell ref="B2:K3"/>
  </mergeCells>
  <printOptions horizontalCentered="1"/>
  <pageMargins left="0.4" right="0.4" top="1" bottom="0.5" header="0.3" footer="0.511811023622047"/>
  <pageSetup paperSize="9" scale="63" orientation="landscape" r:id="rId1"/>
  <headerFooter>
    <oddHeader>&amp;C&amp;B&amp;16Chicken Fajita</oddHeader>
  </headerFooter>
  <ignoredErrors>
    <ignoredError sqref="E74" formula="1"/>
  </ignoredErrors>
  <legacy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rgb="FFFFFF00"/>
    <pageSetUpPr fitToPage="1"/>
  </sheetPr>
  <dimension ref="A1:AG174"/>
  <sheetViews>
    <sheetView topLeftCell="A12" zoomScale="85" zoomScaleNormal="85" workbookViewId="0">
      <selection activeCell="D5" sqref="D5"/>
    </sheetView>
  </sheetViews>
  <sheetFormatPr defaultColWidth="12.5" defaultRowHeight="12.75" x14ac:dyDescent="0.2"/>
  <cols>
    <col min="1" max="1" width="12.5" style="14" customWidth="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7" width="4.625" style="14" customWidth="1"/>
    <col min="18" max="18" width="24.125" style="14" customWidth="1"/>
    <col min="19" max="19" width="12.5" style="14" customWidth="1"/>
    <col min="20" max="20" width="12.5" style="14"/>
    <col min="21" max="24" width="3.875" style="14" customWidth="1"/>
    <col min="25" max="27" width="12.5" style="14"/>
    <col min="28" max="28" width="6.75" style="14" customWidth="1"/>
    <col min="29" max="16384" width="12.5" style="14"/>
  </cols>
  <sheetData>
    <row r="1" spans="1:33" ht="28.5" customHeight="1" x14ac:dyDescent="0.2">
      <c r="B1" s="64" t="s">
        <v>231</v>
      </c>
      <c r="C1" s="65">
        <v>1000</v>
      </c>
      <c r="D1" s="66" t="s">
        <v>232</v>
      </c>
      <c r="E1" s="99">
        <f>S30</f>
        <v>20200</v>
      </c>
      <c r="F1" s="64" t="s">
        <v>233</v>
      </c>
      <c r="G1" s="342">
        <f>E1/C1</f>
        <v>20.2</v>
      </c>
      <c r="H1" s="64" t="s">
        <v>234</v>
      </c>
      <c r="I1" s="99">
        <f>G1/K1</f>
        <v>20</v>
      </c>
      <c r="J1" s="302" t="s">
        <v>235</v>
      </c>
      <c r="K1" s="303">
        <v>1.01</v>
      </c>
      <c r="L1" s="84"/>
      <c r="M1" s="84"/>
      <c r="N1" s="84"/>
      <c r="O1" s="84"/>
      <c r="P1" s="84"/>
      <c r="Q1" s="84"/>
      <c r="R1" s="84"/>
      <c r="S1" s="84"/>
      <c r="T1" s="84"/>
      <c r="U1" s="84"/>
      <c r="V1" s="84"/>
      <c r="Y1" s="75" t="s">
        <v>453</v>
      </c>
      <c r="Z1" s="766">
        <v>20200</v>
      </c>
      <c r="AA1" s="75" t="s">
        <v>556</v>
      </c>
      <c r="AB1" s="766">
        <v>0</v>
      </c>
      <c r="AC1" s="75" t="s">
        <v>546</v>
      </c>
      <c r="AD1" s="766">
        <v>142</v>
      </c>
    </row>
    <row r="2" spans="1:33" ht="12.75" customHeight="1" x14ac:dyDescent="0.2">
      <c r="A2" s="306"/>
      <c r="B2" s="457" t="s">
        <v>343</v>
      </c>
      <c r="C2" s="457"/>
      <c r="D2" s="457"/>
      <c r="E2" s="457"/>
      <c r="F2" s="457"/>
      <c r="G2" s="457"/>
      <c r="H2" s="457"/>
      <c r="I2" s="84"/>
      <c r="J2" s="84"/>
      <c r="K2" s="84"/>
      <c r="L2" s="84"/>
      <c r="M2" s="84"/>
      <c r="N2" s="84"/>
      <c r="O2" s="84"/>
      <c r="P2" s="84"/>
      <c r="Q2" s="84"/>
      <c r="R2" s="84"/>
      <c r="S2" s="84"/>
      <c r="T2" s="84"/>
      <c r="U2" s="84"/>
      <c r="AE2" s="1647"/>
      <c r="AF2" s="1655"/>
      <c r="AG2" s="1655"/>
    </row>
    <row r="3" spans="1:33" ht="12.75" customHeight="1" x14ac:dyDescent="0.2">
      <c r="A3" s="306"/>
      <c r="B3" s="346"/>
      <c r="C3" s="346"/>
      <c r="D3" s="346"/>
      <c r="E3" s="346"/>
      <c r="F3" s="346"/>
      <c r="G3" s="346"/>
      <c r="H3" s="346"/>
      <c r="I3" s="84"/>
      <c r="J3" s="84"/>
      <c r="K3" s="84"/>
      <c r="L3" s="84"/>
      <c r="M3" s="84"/>
      <c r="N3" s="84"/>
      <c r="O3" s="84"/>
      <c r="P3" s="84"/>
      <c r="Q3" s="84"/>
      <c r="R3" s="84"/>
      <c r="S3" s="84"/>
      <c r="T3" s="84"/>
      <c r="U3" s="84"/>
      <c r="AE3" s="1655"/>
      <c r="AF3" s="1655"/>
      <c r="AG3" s="1655"/>
    </row>
    <row r="4" spans="1:33"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Q4" s="84"/>
      <c r="R4" s="84"/>
      <c r="S4" s="84"/>
      <c r="T4" s="84"/>
      <c r="U4" s="84"/>
    </row>
    <row r="5" spans="1:33" ht="14.25" customHeight="1" x14ac:dyDescent="0.2">
      <c r="A5" s="1459"/>
      <c r="B5" s="586"/>
      <c r="C5" s="587"/>
      <c r="D5" s="198"/>
      <c r="E5" s="588"/>
      <c r="F5" s="198"/>
      <c r="G5" s="198"/>
      <c r="H5" s="587"/>
      <c r="I5" s="65"/>
      <c r="J5" s="103"/>
      <c r="K5" s="104"/>
      <c r="L5" s="104"/>
    </row>
    <row r="6" spans="1:33" ht="14.25" customHeight="1" x14ac:dyDescent="0.2">
      <c r="A6" s="1460"/>
      <c r="B6" s="20" t="s">
        <v>21</v>
      </c>
      <c r="C6" s="106" t="s">
        <v>14</v>
      </c>
      <c r="D6" s="98">
        <v>1175</v>
      </c>
      <c r="E6" s="98">
        <f t="shared" ref="E6:E12" si="0">$I$1</f>
        <v>20</v>
      </c>
      <c r="F6" s="109">
        <v>1</v>
      </c>
      <c r="G6" s="101">
        <f t="shared" ref="G6:G12" si="1">D6*E6</f>
        <v>23500</v>
      </c>
      <c r="H6" s="102">
        <f t="shared" ref="H6:H12" si="2">G6*F6</f>
        <v>23500</v>
      </c>
      <c r="I6" s="65">
        <f>VLOOKUP(B6,All_Ingredients!$A$1:$F$156,6,FALSE())</f>
        <v>0.9</v>
      </c>
      <c r="J6" s="103">
        <f>VLOOKUP(B6,All_Ingredients!$A$1:$J$156,10,FALSE())</f>
        <v>2.2999999999999998</v>
      </c>
      <c r="K6" s="104">
        <f t="shared" ref="K6" si="3">(H6/I6)/1000</f>
        <v>26.111111111111111</v>
      </c>
      <c r="L6" s="104">
        <f t="shared" ref="L6" si="4">K6*J6</f>
        <v>60.05555555555555</v>
      </c>
    </row>
    <row r="7" spans="1:33" ht="14.25" customHeight="1" x14ac:dyDescent="0.2">
      <c r="A7" s="1460"/>
      <c r="B7" s="20" t="s">
        <v>54</v>
      </c>
      <c r="C7" s="106" t="s">
        <v>14</v>
      </c>
      <c r="D7" s="98">
        <v>10</v>
      </c>
      <c r="E7" s="98">
        <f t="shared" si="0"/>
        <v>20</v>
      </c>
      <c r="F7" s="109">
        <v>1</v>
      </c>
      <c r="G7" s="101">
        <f t="shared" si="1"/>
        <v>200</v>
      </c>
      <c r="H7" s="102">
        <f t="shared" si="2"/>
        <v>200</v>
      </c>
      <c r="I7" s="65">
        <f>VLOOKUP(B7,All_Ingredients!$A$1:$F$156,6,FALSE())</f>
        <v>0.87</v>
      </c>
      <c r="J7" s="103">
        <f>VLOOKUP(B7,All_Ingredients!$A$1:$J$156,10,FALSE())</f>
        <v>7</v>
      </c>
      <c r="K7" s="104">
        <f t="shared" ref="K7:K12" si="5">(H7/I7)/1000</f>
        <v>0.22988505747126436</v>
      </c>
      <c r="L7" s="104">
        <f t="shared" ref="L7:L12" si="6">K7*J7</f>
        <v>1.6091954022988506</v>
      </c>
    </row>
    <row r="8" spans="1:33" ht="14.25" customHeight="1" x14ac:dyDescent="0.2">
      <c r="A8" s="1460"/>
      <c r="B8" s="20" t="s">
        <v>60</v>
      </c>
      <c r="C8" s="106" t="s">
        <v>14</v>
      </c>
      <c r="D8" s="98">
        <v>5</v>
      </c>
      <c r="E8" s="98">
        <f t="shared" si="0"/>
        <v>20</v>
      </c>
      <c r="F8" s="109">
        <v>1</v>
      </c>
      <c r="G8" s="101">
        <f t="shared" si="1"/>
        <v>100</v>
      </c>
      <c r="H8" s="102">
        <f t="shared" si="2"/>
        <v>100</v>
      </c>
      <c r="I8" s="65">
        <f>VLOOKUP(B8,All_Ingredients!$A$1:$F$156,6,FALSE())</f>
        <v>0.94</v>
      </c>
      <c r="J8" s="103">
        <f>VLOOKUP(B8,All_Ingredients!$A$1:$J$156,10,FALSE())</f>
        <v>3.6363636363636367</v>
      </c>
      <c r="K8" s="104">
        <f t="shared" si="5"/>
        <v>0.10638297872340427</v>
      </c>
      <c r="L8" s="104">
        <f t="shared" si="6"/>
        <v>0.38684719535783374</v>
      </c>
    </row>
    <row r="9" spans="1:33" ht="14.25" customHeight="1" x14ac:dyDescent="0.2">
      <c r="A9" s="1460"/>
      <c r="B9" s="20" t="s">
        <v>152</v>
      </c>
      <c r="C9" s="106" t="s">
        <v>14</v>
      </c>
      <c r="D9" s="98">
        <v>10</v>
      </c>
      <c r="E9" s="98">
        <f t="shared" si="0"/>
        <v>20</v>
      </c>
      <c r="F9" s="109">
        <v>1</v>
      </c>
      <c r="G9" s="101">
        <f t="shared" si="1"/>
        <v>200</v>
      </c>
      <c r="H9" s="102">
        <f t="shared" si="2"/>
        <v>200</v>
      </c>
      <c r="I9" s="65">
        <f>VLOOKUP(B9,All_Ingredients!$A$1:$F$156,6,FALSE())</f>
        <v>1</v>
      </c>
      <c r="J9" s="103">
        <f>VLOOKUP(B9,All_Ingredients!$A$1:$J$156,10,FALSE())</f>
        <v>30</v>
      </c>
      <c r="K9" s="104">
        <f t="shared" si="5"/>
        <v>0.2</v>
      </c>
      <c r="L9" s="104">
        <f t="shared" si="6"/>
        <v>6</v>
      </c>
    </row>
    <row r="10" spans="1:33" ht="14.25" customHeight="1" x14ac:dyDescent="0.2">
      <c r="A10" s="1460"/>
      <c r="B10" s="20" t="s">
        <v>101</v>
      </c>
      <c r="C10" s="106" t="s">
        <v>14</v>
      </c>
      <c r="D10" s="98">
        <v>2</v>
      </c>
      <c r="E10" s="98">
        <f t="shared" si="0"/>
        <v>20</v>
      </c>
      <c r="F10" s="109">
        <v>0.75</v>
      </c>
      <c r="G10" s="101">
        <f t="shared" si="1"/>
        <v>40</v>
      </c>
      <c r="H10" s="102">
        <f t="shared" si="2"/>
        <v>30</v>
      </c>
      <c r="I10" s="65">
        <f>VLOOKUP(B10,All_Ingredients!$A$1:$F$156,6,FALSE())</f>
        <v>1</v>
      </c>
      <c r="J10" s="103">
        <f>VLOOKUP(B10,All_Ingredients!$A$1:$J$156,10,FALSE())</f>
        <v>47</v>
      </c>
      <c r="K10" s="104">
        <f t="shared" si="5"/>
        <v>0.03</v>
      </c>
      <c r="L10" s="104">
        <f t="shared" si="6"/>
        <v>1.41</v>
      </c>
    </row>
    <row r="11" spans="1:33" ht="14.25" customHeight="1" x14ac:dyDescent="0.2">
      <c r="A11" s="1460"/>
      <c r="B11" s="20" t="s">
        <v>93</v>
      </c>
      <c r="C11" s="106" t="s">
        <v>14</v>
      </c>
      <c r="D11" s="98">
        <v>5</v>
      </c>
      <c r="E11" s="98">
        <f t="shared" si="0"/>
        <v>20</v>
      </c>
      <c r="F11" s="109">
        <v>0.75</v>
      </c>
      <c r="G11" s="101">
        <f t="shared" si="1"/>
        <v>100</v>
      </c>
      <c r="H11" s="102">
        <f t="shared" si="2"/>
        <v>75</v>
      </c>
      <c r="I11" s="65">
        <f>VLOOKUP(B11,All_Ingredients!$A$1:$F$156,6,FALSE())</f>
        <v>1</v>
      </c>
      <c r="J11" s="103">
        <f>VLOOKUP(B11,All_Ingredients!$A$1:$J$156,10,FALSE())</f>
        <v>0.74</v>
      </c>
      <c r="K11" s="104">
        <f t="shared" si="5"/>
        <v>7.4999999999999997E-2</v>
      </c>
      <c r="L11" s="104">
        <f t="shared" si="6"/>
        <v>5.5500000000000001E-2</v>
      </c>
    </row>
    <row r="12" spans="1:33" ht="14.25" customHeight="1" x14ac:dyDescent="0.2">
      <c r="A12" s="1460"/>
      <c r="B12" s="20" t="s">
        <v>105</v>
      </c>
      <c r="C12" s="106" t="s">
        <v>14</v>
      </c>
      <c r="D12" s="98">
        <v>1</v>
      </c>
      <c r="E12" s="98">
        <f t="shared" si="0"/>
        <v>20</v>
      </c>
      <c r="F12" s="109">
        <v>0.75</v>
      </c>
      <c r="G12" s="101">
        <f t="shared" si="1"/>
        <v>20</v>
      </c>
      <c r="H12" s="102">
        <f t="shared" si="2"/>
        <v>15</v>
      </c>
      <c r="I12" s="65">
        <f>VLOOKUP(B12,All_Ingredients!$A$1:$F$156,6,FALSE())</f>
        <v>1</v>
      </c>
      <c r="J12" s="103">
        <f>VLOOKUP(B12,All_Ingredients!$A$1:$J$156,10,FALSE())</f>
        <v>15</v>
      </c>
      <c r="K12" s="104">
        <f t="shared" si="5"/>
        <v>1.4999999999999999E-2</v>
      </c>
      <c r="L12" s="104">
        <f t="shared" si="6"/>
        <v>0.22499999999999998</v>
      </c>
    </row>
    <row r="13" spans="1:33" ht="14.25" customHeight="1" x14ac:dyDescent="0.2">
      <c r="A13" s="1461"/>
      <c r="B13" s="325"/>
      <c r="C13" s="114"/>
      <c r="D13" s="232"/>
      <c r="E13" s="203"/>
      <c r="F13" s="117"/>
      <c r="G13" s="121"/>
      <c r="H13" s="119"/>
    </row>
    <row r="14" spans="1:33" ht="14.25" customHeight="1" x14ac:dyDescent="0.2">
      <c r="A14" s="1461"/>
      <c r="E14" s="84"/>
      <c r="F14" s="84"/>
    </row>
    <row r="15" spans="1:33" ht="14.25" customHeight="1" x14ac:dyDescent="0.2">
      <c r="A15" s="1461"/>
      <c r="E15" s="84"/>
      <c r="F15" s="84"/>
    </row>
    <row r="16" spans="1:33" ht="14.25" customHeight="1" x14ac:dyDescent="0.2">
      <c r="A16" s="1461"/>
      <c r="E16" s="84"/>
      <c r="F16" s="84"/>
      <c r="P16" s="446"/>
    </row>
    <row r="17" spans="1:29" ht="14.25" customHeight="1" x14ac:dyDescent="0.2">
      <c r="A17" s="1461"/>
      <c r="E17" s="84"/>
      <c r="F17" s="84"/>
    </row>
    <row r="18" spans="1:29" ht="14.25" customHeight="1" x14ac:dyDescent="0.2">
      <c r="A18" s="1461"/>
      <c r="E18" s="84"/>
      <c r="F18" s="84"/>
    </row>
    <row r="19" spans="1:29" ht="14.25" customHeight="1" x14ac:dyDescent="0.25">
      <c r="A19" s="1461"/>
      <c r="E19" s="84"/>
      <c r="F19" s="84"/>
      <c r="M19" s="1"/>
      <c r="N19"/>
      <c r="O19"/>
    </row>
    <row r="20" spans="1:29" ht="14.25" customHeight="1" x14ac:dyDescent="0.2">
      <c r="A20" s="1461"/>
      <c r="E20" s="84"/>
      <c r="F20" s="84"/>
      <c r="M20" s="160"/>
      <c r="N20" s="458"/>
      <c r="O20"/>
    </row>
    <row r="21" spans="1:29" ht="14.25" customHeight="1" x14ac:dyDescent="0.2">
      <c r="A21" s="1461"/>
      <c r="E21" s="84"/>
      <c r="F21" s="84"/>
    </row>
    <row r="22" spans="1:29" ht="14.25" customHeight="1" x14ac:dyDescent="0.2">
      <c r="A22" s="1461"/>
      <c r="E22" s="84"/>
      <c r="F22" s="84"/>
    </row>
    <row r="23" spans="1:29" ht="14.25" customHeight="1" x14ac:dyDescent="0.2">
      <c r="A23" s="1461"/>
      <c r="B23" s="11"/>
      <c r="C23" s="312"/>
      <c r="D23" s="313"/>
      <c r="E23" s="84"/>
      <c r="F23" s="84"/>
    </row>
    <row r="24" spans="1:29" ht="14.25" customHeight="1" x14ac:dyDescent="0.2">
      <c r="A24" s="1461"/>
      <c r="B24" s="11"/>
      <c r="C24" s="312"/>
      <c r="D24" s="313"/>
      <c r="E24" s="84"/>
      <c r="F24" s="84"/>
      <c r="Z24" s="1073"/>
    </row>
    <row r="25" spans="1:29" ht="14.25" customHeight="1" x14ac:dyDescent="0.2">
      <c r="A25" s="1461"/>
      <c r="B25" s="11"/>
      <c r="C25" s="312"/>
      <c r="D25" s="313"/>
      <c r="E25" s="84"/>
      <c r="F25" s="84"/>
      <c r="R25" s="1662" t="s">
        <v>345</v>
      </c>
      <c r="S25" s="1633"/>
      <c r="T25" s="1633"/>
      <c r="Z25" s="122" t="s">
        <v>14</v>
      </c>
      <c r="AA25" s="123">
        <v>1</v>
      </c>
      <c r="AB25" s="122" t="s">
        <v>249</v>
      </c>
      <c r="AC25" s="124">
        <f>(S34/S30)*AA25</f>
        <v>3.4525791164956546E-3</v>
      </c>
    </row>
    <row r="26" spans="1:29" ht="14.25" customHeight="1" x14ac:dyDescent="0.2">
      <c r="A26" s="1461"/>
      <c r="B26" s="11"/>
      <c r="C26" s="312"/>
      <c r="D26" s="313"/>
      <c r="E26" s="84"/>
      <c r="F26" s="84"/>
      <c r="R26" s="341" t="s">
        <v>338</v>
      </c>
      <c r="S26" s="341"/>
      <c r="T26" s="341"/>
    </row>
    <row r="27" spans="1:29" ht="14.25" customHeight="1" x14ac:dyDescent="0.2">
      <c r="A27" s="1461"/>
      <c r="B27" s="11"/>
      <c r="C27" s="312"/>
      <c r="D27" s="313"/>
      <c r="E27" s="84"/>
      <c r="F27" s="84"/>
      <c r="R27" s="126" t="s">
        <v>254</v>
      </c>
      <c r="S27" s="126" t="s">
        <v>339</v>
      </c>
      <c r="T27" s="126" t="s">
        <v>257</v>
      </c>
    </row>
    <row r="28" spans="1:29" ht="14.25" customHeight="1" x14ac:dyDescent="0.2">
      <c r="A28" s="1461"/>
      <c r="B28" s="11"/>
      <c r="C28" s="312"/>
      <c r="D28" s="313"/>
      <c r="E28" s="84"/>
      <c r="F28" s="84"/>
      <c r="R28" s="126" t="s">
        <v>263</v>
      </c>
      <c r="S28" s="721">
        <f>T28</f>
        <v>20200</v>
      </c>
      <c r="T28" s="720">
        <f>$Z$1</f>
        <v>20200</v>
      </c>
    </row>
    <row r="29" spans="1:29" ht="14.25" customHeight="1" x14ac:dyDescent="0.2">
      <c r="A29" s="1461"/>
      <c r="B29" s="11"/>
      <c r="C29" s="312"/>
      <c r="D29" s="313"/>
      <c r="E29" s="84"/>
      <c r="F29" s="84"/>
      <c r="R29" s="126" t="s">
        <v>265</v>
      </c>
      <c r="S29" s="720">
        <f>$AB$1</f>
        <v>0</v>
      </c>
      <c r="T29" s="271"/>
    </row>
    <row r="30" spans="1:29" ht="14.25" customHeight="1" x14ac:dyDescent="0.2">
      <c r="A30" s="1461"/>
      <c r="B30" s="11"/>
      <c r="C30" s="312"/>
      <c r="D30" s="313"/>
      <c r="E30" s="84"/>
      <c r="F30" s="84"/>
      <c r="R30" s="126" t="s">
        <v>257</v>
      </c>
      <c r="S30" s="315">
        <f>SUM(S28:S29)</f>
        <v>20200</v>
      </c>
      <c r="T30" s="315">
        <f>S30</f>
        <v>20200</v>
      </c>
    </row>
    <row r="31" spans="1:29" ht="14.25" customHeight="1" x14ac:dyDescent="0.2">
      <c r="A31" s="1461"/>
      <c r="B31" s="11"/>
      <c r="C31" s="312"/>
      <c r="D31" s="313"/>
      <c r="E31" s="84"/>
      <c r="F31" s="84"/>
    </row>
    <row r="32" spans="1:29" ht="14.25" customHeight="1" x14ac:dyDescent="0.2">
      <c r="A32" s="1461"/>
      <c r="B32" s="84"/>
      <c r="E32" s="84"/>
      <c r="F32" s="84"/>
    </row>
    <row r="33" spans="1:20" ht="13.5" thickBot="1" x14ac:dyDescent="0.25">
      <c r="A33" s="1461"/>
    </row>
    <row r="34" spans="1:20" ht="15" thickBot="1" x14ac:dyDescent="0.25">
      <c r="A34" s="1461"/>
      <c r="R34" s="144" t="s">
        <v>249</v>
      </c>
      <c r="S34" s="990">
        <f>SUM(L6:L12)</f>
        <v>69.742098153212225</v>
      </c>
      <c r="T34" s="1061">
        <f>S34</f>
        <v>69.742098153212225</v>
      </c>
    </row>
    <row r="35" spans="1:20" x14ac:dyDescent="0.2">
      <c r="A35" s="1461"/>
    </row>
    <row r="36" spans="1:20" x14ac:dyDescent="0.2">
      <c r="A36" s="1461"/>
    </row>
    <row r="37" spans="1:20" x14ac:dyDescent="0.2">
      <c r="A37" s="1461"/>
    </row>
    <row r="38" spans="1:20" x14ac:dyDescent="0.2">
      <c r="A38" s="1461"/>
    </row>
    <row r="39" spans="1:20" x14ac:dyDescent="0.2">
      <c r="A39" s="1461"/>
    </row>
    <row r="40" spans="1:20" x14ac:dyDescent="0.2">
      <c r="A40" s="1461"/>
    </row>
    <row r="41" spans="1:20" ht="14.25" customHeight="1" x14ac:dyDescent="0.2">
      <c r="A41" s="1461"/>
    </row>
    <row r="42" spans="1:20" ht="14.25" customHeight="1" x14ac:dyDescent="0.2">
      <c r="A42" s="1461"/>
    </row>
    <row r="43" spans="1:20" x14ac:dyDescent="0.2">
      <c r="A43" s="1461"/>
    </row>
    <row r="44" spans="1:20" x14ac:dyDescent="0.2">
      <c r="A44" s="1461"/>
    </row>
    <row r="45" spans="1:20" x14ac:dyDescent="0.2">
      <c r="A45" s="1461"/>
    </row>
    <row r="46" spans="1:20" x14ac:dyDescent="0.2">
      <c r="A46" s="1461"/>
    </row>
    <row r="47" spans="1:20" x14ac:dyDescent="0.2">
      <c r="A47" s="1461"/>
    </row>
    <row r="48" spans="1:20" x14ac:dyDescent="0.2">
      <c r="A48" s="1461"/>
    </row>
    <row r="49" spans="1:8" x14ac:dyDescent="0.2">
      <c r="A49" s="1461"/>
    </row>
    <row r="50" spans="1:8" ht="14.25" x14ac:dyDescent="0.2">
      <c r="A50" s="1461"/>
      <c r="B50" s="204"/>
      <c r="C50" s="204" t="s">
        <v>233</v>
      </c>
      <c r="D50" s="204" t="s">
        <v>279</v>
      </c>
    </row>
    <row r="51" spans="1:8" ht="14.25" x14ac:dyDescent="0.2">
      <c r="A51" s="1461"/>
      <c r="B51" s="161" t="s">
        <v>283</v>
      </c>
      <c r="C51" s="162">
        <f>10/$K$1</f>
        <v>9.9009900990099009</v>
      </c>
      <c r="D51" s="163">
        <f>$C$1*10</f>
        <v>10000</v>
      </c>
    </row>
    <row r="52" spans="1:8" ht="14.25" x14ac:dyDescent="0.2">
      <c r="A52" s="1461"/>
      <c r="B52" s="209" t="s">
        <v>257</v>
      </c>
      <c r="C52" s="210">
        <f>G1</f>
        <v>20.2</v>
      </c>
      <c r="D52" s="211">
        <f>E1</f>
        <v>20200</v>
      </c>
    </row>
    <row r="53" spans="1:8" ht="14.25" x14ac:dyDescent="0.2">
      <c r="A53" s="1461"/>
      <c r="B53" s="209" t="s">
        <v>284</v>
      </c>
      <c r="C53" s="212">
        <f>MIN($C$52, $C$51)</f>
        <v>9.9009900990099009</v>
      </c>
      <c r="D53" s="211">
        <f t="shared" ref="D53:D59" si="7">(C53*$K$1)*$C$1</f>
        <v>10000</v>
      </c>
    </row>
    <row r="54" spans="1:8" ht="14.25" x14ac:dyDescent="0.2">
      <c r="A54" s="1461"/>
      <c r="B54" s="209" t="s">
        <v>285</v>
      </c>
      <c r="C54" s="212">
        <f>MIN($C$52-C53, $C$51)</f>
        <v>9.9009900990099009</v>
      </c>
      <c r="D54" s="211">
        <f t="shared" si="7"/>
        <v>10000</v>
      </c>
    </row>
    <row r="55" spans="1:8" ht="14.25" x14ac:dyDescent="0.2">
      <c r="A55" s="1461"/>
      <c r="B55" s="209" t="s">
        <v>286</v>
      </c>
      <c r="C55" s="212">
        <f>MIN($C$52-C53-C54, $C$51)</f>
        <v>0.39801980198019749</v>
      </c>
      <c r="D55" s="211">
        <f t="shared" si="7"/>
        <v>401.99999999999949</v>
      </c>
    </row>
    <row r="56" spans="1:8" ht="14.25" x14ac:dyDescent="0.2">
      <c r="A56" s="1461"/>
      <c r="B56" s="209" t="s">
        <v>293</v>
      </c>
      <c r="C56" s="212">
        <f>MIN($C$52-C53-C54-C55, $C$51)</f>
        <v>0</v>
      </c>
      <c r="D56" s="211">
        <f t="shared" si="7"/>
        <v>0</v>
      </c>
    </row>
    <row r="57" spans="1:8" ht="14.25" x14ac:dyDescent="0.2">
      <c r="A57" s="1461"/>
      <c r="B57" s="209" t="s">
        <v>344</v>
      </c>
      <c r="C57" s="212">
        <f>MIN($C$52-C53-C54-C55-C56, $C$51)</f>
        <v>0</v>
      </c>
      <c r="D57" s="211">
        <f t="shared" si="7"/>
        <v>0</v>
      </c>
    </row>
    <row r="58" spans="1:8" ht="14.25" x14ac:dyDescent="0.2">
      <c r="A58" s="1461"/>
      <c r="B58" s="209" t="s">
        <v>451</v>
      </c>
      <c r="C58" s="212">
        <f>MIN($C$52-C53-C54-C55-C56-C57, $C$51)</f>
        <v>0</v>
      </c>
      <c r="D58" s="211">
        <f t="shared" si="7"/>
        <v>0</v>
      </c>
    </row>
    <row r="59" spans="1:8" ht="14.25" x14ac:dyDescent="0.2">
      <c r="A59" s="1461"/>
      <c r="B59" s="209" t="s">
        <v>452</v>
      </c>
      <c r="C59" s="212">
        <f>MIN($C$52-C53-C54-C55-C56-C57-C58, $C$51)</f>
        <v>0</v>
      </c>
      <c r="D59" s="211">
        <f t="shared" si="7"/>
        <v>0</v>
      </c>
    </row>
    <row r="60" spans="1:8" x14ac:dyDescent="0.2">
      <c r="A60" s="1461"/>
    </row>
    <row r="61" spans="1:8" x14ac:dyDescent="0.2">
      <c r="A61" s="1461"/>
    </row>
    <row r="62" spans="1:8" ht="18" customHeight="1" x14ac:dyDescent="0.2">
      <c r="A62" s="1464"/>
      <c r="B62" s="1636" t="s">
        <v>589</v>
      </c>
      <c r="C62" s="1637"/>
      <c r="D62" s="1637"/>
      <c r="E62" s="1637"/>
      <c r="F62" s="1637"/>
      <c r="G62" s="1637"/>
      <c r="H62" s="1637"/>
    </row>
    <row r="63" spans="1:8" ht="14.25" customHeight="1" x14ac:dyDescent="0.2">
      <c r="A63" s="1464"/>
      <c r="B63" s="1634" t="s">
        <v>343</v>
      </c>
      <c r="C63" s="1635"/>
      <c r="D63" s="1635"/>
      <c r="E63" s="1635"/>
      <c r="F63" s="1635"/>
      <c r="G63" s="1635"/>
      <c r="H63" s="1635"/>
    </row>
    <row r="64" spans="1:8" ht="36" customHeight="1" x14ac:dyDescent="0.2">
      <c r="A64" s="1457"/>
      <c r="B64" s="221" t="s">
        <v>241</v>
      </c>
      <c r="C64" s="222" t="s">
        <v>242</v>
      </c>
      <c r="D64" s="223" t="s">
        <v>231</v>
      </c>
      <c r="E64" s="197" t="s">
        <v>234</v>
      </c>
      <c r="F64" s="197" t="s">
        <v>243</v>
      </c>
      <c r="G64" s="223" t="s">
        <v>244</v>
      </c>
      <c r="H64" s="197" t="s">
        <v>245</v>
      </c>
    </row>
    <row r="65" spans="1:8" ht="14.25" x14ac:dyDescent="0.2">
      <c r="A65" s="1460"/>
      <c r="B65" s="299" t="str">
        <f t="shared" ref="B65:D71" si="8">B6</f>
        <v>Potato - بطاطس</v>
      </c>
      <c r="C65" s="106" t="str">
        <f t="shared" si="8"/>
        <v>gm</v>
      </c>
      <c r="D65" s="107">
        <f t="shared" si="8"/>
        <v>1175</v>
      </c>
      <c r="E65" s="98">
        <f>$C$52</f>
        <v>20.2</v>
      </c>
      <c r="F65" s="109">
        <f t="shared" ref="F65:F71" si="9">F6</f>
        <v>1</v>
      </c>
      <c r="G65" s="101">
        <f t="shared" ref="G65:G71" si="10">D65*E65</f>
        <v>23735</v>
      </c>
      <c r="H65" s="102">
        <f t="shared" ref="H65:H71" si="11">G65*F65</f>
        <v>23735</v>
      </c>
    </row>
    <row r="66" spans="1:8" ht="14.25" customHeight="1" x14ac:dyDescent="0.2">
      <c r="A66" s="1460"/>
      <c r="B66" s="299" t="str">
        <f t="shared" si="8"/>
        <v>Ginger - زنجبيل</v>
      </c>
      <c r="C66" s="106" t="str">
        <f t="shared" si="8"/>
        <v>gm</v>
      </c>
      <c r="D66" s="107">
        <f t="shared" si="8"/>
        <v>10</v>
      </c>
      <c r="E66" s="98">
        <f t="shared" ref="E66:E71" si="12">$C$52</f>
        <v>20.2</v>
      </c>
      <c r="F66" s="109">
        <f t="shared" si="9"/>
        <v>1</v>
      </c>
      <c r="G66" s="101">
        <f t="shared" si="10"/>
        <v>202</v>
      </c>
      <c r="H66" s="102">
        <f t="shared" si="11"/>
        <v>202</v>
      </c>
    </row>
    <row r="67" spans="1:8" ht="14.25" customHeight="1" x14ac:dyDescent="0.2">
      <c r="A67" s="1460"/>
      <c r="B67" s="299" t="str">
        <f t="shared" si="8"/>
        <v>Coriander Leaves - كزبرة خضراء</v>
      </c>
      <c r="C67" s="106" t="str">
        <f t="shared" si="8"/>
        <v>gm</v>
      </c>
      <c r="D67" s="107">
        <f t="shared" si="8"/>
        <v>5</v>
      </c>
      <c r="E67" s="98">
        <f t="shared" si="12"/>
        <v>20.2</v>
      </c>
      <c r="F67" s="109">
        <f t="shared" si="9"/>
        <v>1</v>
      </c>
      <c r="G67" s="101">
        <f t="shared" si="10"/>
        <v>101</v>
      </c>
      <c r="H67" s="102">
        <f t="shared" si="11"/>
        <v>101</v>
      </c>
    </row>
    <row r="68" spans="1:8" ht="14.25" customHeight="1" x14ac:dyDescent="0.2">
      <c r="A68" s="1460"/>
      <c r="B68" s="299" t="str">
        <f t="shared" si="8"/>
        <v>Butter - زبدة</v>
      </c>
      <c r="C68" s="106" t="str">
        <f t="shared" si="8"/>
        <v>gm</v>
      </c>
      <c r="D68" s="107">
        <f t="shared" si="8"/>
        <v>10</v>
      </c>
      <c r="E68" s="98">
        <f t="shared" si="12"/>
        <v>20.2</v>
      </c>
      <c r="F68" s="109">
        <f t="shared" si="9"/>
        <v>1</v>
      </c>
      <c r="G68" s="101">
        <f t="shared" si="10"/>
        <v>202</v>
      </c>
      <c r="H68" s="102">
        <f t="shared" si="11"/>
        <v>202</v>
      </c>
    </row>
    <row r="69" spans="1:8" ht="14.25" customHeight="1" x14ac:dyDescent="0.2">
      <c r="A69" s="1460"/>
      <c r="B69" s="299" t="str">
        <f t="shared" si="8"/>
        <v>White Pepper - فلفل أبيض</v>
      </c>
      <c r="C69" s="106" t="str">
        <f t="shared" si="8"/>
        <v>gm</v>
      </c>
      <c r="D69" s="107">
        <f t="shared" si="8"/>
        <v>2</v>
      </c>
      <c r="E69" s="98">
        <f t="shared" si="12"/>
        <v>20.2</v>
      </c>
      <c r="F69" s="109">
        <f t="shared" si="9"/>
        <v>0.75</v>
      </c>
      <c r="G69" s="101">
        <f t="shared" si="10"/>
        <v>40.4</v>
      </c>
      <c r="H69" s="102">
        <f t="shared" si="11"/>
        <v>30.299999999999997</v>
      </c>
    </row>
    <row r="70" spans="1:8" ht="14.25" customHeight="1" x14ac:dyDescent="0.2">
      <c r="A70" s="1460"/>
      <c r="B70" s="299" t="str">
        <f t="shared" si="8"/>
        <v>Salt - ملح</v>
      </c>
      <c r="C70" s="106" t="str">
        <f t="shared" si="8"/>
        <v>gm</v>
      </c>
      <c r="D70" s="107">
        <f t="shared" si="8"/>
        <v>5</v>
      </c>
      <c r="E70" s="98">
        <f t="shared" si="12"/>
        <v>20.2</v>
      </c>
      <c r="F70" s="109">
        <f t="shared" si="9"/>
        <v>0.75</v>
      </c>
      <c r="G70" s="101">
        <f t="shared" si="10"/>
        <v>101</v>
      </c>
      <c r="H70" s="102">
        <f t="shared" si="11"/>
        <v>75.75</v>
      </c>
    </row>
    <row r="71" spans="1:8" ht="14.25" customHeight="1" x14ac:dyDescent="0.2">
      <c r="A71" s="1460"/>
      <c r="B71" s="299" t="str">
        <f t="shared" si="8"/>
        <v>Cumin Powder - كمون مطحون</v>
      </c>
      <c r="C71" s="106" t="str">
        <f t="shared" si="8"/>
        <v>gm</v>
      </c>
      <c r="D71" s="107">
        <f t="shared" si="8"/>
        <v>1</v>
      </c>
      <c r="E71" s="98">
        <f t="shared" si="12"/>
        <v>20.2</v>
      </c>
      <c r="F71" s="109">
        <f t="shared" si="9"/>
        <v>0.75</v>
      </c>
      <c r="G71" s="101">
        <f t="shared" si="10"/>
        <v>20.2</v>
      </c>
      <c r="H71" s="102">
        <f t="shared" si="11"/>
        <v>15.149999999999999</v>
      </c>
    </row>
    <row r="72" spans="1:8" ht="12.75" customHeight="1" x14ac:dyDescent="0.2">
      <c r="A72" s="1461"/>
      <c r="B72" s="178" t="s">
        <v>708</v>
      </c>
      <c r="E72" s="84"/>
      <c r="F72" s="84"/>
    </row>
    <row r="73" spans="1:8" ht="19.5" customHeight="1" x14ac:dyDescent="0.3">
      <c r="A73" s="1461"/>
      <c r="B73" s="179">
        <f>D52</f>
        <v>20200</v>
      </c>
      <c r="C73" s="188"/>
      <c r="D73" s="4"/>
      <c r="E73" s="84"/>
      <c r="F73" s="164"/>
    </row>
    <row r="74" spans="1:8" ht="12.75" customHeight="1" x14ac:dyDescent="0.2">
      <c r="A74" s="1461"/>
      <c r="B74" s="84"/>
      <c r="E74" s="84"/>
      <c r="F74" s="84"/>
    </row>
    <row r="75" spans="1:8" ht="12.75" customHeight="1" x14ac:dyDescent="0.2">
      <c r="A75" s="1462"/>
      <c r="B75" s="790"/>
      <c r="C75" s="790"/>
      <c r="D75" s="790"/>
      <c r="E75" s="790"/>
      <c r="F75" s="790"/>
      <c r="G75" s="790"/>
      <c r="H75" s="790"/>
    </row>
    <row r="76" spans="1:8" ht="18" customHeight="1" x14ac:dyDescent="0.2">
      <c r="A76" s="1462"/>
      <c r="B76" s="1673"/>
      <c r="C76" s="1674"/>
      <c r="D76" s="1674"/>
      <c r="E76" s="1674"/>
      <c r="F76" s="1674"/>
      <c r="G76" s="1674"/>
      <c r="H76" s="1674"/>
    </row>
    <row r="77" spans="1:8" ht="18" customHeight="1" x14ac:dyDescent="0.2">
      <c r="A77" s="1462"/>
      <c r="B77" s="1673"/>
      <c r="C77" s="1674"/>
      <c r="D77" s="1674"/>
      <c r="E77" s="1674"/>
      <c r="F77" s="1674"/>
      <c r="G77" s="1674"/>
      <c r="H77" s="1674"/>
    </row>
    <row r="78" spans="1:8" x14ac:dyDescent="0.2">
      <c r="A78" s="1463"/>
      <c r="B78" s="1103"/>
      <c r="C78" s="1104"/>
      <c r="D78" s="1103"/>
      <c r="E78" s="1105"/>
      <c r="F78" s="1105"/>
      <c r="G78" s="1103"/>
      <c r="H78" s="1105"/>
    </row>
    <row r="79" spans="1:8" ht="14.25" x14ac:dyDescent="0.2">
      <c r="A79" s="1462"/>
      <c r="B79" s="1106"/>
      <c r="C79" s="1106"/>
      <c r="D79" s="1106"/>
      <c r="E79" s="1107"/>
      <c r="F79" s="1108"/>
      <c r="G79" s="1109"/>
      <c r="H79" s="1110"/>
    </row>
    <row r="80" spans="1:8" ht="14.25" customHeight="1" x14ac:dyDescent="0.2">
      <c r="A80" s="1462"/>
      <c r="B80" s="1106"/>
      <c r="C80" s="1106"/>
      <c r="D80" s="1106"/>
      <c r="E80" s="1107"/>
      <c r="F80" s="1108"/>
      <c r="G80" s="1109"/>
      <c r="H80" s="1110"/>
    </row>
    <row r="81" spans="1:8" ht="14.25" customHeight="1" x14ac:dyDescent="0.2">
      <c r="A81" s="1462"/>
      <c r="B81" s="1106"/>
      <c r="C81" s="1106"/>
      <c r="D81" s="1106"/>
      <c r="E81" s="1107"/>
      <c r="F81" s="1108"/>
      <c r="G81" s="1109"/>
      <c r="H81" s="1110"/>
    </row>
    <row r="82" spans="1:8" ht="14.25" customHeight="1" x14ac:dyDescent="0.2">
      <c r="A82" s="1462"/>
      <c r="B82" s="1106"/>
      <c r="C82" s="1106"/>
      <c r="D82" s="1106"/>
      <c r="E82" s="1107"/>
      <c r="F82" s="1108"/>
      <c r="G82" s="1109"/>
      <c r="H82" s="1110"/>
    </row>
    <row r="83" spans="1:8" ht="14.25" customHeight="1" x14ac:dyDescent="0.2">
      <c r="A83" s="1462"/>
      <c r="B83" s="1106"/>
      <c r="C83" s="1106"/>
      <c r="D83" s="1106"/>
      <c r="E83" s="1107"/>
      <c r="F83" s="1108"/>
      <c r="G83" s="1109"/>
      <c r="H83" s="1110"/>
    </row>
    <row r="84" spans="1:8" ht="14.25" customHeight="1" x14ac:dyDescent="0.2">
      <c r="A84" s="1462"/>
      <c r="B84" s="1106"/>
      <c r="C84" s="1106"/>
      <c r="D84" s="1106"/>
      <c r="E84" s="1107"/>
      <c r="F84" s="1108"/>
      <c r="G84" s="1109"/>
      <c r="H84" s="1110"/>
    </row>
    <row r="85" spans="1:8" ht="14.25" customHeight="1" x14ac:dyDescent="0.2">
      <c r="A85" s="1462"/>
      <c r="B85" s="1106"/>
      <c r="C85" s="1106"/>
      <c r="D85" s="1106"/>
      <c r="E85" s="1107"/>
      <c r="F85" s="1108"/>
      <c r="G85" s="1109"/>
      <c r="H85" s="1110"/>
    </row>
    <row r="86" spans="1:8" ht="12.75" customHeight="1" x14ac:dyDescent="0.2">
      <c r="A86" s="1462"/>
      <c r="B86" s="814"/>
      <c r="C86" s="796"/>
      <c r="D86" s="796"/>
      <c r="E86" s="790"/>
      <c r="F86" s="790"/>
      <c r="G86" s="796"/>
      <c r="H86" s="796"/>
    </row>
    <row r="87" spans="1:8" ht="19.5" customHeight="1" x14ac:dyDescent="0.3">
      <c r="A87" s="1462"/>
      <c r="B87" s="815"/>
      <c r="C87" s="1117"/>
      <c r="D87" s="1114"/>
      <c r="E87" s="790"/>
      <c r="F87" s="1115"/>
      <c r="G87" s="796"/>
      <c r="H87" s="796"/>
    </row>
    <row r="88" spans="1:8" ht="12.75" customHeight="1" x14ac:dyDescent="0.2">
      <c r="A88" s="1462"/>
      <c r="B88" s="790"/>
      <c r="C88" s="790"/>
      <c r="D88" s="790"/>
      <c r="E88" s="790"/>
      <c r="F88" s="790"/>
      <c r="G88" s="790"/>
      <c r="H88" s="790"/>
    </row>
    <row r="89" spans="1:8" ht="12.75" customHeight="1" x14ac:dyDescent="0.2">
      <c r="A89" s="1462"/>
      <c r="B89" s="790"/>
      <c r="C89" s="790"/>
      <c r="D89" s="790"/>
      <c r="E89" s="790"/>
      <c r="F89" s="790"/>
      <c r="G89" s="790"/>
      <c r="H89" s="790"/>
    </row>
    <row r="90" spans="1:8" ht="18" customHeight="1" x14ac:dyDescent="0.2">
      <c r="A90" s="1462"/>
      <c r="B90" s="1673"/>
      <c r="C90" s="1674"/>
      <c r="D90" s="1674"/>
      <c r="E90" s="1674"/>
      <c r="F90" s="1674"/>
      <c r="G90" s="1674"/>
      <c r="H90" s="1674"/>
    </row>
    <row r="91" spans="1:8" ht="18" customHeight="1" x14ac:dyDescent="0.2">
      <c r="A91" s="1462"/>
      <c r="B91" s="1673"/>
      <c r="C91" s="1674"/>
      <c r="D91" s="1674"/>
      <c r="E91" s="1674"/>
      <c r="F91" s="1674"/>
      <c r="G91" s="1674"/>
      <c r="H91" s="1674"/>
    </row>
    <row r="92" spans="1:8" ht="25.5" customHeight="1" x14ac:dyDescent="0.2">
      <c r="A92" s="1463"/>
      <c r="B92" s="1103"/>
      <c r="C92" s="1104"/>
      <c r="D92" s="1103"/>
      <c r="E92" s="1105"/>
      <c r="F92" s="1105"/>
      <c r="G92" s="1103"/>
      <c r="H92" s="1105"/>
    </row>
    <row r="93" spans="1:8" ht="14.25" x14ac:dyDescent="0.2">
      <c r="A93" s="1462"/>
      <c r="B93" s="1106"/>
      <c r="C93" s="1106"/>
      <c r="D93" s="1106"/>
      <c r="E93" s="1107"/>
      <c r="F93" s="1108"/>
      <c r="G93" s="1109"/>
      <c r="H93" s="1110"/>
    </row>
    <row r="94" spans="1:8" ht="14.25" customHeight="1" x14ac:dyDescent="0.2">
      <c r="A94" s="1462"/>
      <c r="B94" s="1106"/>
      <c r="C94" s="1106"/>
      <c r="D94" s="1106"/>
      <c r="E94" s="1107"/>
      <c r="F94" s="1108"/>
      <c r="G94" s="1109"/>
      <c r="H94" s="1110"/>
    </row>
    <row r="95" spans="1:8" ht="14.25" customHeight="1" x14ac:dyDescent="0.2">
      <c r="A95" s="1462"/>
      <c r="B95" s="1106"/>
      <c r="C95" s="1106"/>
      <c r="D95" s="1106"/>
      <c r="E95" s="1107"/>
      <c r="F95" s="1108"/>
      <c r="G95" s="1109"/>
      <c r="H95" s="1110"/>
    </row>
    <row r="96" spans="1:8" ht="14.25" customHeight="1" x14ac:dyDescent="0.2">
      <c r="A96" s="1462"/>
      <c r="B96" s="1106"/>
      <c r="C96" s="1106"/>
      <c r="D96" s="1106"/>
      <c r="E96" s="1107"/>
      <c r="F96" s="1108"/>
      <c r="G96" s="1109"/>
      <c r="H96" s="1110"/>
    </row>
    <row r="97" spans="1:8" ht="14.25" customHeight="1" x14ac:dyDescent="0.2">
      <c r="A97" s="1462"/>
      <c r="B97" s="1106"/>
      <c r="C97" s="1106"/>
      <c r="D97" s="1106"/>
      <c r="E97" s="1107"/>
      <c r="F97" s="1108"/>
      <c r="G97" s="1109"/>
      <c r="H97" s="1110"/>
    </row>
    <row r="98" spans="1:8" ht="14.25" customHeight="1" x14ac:dyDescent="0.2">
      <c r="A98" s="1462"/>
      <c r="B98" s="1106"/>
      <c r="C98" s="1106"/>
      <c r="D98" s="1106"/>
      <c r="E98" s="1107"/>
      <c r="F98" s="1108"/>
      <c r="G98" s="1109"/>
      <c r="H98" s="1110"/>
    </row>
    <row r="99" spans="1:8" ht="14.25" customHeight="1" x14ac:dyDescent="0.2">
      <c r="A99" s="1462"/>
      <c r="B99" s="1106"/>
      <c r="C99" s="1106"/>
      <c r="D99" s="1106"/>
      <c r="E99" s="1107"/>
      <c r="F99" s="1108"/>
      <c r="G99" s="1109"/>
      <c r="H99" s="1110"/>
    </row>
    <row r="100" spans="1:8" ht="12.75" customHeight="1" x14ac:dyDescent="0.2">
      <c r="A100" s="1462"/>
      <c r="B100" s="814"/>
      <c r="C100" s="796"/>
      <c r="D100" s="796"/>
      <c r="E100" s="790"/>
      <c r="F100" s="790"/>
      <c r="G100" s="796"/>
      <c r="H100" s="796"/>
    </row>
    <row r="101" spans="1:8" ht="18" customHeight="1" x14ac:dyDescent="0.3">
      <c r="A101" s="1462"/>
      <c r="B101" s="815"/>
      <c r="C101" s="796"/>
      <c r="D101" s="796"/>
      <c r="E101" s="790"/>
      <c r="F101" s="790"/>
      <c r="G101" s="796"/>
      <c r="H101" s="796"/>
    </row>
    <row r="102" spans="1:8" ht="14.25" customHeight="1" x14ac:dyDescent="0.2">
      <c r="A102" s="1462"/>
      <c r="B102" s="790"/>
      <c r="C102" s="819"/>
      <c r="D102" s="1114"/>
      <c r="E102" s="790"/>
      <c r="F102" s="1115"/>
      <c r="G102" s="796"/>
      <c r="H102" s="796"/>
    </row>
    <row r="103" spans="1:8" x14ac:dyDescent="0.2">
      <c r="A103" s="1462"/>
      <c r="B103" s="796"/>
      <c r="C103" s="796"/>
      <c r="D103" s="796"/>
      <c r="E103" s="796"/>
      <c r="F103" s="796"/>
      <c r="G103" s="796"/>
      <c r="H103" s="796"/>
    </row>
    <row r="104" spans="1:8" ht="18" customHeight="1" x14ac:dyDescent="0.2">
      <c r="A104" s="1462"/>
      <c r="B104" s="1673"/>
      <c r="C104" s="1674"/>
      <c r="D104" s="1674"/>
      <c r="E104" s="1674"/>
      <c r="F104" s="1674"/>
      <c r="G104" s="1674"/>
      <c r="H104" s="1674"/>
    </row>
    <row r="105" spans="1:8" ht="18" customHeight="1" x14ac:dyDescent="0.2">
      <c r="A105" s="1462"/>
      <c r="B105" s="1673"/>
      <c r="C105" s="1674"/>
      <c r="D105" s="1674"/>
      <c r="E105" s="1674"/>
      <c r="F105" s="1674"/>
      <c r="G105" s="1674"/>
      <c r="H105" s="1674"/>
    </row>
    <row r="106" spans="1:8" x14ac:dyDescent="0.2">
      <c r="A106" s="1463"/>
      <c r="B106" s="1103"/>
      <c r="C106" s="1104"/>
      <c r="D106" s="1103"/>
      <c r="E106" s="1105"/>
      <c r="F106" s="1105"/>
      <c r="G106" s="1103"/>
      <c r="H106" s="1105"/>
    </row>
    <row r="107" spans="1:8" ht="14.25" x14ac:dyDescent="0.2">
      <c r="A107" s="1462"/>
      <c r="B107" s="1106"/>
      <c r="C107" s="1106"/>
      <c r="D107" s="1106"/>
      <c r="E107" s="1107"/>
      <c r="F107" s="1108"/>
      <c r="G107" s="1109"/>
      <c r="H107" s="1110"/>
    </row>
    <row r="108" spans="1:8" ht="14.25" customHeight="1" x14ac:dyDescent="0.2">
      <c r="A108" s="1462"/>
      <c r="B108" s="1106"/>
      <c r="C108" s="1106"/>
      <c r="D108" s="1106"/>
      <c r="E108" s="1107"/>
      <c r="F108" s="1108"/>
      <c r="G108" s="1109"/>
      <c r="H108" s="1110"/>
    </row>
    <row r="109" spans="1:8" ht="14.25" customHeight="1" x14ac:dyDescent="0.2">
      <c r="A109" s="1462"/>
      <c r="B109" s="1106"/>
      <c r="C109" s="1106"/>
      <c r="D109" s="1106"/>
      <c r="E109" s="1107"/>
      <c r="F109" s="1108"/>
      <c r="G109" s="1109"/>
      <c r="H109" s="1110"/>
    </row>
    <row r="110" spans="1:8" ht="14.25" customHeight="1" x14ac:dyDescent="0.2">
      <c r="A110" s="1462"/>
      <c r="B110" s="1106"/>
      <c r="C110" s="1106"/>
      <c r="D110" s="1106"/>
      <c r="E110" s="1107"/>
      <c r="F110" s="1108"/>
      <c r="G110" s="1109"/>
      <c r="H110" s="1110"/>
    </row>
    <row r="111" spans="1:8" ht="14.25" customHeight="1" x14ac:dyDescent="0.2">
      <c r="A111" s="1462"/>
      <c r="B111" s="1106"/>
      <c r="C111" s="1106"/>
      <c r="D111" s="1106"/>
      <c r="E111" s="1107"/>
      <c r="F111" s="1108"/>
      <c r="G111" s="1109"/>
      <c r="H111" s="1110"/>
    </row>
    <row r="112" spans="1:8" ht="14.25" customHeight="1" x14ac:dyDescent="0.2">
      <c r="A112" s="1462"/>
      <c r="B112" s="1106"/>
      <c r="C112" s="1106"/>
      <c r="D112" s="1106"/>
      <c r="E112" s="1107"/>
      <c r="F112" s="1108"/>
      <c r="G112" s="1109"/>
      <c r="H112" s="1110"/>
    </row>
    <row r="113" spans="1:8" ht="14.25" customHeight="1" x14ac:dyDescent="0.2">
      <c r="A113" s="1462"/>
      <c r="B113" s="1106"/>
      <c r="C113" s="1106"/>
      <c r="D113" s="1106"/>
      <c r="E113" s="1107"/>
      <c r="F113" s="1108"/>
      <c r="G113" s="1109"/>
      <c r="H113" s="1110"/>
    </row>
    <row r="114" spans="1:8" ht="12.75" customHeight="1" x14ac:dyDescent="0.2">
      <c r="A114" s="1462"/>
      <c r="B114" s="814"/>
      <c r="C114" s="796"/>
      <c r="D114" s="796"/>
      <c r="E114" s="790"/>
      <c r="F114" s="790"/>
      <c r="G114" s="796"/>
      <c r="H114" s="796"/>
    </row>
    <row r="115" spans="1:8" ht="21" customHeight="1" x14ac:dyDescent="0.3">
      <c r="A115" s="1462"/>
      <c r="B115" s="815"/>
      <c r="C115" s="796"/>
      <c r="D115" s="796"/>
      <c r="E115" s="790"/>
      <c r="F115" s="790"/>
      <c r="G115" s="796"/>
      <c r="H115" s="796"/>
    </row>
    <row r="116" spans="1:8" ht="14.25" customHeight="1" x14ac:dyDescent="0.2">
      <c r="A116" s="1462"/>
      <c r="B116" s="790"/>
      <c r="C116" s="819"/>
      <c r="D116" s="1114"/>
      <c r="E116" s="790"/>
      <c r="F116" s="1115"/>
      <c r="G116" s="796"/>
      <c r="H116" s="796"/>
    </row>
    <row r="117" spans="1:8" ht="18" customHeight="1" x14ac:dyDescent="0.2">
      <c r="A117" s="1462"/>
      <c r="B117" s="1673"/>
      <c r="C117" s="1674"/>
      <c r="D117" s="1674"/>
      <c r="E117" s="1674"/>
      <c r="F117" s="1674"/>
      <c r="G117" s="1674"/>
      <c r="H117" s="1674"/>
    </row>
    <row r="118" spans="1:8" ht="18" customHeight="1" x14ac:dyDescent="0.2">
      <c r="A118" s="1462"/>
      <c r="B118" s="1673"/>
      <c r="C118" s="1674"/>
      <c r="D118" s="1674"/>
      <c r="E118" s="1674"/>
      <c r="F118" s="1674"/>
      <c r="G118" s="1674"/>
      <c r="H118" s="1674"/>
    </row>
    <row r="119" spans="1:8" x14ac:dyDescent="0.2">
      <c r="A119" s="1463"/>
      <c r="B119" s="1103"/>
      <c r="C119" s="1104"/>
      <c r="D119" s="1103"/>
      <c r="E119" s="1105"/>
      <c r="F119" s="1105"/>
      <c r="G119" s="1103"/>
      <c r="H119" s="1105"/>
    </row>
    <row r="120" spans="1:8" ht="14.25" x14ac:dyDescent="0.2">
      <c r="A120" s="1462"/>
      <c r="B120" s="1106"/>
      <c r="C120" s="1106"/>
      <c r="D120" s="1106"/>
      <c r="E120" s="1107"/>
      <c r="F120" s="1108"/>
      <c r="G120" s="1109"/>
      <c r="H120" s="1110"/>
    </row>
    <row r="121" spans="1:8" ht="14.25" customHeight="1" x14ac:dyDescent="0.2">
      <c r="A121" s="1462"/>
      <c r="B121" s="1106"/>
      <c r="C121" s="1106"/>
      <c r="D121" s="1106"/>
      <c r="E121" s="1107"/>
      <c r="F121" s="1108"/>
      <c r="G121" s="1109"/>
      <c r="H121" s="1110"/>
    </row>
    <row r="122" spans="1:8" ht="14.25" customHeight="1" x14ac:dyDescent="0.2">
      <c r="A122" s="1462"/>
      <c r="B122" s="1106"/>
      <c r="C122" s="1106"/>
      <c r="D122" s="1106"/>
      <c r="E122" s="1107"/>
      <c r="F122" s="1108"/>
      <c r="G122" s="1109"/>
      <c r="H122" s="1110"/>
    </row>
    <row r="123" spans="1:8" ht="14.25" customHeight="1" x14ac:dyDescent="0.2">
      <c r="A123" s="1462"/>
      <c r="B123" s="1106"/>
      <c r="C123" s="1106"/>
      <c r="D123" s="1106"/>
      <c r="E123" s="1107"/>
      <c r="F123" s="1108"/>
      <c r="G123" s="1109"/>
      <c r="H123" s="1110"/>
    </row>
    <row r="124" spans="1:8" ht="14.25" customHeight="1" x14ac:dyDescent="0.2">
      <c r="A124" s="1462"/>
      <c r="B124" s="1106"/>
      <c r="C124" s="1106"/>
      <c r="D124" s="1106"/>
      <c r="E124" s="1107"/>
      <c r="F124" s="1108"/>
      <c r="G124" s="1109"/>
      <c r="H124" s="1110"/>
    </row>
    <row r="125" spans="1:8" ht="14.25" customHeight="1" x14ac:dyDescent="0.2">
      <c r="A125" s="1462"/>
      <c r="B125" s="1106"/>
      <c r="C125" s="1106"/>
      <c r="D125" s="1106"/>
      <c r="E125" s="1107"/>
      <c r="F125" s="1108"/>
      <c r="G125" s="1109"/>
      <c r="H125" s="1110"/>
    </row>
    <row r="126" spans="1:8" ht="14.25" customHeight="1" x14ac:dyDescent="0.2">
      <c r="A126" s="1462"/>
      <c r="B126" s="1106"/>
      <c r="C126" s="1106"/>
      <c r="D126" s="1106"/>
      <c r="E126" s="1107"/>
      <c r="F126" s="1108"/>
      <c r="G126" s="1109"/>
      <c r="H126" s="1110"/>
    </row>
    <row r="127" spans="1:8" ht="15.75" x14ac:dyDescent="0.2">
      <c r="A127" s="1462"/>
      <c r="B127" s="814"/>
      <c r="C127" s="796"/>
      <c r="D127" s="796"/>
      <c r="E127" s="796"/>
      <c r="F127" s="796"/>
      <c r="G127" s="796"/>
      <c r="H127" s="796"/>
    </row>
    <row r="128" spans="1:8" ht="30" customHeight="1" x14ac:dyDescent="0.3">
      <c r="A128" s="1462"/>
      <c r="B128" s="815"/>
      <c r="C128" s="796"/>
      <c r="D128" s="796"/>
      <c r="E128" s="796"/>
      <c r="F128" s="796"/>
      <c r="G128" s="796"/>
      <c r="H128" s="796"/>
    </row>
    <row r="129" spans="1:8" ht="30" customHeight="1" x14ac:dyDescent="0.2">
      <c r="A129" s="1462"/>
      <c r="B129" s="796"/>
      <c r="C129" s="796"/>
      <c r="D129" s="796"/>
      <c r="E129" s="796"/>
      <c r="F129" s="796"/>
      <c r="G129" s="796"/>
      <c r="H129" s="796"/>
    </row>
    <row r="130" spans="1:8" ht="18" x14ac:dyDescent="0.2">
      <c r="A130" s="1462"/>
      <c r="B130" s="1673"/>
      <c r="C130" s="1674"/>
      <c r="D130" s="1674"/>
      <c r="E130" s="1674"/>
      <c r="F130" s="1674"/>
      <c r="G130" s="1674"/>
      <c r="H130" s="1674"/>
    </row>
    <row r="131" spans="1:8" ht="18" x14ac:dyDescent="0.2">
      <c r="A131" s="1462"/>
      <c r="B131" s="1673"/>
      <c r="C131" s="1674"/>
      <c r="D131" s="1674"/>
      <c r="E131" s="1674"/>
      <c r="F131" s="1674"/>
      <c r="G131" s="1674"/>
      <c r="H131" s="1674"/>
    </row>
    <row r="132" spans="1:8" x14ac:dyDescent="0.2">
      <c r="A132" s="1463"/>
      <c r="B132" s="1103"/>
      <c r="C132" s="1104"/>
      <c r="D132" s="1103"/>
      <c r="E132" s="1105"/>
      <c r="F132" s="1105"/>
      <c r="G132" s="1103"/>
      <c r="H132" s="1105"/>
    </row>
    <row r="133" spans="1:8" ht="14.25" x14ac:dyDescent="0.2">
      <c r="A133" s="1462"/>
      <c r="B133" s="1106"/>
      <c r="C133" s="1106"/>
      <c r="D133" s="1106"/>
      <c r="E133" s="1107"/>
      <c r="F133" s="1108"/>
      <c r="G133" s="1109"/>
      <c r="H133" s="1110"/>
    </row>
    <row r="134" spans="1:8" ht="14.25" x14ac:dyDescent="0.2">
      <c r="A134" s="1462"/>
      <c r="B134" s="1106"/>
      <c r="C134" s="1106"/>
      <c r="D134" s="1106"/>
      <c r="E134" s="1107"/>
      <c r="F134" s="1108"/>
      <c r="G134" s="1109"/>
      <c r="H134" s="1110"/>
    </row>
    <row r="135" spans="1:8" ht="14.25" x14ac:dyDescent="0.2">
      <c r="A135" s="1462"/>
      <c r="B135" s="1106"/>
      <c r="C135" s="1106"/>
      <c r="D135" s="1106"/>
      <c r="E135" s="1107"/>
      <c r="F135" s="1108"/>
      <c r="G135" s="1109"/>
      <c r="H135" s="1110"/>
    </row>
    <row r="136" spans="1:8" ht="14.25" x14ac:dyDescent="0.2">
      <c r="A136" s="1462"/>
      <c r="B136" s="1106"/>
      <c r="C136" s="1106"/>
      <c r="D136" s="1106"/>
      <c r="E136" s="1107"/>
      <c r="F136" s="1108"/>
      <c r="G136" s="1109"/>
      <c r="H136" s="1110"/>
    </row>
    <row r="137" spans="1:8" ht="14.25" x14ac:dyDescent="0.2">
      <c r="A137" s="1462"/>
      <c r="B137" s="1106"/>
      <c r="C137" s="1106"/>
      <c r="D137" s="1106"/>
      <c r="E137" s="1107"/>
      <c r="F137" s="1108"/>
      <c r="G137" s="1109"/>
      <c r="H137" s="1110"/>
    </row>
    <row r="138" spans="1:8" ht="14.25" x14ac:dyDescent="0.2">
      <c r="A138" s="1462"/>
      <c r="B138" s="1106"/>
      <c r="C138" s="1106"/>
      <c r="D138" s="1106"/>
      <c r="E138" s="1107"/>
      <c r="F138" s="1108"/>
      <c r="G138" s="1109"/>
      <c r="H138" s="1110"/>
    </row>
    <row r="139" spans="1:8" ht="14.25" x14ac:dyDescent="0.2">
      <c r="A139" s="1462"/>
      <c r="B139" s="1106"/>
      <c r="C139" s="1106"/>
      <c r="D139" s="1106"/>
      <c r="E139" s="1107"/>
      <c r="F139" s="1108"/>
      <c r="G139" s="1109"/>
      <c r="H139" s="1110"/>
    </row>
    <row r="140" spans="1:8" ht="15.75" x14ac:dyDescent="0.2">
      <c r="A140" s="1462"/>
      <c r="B140" s="814"/>
      <c r="C140" s="796"/>
      <c r="D140" s="796"/>
      <c r="E140" s="796"/>
      <c r="F140" s="796"/>
      <c r="G140" s="796"/>
      <c r="H140" s="796"/>
    </row>
    <row r="141" spans="1:8" ht="20.25" x14ac:dyDescent="0.3">
      <c r="A141" s="1462"/>
      <c r="B141" s="815"/>
      <c r="C141" s="796"/>
      <c r="D141" s="796"/>
      <c r="E141" s="796"/>
      <c r="F141" s="796"/>
      <c r="G141" s="796"/>
      <c r="H141" s="796"/>
    </row>
    <row r="142" spans="1:8" x14ac:dyDescent="0.2">
      <c r="A142" s="1462"/>
      <c r="B142" s="796"/>
      <c r="C142" s="796"/>
      <c r="D142" s="796"/>
      <c r="E142" s="796"/>
      <c r="F142" s="796"/>
      <c r="G142" s="796"/>
      <c r="H142" s="796"/>
    </row>
    <row r="143" spans="1:8" ht="18" x14ac:dyDescent="0.2">
      <c r="A143" s="1462"/>
      <c r="B143" s="1673"/>
      <c r="C143" s="1674"/>
      <c r="D143" s="1674"/>
      <c r="E143" s="1674"/>
      <c r="F143" s="1674"/>
      <c r="G143" s="1674"/>
      <c r="H143" s="1674"/>
    </row>
    <row r="144" spans="1:8" ht="18" x14ac:dyDescent="0.2">
      <c r="A144" s="1462"/>
      <c r="B144" s="1673"/>
      <c r="C144" s="1674"/>
      <c r="D144" s="1674"/>
      <c r="E144" s="1674"/>
      <c r="F144" s="1674"/>
      <c r="G144" s="1674"/>
      <c r="H144" s="1674"/>
    </row>
    <row r="145" spans="1:8" x14ac:dyDescent="0.2">
      <c r="A145" s="1463"/>
      <c r="B145" s="1103"/>
      <c r="C145" s="1104"/>
      <c r="D145" s="1103"/>
      <c r="E145" s="1105"/>
      <c r="F145" s="1105"/>
      <c r="G145" s="1103"/>
      <c r="H145" s="1105"/>
    </row>
    <row r="146" spans="1:8" ht="14.25" x14ac:dyDescent="0.2">
      <c r="A146" s="1462"/>
      <c r="B146" s="1106"/>
      <c r="C146" s="1106"/>
      <c r="D146" s="1106"/>
      <c r="E146" s="1107"/>
      <c r="F146" s="1108"/>
      <c r="G146" s="1109"/>
      <c r="H146" s="1110"/>
    </row>
    <row r="147" spans="1:8" ht="14.25" x14ac:dyDescent="0.2">
      <c r="A147" s="1462"/>
      <c r="B147" s="1106"/>
      <c r="C147" s="1106"/>
      <c r="D147" s="1106"/>
      <c r="E147" s="1107"/>
      <c r="F147" s="1108"/>
      <c r="G147" s="1109"/>
      <c r="H147" s="1110"/>
    </row>
    <row r="148" spans="1:8" ht="14.25" x14ac:dyDescent="0.2">
      <c r="A148" s="1462"/>
      <c r="B148" s="1106"/>
      <c r="C148" s="1106"/>
      <c r="D148" s="1106"/>
      <c r="E148" s="1107"/>
      <c r="F148" s="1108"/>
      <c r="G148" s="1109"/>
      <c r="H148" s="1110"/>
    </row>
    <row r="149" spans="1:8" ht="14.25" x14ac:dyDescent="0.2">
      <c r="A149" s="1462"/>
      <c r="B149" s="1106"/>
      <c r="C149" s="1106"/>
      <c r="D149" s="1106"/>
      <c r="E149" s="1107"/>
      <c r="F149" s="1108"/>
      <c r="G149" s="1109"/>
      <c r="H149" s="1110"/>
    </row>
    <row r="150" spans="1:8" ht="14.25" x14ac:dyDescent="0.2">
      <c r="A150" s="1462"/>
      <c r="B150" s="1106"/>
      <c r="C150" s="1106"/>
      <c r="D150" s="1106"/>
      <c r="E150" s="1107"/>
      <c r="F150" s="1108"/>
      <c r="G150" s="1109"/>
      <c r="H150" s="1110"/>
    </row>
    <row r="151" spans="1:8" ht="14.25" x14ac:dyDescent="0.2">
      <c r="A151" s="1462"/>
      <c r="B151" s="1106"/>
      <c r="C151" s="1106"/>
      <c r="D151" s="1106"/>
      <c r="E151" s="1107"/>
      <c r="F151" s="1108"/>
      <c r="G151" s="1109"/>
      <c r="H151" s="1110"/>
    </row>
    <row r="152" spans="1:8" ht="14.25" x14ac:dyDescent="0.2">
      <c r="A152" s="1462"/>
      <c r="B152" s="1106"/>
      <c r="C152" s="1106"/>
      <c r="D152" s="1106"/>
      <c r="E152" s="1107"/>
      <c r="F152" s="1108"/>
      <c r="G152" s="1109"/>
      <c r="H152" s="1110"/>
    </row>
    <row r="153" spans="1:8" ht="15.75" x14ac:dyDescent="0.2">
      <c r="A153" s="1462"/>
      <c r="B153" s="814"/>
      <c r="C153" s="796"/>
      <c r="D153" s="796"/>
      <c r="E153" s="796"/>
      <c r="F153" s="796"/>
      <c r="G153" s="796"/>
      <c r="H153" s="796"/>
    </row>
    <row r="154" spans="1:8" ht="20.25" x14ac:dyDescent="0.3">
      <c r="A154" s="1462"/>
      <c r="B154" s="815"/>
      <c r="C154" s="796"/>
      <c r="D154" s="796"/>
      <c r="E154" s="796"/>
      <c r="F154" s="796"/>
      <c r="G154" s="796"/>
      <c r="H154" s="796"/>
    </row>
    <row r="155" spans="1:8" x14ac:dyDescent="0.2">
      <c r="A155" s="1462"/>
      <c r="B155" s="796"/>
      <c r="C155" s="796"/>
      <c r="D155" s="796"/>
      <c r="E155" s="796"/>
      <c r="F155" s="796"/>
      <c r="G155" s="796"/>
      <c r="H155" s="796"/>
    </row>
    <row r="156" spans="1:8" x14ac:dyDescent="0.2">
      <c r="A156" s="1462"/>
      <c r="B156" s="796"/>
      <c r="C156" s="796"/>
      <c r="D156" s="796"/>
      <c r="E156" s="796"/>
      <c r="F156" s="796"/>
      <c r="G156" s="796"/>
      <c r="H156" s="796"/>
    </row>
    <row r="157" spans="1:8" x14ac:dyDescent="0.2">
      <c r="A157" s="1461"/>
    </row>
    <row r="158" spans="1:8" x14ac:dyDescent="0.2">
      <c r="A158" s="1461"/>
    </row>
    <row r="159" spans="1:8" x14ac:dyDescent="0.2">
      <c r="A159" s="1461"/>
    </row>
    <row r="160" spans="1:8"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16">
    <mergeCell ref="B130:H130"/>
    <mergeCell ref="B131:H131"/>
    <mergeCell ref="B143:H143"/>
    <mergeCell ref="B144:H144"/>
    <mergeCell ref="AE2:AG3"/>
    <mergeCell ref="B118:H118"/>
    <mergeCell ref="B90:H90"/>
    <mergeCell ref="B105:H105"/>
    <mergeCell ref="B77:H77"/>
    <mergeCell ref="B91:H91"/>
    <mergeCell ref="B62:H62"/>
    <mergeCell ref="B117:H117"/>
    <mergeCell ref="B104:H104"/>
    <mergeCell ref="R25:T25"/>
    <mergeCell ref="B76:H76"/>
    <mergeCell ref="B63:H63"/>
  </mergeCells>
  <phoneticPr fontId="67" type="noConversion"/>
  <printOptions horizontalCentered="1"/>
  <pageMargins left="0.4" right="0.4" top="1" bottom="0.5" header="0.3" footer="0.511811023622047"/>
  <pageSetup paperSize="9" scale="68" fitToHeight="0" orientation="landscape" r:id="rId1"/>
  <headerFooter>
    <oddHeader>&amp;C&amp;B&amp;16Mached Potato(3)&amp;R&amp;B Day 3</oddHeader>
    <oddFooter>&amp;CPage &amp;P of &amp;N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FFFF00"/>
    <pageSetUpPr fitToPage="1"/>
  </sheetPr>
  <dimension ref="A1:AG174"/>
  <sheetViews>
    <sheetView zoomScale="55" zoomScaleNormal="55" workbookViewId="0">
      <selection activeCell="G25" sqref="G25"/>
    </sheetView>
  </sheetViews>
  <sheetFormatPr defaultColWidth="12.5" defaultRowHeight="12.75" x14ac:dyDescent="0.2"/>
  <cols>
    <col min="1" max="1" width="12.5" style="14" customWidth="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5" width="4.375" style="14" customWidth="1"/>
    <col min="16" max="16" width="4" style="14" customWidth="1"/>
    <col min="17" max="17" width="4.375" style="14" customWidth="1"/>
    <col min="18" max="18" width="12.5" style="14" customWidth="1"/>
    <col min="19" max="27" width="12.5" style="14"/>
    <col min="28" max="28" width="6.75" style="14" customWidth="1"/>
    <col min="29" max="16384" width="12.5" style="14"/>
  </cols>
  <sheetData>
    <row r="1" spans="1:33" ht="28.5" customHeight="1" x14ac:dyDescent="0.2">
      <c r="B1" s="64" t="s">
        <v>231</v>
      </c>
      <c r="C1" s="65">
        <v>1000</v>
      </c>
      <c r="D1" s="66" t="s">
        <v>232</v>
      </c>
      <c r="E1" s="99">
        <f>S30</f>
        <v>20660</v>
      </c>
      <c r="F1" s="64" t="s">
        <v>233</v>
      </c>
      <c r="G1" s="99">
        <f>E1/C1</f>
        <v>20.66</v>
      </c>
      <c r="H1" s="64" t="s">
        <v>234</v>
      </c>
      <c r="I1" s="99">
        <f>G1/K1</f>
        <v>20.66</v>
      </c>
      <c r="J1" s="302" t="s">
        <v>235</v>
      </c>
      <c r="K1" s="303">
        <v>1</v>
      </c>
      <c r="L1" s="84"/>
      <c r="M1" s="84"/>
      <c r="N1" s="84"/>
      <c r="O1" s="84"/>
      <c r="P1" s="84"/>
      <c r="Q1" s="84"/>
      <c r="R1" s="84"/>
      <c r="S1" s="84"/>
      <c r="T1" s="84"/>
      <c r="U1" s="84"/>
      <c r="V1" s="84"/>
      <c r="Y1" s="75" t="s">
        <v>453</v>
      </c>
      <c r="Z1" s="766">
        <v>20660</v>
      </c>
      <c r="AA1" s="75" t="s">
        <v>556</v>
      </c>
      <c r="AB1" s="766">
        <v>0</v>
      </c>
      <c r="AC1" s="75" t="s">
        <v>546</v>
      </c>
      <c r="AD1" s="766">
        <v>137</v>
      </c>
    </row>
    <row r="2" spans="1:33" ht="12.75" customHeight="1" x14ac:dyDescent="0.2">
      <c r="A2" s="306"/>
      <c r="B2" s="1632" t="s">
        <v>86</v>
      </c>
      <c r="C2" s="1661"/>
      <c r="D2" s="1661"/>
      <c r="E2" s="1661"/>
      <c r="F2" s="1661"/>
      <c r="G2" s="1661"/>
      <c r="H2" s="1661"/>
      <c r="I2" s="84"/>
      <c r="J2" s="84"/>
      <c r="K2" s="84"/>
      <c r="L2" s="84"/>
      <c r="M2" s="84"/>
      <c r="N2" s="84"/>
      <c r="O2" s="84"/>
      <c r="P2" s="84"/>
      <c r="Q2" s="84"/>
      <c r="R2" s="84"/>
      <c r="S2" s="84"/>
      <c r="T2" s="84"/>
      <c r="U2" s="84"/>
      <c r="AE2" s="1647"/>
      <c r="AF2" s="1655"/>
      <c r="AG2" s="1655"/>
    </row>
    <row r="3" spans="1:33" ht="12.75" customHeight="1" x14ac:dyDescent="0.2">
      <c r="A3" s="306"/>
      <c r="B3" s="1633"/>
      <c r="C3" s="1633"/>
      <c r="D3" s="1633"/>
      <c r="E3" s="1633"/>
      <c r="F3" s="1633"/>
      <c r="G3" s="1633"/>
      <c r="H3" s="1633"/>
      <c r="I3" s="84"/>
      <c r="J3" s="84"/>
      <c r="K3" s="84"/>
      <c r="L3" s="84"/>
      <c r="M3" s="84"/>
      <c r="N3" s="84"/>
      <c r="O3" s="84"/>
      <c r="P3" s="84"/>
      <c r="Q3" s="84"/>
      <c r="R3" s="84"/>
      <c r="S3" s="84"/>
      <c r="T3" s="84"/>
      <c r="U3" s="84"/>
      <c r="AE3" s="1655"/>
      <c r="AF3" s="1655"/>
      <c r="AG3" s="1655"/>
    </row>
    <row r="4" spans="1:33"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Q4" s="84"/>
      <c r="R4" s="84"/>
      <c r="S4" s="84"/>
      <c r="T4" s="84"/>
      <c r="U4" s="84"/>
    </row>
    <row r="5" spans="1:33" ht="14.25" customHeight="1" x14ac:dyDescent="0.2">
      <c r="A5" s="1459"/>
      <c r="B5" s="586"/>
      <c r="C5" s="587"/>
      <c r="D5" s="198"/>
      <c r="E5" s="588"/>
      <c r="F5" s="198"/>
      <c r="G5" s="198"/>
      <c r="H5" s="587"/>
      <c r="I5" s="65"/>
      <c r="J5" s="103"/>
      <c r="K5" s="104"/>
      <c r="L5" s="104"/>
    </row>
    <row r="6" spans="1:33" ht="14.25" customHeight="1" x14ac:dyDescent="0.2">
      <c r="A6" s="1460"/>
      <c r="B6" s="20" t="s">
        <v>21</v>
      </c>
      <c r="C6" s="106" t="s">
        <v>14</v>
      </c>
      <c r="D6" s="98">
        <v>1400</v>
      </c>
      <c r="E6" s="98">
        <f t="shared" ref="E6:E11" si="0">$I$1</f>
        <v>20.66</v>
      </c>
      <c r="F6" s="109">
        <v>1</v>
      </c>
      <c r="G6" s="101">
        <f t="shared" ref="G6:G11" si="1">D6*E6</f>
        <v>28924</v>
      </c>
      <c r="H6" s="102">
        <f t="shared" ref="H6:H11" si="2">G6*F6</f>
        <v>28924</v>
      </c>
      <c r="I6" s="65">
        <f>VLOOKUP(B6,All_Ingredients!$A$1:$F$156,6,FALSE())</f>
        <v>0.9</v>
      </c>
      <c r="J6" s="103">
        <f>VLOOKUP(B6,All_Ingredients!$A$1:$J$156,10,FALSE())</f>
        <v>2.2999999999999998</v>
      </c>
      <c r="K6" s="104">
        <f t="shared" ref="K6" si="3">(H6/I6)/1000</f>
        <v>32.137777777777778</v>
      </c>
      <c r="L6" s="104">
        <f t="shared" ref="L6" si="4">K6*J6</f>
        <v>73.916888888888877</v>
      </c>
    </row>
    <row r="7" spans="1:33" ht="14.25" customHeight="1" x14ac:dyDescent="0.2">
      <c r="A7" s="1460"/>
      <c r="B7" s="20" t="s">
        <v>110</v>
      </c>
      <c r="C7" s="106" t="s">
        <v>14</v>
      </c>
      <c r="D7" s="98">
        <v>2</v>
      </c>
      <c r="E7" s="98">
        <f t="shared" si="0"/>
        <v>20.66</v>
      </c>
      <c r="F7" s="109">
        <v>1</v>
      </c>
      <c r="G7" s="101">
        <f t="shared" si="1"/>
        <v>41.32</v>
      </c>
      <c r="H7" s="102">
        <f t="shared" si="2"/>
        <v>41.32</v>
      </c>
      <c r="I7" s="65">
        <f>VLOOKUP(B7,All_Ingredients!$A$1:$F$156,6,FALSE())</f>
        <v>1</v>
      </c>
      <c r="J7" s="103">
        <f>VLOOKUP(B7,All_Ingredients!$A$1:$J$156,10,FALSE())</f>
        <v>64.243759177679877</v>
      </c>
      <c r="K7" s="104">
        <f t="shared" ref="K7:K11" si="5">(H7/I7)/1000</f>
        <v>4.1320000000000003E-2</v>
      </c>
      <c r="L7" s="104">
        <f t="shared" ref="L7:L11" si="6">K7*J7</f>
        <v>2.6545521292217327</v>
      </c>
    </row>
    <row r="8" spans="1:33" ht="14.25" customHeight="1" x14ac:dyDescent="0.2">
      <c r="A8" s="1460"/>
      <c r="B8" s="20" t="s">
        <v>82</v>
      </c>
      <c r="C8" s="106" t="s">
        <v>14</v>
      </c>
      <c r="D8" s="98">
        <v>1</v>
      </c>
      <c r="E8" s="98">
        <f t="shared" si="0"/>
        <v>20.66</v>
      </c>
      <c r="F8" s="109">
        <v>1</v>
      </c>
      <c r="G8" s="101">
        <f t="shared" si="1"/>
        <v>20.66</v>
      </c>
      <c r="H8" s="102">
        <f t="shared" si="2"/>
        <v>20.66</v>
      </c>
      <c r="I8" s="65">
        <f>VLOOKUP(B8,All_Ingredients!$A$1:$F$156,6,FALSE())</f>
        <v>1</v>
      </c>
      <c r="J8" s="103">
        <f>VLOOKUP(B8,All_Ingredients!$A$1:$J$156,10,FALSE())</f>
        <v>147.88732394366198</v>
      </c>
      <c r="K8" s="104">
        <f t="shared" si="5"/>
        <v>2.0660000000000001E-2</v>
      </c>
      <c r="L8" s="104">
        <f t="shared" si="6"/>
        <v>3.0553521126760566</v>
      </c>
    </row>
    <row r="9" spans="1:33" ht="14.25" customHeight="1" x14ac:dyDescent="0.2">
      <c r="A9" s="1460"/>
      <c r="B9" s="20" t="s">
        <v>93</v>
      </c>
      <c r="C9" s="106" t="s">
        <v>14</v>
      </c>
      <c r="D9" s="98">
        <v>2</v>
      </c>
      <c r="E9" s="98">
        <f t="shared" si="0"/>
        <v>20.66</v>
      </c>
      <c r="F9" s="109">
        <v>1</v>
      </c>
      <c r="G9" s="101">
        <f t="shared" si="1"/>
        <v>41.32</v>
      </c>
      <c r="H9" s="102">
        <f t="shared" si="2"/>
        <v>41.32</v>
      </c>
      <c r="I9" s="65">
        <f>VLOOKUP(B9,All_Ingredients!$A$1:$F$156,6,FALSE())</f>
        <v>1</v>
      </c>
      <c r="J9" s="103">
        <f>VLOOKUP(B9,All_Ingredients!$A$1:$J$156,10,FALSE())</f>
        <v>0.74</v>
      </c>
      <c r="K9" s="104">
        <f t="shared" si="5"/>
        <v>4.1320000000000003E-2</v>
      </c>
      <c r="L9" s="104">
        <f t="shared" si="6"/>
        <v>3.0576800000000001E-2</v>
      </c>
    </row>
    <row r="10" spans="1:33" ht="14.25" customHeight="1" x14ac:dyDescent="0.2">
      <c r="A10" s="1460"/>
      <c r="B10" s="20" t="s">
        <v>99</v>
      </c>
      <c r="C10" s="106" t="s">
        <v>14</v>
      </c>
      <c r="D10" s="201">
        <v>0.5</v>
      </c>
      <c r="E10" s="98">
        <f t="shared" si="0"/>
        <v>20.66</v>
      </c>
      <c r="F10" s="109">
        <v>1</v>
      </c>
      <c r="G10" s="101">
        <f t="shared" si="1"/>
        <v>10.33</v>
      </c>
      <c r="H10" s="102">
        <f t="shared" si="2"/>
        <v>10.33</v>
      </c>
      <c r="I10" s="65">
        <f>VLOOKUP(B10,All_Ingredients!$A$1:$F$156,6,FALSE())</f>
        <v>1</v>
      </c>
      <c r="J10" s="103">
        <f>VLOOKUP(B10,All_Ingredients!$A$1:$J$156,10,FALSE())</f>
        <v>31</v>
      </c>
      <c r="K10" s="104">
        <f t="shared" si="5"/>
        <v>1.0330000000000001E-2</v>
      </c>
      <c r="L10" s="104">
        <f t="shared" si="6"/>
        <v>0.32023000000000001</v>
      </c>
    </row>
    <row r="11" spans="1:33" ht="14.25" customHeight="1" x14ac:dyDescent="0.2">
      <c r="A11" s="1460"/>
      <c r="B11" s="20" t="s">
        <v>212</v>
      </c>
      <c r="C11" s="106" t="s">
        <v>160</v>
      </c>
      <c r="D11" s="98">
        <v>10</v>
      </c>
      <c r="E11" s="98">
        <f t="shared" si="0"/>
        <v>20.66</v>
      </c>
      <c r="F11" s="109">
        <v>0.75</v>
      </c>
      <c r="G11" s="101">
        <f t="shared" si="1"/>
        <v>206.6</v>
      </c>
      <c r="H11" s="102">
        <f t="shared" si="2"/>
        <v>154.94999999999999</v>
      </c>
      <c r="I11" s="65">
        <f>VLOOKUP(B11,All_Ingredients!$A$1:$F$156,6,FALSE())</f>
        <v>1</v>
      </c>
      <c r="J11" s="103">
        <f>VLOOKUP(B11,All_Ingredients!$A$1:$J$156,10,FALSE())</f>
        <v>5</v>
      </c>
      <c r="K11" s="104">
        <f t="shared" si="5"/>
        <v>0.15494999999999998</v>
      </c>
      <c r="L11" s="104">
        <f t="shared" si="6"/>
        <v>0.77474999999999983</v>
      </c>
    </row>
    <row r="12" spans="1:33" ht="14.25" customHeight="1" x14ac:dyDescent="0.2">
      <c r="A12" s="332"/>
      <c r="B12" s="332"/>
      <c r="C12" s="333"/>
      <c r="D12" s="334"/>
      <c r="E12" s="335"/>
      <c r="F12" s="336"/>
      <c r="G12" s="337"/>
      <c r="H12" s="338"/>
    </row>
    <row r="13" spans="1:33" ht="14.25" customHeight="1" x14ac:dyDescent="0.2">
      <c r="A13" s="1461"/>
      <c r="B13" s="325"/>
      <c r="C13" s="114"/>
      <c r="D13" s="232"/>
      <c r="E13" s="203"/>
      <c r="F13" s="117"/>
      <c r="G13" s="121"/>
      <c r="H13" s="119"/>
    </row>
    <row r="14" spans="1:33" ht="14.25" customHeight="1" x14ac:dyDescent="0.2">
      <c r="A14" s="1461"/>
      <c r="E14" s="84"/>
      <c r="F14" s="84"/>
    </row>
    <row r="15" spans="1:33" ht="14.25" customHeight="1" x14ac:dyDescent="0.2">
      <c r="A15" s="1461"/>
      <c r="E15" s="84"/>
      <c r="F15" s="84"/>
    </row>
    <row r="16" spans="1:33" ht="14.25" customHeight="1" x14ac:dyDescent="0.2">
      <c r="A16" s="1461"/>
      <c r="E16" s="84"/>
      <c r="F16" s="84"/>
    </row>
    <row r="17" spans="1:29" ht="14.25" customHeight="1" x14ac:dyDescent="0.2">
      <c r="A17" s="1461"/>
      <c r="E17" s="84"/>
      <c r="F17" s="84"/>
    </row>
    <row r="18" spans="1:29" ht="14.25" customHeight="1" x14ac:dyDescent="0.2">
      <c r="A18" s="1461"/>
      <c r="E18" s="84"/>
      <c r="F18" s="84"/>
    </row>
    <row r="19" spans="1:29" ht="14.25" customHeight="1" x14ac:dyDescent="0.2">
      <c r="A19" s="1461"/>
      <c r="E19" s="84"/>
      <c r="F19" s="84"/>
    </row>
    <row r="20" spans="1:29" ht="14.25" customHeight="1" x14ac:dyDescent="0.25">
      <c r="A20" s="1461"/>
      <c r="E20" s="84"/>
      <c r="F20" s="84"/>
      <c r="M20" s="1"/>
      <c r="N20"/>
      <c r="O20"/>
    </row>
    <row r="21" spans="1:29" ht="14.25" customHeight="1" x14ac:dyDescent="0.2">
      <c r="A21" s="1461"/>
      <c r="E21" s="84"/>
      <c r="F21" s="84"/>
      <c r="M21" s="160"/>
      <c r="N21" s="458"/>
      <c r="O21"/>
    </row>
    <row r="22" spans="1:29" ht="14.25" customHeight="1" x14ac:dyDescent="0.2">
      <c r="A22" s="1461"/>
      <c r="B22" s="11"/>
      <c r="C22" s="312"/>
      <c r="D22" s="313"/>
      <c r="E22" s="84"/>
      <c r="F22" s="84"/>
    </row>
    <row r="23" spans="1:29" ht="14.25" customHeight="1" x14ac:dyDescent="0.2">
      <c r="A23" s="1461"/>
      <c r="B23" s="11"/>
      <c r="C23" s="312"/>
      <c r="D23" s="313"/>
      <c r="E23" s="84"/>
      <c r="F23" s="84"/>
    </row>
    <row r="24" spans="1:29" ht="14.25" customHeight="1" x14ac:dyDescent="0.2">
      <c r="A24" s="1461"/>
      <c r="B24" s="11"/>
      <c r="C24" s="312"/>
      <c r="D24" s="313"/>
      <c r="E24" s="84"/>
      <c r="F24" s="84"/>
      <c r="Z24" s="1073"/>
    </row>
    <row r="25" spans="1:29" ht="14.25" customHeight="1" x14ac:dyDescent="0.2">
      <c r="A25" s="1461"/>
      <c r="B25" s="11"/>
      <c r="C25" s="312"/>
      <c r="D25" s="313"/>
      <c r="E25" s="84"/>
      <c r="F25" s="84"/>
      <c r="R25" s="1662" t="s">
        <v>337</v>
      </c>
      <c r="S25" s="1633"/>
      <c r="T25" s="1633"/>
      <c r="Z25" s="122" t="s">
        <v>14</v>
      </c>
      <c r="AA25" s="123">
        <v>1</v>
      </c>
      <c r="AB25" s="122" t="s">
        <v>249</v>
      </c>
      <c r="AC25" s="124">
        <f>(S34/S30)*AA25</f>
        <v>3.9086326200767985E-3</v>
      </c>
    </row>
    <row r="26" spans="1:29" ht="14.25" customHeight="1" x14ac:dyDescent="0.2">
      <c r="A26" s="1461"/>
      <c r="B26" s="11"/>
      <c r="C26" s="312"/>
      <c r="D26" s="313"/>
      <c r="E26" s="84"/>
      <c r="F26" s="84"/>
      <c r="R26" s="341" t="s">
        <v>338</v>
      </c>
      <c r="S26" s="341"/>
      <c r="T26" s="341"/>
    </row>
    <row r="27" spans="1:29" ht="14.25" customHeight="1" x14ac:dyDescent="0.2">
      <c r="A27" s="1461"/>
      <c r="B27" s="11"/>
      <c r="C27" s="312"/>
      <c r="D27" s="313"/>
      <c r="E27" s="84"/>
      <c r="F27" s="84"/>
      <c r="R27" s="126" t="s">
        <v>254</v>
      </c>
      <c r="S27" s="126" t="s">
        <v>339</v>
      </c>
      <c r="T27" s="126" t="s">
        <v>257</v>
      </c>
    </row>
    <row r="28" spans="1:29" ht="14.25" customHeight="1" x14ac:dyDescent="0.2">
      <c r="A28" s="1461"/>
      <c r="B28" s="11"/>
      <c r="C28" s="312"/>
      <c r="D28" s="313"/>
      <c r="E28" s="84"/>
      <c r="F28" s="84"/>
      <c r="R28" s="126" t="s">
        <v>263</v>
      </c>
      <c r="S28" s="720">
        <f>$Z$1</f>
        <v>20660</v>
      </c>
      <c r="T28" s="722">
        <f>S28</f>
        <v>20660</v>
      </c>
    </row>
    <row r="29" spans="1:29" ht="14.25" customHeight="1" x14ac:dyDescent="0.2">
      <c r="A29" s="1461"/>
      <c r="B29" s="11"/>
      <c r="C29" s="312"/>
      <c r="D29" s="313"/>
      <c r="E29" s="84"/>
      <c r="F29" s="84"/>
      <c r="O29" s="339"/>
      <c r="R29" s="126" t="s">
        <v>265</v>
      </c>
      <c r="S29" s="720">
        <f>$AB$1</f>
        <v>0</v>
      </c>
      <c r="T29" s="723">
        <f>S29</f>
        <v>0</v>
      </c>
    </row>
    <row r="30" spans="1:29" ht="14.25" customHeight="1" x14ac:dyDescent="0.2">
      <c r="A30" s="1461"/>
      <c r="B30" s="11"/>
      <c r="C30" s="312"/>
      <c r="D30" s="313"/>
      <c r="E30" s="84"/>
      <c r="F30" s="84"/>
      <c r="R30" s="126" t="s">
        <v>257</v>
      </c>
      <c r="S30" s="315">
        <f>SUM(S28:S29)</f>
        <v>20660</v>
      </c>
      <c r="T30" s="315">
        <f>S30</f>
        <v>20660</v>
      </c>
    </row>
    <row r="31" spans="1:29" ht="14.25" customHeight="1" x14ac:dyDescent="0.2">
      <c r="A31" s="1461"/>
      <c r="B31" s="11"/>
      <c r="C31" s="312"/>
      <c r="D31" s="313"/>
      <c r="E31" s="84"/>
      <c r="F31" s="84"/>
    </row>
    <row r="32" spans="1:29" ht="14.25" customHeight="1" x14ac:dyDescent="0.2">
      <c r="A32" s="1461"/>
      <c r="B32" s="11"/>
      <c r="C32" s="312"/>
      <c r="D32" s="313"/>
      <c r="E32" s="84"/>
      <c r="F32" s="84"/>
    </row>
    <row r="33" spans="1:20" ht="14.25" customHeight="1" thickBot="1" x14ac:dyDescent="0.25">
      <c r="A33" s="1461"/>
      <c r="B33" s="11"/>
      <c r="C33" s="312"/>
      <c r="D33" s="313"/>
      <c r="E33" s="84"/>
      <c r="F33" s="84"/>
    </row>
    <row r="34" spans="1:20" ht="14.25" customHeight="1" thickBot="1" x14ac:dyDescent="0.25">
      <c r="A34" s="1461"/>
      <c r="B34" s="11"/>
      <c r="C34" s="312"/>
      <c r="D34" s="313"/>
      <c r="E34" s="84"/>
      <c r="F34" s="84"/>
      <c r="R34" s="144" t="s">
        <v>249</v>
      </c>
      <c r="S34" s="990">
        <f>SUM(L6:L11)</f>
        <v>80.752349930786664</v>
      </c>
      <c r="T34" s="1061">
        <f>S34</f>
        <v>80.752349930786664</v>
      </c>
    </row>
    <row r="35" spans="1:20" ht="14.25" customHeight="1" x14ac:dyDescent="0.2">
      <c r="A35" s="1461"/>
      <c r="B35" s="11"/>
      <c r="C35" s="312"/>
      <c r="D35" s="313"/>
      <c r="E35" s="84"/>
      <c r="F35" s="84"/>
    </row>
    <row r="36" spans="1:20" ht="14.25" customHeight="1" x14ac:dyDescent="0.2">
      <c r="A36" s="1461"/>
      <c r="B36" s="11"/>
      <c r="C36" s="312"/>
      <c r="D36" s="313"/>
      <c r="E36" s="84"/>
      <c r="F36" s="84"/>
    </row>
    <row r="37" spans="1:20" ht="14.25" customHeight="1" x14ac:dyDescent="0.2">
      <c r="A37" s="1461"/>
      <c r="B37" s="11"/>
      <c r="C37" s="312"/>
      <c r="D37" s="313"/>
      <c r="E37" s="84"/>
      <c r="F37" s="84"/>
    </row>
    <row r="38" spans="1:20" ht="14.25" customHeight="1" x14ac:dyDescent="0.2">
      <c r="A38" s="1461"/>
      <c r="B38" s="11"/>
      <c r="C38" s="312"/>
      <c r="D38" s="313"/>
      <c r="E38" s="84"/>
      <c r="F38" s="84"/>
    </row>
    <row r="39" spans="1:20" ht="14.25" customHeight="1" x14ac:dyDescent="0.2">
      <c r="A39" s="1461"/>
      <c r="B39" s="11"/>
      <c r="C39" s="312"/>
      <c r="D39" s="313"/>
      <c r="E39" s="84"/>
      <c r="F39" s="84"/>
    </row>
    <row r="40" spans="1:20" ht="14.25" customHeight="1" x14ac:dyDescent="0.2">
      <c r="A40" s="1461"/>
      <c r="B40" s="11"/>
      <c r="C40" s="312"/>
      <c r="D40" s="313"/>
      <c r="E40" s="84"/>
      <c r="F40" s="84"/>
    </row>
    <row r="41" spans="1:20" ht="14.25" customHeight="1" x14ac:dyDescent="0.2">
      <c r="A41" s="1461"/>
      <c r="B41" s="11"/>
      <c r="C41" s="312"/>
      <c r="D41" s="313"/>
      <c r="E41" s="84"/>
      <c r="F41" s="84"/>
    </row>
    <row r="42" spans="1:20" ht="14.25" customHeight="1" x14ac:dyDescent="0.2">
      <c r="A42" s="1461"/>
      <c r="B42" s="11"/>
      <c r="C42" s="312"/>
      <c r="D42" s="313"/>
      <c r="E42" s="84"/>
      <c r="F42" s="84"/>
    </row>
    <row r="43" spans="1:20" ht="14.25" customHeight="1" x14ac:dyDescent="0.2">
      <c r="A43" s="1461"/>
      <c r="B43" s="11"/>
      <c r="C43" s="312"/>
      <c r="D43" s="313"/>
      <c r="E43" s="84"/>
      <c r="F43" s="84"/>
    </row>
    <row r="44" spans="1:20" ht="14.25" customHeight="1" x14ac:dyDescent="0.2">
      <c r="A44" s="1461"/>
      <c r="B44" s="11"/>
      <c r="C44" s="312"/>
      <c r="D44" s="313"/>
      <c r="E44" s="84"/>
      <c r="F44" s="84"/>
    </row>
    <row r="45" spans="1:20" ht="14.25" customHeight="1" x14ac:dyDescent="0.2">
      <c r="A45" s="1461"/>
      <c r="B45" s="11"/>
      <c r="C45" s="312"/>
      <c r="D45" s="313"/>
      <c r="E45" s="84"/>
      <c r="F45" s="84"/>
    </row>
    <row r="46" spans="1:20" ht="14.25" customHeight="1" x14ac:dyDescent="0.2">
      <c r="A46" s="1461"/>
      <c r="B46" s="11"/>
      <c r="C46" s="312"/>
      <c r="D46" s="313"/>
      <c r="E46" s="84"/>
      <c r="F46" s="84"/>
    </row>
    <row r="47" spans="1:20" ht="14.25" customHeight="1" x14ac:dyDescent="0.2">
      <c r="A47" s="1461"/>
      <c r="B47" s="11"/>
      <c r="C47" s="312"/>
      <c r="D47" s="313"/>
      <c r="E47" s="84"/>
      <c r="F47" s="84"/>
    </row>
    <row r="48" spans="1:20" ht="14.25" customHeight="1" x14ac:dyDescent="0.2">
      <c r="A48" s="1461"/>
      <c r="B48" s="11"/>
      <c r="C48" s="312"/>
      <c r="D48" s="313"/>
      <c r="E48" s="84"/>
      <c r="F48" s="84"/>
    </row>
    <row r="49" spans="1:8" ht="14.25" customHeight="1" x14ac:dyDescent="0.2">
      <c r="A49" s="1461"/>
      <c r="B49" s="11"/>
      <c r="C49" s="312"/>
      <c r="D49" s="313"/>
      <c r="E49" s="84"/>
      <c r="F49" s="84"/>
    </row>
    <row r="50" spans="1:8" ht="14.25" customHeight="1" x14ac:dyDescent="0.2">
      <c r="A50" s="1461"/>
      <c r="B50" s="204"/>
      <c r="C50" s="204" t="s">
        <v>233</v>
      </c>
      <c r="D50" s="204" t="s">
        <v>279</v>
      </c>
      <c r="E50" s="84"/>
      <c r="F50" s="84"/>
    </row>
    <row r="51" spans="1:8" ht="14.25" customHeight="1" x14ac:dyDescent="0.2">
      <c r="A51" s="1461"/>
      <c r="B51" s="161" t="s">
        <v>283</v>
      </c>
      <c r="C51" s="162">
        <f>10/$K$1</f>
        <v>10</v>
      </c>
      <c r="D51" s="163">
        <f>$C$1*10</f>
        <v>10000</v>
      </c>
      <c r="E51" s="84"/>
      <c r="F51" s="84"/>
    </row>
    <row r="52" spans="1:8" ht="14.25" customHeight="1" x14ac:dyDescent="0.2">
      <c r="A52" s="1461"/>
      <c r="B52" s="209" t="s">
        <v>257</v>
      </c>
      <c r="C52" s="211">
        <f>G1</f>
        <v>20.66</v>
      </c>
      <c r="D52" s="211">
        <f>E1</f>
        <v>20660</v>
      </c>
      <c r="E52" s="84"/>
      <c r="F52" s="84"/>
    </row>
    <row r="53" spans="1:8" ht="14.25" customHeight="1" x14ac:dyDescent="0.2">
      <c r="A53" s="1461"/>
      <c r="B53" s="209" t="s">
        <v>284</v>
      </c>
      <c r="C53" s="212">
        <f>MIN($C$52, $C$51)</f>
        <v>10</v>
      </c>
      <c r="D53" s="211">
        <f>(C53*$K$1)*$C$1</f>
        <v>10000</v>
      </c>
      <c r="E53" s="84"/>
      <c r="F53" s="84"/>
    </row>
    <row r="54" spans="1:8" ht="14.25" customHeight="1" x14ac:dyDescent="0.2">
      <c r="A54" s="1461"/>
      <c r="B54" s="209" t="s">
        <v>285</v>
      </c>
      <c r="C54" s="212">
        <f>MIN(MAX($C$52-C53,0),$C$51)</f>
        <v>10</v>
      </c>
      <c r="D54" s="211">
        <f>(C54*$K$1)*$C$1</f>
        <v>10000</v>
      </c>
      <c r="E54" s="84"/>
      <c r="F54" s="84"/>
    </row>
    <row r="55" spans="1:8" ht="14.25" customHeight="1" x14ac:dyDescent="0.2">
      <c r="A55" s="1461"/>
      <c r="B55" s="209" t="s">
        <v>286</v>
      </c>
      <c r="C55" s="212">
        <f>MIN(MAX($C$52-C53-C54,0),$C$51)</f>
        <v>0.66000000000000014</v>
      </c>
      <c r="D55" s="211">
        <f>(C55*$K$1)*$C$1</f>
        <v>660.00000000000011</v>
      </c>
      <c r="E55" s="84"/>
      <c r="F55" s="84"/>
    </row>
    <row r="56" spans="1:8" ht="14.25" customHeight="1" x14ac:dyDescent="0.2">
      <c r="A56" s="1461"/>
      <c r="B56" s="209" t="s">
        <v>293</v>
      </c>
      <c r="C56" s="212">
        <f>MIN(MAX($C$52-C53-C54-C55,0),$C$51)</f>
        <v>0</v>
      </c>
      <c r="D56" s="211">
        <f>(C56*$K$1)*$C$1</f>
        <v>0</v>
      </c>
      <c r="E56" s="84"/>
      <c r="F56" s="84"/>
    </row>
    <row r="57" spans="1:8" ht="14.25" customHeight="1" x14ac:dyDescent="0.2">
      <c r="A57" s="1461"/>
      <c r="B57" s="209" t="s">
        <v>344</v>
      </c>
      <c r="C57" s="212">
        <f>MIN(MAX($C$52-C53-C54-C55-C56,0),$C$51)</f>
        <v>0</v>
      </c>
      <c r="D57" s="211">
        <f>(C57*$K$1)*$C$1</f>
        <v>0</v>
      </c>
      <c r="E57" s="84"/>
      <c r="F57" s="84"/>
    </row>
    <row r="58" spans="1:8" ht="14.25" customHeight="1" x14ac:dyDescent="0.2">
      <c r="A58" s="1461"/>
      <c r="B58" s="11"/>
      <c r="C58" s="312"/>
      <c r="D58" s="313"/>
      <c r="E58" s="84"/>
      <c r="F58" s="84"/>
    </row>
    <row r="59" spans="1:8" ht="14.25" customHeight="1" x14ac:dyDescent="0.2">
      <c r="A59" s="1461"/>
      <c r="B59" s="11"/>
      <c r="C59" s="312"/>
      <c r="D59" s="313"/>
      <c r="E59" s="84"/>
      <c r="F59" s="84"/>
    </row>
    <row r="60" spans="1:8" ht="14.25" customHeight="1" x14ac:dyDescent="0.2">
      <c r="A60" s="1461"/>
      <c r="B60" s="11"/>
      <c r="C60" s="312"/>
      <c r="D60" s="313"/>
      <c r="E60" s="84"/>
      <c r="F60" s="84"/>
    </row>
    <row r="61" spans="1:8" ht="14.25" customHeight="1" x14ac:dyDescent="0.2">
      <c r="A61" s="1461"/>
      <c r="B61" s="11"/>
      <c r="C61" s="312"/>
      <c r="D61" s="313"/>
      <c r="E61" s="84"/>
      <c r="F61" s="84"/>
    </row>
    <row r="62" spans="1:8" ht="18" customHeight="1" x14ac:dyDescent="0.2">
      <c r="A62" s="1461"/>
      <c r="B62" s="84"/>
      <c r="E62" s="84"/>
      <c r="F62" s="84"/>
    </row>
    <row r="63" spans="1:8" ht="18" customHeight="1" x14ac:dyDescent="0.2">
      <c r="A63" s="1464"/>
      <c r="B63" s="1636" t="s">
        <v>585</v>
      </c>
      <c r="C63" s="1637"/>
      <c r="D63" s="1637"/>
      <c r="E63" s="1637"/>
      <c r="F63" s="1637"/>
      <c r="G63" s="1637"/>
      <c r="H63" s="1637"/>
    </row>
    <row r="64" spans="1:8" ht="25.5" customHeight="1" x14ac:dyDescent="0.2">
      <c r="A64" s="1464"/>
      <c r="B64" s="1634" t="s">
        <v>790</v>
      </c>
      <c r="C64" s="1635"/>
      <c r="D64" s="1635"/>
      <c r="E64" s="1635"/>
      <c r="F64" s="1635"/>
      <c r="G64" s="1635"/>
      <c r="H64" s="1635"/>
    </row>
    <row r="65" spans="1:8" ht="31.5" customHeight="1" x14ac:dyDescent="0.2">
      <c r="A65" s="1457"/>
      <c r="B65" s="221" t="s">
        <v>241</v>
      </c>
      <c r="C65" s="222" t="s">
        <v>242</v>
      </c>
      <c r="D65" s="223" t="s">
        <v>231</v>
      </c>
      <c r="E65" s="197" t="s">
        <v>234</v>
      </c>
      <c r="F65" s="197" t="s">
        <v>243</v>
      </c>
      <c r="G65" s="223" t="s">
        <v>244</v>
      </c>
      <c r="H65" s="197" t="s">
        <v>245</v>
      </c>
    </row>
    <row r="66" spans="1:8" ht="14.25" customHeight="1" x14ac:dyDescent="0.2">
      <c r="A66" s="1460"/>
      <c r="B66" s="299" t="str">
        <f t="shared" ref="B66:D71" si="7">B6</f>
        <v>Potato - بطاطس</v>
      </c>
      <c r="C66" s="106" t="str">
        <f t="shared" si="7"/>
        <v>gm</v>
      </c>
      <c r="D66" s="107">
        <f t="shared" si="7"/>
        <v>1400</v>
      </c>
      <c r="E66" s="98">
        <f>$C$52</f>
        <v>20.66</v>
      </c>
      <c r="F66" s="109">
        <f t="shared" ref="F66:F71" si="8">F6</f>
        <v>1</v>
      </c>
      <c r="G66" s="101">
        <f t="shared" ref="G66:G71" si="9">D66*E66</f>
        <v>28924</v>
      </c>
      <c r="H66" s="102">
        <f t="shared" ref="H66:H71" si="10">G66*F66</f>
        <v>28924</v>
      </c>
    </row>
    <row r="67" spans="1:8" ht="14.25" customHeight="1" x14ac:dyDescent="0.2">
      <c r="A67" s="1460"/>
      <c r="B67" s="299" t="str">
        <f t="shared" si="7"/>
        <v>Paprika Powder - بابريكا مطحون</v>
      </c>
      <c r="C67" s="106" t="str">
        <f t="shared" si="7"/>
        <v>gm</v>
      </c>
      <c r="D67" s="107">
        <f t="shared" si="7"/>
        <v>2</v>
      </c>
      <c r="E67" s="98">
        <f t="shared" ref="E67:E71" si="11">$C$52</f>
        <v>20.66</v>
      </c>
      <c r="F67" s="109">
        <f t="shared" si="8"/>
        <v>1</v>
      </c>
      <c r="G67" s="101">
        <f t="shared" si="9"/>
        <v>41.32</v>
      </c>
      <c r="H67" s="102">
        <f t="shared" si="10"/>
        <v>41.32</v>
      </c>
    </row>
    <row r="68" spans="1:8" ht="14.25" customHeight="1" x14ac:dyDescent="0.2">
      <c r="A68" s="1460"/>
      <c r="B68" s="299" t="str">
        <f t="shared" si="7"/>
        <v>Dry Oregano - أوريجانو مجفف</v>
      </c>
      <c r="C68" s="106" t="str">
        <f t="shared" si="7"/>
        <v>gm</v>
      </c>
      <c r="D68" s="107">
        <f t="shared" si="7"/>
        <v>1</v>
      </c>
      <c r="E68" s="98">
        <f t="shared" si="11"/>
        <v>20.66</v>
      </c>
      <c r="F68" s="109">
        <f t="shared" si="8"/>
        <v>1</v>
      </c>
      <c r="G68" s="101">
        <f t="shared" si="9"/>
        <v>20.66</v>
      </c>
      <c r="H68" s="102">
        <f t="shared" si="10"/>
        <v>20.66</v>
      </c>
    </row>
    <row r="69" spans="1:8" ht="14.25" customHeight="1" x14ac:dyDescent="0.2">
      <c r="A69" s="1460"/>
      <c r="B69" s="299" t="str">
        <f t="shared" si="7"/>
        <v>Salt - ملح</v>
      </c>
      <c r="C69" s="106" t="str">
        <f t="shared" si="7"/>
        <v>gm</v>
      </c>
      <c r="D69" s="107">
        <f t="shared" si="7"/>
        <v>2</v>
      </c>
      <c r="E69" s="98">
        <f t="shared" si="11"/>
        <v>20.66</v>
      </c>
      <c r="F69" s="109">
        <f t="shared" si="8"/>
        <v>1</v>
      </c>
      <c r="G69" s="101">
        <f t="shared" si="9"/>
        <v>41.32</v>
      </c>
      <c r="H69" s="102">
        <f t="shared" si="10"/>
        <v>41.32</v>
      </c>
    </row>
    <row r="70" spans="1:8" ht="14.25" customHeight="1" x14ac:dyDescent="0.2">
      <c r="A70" s="1460"/>
      <c r="B70" s="299" t="str">
        <f t="shared" si="7"/>
        <v>Black Pepper Powder - فلفل أسود مطحون</v>
      </c>
      <c r="C70" s="106" t="str">
        <f t="shared" si="7"/>
        <v>gm</v>
      </c>
      <c r="D70" s="107">
        <f t="shared" si="7"/>
        <v>0.5</v>
      </c>
      <c r="E70" s="98">
        <f t="shared" si="11"/>
        <v>20.66</v>
      </c>
      <c r="F70" s="109">
        <f t="shared" si="8"/>
        <v>1</v>
      </c>
      <c r="G70" s="101">
        <f t="shared" si="9"/>
        <v>10.33</v>
      </c>
      <c r="H70" s="102">
        <f t="shared" si="10"/>
        <v>10.33</v>
      </c>
    </row>
    <row r="71" spans="1:8" ht="12.75" customHeight="1" x14ac:dyDescent="0.2">
      <c r="A71" s="1460"/>
      <c r="B71" s="299" t="str">
        <f t="shared" si="7"/>
        <v>Lemon Juice - عصير ليمون</v>
      </c>
      <c r="C71" s="106" t="str">
        <f t="shared" si="7"/>
        <v>ml</v>
      </c>
      <c r="D71" s="107">
        <f t="shared" si="7"/>
        <v>10</v>
      </c>
      <c r="E71" s="98">
        <f t="shared" si="11"/>
        <v>20.66</v>
      </c>
      <c r="F71" s="109">
        <f t="shared" si="8"/>
        <v>0.75</v>
      </c>
      <c r="G71" s="101">
        <f t="shared" si="9"/>
        <v>206.6</v>
      </c>
      <c r="H71" s="102">
        <f t="shared" si="10"/>
        <v>154.94999999999999</v>
      </c>
    </row>
    <row r="72" spans="1:8" ht="14.25" customHeight="1" x14ac:dyDescent="0.2">
      <c r="A72" s="1460"/>
      <c r="B72" s="178" t="s">
        <v>708</v>
      </c>
      <c r="C72" s="84"/>
      <c r="D72" s="84"/>
      <c r="E72" s="84"/>
      <c r="F72" s="84"/>
      <c r="G72" s="84"/>
      <c r="H72" s="84"/>
    </row>
    <row r="73" spans="1:8" ht="17.25" customHeight="1" x14ac:dyDescent="0.3">
      <c r="A73" s="1260"/>
      <c r="B73" s="179">
        <f>D52</f>
        <v>20660</v>
      </c>
      <c r="C73" s="188"/>
      <c r="D73" s="4"/>
      <c r="E73" s="84"/>
      <c r="F73" s="164"/>
    </row>
    <row r="74" spans="1:8" ht="18" customHeight="1" x14ac:dyDescent="0.2">
      <c r="A74" s="1462"/>
      <c r="B74" s="790"/>
      <c r="C74" s="790"/>
      <c r="D74" s="790"/>
      <c r="E74" s="790"/>
      <c r="F74" s="790"/>
      <c r="G74" s="790"/>
      <c r="H74" s="790"/>
    </row>
    <row r="75" spans="1:8" ht="18" customHeight="1" x14ac:dyDescent="0.2">
      <c r="A75" s="1462"/>
      <c r="B75" s="1673"/>
      <c r="C75" s="1674"/>
      <c r="D75" s="1674"/>
      <c r="E75" s="1674"/>
      <c r="F75" s="1674"/>
      <c r="G75" s="1674"/>
      <c r="H75" s="1674"/>
    </row>
    <row r="76" spans="1:8" ht="25.5" customHeight="1" x14ac:dyDescent="0.2">
      <c r="A76" s="1462"/>
      <c r="B76" s="1673"/>
      <c r="C76" s="1674"/>
      <c r="D76" s="1674"/>
      <c r="E76" s="1674"/>
      <c r="F76" s="1674"/>
      <c r="G76" s="1674"/>
      <c r="H76" s="1674"/>
    </row>
    <row r="77" spans="1:8" ht="30" customHeight="1" x14ac:dyDescent="0.2">
      <c r="A77" s="1463"/>
      <c r="B77" s="1103"/>
      <c r="C77" s="1104"/>
      <c r="D77" s="1103"/>
      <c r="E77" s="1105"/>
      <c r="F77" s="1105"/>
      <c r="G77" s="1103"/>
      <c r="H77" s="1105"/>
    </row>
    <row r="78" spans="1:8" ht="14.25" customHeight="1" x14ac:dyDescent="0.2">
      <c r="A78" s="1462"/>
      <c r="B78" s="1106"/>
      <c r="C78" s="1106"/>
      <c r="D78" s="1106"/>
      <c r="E78" s="1111"/>
      <c r="F78" s="1108"/>
      <c r="G78" s="1109"/>
      <c r="H78" s="1110"/>
    </row>
    <row r="79" spans="1:8" ht="14.25" customHeight="1" x14ac:dyDescent="0.2">
      <c r="A79" s="1462"/>
      <c r="B79" s="1106"/>
      <c r="C79" s="1106"/>
      <c r="D79" s="1106"/>
      <c r="E79" s="1111"/>
      <c r="F79" s="1108"/>
      <c r="G79" s="1109"/>
      <c r="H79" s="1110"/>
    </row>
    <row r="80" spans="1:8" ht="14.25" customHeight="1" x14ac:dyDescent="0.2">
      <c r="A80" s="1462"/>
      <c r="B80" s="1106"/>
      <c r="C80" s="1106"/>
      <c r="D80" s="1106"/>
      <c r="E80" s="1111"/>
      <c r="F80" s="1108"/>
      <c r="G80" s="1109"/>
      <c r="H80" s="1110"/>
    </row>
    <row r="81" spans="1:8" ht="14.25" customHeight="1" x14ac:dyDescent="0.2">
      <c r="A81" s="1462"/>
      <c r="B81" s="1106"/>
      <c r="C81" s="1106"/>
      <c r="D81" s="1106"/>
      <c r="E81" s="1111"/>
      <c r="F81" s="1108"/>
      <c r="G81" s="1109"/>
      <c r="H81" s="1110"/>
    </row>
    <row r="82" spans="1:8" ht="14.25" customHeight="1" x14ac:dyDescent="0.2">
      <c r="A82" s="1462"/>
      <c r="B82" s="1106"/>
      <c r="C82" s="1106"/>
      <c r="D82" s="1106"/>
      <c r="E82" s="1111"/>
      <c r="F82" s="1108"/>
      <c r="G82" s="1109"/>
      <c r="H82" s="1110"/>
    </row>
    <row r="83" spans="1:8" ht="12.75" customHeight="1" x14ac:dyDescent="0.2">
      <c r="A83" s="1462"/>
      <c r="B83" s="1106"/>
      <c r="C83" s="1106"/>
      <c r="D83" s="1106"/>
      <c r="E83" s="1111"/>
      <c r="F83" s="1108"/>
      <c r="G83" s="1109"/>
      <c r="H83" s="1110"/>
    </row>
    <row r="84" spans="1:8" ht="15.75" x14ac:dyDescent="0.2">
      <c r="A84" s="1462"/>
      <c r="B84" s="814"/>
      <c r="C84" s="790"/>
      <c r="D84" s="790"/>
      <c r="E84" s="790"/>
      <c r="F84" s="790"/>
      <c r="G84" s="790"/>
      <c r="H84" s="790"/>
    </row>
    <row r="85" spans="1:8" ht="18" customHeight="1" x14ac:dyDescent="0.3">
      <c r="A85" s="1462"/>
      <c r="B85" s="815"/>
      <c r="C85" s="796"/>
      <c r="D85" s="796"/>
      <c r="E85" s="796"/>
      <c r="F85" s="796"/>
      <c r="G85" s="796"/>
      <c r="H85" s="796"/>
    </row>
    <row r="86" spans="1:8" ht="12.75" customHeight="1" x14ac:dyDescent="0.2">
      <c r="A86" s="1462"/>
      <c r="B86" s="790"/>
      <c r="C86" s="790"/>
      <c r="D86" s="790"/>
      <c r="E86" s="790"/>
      <c r="F86" s="790"/>
      <c r="G86" s="790"/>
      <c r="H86" s="790"/>
    </row>
    <row r="87" spans="1:8" ht="18" customHeight="1" x14ac:dyDescent="0.2">
      <c r="A87" s="1462"/>
      <c r="B87" s="790"/>
      <c r="C87" s="790"/>
      <c r="D87" s="790"/>
      <c r="E87" s="790"/>
      <c r="F87" s="790"/>
      <c r="G87" s="790"/>
      <c r="H87" s="790"/>
    </row>
    <row r="88" spans="1:8" ht="18" customHeight="1" x14ac:dyDescent="0.2">
      <c r="A88" s="1462"/>
      <c r="B88" s="1673"/>
      <c r="C88" s="1674"/>
      <c r="D88" s="1674"/>
      <c r="E88" s="1674"/>
      <c r="F88" s="1674"/>
      <c r="G88" s="1674"/>
      <c r="H88" s="1674"/>
    </row>
    <row r="89" spans="1:8" ht="25.5" customHeight="1" x14ac:dyDescent="0.2">
      <c r="A89" s="1462"/>
      <c r="B89" s="1673"/>
      <c r="C89" s="1674"/>
      <c r="D89" s="1674"/>
      <c r="E89" s="1674"/>
      <c r="F89" s="1674"/>
      <c r="G89" s="1674"/>
      <c r="H89" s="1674"/>
    </row>
    <row r="90" spans="1:8" ht="28.5" customHeight="1" x14ac:dyDescent="0.2">
      <c r="A90" s="1463"/>
      <c r="B90" s="1103"/>
      <c r="C90" s="1104"/>
      <c r="D90" s="1103"/>
      <c r="E90" s="1105"/>
      <c r="F90" s="1105"/>
      <c r="G90" s="1103"/>
      <c r="H90" s="1105"/>
    </row>
    <row r="91" spans="1:8" ht="14.25" customHeight="1" x14ac:dyDescent="0.2">
      <c r="A91" s="1462"/>
      <c r="B91" s="1106"/>
      <c r="C91" s="1106"/>
      <c r="D91" s="1106"/>
      <c r="E91" s="1107"/>
      <c r="F91" s="1108"/>
      <c r="G91" s="1109"/>
      <c r="H91" s="1110"/>
    </row>
    <row r="92" spans="1:8" ht="14.25" customHeight="1" x14ac:dyDescent="0.2">
      <c r="A92" s="1462"/>
      <c r="B92" s="1106"/>
      <c r="C92" s="1106"/>
      <c r="D92" s="1106"/>
      <c r="E92" s="1107"/>
      <c r="F92" s="1108"/>
      <c r="G92" s="1109"/>
      <c r="H92" s="1110"/>
    </row>
    <row r="93" spans="1:8" ht="14.25" customHeight="1" x14ac:dyDescent="0.2">
      <c r="A93" s="1462"/>
      <c r="B93" s="1106"/>
      <c r="C93" s="1106"/>
      <c r="D93" s="1106"/>
      <c r="E93" s="1107"/>
      <c r="F93" s="1108"/>
      <c r="G93" s="1109"/>
      <c r="H93" s="1110"/>
    </row>
    <row r="94" spans="1:8" ht="14.25" customHeight="1" x14ac:dyDescent="0.2">
      <c r="A94" s="1462"/>
      <c r="B94" s="1106"/>
      <c r="C94" s="1106"/>
      <c r="D94" s="1106"/>
      <c r="E94" s="1107"/>
      <c r="F94" s="1108"/>
      <c r="G94" s="1109"/>
      <c r="H94" s="1110"/>
    </row>
    <row r="95" spans="1:8" ht="14.25" customHeight="1" x14ac:dyDescent="0.2">
      <c r="A95" s="1462"/>
      <c r="B95" s="1106"/>
      <c r="C95" s="1106"/>
      <c r="D95" s="1106"/>
      <c r="E95" s="1107"/>
      <c r="F95" s="1108"/>
      <c r="G95" s="1109"/>
      <c r="H95" s="1110"/>
    </row>
    <row r="96" spans="1:8" ht="14.25" x14ac:dyDescent="0.2">
      <c r="A96" s="1462"/>
      <c r="B96" s="1106"/>
      <c r="C96" s="1106"/>
      <c r="D96" s="1106"/>
      <c r="E96" s="1107"/>
      <c r="F96" s="1108"/>
      <c r="G96" s="1109"/>
      <c r="H96" s="1110"/>
    </row>
    <row r="97" spans="1:8" ht="15.75" x14ac:dyDescent="0.2">
      <c r="A97" s="1462"/>
      <c r="B97" s="814"/>
      <c r="C97" s="796"/>
      <c r="D97" s="796"/>
      <c r="E97" s="796"/>
      <c r="F97" s="796"/>
      <c r="G97" s="796"/>
      <c r="H97" s="796"/>
    </row>
    <row r="98" spans="1:8" ht="20.25" x14ac:dyDescent="0.3">
      <c r="A98" s="1462"/>
      <c r="B98" s="815"/>
      <c r="C98" s="796"/>
      <c r="D98" s="796"/>
      <c r="E98" s="796"/>
      <c r="F98" s="796"/>
      <c r="G98" s="796"/>
      <c r="H98" s="796"/>
    </row>
    <row r="99" spans="1:8" x14ac:dyDescent="0.2">
      <c r="A99" s="1462"/>
      <c r="B99" s="796"/>
      <c r="C99" s="796"/>
      <c r="D99" s="796"/>
      <c r="E99" s="796"/>
      <c r="F99" s="796"/>
      <c r="G99" s="796"/>
      <c r="H99" s="796"/>
    </row>
    <row r="100" spans="1:8" ht="18" customHeight="1" x14ac:dyDescent="0.2">
      <c r="A100" s="1462"/>
      <c r="B100" s="796"/>
      <c r="C100" s="796"/>
      <c r="D100" s="796"/>
      <c r="E100" s="796"/>
      <c r="F100" s="796"/>
      <c r="G100" s="796"/>
      <c r="H100" s="796"/>
    </row>
    <row r="101" spans="1:8" ht="18" customHeight="1" x14ac:dyDescent="0.2">
      <c r="A101" s="1462"/>
      <c r="B101" s="1673"/>
      <c r="C101" s="1674"/>
      <c r="D101" s="1674"/>
      <c r="E101" s="1674"/>
      <c r="F101" s="1674"/>
      <c r="G101" s="1674"/>
      <c r="H101" s="1674"/>
    </row>
    <row r="102" spans="1:8" ht="25.5" customHeight="1" x14ac:dyDescent="0.2">
      <c r="A102" s="1462"/>
      <c r="B102" s="1673"/>
      <c r="C102" s="1674"/>
      <c r="D102" s="1674"/>
      <c r="E102" s="1674"/>
      <c r="F102" s="1674"/>
      <c r="G102" s="1674"/>
      <c r="H102" s="1674"/>
    </row>
    <row r="103" spans="1:8" ht="27" customHeight="1" x14ac:dyDescent="0.2">
      <c r="A103" s="1463"/>
      <c r="B103" s="1103"/>
      <c r="C103" s="1104"/>
      <c r="D103" s="1103"/>
      <c r="E103" s="1105"/>
      <c r="F103" s="1105"/>
      <c r="G103" s="1103"/>
      <c r="H103" s="1105"/>
    </row>
    <row r="104" spans="1:8" ht="14.25" customHeight="1" x14ac:dyDescent="0.2">
      <c r="A104" s="1462"/>
      <c r="B104" s="1106"/>
      <c r="C104" s="1106"/>
      <c r="D104" s="1106"/>
      <c r="E104" s="1118"/>
      <c r="F104" s="1119"/>
      <c r="G104" s="1109"/>
      <c r="H104" s="1110"/>
    </row>
    <row r="105" spans="1:8" ht="14.25" customHeight="1" x14ac:dyDescent="0.2">
      <c r="A105" s="1462"/>
      <c r="B105" s="1106"/>
      <c r="C105" s="1106"/>
      <c r="D105" s="1106"/>
      <c r="E105" s="1118"/>
      <c r="F105" s="1119"/>
      <c r="G105" s="1109"/>
      <c r="H105" s="1110"/>
    </row>
    <row r="106" spans="1:8" ht="14.25" customHeight="1" x14ac:dyDescent="0.2">
      <c r="A106" s="1462"/>
      <c r="B106" s="1106"/>
      <c r="C106" s="1106"/>
      <c r="D106" s="1106"/>
      <c r="E106" s="1118"/>
      <c r="F106" s="1119"/>
      <c r="G106" s="1109"/>
      <c r="H106" s="1110"/>
    </row>
    <row r="107" spans="1:8" ht="14.25" customHeight="1" x14ac:dyDescent="0.2">
      <c r="A107" s="1462"/>
      <c r="B107" s="1106"/>
      <c r="C107" s="1106"/>
      <c r="D107" s="1106"/>
      <c r="E107" s="1118"/>
      <c r="F107" s="1119"/>
      <c r="G107" s="1109"/>
      <c r="H107" s="1110"/>
    </row>
    <row r="108" spans="1:8" ht="14.25" customHeight="1" x14ac:dyDescent="0.2">
      <c r="A108" s="1462"/>
      <c r="B108" s="1106"/>
      <c r="C108" s="1106"/>
      <c r="D108" s="1106"/>
      <c r="E108" s="1118"/>
      <c r="F108" s="1119"/>
      <c r="G108" s="1109"/>
      <c r="H108" s="1110"/>
    </row>
    <row r="109" spans="1:8" ht="12.75" customHeight="1" x14ac:dyDescent="0.2">
      <c r="A109" s="1462"/>
      <c r="B109" s="1106"/>
      <c r="C109" s="1106"/>
      <c r="D109" s="1106"/>
      <c r="E109" s="1118"/>
      <c r="F109" s="1119"/>
      <c r="G109" s="1109"/>
      <c r="H109" s="1110"/>
    </row>
    <row r="110" spans="1:8" ht="15.75" x14ac:dyDescent="0.2">
      <c r="A110" s="1462"/>
      <c r="B110" s="814"/>
      <c r="C110" s="790"/>
      <c r="D110" s="790"/>
      <c r="E110" s="790"/>
      <c r="F110" s="790"/>
      <c r="G110" s="790"/>
      <c r="H110" s="790"/>
    </row>
    <row r="111" spans="1:8" ht="20.25" x14ac:dyDescent="0.3">
      <c r="A111" s="1462"/>
      <c r="B111" s="815"/>
      <c r="C111" s="796"/>
      <c r="D111" s="796"/>
      <c r="E111" s="796"/>
      <c r="F111" s="796"/>
      <c r="G111" s="796"/>
      <c r="H111" s="796"/>
    </row>
    <row r="112" spans="1:8" ht="18" customHeight="1" x14ac:dyDescent="0.2">
      <c r="A112" s="1462"/>
      <c r="B112" s="796"/>
      <c r="C112" s="796"/>
      <c r="D112" s="796"/>
      <c r="E112" s="796"/>
      <c r="F112" s="796"/>
      <c r="G112" s="796"/>
      <c r="H112" s="796"/>
    </row>
    <row r="113" spans="1:8" ht="18" customHeight="1" x14ac:dyDescent="0.2">
      <c r="A113" s="1462"/>
      <c r="B113" s="1673"/>
      <c r="C113" s="1674"/>
      <c r="D113" s="1674"/>
      <c r="E113" s="1674"/>
      <c r="F113" s="1674"/>
      <c r="G113" s="1674"/>
      <c r="H113" s="1674"/>
    </row>
    <row r="114" spans="1:8" ht="25.5" customHeight="1" x14ac:dyDescent="0.2">
      <c r="A114" s="1462"/>
      <c r="B114" s="1673"/>
      <c r="C114" s="1674"/>
      <c r="D114" s="1674"/>
      <c r="E114" s="1674"/>
      <c r="F114" s="1674"/>
      <c r="G114" s="1674"/>
      <c r="H114" s="1674"/>
    </row>
    <row r="115" spans="1:8" ht="45" customHeight="1" x14ac:dyDescent="0.2">
      <c r="A115" s="1463"/>
      <c r="B115" s="1103"/>
      <c r="C115" s="1104"/>
      <c r="D115" s="1103"/>
      <c r="E115" s="1105"/>
      <c r="F115" s="1105"/>
      <c r="G115" s="1103"/>
      <c r="H115" s="1105"/>
    </row>
    <row r="116" spans="1:8" ht="14.25" customHeight="1" x14ac:dyDescent="0.2">
      <c r="A116" s="1462"/>
      <c r="B116" s="1106"/>
      <c r="C116" s="1106"/>
      <c r="D116" s="1106"/>
      <c r="E116" s="1118"/>
      <c r="F116" s="1119"/>
      <c r="G116" s="1109"/>
      <c r="H116" s="1110"/>
    </row>
    <row r="117" spans="1:8" ht="14.25" customHeight="1" x14ac:dyDescent="0.2">
      <c r="A117" s="1462"/>
      <c r="B117" s="1106"/>
      <c r="C117" s="1106"/>
      <c r="D117" s="1106"/>
      <c r="E117" s="1118"/>
      <c r="F117" s="1119"/>
      <c r="G117" s="1109"/>
      <c r="H117" s="1110"/>
    </row>
    <row r="118" spans="1:8" ht="14.25" customHeight="1" x14ac:dyDescent="0.2">
      <c r="A118" s="1462"/>
      <c r="B118" s="1106"/>
      <c r="C118" s="1106"/>
      <c r="D118" s="1106"/>
      <c r="E118" s="1118"/>
      <c r="F118" s="1119"/>
      <c r="G118" s="1109"/>
      <c r="H118" s="1110"/>
    </row>
    <row r="119" spans="1:8" ht="14.25" customHeight="1" x14ac:dyDescent="0.2">
      <c r="A119" s="1462"/>
      <c r="B119" s="1106"/>
      <c r="C119" s="1106"/>
      <c r="D119" s="1106"/>
      <c r="E119" s="1118"/>
      <c r="F119" s="1119"/>
      <c r="G119" s="1109"/>
      <c r="H119" s="1110"/>
    </row>
    <row r="120" spans="1:8" ht="14.25" customHeight="1" x14ac:dyDescent="0.2">
      <c r="A120" s="1462"/>
      <c r="B120" s="1106"/>
      <c r="C120" s="1106"/>
      <c r="D120" s="1106"/>
      <c r="E120" s="1118"/>
      <c r="F120" s="1119"/>
      <c r="G120" s="1109"/>
      <c r="H120" s="1110"/>
    </row>
    <row r="121" spans="1:8" ht="14.25" x14ac:dyDescent="0.2">
      <c r="A121" s="1462"/>
      <c r="B121" s="1106"/>
      <c r="C121" s="1106"/>
      <c r="D121" s="1106"/>
      <c r="E121" s="1118"/>
      <c r="F121" s="1119"/>
      <c r="G121" s="1109"/>
      <c r="H121" s="1110"/>
    </row>
    <row r="122" spans="1:8" ht="15.75" x14ac:dyDescent="0.2">
      <c r="A122" s="1462"/>
      <c r="B122" s="814"/>
      <c r="C122" s="796"/>
      <c r="D122" s="796"/>
      <c r="E122" s="796"/>
      <c r="F122" s="796"/>
      <c r="G122" s="796"/>
      <c r="H122" s="796"/>
    </row>
    <row r="123" spans="1:8" ht="20.25" x14ac:dyDescent="0.3">
      <c r="A123" s="1462"/>
      <c r="B123" s="815"/>
      <c r="C123" s="796"/>
      <c r="D123" s="796"/>
      <c r="E123" s="796"/>
      <c r="F123" s="796"/>
      <c r="G123" s="796"/>
      <c r="H123" s="796"/>
    </row>
    <row r="124" spans="1:8" x14ac:dyDescent="0.2">
      <c r="A124" s="1462"/>
      <c r="B124" s="796"/>
      <c r="C124" s="796"/>
      <c r="D124" s="796"/>
      <c r="E124" s="796"/>
      <c r="F124" s="796"/>
      <c r="G124" s="796"/>
      <c r="H124" s="796"/>
    </row>
    <row r="125" spans="1:8" x14ac:dyDescent="0.2">
      <c r="A125" s="1462"/>
      <c r="B125" s="796"/>
      <c r="C125" s="796"/>
      <c r="D125" s="796"/>
      <c r="E125" s="796"/>
      <c r="F125" s="796"/>
      <c r="G125" s="796"/>
      <c r="H125" s="796"/>
    </row>
    <row r="126" spans="1:8" x14ac:dyDescent="0.2">
      <c r="A126" s="1462"/>
      <c r="B126" s="796"/>
      <c r="C126" s="796"/>
      <c r="D126" s="796"/>
      <c r="E126" s="796"/>
      <c r="F126" s="796"/>
      <c r="G126" s="796"/>
      <c r="H126" s="796"/>
    </row>
    <row r="127" spans="1:8" x14ac:dyDescent="0.2">
      <c r="A127" s="1462"/>
      <c r="B127" s="796"/>
      <c r="C127" s="796"/>
      <c r="D127" s="796"/>
      <c r="E127" s="796"/>
      <c r="F127" s="796"/>
      <c r="G127" s="796"/>
      <c r="H127" s="796"/>
    </row>
    <row r="128" spans="1:8" x14ac:dyDescent="0.2">
      <c r="A128" s="1462"/>
      <c r="B128" s="796"/>
      <c r="C128" s="796"/>
      <c r="D128" s="796"/>
      <c r="E128" s="796"/>
      <c r="F128" s="796"/>
      <c r="G128" s="796"/>
      <c r="H128" s="796"/>
    </row>
    <row r="129" spans="1:8" x14ac:dyDescent="0.2">
      <c r="A129" s="1462"/>
      <c r="B129" s="796"/>
      <c r="C129" s="796"/>
      <c r="D129" s="796"/>
      <c r="E129" s="796"/>
      <c r="F129" s="796"/>
      <c r="G129" s="796"/>
      <c r="H129" s="796"/>
    </row>
    <row r="130" spans="1:8" x14ac:dyDescent="0.2">
      <c r="A130" s="1462"/>
      <c r="B130" s="796"/>
      <c r="C130" s="796"/>
      <c r="D130" s="796"/>
      <c r="E130" s="796"/>
      <c r="F130" s="796"/>
      <c r="G130" s="796"/>
      <c r="H130" s="796"/>
    </row>
    <row r="131" spans="1:8" x14ac:dyDescent="0.2">
      <c r="A131" s="1462"/>
      <c r="B131" s="796"/>
      <c r="C131" s="796"/>
      <c r="D131" s="796"/>
      <c r="E131" s="796"/>
      <c r="F131" s="796"/>
      <c r="G131" s="796"/>
      <c r="H131" s="796"/>
    </row>
    <row r="132" spans="1:8" x14ac:dyDescent="0.2">
      <c r="A132" s="1461"/>
    </row>
    <row r="133" spans="1:8" x14ac:dyDescent="0.2">
      <c r="A133" s="1461"/>
    </row>
    <row r="134" spans="1:8" x14ac:dyDescent="0.2">
      <c r="A134" s="1461"/>
    </row>
    <row r="135" spans="1:8" x14ac:dyDescent="0.2">
      <c r="A135" s="1461"/>
    </row>
    <row r="136" spans="1:8" x14ac:dyDescent="0.2">
      <c r="A136" s="1461"/>
    </row>
    <row r="137" spans="1:8" x14ac:dyDescent="0.2">
      <c r="A137" s="1461"/>
    </row>
    <row r="138" spans="1:8" x14ac:dyDescent="0.2">
      <c r="A138" s="1461"/>
    </row>
    <row r="139" spans="1:8" x14ac:dyDescent="0.2">
      <c r="A139" s="1461"/>
    </row>
    <row r="140" spans="1:8" x14ac:dyDescent="0.2">
      <c r="A140" s="1461"/>
    </row>
    <row r="141" spans="1:8" x14ac:dyDescent="0.2">
      <c r="A141" s="1461"/>
    </row>
    <row r="142" spans="1:8" x14ac:dyDescent="0.2">
      <c r="A142" s="1461"/>
    </row>
    <row r="143" spans="1:8" x14ac:dyDescent="0.2">
      <c r="A143" s="1461"/>
    </row>
    <row r="144" spans="1:8"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13">
    <mergeCell ref="AE2:AG3"/>
    <mergeCell ref="B75:H75"/>
    <mergeCell ref="B89:H89"/>
    <mergeCell ref="B76:H76"/>
    <mergeCell ref="R25:T25"/>
    <mergeCell ref="B114:H114"/>
    <mergeCell ref="B88:H88"/>
    <mergeCell ref="B63:H63"/>
    <mergeCell ref="B101:H101"/>
    <mergeCell ref="B2:H3"/>
    <mergeCell ref="B113:H113"/>
    <mergeCell ref="B64:H64"/>
    <mergeCell ref="B102:H102"/>
  </mergeCells>
  <printOptions horizontalCentered="1"/>
  <pageMargins left="0.4" right="0.4" top="1" bottom="0.5" header="0.3" footer="0.511811023622047"/>
  <pageSetup paperSize="9" scale="68" fitToHeight="0" orientation="landscape" r:id="rId1"/>
  <headerFooter>
    <oddHeader>&amp;C&amp;B&amp;16Potato Wedges&amp;R&amp;B Day 3</oddHeader>
    <oddFooter>&amp;CPage &amp;P of &amp;N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rgb="FFFFFF00"/>
    <pageSetUpPr fitToPage="1"/>
  </sheetPr>
  <dimension ref="A1:AG174"/>
  <sheetViews>
    <sheetView topLeftCell="J1" zoomScale="70" zoomScaleNormal="70" workbookViewId="0">
      <selection activeCell="D5" sqref="D5"/>
    </sheetView>
  </sheetViews>
  <sheetFormatPr defaultColWidth="12.5" defaultRowHeight="12.75" x14ac:dyDescent="0.2"/>
  <cols>
    <col min="1" max="1" width="12.5" style="14" customWidth="1"/>
    <col min="2" max="2" width="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0" width="12.5" style="14" customWidth="1"/>
    <col min="11" max="11" width="9.125" style="14" customWidth="1"/>
    <col min="12" max="12" width="8.375" style="14" customWidth="1"/>
    <col min="13" max="17" width="5.125" style="14" customWidth="1"/>
    <col min="18" max="18" width="28.125" style="14" customWidth="1"/>
    <col min="19" max="19" width="12.5" style="14" customWidth="1"/>
    <col min="20" max="20" width="12.5" style="14"/>
    <col min="21" max="24" width="3.125" style="14" customWidth="1"/>
    <col min="25" max="27" width="12.5" style="14"/>
    <col min="28" max="28" width="6.75" style="14" customWidth="1"/>
    <col min="29" max="16384" width="12.5" style="14"/>
  </cols>
  <sheetData>
    <row r="1" spans="1:33" ht="28.5" customHeight="1" x14ac:dyDescent="0.2">
      <c r="B1" s="64" t="s">
        <v>231</v>
      </c>
      <c r="C1" s="65">
        <v>1000</v>
      </c>
      <c r="D1" s="66" t="s">
        <v>232</v>
      </c>
      <c r="E1" s="99">
        <f>S30</f>
        <v>11550</v>
      </c>
      <c r="F1" s="64" t="s">
        <v>233</v>
      </c>
      <c r="G1" s="99">
        <f>E1/C1</f>
        <v>11.55</v>
      </c>
      <c r="H1" s="64" t="s">
        <v>234</v>
      </c>
      <c r="I1" s="99">
        <f>G1/K1</f>
        <v>11.55</v>
      </c>
      <c r="J1" s="302" t="s">
        <v>235</v>
      </c>
      <c r="K1" s="303">
        <v>1</v>
      </c>
      <c r="L1" s="84"/>
      <c r="M1" s="84" t="s">
        <v>393</v>
      </c>
      <c r="N1" s="84"/>
      <c r="O1" s="84"/>
      <c r="P1" s="84"/>
      <c r="Q1" s="84"/>
      <c r="R1" s="84"/>
      <c r="S1" s="84"/>
      <c r="T1" s="84"/>
      <c r="U1" s="84"/>
      <c r="V1" s="84"/>
      <c r="Y1" s="75" t="s">
        <v>453</v>
      </c>
      <c r="Z1" s="766">
        <v>11550</v>
      </c>
      <c r="AA1" s="75" t="s">
        <v>556</v>
      </c>
      <c r="AB1" s="766">
        <v>0</v>
      </c>
      <c r="AC1" s="75" t="s">
        <v>546</v>
      </c>
      <c r="AD1" s="766">
        <v>77</v>
      </c>
    </row>
    <row r="2" spans="1:33" ht="12.75" customHeight="1" x14ac:dyDescent="0.2">
      <c r="A2" s="306"/>
      <c r="B2" s="1632" t="s">
        <v>394</v>
      </c>
      <c r="C2" s="1661"/>
      <c r="D2" s="1661"/>
      <c r="E2" s="1661"/>
      <c r="F2" s="1661"/>
      <c r="G2" s="1661"/>
      <c r="H2" s="1661"/>
      <c r="I2" s="84"/>
      <c r="J2" s="84"/>
      <c r="K2" s="84"/>
      <c r="L2" s="84"/>
      <c r="M2" s="84"/>
      <c r="N2" s="84"/>
      <c r="O2" s="84"/>
      <c r="P2" s="84"/>
      <c r="Q2" s="84"/>
      <c r="R2" s="84"/>
      <c r="S2" s="84"/>
      <c r="T2" s="84"/>
      <c r="U2" s="84"/>
      <c r="AE2" s="1647"/>
      <c r="AF2" s="1655"/>
      <c r="AG2" s="1655"/>
    </row>
    <row r="3" spans="1:33" ht="12.75" customHeight="1" x14ac:dyDescent="0.2">
      <c r="A3" s="306"/>
      <c r="B3" s="1633"/>
      <c r="C3" s="1633"/>
      <c r="D3" s="1633"/>
      <c r="E3" s="1633"/>
      <c r="F3" s="1633"/>
      <c r="G3" s="1633"/>
      <c r="H3" s="1633"/>
      <c r="I3" s="84"/>
      <c r="J3" s="84"/>
      <c r="K3" s="84"/>
      <c r="L3" s="84"/>
      <c r="M3" s="84"/>
      <c r="N3" s="84"/>
      <c r="O3" s="84"/>
      <c r="P3" s="84"/>
      <c r="Q3" s="84"/>
      <c r="R3" s="84"/>
      <c r="S3" s="84"/>
      <c r="T3" s="84"/>
      <c r="U3" s="84"/>
      <c r="AE3" s="1655"/>
      <c r="AF3" s="1655"/>
      <c r="AG3" s="1655"/>
    </row>
    <row r="4" spans="1:33"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Q4" s="84"/>
      <c r="R4" s="84"/>
      <c r="S4" s="84"/>
      <c r="T4" s="84"/>
      <c r="U4" s="84"/>
    </row>
    <row r="5" spans="1:33" ht="14.25" customHeight="1" x14ac:dyDescent="0.2">
      <c r="A5" s="1459"/>
      <c r="B5" s="586"/>
      <c r="C5" s="587"/>
      <c r="D5" s="198"/>
      <c r="E5" s="588"/>
      <c r="F5" s="198"/>
      <c r="G5" s="198"/>
      <c r="H5" s="587"/>
      <c r="I5" s="65"/>
      <c r="J5" s="103"/>
      <c r="K5" s="104"/>
      <c r="L5" s="104"/>
    </row>
    <row r="6" spans="1:33" ht="14.25" customHeight="1" x14ac:dyDescent="0.2">
      <c r="A6" s="1460"/>
      <c r="B6" s="20" t="s">
        <v>19</v>
      </c>
      <c r="C6" s="106" t="s">
        <v>14</v>
      </c>
      <c r="D6" s="988">
        <v>450</v>
      </c>
      <c r="E6" s="98">
        <f t="shared" ref="E6:E14" si="0">$I$1</f>
        <v>11.55</v>
      </c>
      <c r="F6" s="109">
        <v>1</v>
      </c>
      <c r="G6" s="101">
        <f t="shared" ref="G6:G14" si="1">D6*E6</f>
        <v>5197.5</v>
      </c>
      <c r="H6" s="102">
        <f t="shared" ref="H6:H14" si="2">G6*F6</f>
        <v>5197.5</v>
      </c>
      <c r="I6" s="65">
        <f>VLOOKUP(B6,All_Ingredients!$A$1:$F$156,6,FALSE())</f>
        <v>0.8</v>
      </c>
      <c r="J6" s="103">
        <f>VLOOKUP(B6,All_Ingredients!$A$1:$J$156,10,FALSE())</f>
        <v>2.6</v>
      </c>
      <c r="K6" s="104">
        <f t="shared" ref="K6:K14" si="3">(H6/I6)/1000</f>
        <v>6.4968750000000002</v>
      </c>
      <c r="L6" s="104">
        <f t="shared" ref="L6:L14" si="4">K6*J6</f>
        <v>16.891875000000002</v>
      </c>
    </row>
    <row r="7" spans="1:33" ht="14.25" customHeight="1" x14ac:dyDescent="0.2">
      <c r="A7" s="1460"/>
      <c r="B7" s="20" t="s">
        <v>47</v>
      </c>
      <c r="C7" s="106" t="s">
        <v>14</v>
      </c>
      <c r="D7" s="988">
        <v>450</v>
      </c>
      <c r="E7" s="98">
        <f t="shared" si="0"/>
        <v>11.55</v>
      </c>
      <c r="F7" s="109">
        <v>1</v>
      </c>
      <c r="G7" s="101">
        <f t="shared" si="1"/>
        <v>5197.5</v>
      </c>
      <c r="H7" s="102">
        <f t="shared" si="2"/>
        <v>5197.5</v>
      </c>
      <c r="I7" s="65">
        <f>VLOOKUP(B7,All_Ingredients!$A$1:$F$156,6,FALSE())</f>
        <v>0.78</v>
      </c>
      <c r="J7" s="103">
        <f>VLOOKUP(B7,All_Ingredients!$A$1:$J$156,10,FALSE())</f>
        <v>3.7</v>
      </c>
      <c r="K7" s="104">
        <f t="shared" si="3"/>
        <v>6.6634615384615383</v>
      </c>
      <c r="L7" s="104">
        <f t="shared" si="4"/>
        <v>24.654807692307692</v>
      </c>
    </row>
    <row r="8" spans="1:33" ht="14.25" customHeight="1" x14ac:dyDescent="0.2">
      <c r="A8" s="1460"/>
      <c r="B8" s="20" t="s">
        <v>28</v>
      </c>
      <c r="C8" s="106" t="s">
        <v>14</v>
      </c>
      <c r="D8" s="988">
        <v>80</v>
      </c>
      <c r="E8" s="98">
        <f t="shared" si="0"/>
        <v>11.55</v>
      </c>
      <c r="F8" s="109">
        <v>1</v>
      </c>
      <c r="G8" s="101">
        <f t="shared" si="1"/>
        <v>924</v>
      </c>
      <c r="H8" s="102">
        <f t="shared" si="2"/>
        <v>924</v>
      </c>
      <c r="I8" s="65">
        <f>VLOOKUP(B8,All_Ingredients!$A$1:$F$156,6,FALSE())</f>
        <v>0.73</v>
      </c>
      <c r="J8" s="103">
        <f>VLOOKUP(B8,All_Ingredients!$A$1:$J$156,10,FALSE())</f>
        <v>8.5</v>
      </c>
      <c r="K8" s="104">
        <f t="shared" si="3"/>
        <v>1.2657534246575342</v>
      </c>
      <c r="L8" s="104">
        <f t="shared" si="4"/>
        <v>10.758904109589039</v>
      </c>
    </row>
    <row r="9" spans="1:33" ht="14.25" customHeight="1" x14ac:dyDescent="0.2">
      <c r="A9" s="1460"/>
      <c r="B9" s="20" t="s">
        <v>30</v>
      </c>
      <c r="C9" s="106" t="s">
        <v>14</v>
      </c>
      <c r="D9" s="988">
        <v>80</v>
      </c>
      <c r="E9" s="98">
        <f t="shared" si="0"/>
        <v>11.55</v>
      </c>
      <c r="F9" s="109">
        <v>1</v>
      </c>
      <c r="G9" s="101">
        <f t="shared" si="1"/>
        <v>924</v>
      </c>
      <c r="H9" s="102">
        <f t="shared" si="2"/>
        <v>924</v>
      </c>
      <c r="I9" s="65">
        <f>VLOOKUP(B9,All_Ingredients!$A$1:$F$156,6,FALSE())</f>
        <v>0.71</v>
      </c>
      <c r="J9" s="103">
        <f>VLOOKUP(B9,All_Ingredients!$A$1:$J$156,10,FALSE())</f>
        <v>8.5</v>
      </c>
      <c r="K9" s="104">
        <f t="shared" si="3"/>
        <v>1.3014084507042256</v>
      </c>
      <c r="L9" s="104">
        <f t="shared" si="4"/>
        <v>11.061971830985918</v>
      </c>
    </row>
    <row r="10" spans="1:33" ht="14.25" customHeight="1" x14ac:dyDescent="0.2">
      <c r="A10" s="1460"/>
      <c r="B10" s="20" t="s">
        <v>32</v>
      </c>
      <c r="C10" s="106" t="s">
        <v>14</v>
      </c>
      <c r="D10" s="988">
        <v>80</v>
      </c>
      <c r="E10" s="98">
        <f t="shared" si="0"/>
        <v>11.55</v>
      </c>
      <c r="F10" s="109">
        <v>1</v>
      </c>
      <c r="G10" s="101">
        <f t="shared" si="1"/>
        <v>924</v>
      </c>
      <c r="H10" s="102">
        <f t="shared" si="2"/>
        <v>924</v>
      </c>
      <c r="I10" s="65">
        <f>VLOOKUP(B10,All_Ingredients!$A$1:$F$156,6,FALSE())</f>
        <v>0.69</v>
      </c>
      <c r="J10" s="103">
        <f>VLOOKUP(B10,All_Ingredients!$A$1:$J$156,10,FALSE())</f>
        <v>4</v>
      </c>
      <c r="K10" s="104">
        <f t="shared" si="3"/>
        <v>1.3391304347826087</v>
      </c>
      <c r="L10" s="104">
        <f t="shared" si="4"/>
        <v>5.3565217391304349</v>
      </c>
    </row>
    <row r="11" spans="1:33" ht="14.25" customHeight="1" x14ac:dyDescent="0.2">
      <c r="A11" s="1460"/>
      <c r="B11" s="20" t="s">
        <v>50</v>
      </c>
      <c r="C11" s="106" t="s">
        <v>14</v>
      </c>
      <c r="D11" s="988">
        <v>80</v>
      </c>
      <c r="E11" s="98">
        <f t="shared" si="0"/>
        <v>11.55</v>
      </c>
      <c r="F11" s="109">
        <v>1</v>
      </c>
      <c r="G11" s="101">
        <f t="shared" si="1"/>
        <v>924</v>
      </c>
      <c r="H11" s="102">
        <f t="shared" si="2"/>
        <v>924</v>
      </c>
      <c r="I11" s="65">
        <f>VLOOKUP(B11,All_Ingredients!$A$1:$F$156,6,FALSE())</f>
        <v>0.75</v>
      </c>
      <c r="J11" s="103">
        <f>VLOOKUP(B11,All_Ingredients!$A$1:$J$156,10,FALSE())</f>
        <v>20</v>
      </c>
      <c r="K11" s="104">
        <f t="shared" si="3"/>
        <v>1.232</v>
      </c>
      <c r="L11" s="104">
        <f t="shared" si="4"/>
        <v>24.64</v>
      </c>
    </row>
    <row r="12" spans="1:33" ht="14.25" customHeight="1" x14ac:dyDescent="0.2">
      <c r="A12" s="1460"/>
      <c r="B12" s="20" t="s">
        <v>525</v>
      </c>
      <c r="C12" s="106" t="s">
        <v>14</v>
      </c>
      <c r="D12" s="988">
        <v>80</v>
      </c>
      <c r="E12" s="98">
        <f t="shared" si="0"/>
        <v>11.55</v>
      </c>
      <c r="F12" s="109">
        <v>1</v>
      </c>
      <c r="G12" s="101">
        <f t="shared" si="1"/>
        <v>924</v>
      </c>
      <c r="H12" s="102">
        <f t="shared" si="2"/>
        <v>924</v>
      </c>
      <c r="I12" s="65">
        <f>VLOOKUP(B12,All_Ingredients!$A$1:$F$156,6,FALSE())</f>
        <v>1</v>
      </c>
      <c r="J12" s="103">
        <f>VLOOKUP(B12,All_Ingredients!$A$1:$J$156,10,FALSE())</f>
        <v>10.196078431372548</v>
      </c>
      <c r="K12" s="104">
        <f t="shared" si="3"/>
        <v>0.92400000000000004</v>
      </c>
      <c r="L12" s="104">
        <f t="shared" si="4"/>
        <v>9.4211764705882359</v>
      </c>
    </row>
    <row r="13" spans="1:33" ht="14.25" customHeight="1" x14ac:dyDescent="0.2">
      <c r="A13" s="1460"/>
      <c r="B13" s="299" t="s">
        <v>93</v>
      </c>
      <c r="C13" s="106" t="s">
        <v>14</v>
      </c>
      <c r="D13" s="98">
        <v>4</v>
      </c>
      <c r="E13" s="98">
        <f t="shared" si="0"/>
        <v>11.55</v>
      </c>
      <c r="F13" s="109">
        <v>0.75</v>
      </c>
      <c r="G13" s="101">
        <f t="shared" si="1"/>
        <v>46.2</v>
      </c>
      <c r="H13" s="102">
        <f t="shared" si="2"/>
        <v>34.650000000000006</v>
      </c>
      <c r="I13" s="65">
        <f>VLOOKUP(B13,All_Ingredients!$A$1:$F$156,6,FALSE())</f>
        <v>1</v>
      </c>
      <c r="J13" s="103">
        <f>VLOOKUP(B13,All_Ingredients!$A$1:$J$156,10,FALSE())</f>
        <v>0.74</v>
      </c>
      <c r="K13" s="104">
        <f t="shared" si="3"/>
        <v>3.4650000000000007E-2</v>
      </c>
      <c r="L13" s="104">
        <f t="shared" si="4"/>
        <v>2.5641000000000004E-2</v>
      </c>
    </row>
    <row r="14" spans="1:33" ht="14.25" customHeight="1" x14ac:dyDescent="0.2">
      <c r="A14" s="1460"/>
      <c r="B14" s="299" t="s">
        <v>99</v>
      </c>
      <c r="C14" s="106" t="s">
        <v>14</v>
      </c>
      <c r="D14" s="177">
        <v>0.5</v>
      </c>
      <c r="E14" s="98">
        <f t="shared" si="0"/>
        <v>11.55</v>
      </c>
      <c r="F14" s="109">
        <v>1</v>
      </c>
      <c r="G14" s="101">
        <f t="shared" si="1"/>
        <v>5.7750000000000004</v>
      </c>
      <c r="H14" s="102">
        <f t="shared" si="2"/>
        <v>5.7750000000000004</v>
      </c>
      <c r="I14" s="65">
        <f>VLOOKUP(B14,All_Ingredients!$A$1:$F$156,6,FALSE())</f>
        <v>1</v>
      </c>
      <c r="J14" s="103">
        <f>VLOOKUP(B14,All_Ingredients!$A$1:$J$156,10,FALSE())</f>
        <v>31</v>
      </c>
      <c r="K14" s="104">
        <f t="shared" si="3"/>
        <v>5.7750000000000006E-3</v>
      </c>
      <c r="L14" s="104">
        <f t="shared" si="4"/>
        <v>0.17902500000000002</v>
      </c>
    </row>
    <row r="15" spans="1:33" ht="14.25" customHeight="1" x14ac:dyDescent="0.2">
      <c r="A15" s="1461"/>
      <c r="B15" s="332"/>
      <c r="C15" s="333"/>
      <c r="D15" s="335"/>
      <c r="E15" s="335"/>
      <c r="F15" s="336"/>
      <c r="G15" s="337"/>
      <c r="H15" s="338"/>
    </row>
    <row r="16" spans="1:33" ht="14.25" customHeight="1" x14ac:dyDescent="0.2">
      <c r="A16" s="1461"/>
      <c r="E16" s="203"/>
      <c r="F16" s="117"/>
      <c r="G16" s="121"/>
      <c r="H16" s="119"/>
    </row>
    <row r="17" spans="1:29" ht="14.25" customHeight="1" x14ac:dyDescent="0.2">
      <c r="A17" s="1461"/>
      <c r="E17" s="84"/>
      <c r="F17" s="84"/>
    </row>
    <row r="18" spans="1:29" ht="14.25" customHeight="1" x14ac:dyDescent="0.2">
      <c r="A18" s="1461"/>
      <c r="E18" s="84"/>
      <c r="F18" s="84"/>
    </row>
    <row r="19" spans="1:29" ht="14.25" customHeight="1" x14ac:dyDescent="0.2">
      <c r="A19" s="1461"/>
      <c r="E19" s="84"/>
      <c r="F19" s="84"/>
    </row>
    <row r="20" spans="1:29" ht="14.25" customHeight="1" x14ac:dyDescent="0.2">
      <c r="A20" s="1461"/>
      <c r="E20" s="84"/>
      <c r="F20" s="84"/>
    </row>
    <row r="21" spans="1:29" ht="14.25" customHeight="1" x14ac:dyDescent="0.2">
      <c r="A21" s="1461"/>
      <c r="E21" s="84"/>
      <c r="F21" s="84"/>
    </row>
    <row r="22" spans="1:29" ht="14.25" customHeight="1" x14ac:dyDescent="0.2">
      <c r="A22" s="1461"/>
      <c r="B22" s="11"/>
      <c r="C22" s="312"/>
      <c r="D22" s="313"/>
      <c r="E22" s="84"/>
      <c r="F22" s="84"/>
    </row>
    <row r="23" spans="1:29" ht="14.25" customHeight="1" x14ac:dyDescent="0.2">
      <c r="A23" s="1461"/>
      <c r="B23" s="11"/>
      <c r="C23" s="312"/>
      <c r="D23" s="313"/>
      <c r="E23" s="84"/>
      <c r="F23" s="84"/>
    </row>
    <row r="24" spans="1:29" ht="14.25" customHeight="1" x14ac:dyDescent="0.2">
      <c r="A24" s="1461"/>
      <c r="B24" s="11"/>
      <c r="C24" s="312"/>
      <c r="D24" s="313"/>
      <c r="E24" s="84"/>
      <c r="F24" s="84"/>
      <c r="Z24" s="1073"/>
    </row>
    <row r="25" spans="1:29" ht="14.25" customHeight="1" x14ac:dyDescent="0.2">
      <c r="A25" s="1461"/>
      <c r="B25" s="11"/>
      <c r="C25" s="312"/>
      <c r="D25" s="313"/>
      <c r="E25" s="84"/>
      <c r="F25" s="84"/>
      <c r="R25" s="1662" t="s">
        <v>395</v>
      </c>
      <c r="S25" s="1633"/>
      <c r="T25" s="1633"/>
      <c r="Z25" s="122" t="s">
        <v>14</v>
      </c>
      <c r="AA25" s="123">
        <v>1</v>
      </c>
      <c r="AB25" s="122" t="s">
        <v>249</v>
      </c>
      <c r="AC25" s="124">
        <f>(S33/S30)*AA25</f>
        <v>8.9168764365888577E-3</v>
      </c>
    </row>
    <row r="26" spans="1:29" ht="14.25" customHeight="1" x14ac:dyDescent="0.2">
      <c r="A26" s="1461"/>
      <c r="B26" s="11"/>
      <c r="C26" s="312"/>
      <c r="D26" s="313"/>
      <c r="E26" s="84"/>
      <c r="F26" s="84"/>
      <c r="R26" s="1672" t="s">
        <v>338</v>
      </c>
      <c r="S26" s="1639"/>
      <c r="T26" s="1639"/>
    </row>
    <row r="27" spans="1:29" ht="14.25" customHeight="1" x14ac:dyDescent="0.2">
      <c r="A27" s="1461"/>
      <c r="B27" s="11"/>
      <c r="C27" s="312"/>
      <c r="D27" s="313"/>
      <c r="E27" s="84"/>
      <c r="F27" s="84"/>
      <c r="R27" s="126" t="s">
        <v>254</v>
      </c>
      <c r="S27" s="126" t="s">
        <v>339</v>
      </c>
      <c r="T27" s="126" t="s">
        <v>257</v>
      </c>
    </row>
    <row r="28" spans="1:29" ht="14.25" customHeight="1" x14ac:dyDescent="0.2">
      <c r="A28" s="1461"/>
      <c r="B28" s="11"/>
      <c r="C28" s="312"/>
      <c r="D28" s="313"/>
      <c r="E28" s="84"/>
      <c r="F28" s="84"/>
      <c r="R28" s="126" t="s">
        <v>263</v>
      </c>
      <c r="S28" s="721">
        <f>T28</f>
        <v>11550</v>
      </c>
      <c r="T28" s="720">
        <f>$Z$1</f>
        <v>11550</v>
      </c>
    </row>
    <row r="29" spans="1:29" ht="14.25" customHeight="1" x14ac:dyDescent="0.2">
      <c r="A29" s="1461"/>
      <c r="B29" s="11"/>
      <c r="C29" s="312"/>
      <c r="D29" s="313"/>
      <c r="E29" s="84"/>
      <c r="F29" s="84"/>
      <c r="R29" s="126" t="s">
        <v>265</v>
      </c>
      <c r="S29" s="720">
        <f>$AB$1</f>
        <v>0</v>
      </c>
      <c r="T29" s="723">
        <f>S29</f>
        <v>0</v>
      </c>
    </row>
    <row r="30" spans="1:29" ht="14.25" customHeight="1" x14ac:dyDescent="0.2">
      <c r="A30" s="1461"/>
      <c r="B30" s="11"/>
      <c r="C30" s="312"/>
      <c r="D30" s="313"/>
      <c r="E30" s="84"/>
      <c r="F30" s="84"/>
      <c r="R30" s="126" t="s">
        <v>257</v>
      </c>
      <c r="S30" s="315">
        <f>SUM(S28:S29)</f>
        <v>11550</v>
      </c>
      <c r="T30" s="315">
        <f>S30</f>
        <v>11550</v>
      </c>
    </row>
    <row r="31" spans="1:29" ht="14.25" customHeight="1" x14ac:dyDescent="0.2">
      <c r="A31" s="1461"/>
      <c r="B31" s="11"/>
      <c r="C31" s="312"/>
      <c r="D31" s="313"/>
      <c r="E31" s="84"/>
      <c r="F31" s="84"/>
    </row>
    <row r="32" spans="1:29" ht="14.25" customHeight="1" thickBot="1" x14ac:dyDescent="0.25">
      <c r="A32" s="1461"/>
      <c r="B32" s="11"/>
      <c r="C32" s="312"/>
      <c r="D32" s="313"/>
      <c r="E32" s="84"/>
      <c r="F32" s="84"/>
    </row>
    <row r="33" spans="1:20" ht="14.25" customHeight="1" thickBot="1" x14ac:dyDescent="0.25">
      <c r="A33" s="1461"/>
      <c r="B33" s="11"/>
      <c r="C33" s="312"/>
      <c r="D33" s="313"/>
      <c r="E33" s="84"/>
      <c r="F33" s="84"/>
      <c r="R33" s="144" t="s">
        <v>249</v>
      </c>
      <c r="S33" s="990">
        <f>SUM(L6:L14)</f>
        <v>102.98992284260132</v>
      </c>
      <c r="T33" s="1061">
        <f>S33</f>
        <v>102.98992284260132</v>
      </c>
    </row>
    <row r="34" spans="1:20" ht="14.25" customHeight="1" x14ac:dyDescent="0.2">
      <c r="A34" s="1461"/>
      <c r="B34" s="11"/>
      <c r="C34" s="312"/>
      <c r="D34" s="313"/>
      <c r="E34" s="84"/>
      <c r="F34" s="84"/>
    </row>
    <row r="35" spans="1:20" ht="14.25" customHeight="1" x14ac:dyDescent="0.2">
      <c r="A35" s="1461"/>
      <c r="B35" s="11"/>
      <c r="C35" s="312"/>
      <c r="D35" s="313"/>
      <c r="E35" s="84"/>
      <c r="F35" s="84"/>
    </row>
    <row r="36" spans="1:20" ht="14.25" customHeight="1" x14ac:dyDescent="0.2">
      <c r="A36" s="1461"/>
      <c r="B36" s="11"/>
      <c r="C36" s="312"/>
      <c r="D36" s="313"/>
      <c r="E36" s="84"/>
      <c r="F36" s="84"/>
    </row>
    <row r="37" spans="1:20" ht="14.25" customHeight="1" x14ac:dyDescent="0.2">
      <c r="A37" s="1461"/>
      <c r="B37" s="11"/>
      <c r="C37" s="312"/>
      <c r="D37" s="313"/>
      <c r="E37" s="84"/>
      <c r="F37" s="84"/>
    </row>
    <row r="38" spans="1:20" ht="14.25" customHeight="1" x14ac:dyDescent="0.2">
      <c r="A38" s="1461"/>
      <c r="B38" s="11"/>
      <c r="C38" s="312"/>
      <c r="D38" s="313"/>
      <c r="E38" s="84"/>
      <c r="F38" s="84"/>
    </row>
    <row r="39" spans="1:20" ht="14.25" customHeight="1" x14ac:dyDescent="0.2">
      <c r="A39" s="1461"/>
      <c r="B39" s="11"/>
      <c r="C39" s="312"/>
      <c r="D39" s="313"/>
      <c r="E39" s="84"/>
      <c r="F39" s="84"/>
    </row>
    <row r="40" spans="1:20" ht="14.25" customHeight="1" x14ac:dyDescent="0.2">
      <c r="A40" s="1461"/>
      <c r="B40" s="11"/>
      <c r="C40" s="312"/>
      <c r="D40" s="313"/>
      <c r="E40" s="84"/>
      <c r="F40" s="84"/>
    </row>
    <row r="41" spans="1:20" ht="14.25" customHeight="1" x14ac:dyDescent="0.2">
      <c r="A41" s="1461"/>
      <c r="B41" s="11"/>
      <c r="C41" s="312"/>
      <c r="D41" s="313"/>
      <c r="E41" s="84"/>
      <c r="F41" s="84"/>
    </row>
    <row r="42" spans="1:20" ht="14.25" customHeight="1" x14ac:dyDescent="0.2">
      <c r="A42" s="1461"/>
      <c r="B42" s="11"/>
      <c r="C42" s="312"/>
      <c r="D42" s="313"/>
      <c r="E42" s="84"/>
      <c r="F42" s="84"/>
    </row>
    <row r="43" spans="1:20" ht="14.25" customHeight="1" x14ac:dyDescent="0.2">
      <c r="A43" s="1461"/>
      <c r="B43" s="11"/>
      <c r="C43" s="312"/>
      <c r="D43" s="313"/>
      <c r="E43" s="84"/>
      <c r="F43" s="84"/>
    </row>
    <row r="44" spans="1:20" ht="14.25" customHeight="1" x14ac:dyDescent="0.2">
      <c r="A44" s="1461"/>
      <c r="B44" s="11"/>
      <c r="C44" s="312"/>
      <c r="D44" s="313"/>
      <c r="E44" s="84"/>
      <c r="F44" s="84"/>
    </row>
    <row r="45" spans="1:20" ht="14.25" customHeight="1" x14ac:dyDescent="0.2">
      <c r="A45" s="1461"/>
      <c r="B45" s="11"/>
      <c r="C45" s="312"/>
      <c r="D45" s="313"/>
      <c r="E45" s="84"/>
      <c r="F45" s="84"/>
    </row>
    <row r="46" spans="1:20" ht="14.25" customHeight="1" x14ac:dyDescent="0.2">
      <c r="A46" s="1461"/>
      <c r="B46" s="11"/>
      <c r="C46" s="312"/>
      <c r="D46" s="313"/>
      <c r="E46" s="84"/>
      <c r="F46" s="84"/>
    </row>
    <row r="47" spans="1:20" ht="19.5" customHeight="1" x14ac:dyDescent="0.2">
      <c r="A47" s="1461"/>
      <c r="B47" s="11"/>
      <c r="C47" s="312"/>
      <c r="D47" s="313"/>
      <c r="E47" s="84"/>
      <c r="F47" s="84"/>
    </row>
    <row r="48" spans="1:20" ht="14.25" customHeight="1" x14ac:dyDescent="0.2">
      <c r="A48" s="1461"/>
      <c r="B48" s="11"/>
      <c r="C48" s="312"/>
      <c r="D48" s="313"/>
      <c r="E48" s="84"/>
      <c r="F48" s="84"/>
    </row>
    <row r="49" spans="1:8" ht="12" customHeight="1" x14ac:dyDescent="0.2">
      <c r="A49" s="1461"/>
      <c r="B49" s="11"/>
      <c r="C49" s="312"/>
      <c r="D49" s="313"/>
      <c r="E49" s="84"/>
      <c r="F49" s="84"/>
    </row>
    <row r="50" spans="1:8" ht="14.25" customHeight="1" x14ac:dyDescent="0.2">
      <c r="A50" s="1461"/>
      <c r="B50" s="204"/>
      <c r="C50" s="204" t="s">
        <v>233</v>
      </c>
      <c r="D50" s="204" t="s">
        <v>279</v>
      </c>
      <c r="E50" s="84"/>
      <c r="F50" s="84"/>
    </row>
    <row r="51" spans="1:8" ht="14.25" x14ac:dyDescent="0.2">
      <c r="A51" s="1461"/>
      <c r="B51" s="161" t="s">
        <v>283</v>
      </c>
      <c r="C51" s="162">
        <f>10/$K$1</f>
        <v>10</v>
      </c>
      <c r="D51" s="163">
        <f>$C$1*10</f>
        <v>10000</v>
      </c>
      <c r="E51" s="84"/>
      <c r="F51" s="84"/>
    </row>
    <row r="52" spans="1:8" ht="14.25" customHeight="1" x14ac:dyDescent="0.2">
      <c r="A52" s="1461"/>
      <c r="B52" s="209" t="s">
        <v>257</v>
      </c>
      <c r="C52" s="211">
        <f>G1</f>
        <v>11.55</v>
      </c>
      <c r="D52" s="211">
        <f>E1</f>
        <v>11550</v>
      </c>
      <c r="E52" s="84"/>
      <c r="F52" s="84"/>
    </row>
    <row r="53" spans="1:8" ht="14.25" customHeight="1" x14ac:dyDescent="0.2">
      <c r="A53" s="1461"/>
      <c r="B53" s="209" t="s">
        <v>284</v>
      </c>
      <c r="C53" s="212">
        <f>MIN($C$52, $C$51)</f>
        <v>10</v>
      </c>
      <c r="D53" s="211">
        <f>(C53*$K$1)*$C$1</f>
        <v>10000</v>
      </c>
      <c r="E53" s="84"/>
      <c r="F53" s="84"/>
    </row>
    <row r="54" spans="1:8" ht="14.25" customHeight="1" x14ac:dyDescent="0.2">
      <c r="A54" s="1461"/>
      <c r="B54" s="209" t="s">
        <v>285</v>
      </c>
      <c r="C54" s="212">
        <f>MIN(MAX($C$52-C53,0),$C$51)</f>
        <v>1.5500000000000007</v>
      </c>
      <c r="D54" s="211">
        <f>(C54*$K$1)*$C$1</f>
        <v>1550.0000000000007</v>
      </c>
      <c r="E54" s="84"/>
      <c r="F54" s="84"/>
    </row>
    <row r="55" spans="1:8" ht="14.25" customHeight="1" x14ac:dyDescent="0.2">
      <c r="A55" s="1461"/>
      <c r="B55" s="209" t="s">
        <v>286</v>
      </c>
      <c r="C55" s="212">
        <f>MIN(MAX($C$52-C53-C54,0),$C$51)</f>
        <v>0</v>
      </c>
      <c r="D55" s="211">
        <f>(C55*$K$1)*$C$1</f>
        <v>0</v>
      </c>
      <c r="E55" s="84"/>
      <c r="F55" s="84"/>
    </row>
    <row r="56" spans="1:8" ht="14.25" customHeight="1" x14ac:dyDescent="0.2">
      <c r="A56" s="1461"/>
      <c r="B56" s="11"/>
      <c r="C56" s="312"/>
      <c r="D56" s="313"/>
      <c r="E56" s="84"/>
      <c r="F56" s="84"/>
    </row>
    <row r="57" spans="1:8" ht="14.25" customHeight="1" x14ac:dyDescent="0.2">
      <c r="A57" s="1461"/>
      <c r="B57" s="11"/>
      <c r="C57" s="312"/>
      <c r="D57" s="313"/>
      <c r="E57" s="84"/>
      <c r="F57" s="84"/>
    </row>
    <row r="58" spans="1:8" ht="14.25" customHeight="1" x14ac:dyDescent="0.2">
      <c r="A58" s="1461"/>
      <c r="B58" s="11"/>
      <c r="C58" s="312"/>
      <c r="D58" s="313"/>
      <c r="E58" s="84"/>
      <c r="F58" s="84"/>
    </row>
    <row r="59" spans="1:8" ht="14.25" customHeight="1" x14ac:dyDescent="0.2">
      <c r="A59" s="1461"/>
      <c r="B59" s="11"/>
      <c r="C59" s="312"/>
      <c r="D59" s="313"/>
      <c r="E59" s="84"/>
      <c r="F59" s="84"/>
    </row>
    <row r="60" spans="1:8" ht="12.75" customHeight="1" x14ac:dyDescent="0.2">
      <c r="A60" s="1461"/>
      <c r="B60" s="11"/>
      <c r="C60" s="312"/>
      <c r="D60" s="313"/>
      <c r="E60" s="84"/>
      <c r="F60" s="84"/>
    </row>
    <row r="61" spans="1:8" ht="12.75" customHeight="1" x14ac:dyDescent="0.2">
      <c r="A61" s="1461"/>
      <c r="E61" s="84"/>
      <c r="F61" s="84"/>
    </row>
    <row r="62" spans="1:8" ht="12.75" customHeight="1" x14ac:dyDescent="0.2">
      <c r="A62" s="1464"/>
      <c r="B62" s="1636" t="s">
        <v>791</v>
      </c>
      <c r="C62" s="1637"/>
      <c r="D62" s="1637"/>
      <c r="E62" s="1637"/>
      <c r="F62" s="1637"/>
      <c r="G62" s="1637"/>
      <c r="H62" s="1637"/>
    </row>
    <row r="63" spans="1:8" ht="18" customHeight="1" x14ac:dyDescent="0.2">
      <c r="A63" s="1464"/>
      <c r="B63" s="1634" t="s">
        <v>394</v>
      </c>
      <c r="C63" s="1635"/>
      <c r="D63" s="1635"/>
      <c r="E63" s="1635"/>
      <c r="F63" s="1635"/>
      <c r="G63" s="1635"/>
      <c r="H63" s="1635"/>
    </row>
    <row r="64" spans="1:8" ht="27.75" customHeight="1" x14ac:dyDescent="0.2">
      <c r="A64" s="1457"/>
      <c r="B64" s="221" t="s">
        <v>241</v>
      </c>
      <c r="C64" s="222" t="s">
        <v>242</v>
      </c>
      <c r="D64" s="223" t="s">
        <v>231</v>
      </c>
      <c r="E64" s="197" t="s">
        <v>234</v>
      </c>
      <c r="F64" s="197" t="s">
        <v>243</v>
      </c>
      <c r="G64" s="223" t="s">
        <v>244</v>
      </c>
      <c r="H64" s="197" t="s">
        <v>245</v>
      </c>
    </row>
    <row r="65" spans="1:8" ht="14.25" x14ac:dyDescent="0.2">
      <c r="A65" s="1460"/>
      <c r="B65" s="299" t="str">
        <f t="shared" ref="B65:D73" si="5">B6</f>
        <v>Carrot - جزر</v>
      </c>
      <c r="C65" s="106" t="str">
        <f t="shared" si="5"/>
        <v>gm</v>
      </c>
      <c r="D65" s="98">
        <f t="shared" si="5"/>
        <v>450</v>
      </c>
      <c r="E65" s="98">
        <f>$C$52</f>
        <v>11.55</v>
      </c>
      <c r="F65" s="109">
        <f t="shared" ref="F65:F73" si="6">F6</f>
        <v>1</v>
      </c>
      <c r="G65" s="101">
        <f t="shared" ref="G65:G73" si="7">D65*E65</f>
        <v>5197.5</v>
      </c>
      <c r="H65" s="102">
        <f t="shared" ref="H65:H73" si="8">G65*F65</f>
        <v>5197.5</v>
      </c>
    </row>
    <row r="66" spans="1:8" ht="14.25" x14ac:dyDescent="0.2">
      <c r="A66" s="1460"/>
      <c r="B66" s="299" t="str">
        <f t="shared" si="5"/>
        <v>Zucchini - كوسة</v>
      </c>
      <c r="C66" s="106" t="str">
        <f t="shared" si="5"/>
        <v>gm</v>
      </c>
      <c r="D66" s="98">
        <f t="shared" si="5"/>
        <v>450</v>
      </c>
      <c r="E66" s="98">
        <f t="shared" ref="E66:E73" si="9">$C$52</f>
        <v>11.55</v>
      </c>
      <c r="F66" s="109">
        <f t="shared" si="6"/>
        <v>1</v>
      </c>
      <c r="G66" s="101">
        <f t="shared" si="7"/>
        <v>5197.5</v>
      </c>
      <c r="H66" s="102">
        <f t="shared" si="8"/>
        <v>5197.5</v>
      </c>
    </row>
    <row r="67" spans="1:8" ht="14.25" customHeight="1" x14ac:dyDescent="0.2">
      <c r="A67" s="1460"/>
      <c r="B67" s="299" t="str">
        <f t="shared" si="5"/>
        <v xml:space="preserve">Red Bell Pepper - فلفل أحمر </v>
      </c>
      <c r="C67" s="106" t="str">
        <f t="shared" si="5"/>
        <v>gm</v>
      </c>
      <c r="D67" s="98">
        <f t="shared" si="5"/>
        <v>80</v>
      </c>
      <c r="E67" s="98">
        <f t="shared" si="9"/>
        <v>11.55</v>
      </c>
      <c r="F67" s="109">
        <f t="shared" si="6"/>
        <v>1</v>
      </c>
      <c r="G67" s="101">
        <f t="shared" si="7"/>
        <v>924</v>
      </c>
      <c r="H67" s="102">
        <f t="shared" si="8"/>
        <v>924</v>
      </c>
    </row>
    <row r="68" spans="1:8" ht="14.25" customHeight="1" x14ac:dyDescent="0.2">
      <c r="A68" s="1460"/>
      <c r="B68" s="299" t="str">
        <f t="shared" si="5"/>
        <v xml:space="preserve">Yellow Bell Pepper - فلفل أصفر </v>
      </c>
      <c r="C68" s="106" t="str">
        <f t="shared" si="5"/>
        <v>gm</v>
      </c>
      <c r="D68" s="98">
        <f t="shared" si="5"/>
        <v>80</v>
      </c>
      <c r="E68" s="98">
        <f t="shared" si="9"/>
        <v>11.55</v>
      </c>
      <c r="F68" s="109">
        <f t="shared" si="6"/>
        <v>1</v>
      </c>
      <c r="G68" s="101">
        <f t="shared" si="7"/>
        <v>924</v>
      </c>
      <c r="H68" s="102">
        <f t="shared" si="8"/>
        <v>924</v>
      </c>
    </row>
    <row r="69" spans="1:8" ht="14.25" customHeight="1" x14ac:dyDescent="0.2">
      <c r="A69" s="1460"/>
      <c r="B69" s="299" t="str">
        <f t="shared" si="5"/>
        <v>Green Bell Pepper - فلفل أخضر رومى</v>
      </c>
      <c r="C69" s="106" t="str">
        <f t="shared" si="5"/>
        <v>gm</v>
      </c>
      <c r="D69" s="98">
        <f t="shared" si="5"/>
        <v>80</v>
      </c>
      <c r="E69" s="98">
        <f t="shared" si="9"/>
        <v>11.55</v>
      </c>
      <c r="F69" s="109">
        <f t="shared" si="6"/>
        <v>1</v>
      </c>
      <c r="G69" s="101">
        <f t="shared" si="7"/>
        <v>924</v>
      </c>
      <c r="H69" s="102">
        <f t="shared" si="8"/>
        <v>924</v>
      </c>
    </row>
    <row r="70" spans="1:8" ht="14.25" customHeight="1" x14ac:dyDescent="0.2">
      <c r="A70" s="1460"/>
      <c r="B70" s="299" t="str">
        <f t="shared" si="5"/>
        <v>Chinese Cabbage - ملفوف صيني</v>
      </c>
      <c r="C70" s="106" t="str">
        <f t="shared" si="5"/>
        <v>gm</v>
      </c>
      <c r="D70" s="98">
        <f t="shared" si="5"/>
        <v>80</v>
      </c>
      <c r="E70" s="98">
        <f t="shared" si="9"/>
        <v>11.55</v>
      </c>
      <c r="F70" s="109">
        <f t="shared" si="6"/>
        <v>1</v>
      </c>
      <c r="G70" s="101">
        <f t="shared" si="7"/>
        <v>924</v>
      </c>
      <c r="H70" s="102">
        <f t="shared" si="8"/>
        <v>924</v>
      </c>
    </row>
    <row r="71" spans="1:8" ht="14.25" customHeight="1" x14ac:dyDescent="0.2">
      <c r="A71" s="1460"/>
      <c r="B71" s="299" t="str">
        <f t="shared" si="5"/>
        <v>Sweet Corn - ذرة حلوة</v>
      </c>
      <c r="C71" s="106" t="str">
        <f t="shared" si="5"/>
        <v>gm</v>
      </c>
      <c r="D71" s="98">
        <f t="shared" si="5"/>
        <v>80</v>
      </c>
      <c r="E71" s="98">
        <f t="shared" si="9"/>
        <v>11.55</v>
      </c>
      <c r="F71" s="109">
        <f t="shared" si="6"/>
        <v>1</v>
      </c>
      <c r="G71" s="101">
        <f t="shared" si="7"/>
        <v>924</v>
      </c>
      <c r="H71" s="102">
        <f t="shared" si="8"/>
        <v>924</v>
      </c>
    </row>
    <row r="72" spans="1:8" ht="14.25" customHeight="1" x14ac:dyDescent="0.2">
      <c r="A72" s="1460"/>
      <c r="B72" s="299" t="str">
        <f t="shared" si="5"/>
        <v>Salt - ملح</v>
      </c>
      <c r="C72" s="106" t="str">
        <f t="shared" si="5"/>
        <v>gm</v>
      </c>
      <c r="D72" s="98">
        <f t="shared" si="5"/>
        <v>4</v>
      </c>
      <c r="E72" s="98">
        <f t="shared" si="9"/>
        <v>11.55</v>
      </c>
      <c r="F72" s="109">
        <f t="shared" si="6"/>
        <v>0.75</v>
      </c>
      <c r="G72" s="101">
        <f t="shared" si="7"/>
        <v>46.2</v>
      </c>
      <c r="H72" s="102">
        <f t="shared" si="8"/>
        <v>34.650000000000006</v>
      </c>
    </row>
    <row r="73" spans="1:8" ht="14.25" customHeight="1" x14ac:dyDescent="0.2">
      <c r="A73" s="1460"/>
      <c r="B73" s="299" t="str">
        <f t="shared" si="5"/>
        <v>Black Pepper Powder - فلفل أسود مطحون</v>
      </c>
      <c r="C73" s="106" t="str">
        <f t="shared" si="5"/>
        <v>gm</v>
      </c>
      <c r="D73" s="177">
        <f t="shared" si="5"/>
        <v>0.5</v>
      </c>
      <c r="E73" s="98">
        <f t="shared" si="9"/>
        <v>11.55</v>
      </c>
      <c r="F73" s="109">
        <f t="shared" si="6"/>
        <v>1</v>
      </c>
      <c r="G73" s="101">
        <f t="shared" si="7"/>
        <v>5.7750000000000004</v>
      </c>
      <c r="H73" s="102">
        <f t="shared" si="8"/>
        <v>5.7750000000000004</v>
      </c>
    </row>
    <row r="74" spans="1:8" ht="14.25" customHeight="1" x14ac:dyDescent="0.2">
      <c r="A74" s="1461"/>
      <c r="B74" s="178" t="s">
        <v>706</v>
      </c>
      <c r="E74" s="84"/>
      <c r="F74" s="84"/>
    </row>
    <row r="75" spans="1:8" ht="24" customHeight="1" x14ac:dyDescent="0.3">
      <c r="A75" s="1461"/>
      <c r="B75" s="179">
        <f>D52</f>
        <v>11550</v>
      </c>
      <c r="C75" s="188"/>
      <c r="D75" s="4"/>
      <c r="E75" s="84"/>
      <c r="F75" s="164"/>
    </row>
    <row r="76" spans="1:8" ht="14.25" customHeight="1" x14ac:dyDescent="0.2">
      <c r="A76" s="1461"/>
      <c r="B76" s="84"/>
      <c r="E76" s="84"/>
      <c r="F76" s="84"/>
    </row>
    <row r="77" spans="1:8" ht="12.75" customHeight="1" x14ac:dyDescent="0.2">
      <c r="A77" s="1461"/>
      <c r="B77" s="84"/>
      <c r="C77" s="84"/>
      <c r="D77" s="322"/>
      <c r="E77" s="84"/>
      <c r="F77" s="84"/>
      <c r="G77" s="84"/>
      <c r="H77" s="84"/>
    </row>
    <row r="78" spans="1:8" ht="12.75" customHeight="1" x14ac:dyDescent="0.2">
      <c r="A78" s="1461"/>
    </row>
    <row r="79" spans="1:8" ht="18" x14ac:dyDescent="0.2">
      <c r="A79" s="1462"/>
      <c r="B79" s="1673"/>
      <c r="C79" s="1674"/>
      <c r="D79" s="1674"/>
      <c r="E79" s="1674"/>
      <c r="F79" s="1674"/>
      <c r="G79" s="1674"/>
      <c r="H79" s="1674"/>
    </row>
    <row r="80" spans="1:8" ht="18" customHeight="1" x14ac:dyDescent="0.2">
      <c r="A80" s="1462"/>
      <c r="B80" s="1673"/>
      <c r="C80" s="1674"/>
      <c r="D80" s="1674"/>
      <c r="E80" s="1674"/>
      <c r="F80" s="1674"/>
      <c r="G80" s="1674"/>
      <c r="H80" s="1674"/>
    </row>
    <row r="81" spans="1:8" ht="35.25" customHeight="1" x14ac:dyDescent="0.2">
      <c r="A81" s="1463"/>
      <c r="B81" s="1103"/>
      <c r="C81" s="1104"/>
      <c r="D81" s="1103"/>
      <c r="E81" s="1105"/>
      <c r="F81" s="1105"/>
      <c r="G81" s="1103"/>
      <c r="H81" s="1105"/>
    </row>
    <row r="82" spans="1:8" ht="14.25" x14ac:dyDescent="0.2">
      <c r="A82" s="1462"/>
      <c r="B82" s="1106"/>
      <c r="C82" s="1106"/>
      <c r="D82" s="1111"/>
      <c r="E82" s="1111"/>
      <c r="F82" s="1108"/>
      <c r="G82" s="1109"/>
      <c r="H82" s="1110"/>
    </row>
    <row r="83" spans="1:8" ht="14.25" x14ac:dyDescent="0.2">
      <c r="A83" s="1462"/>
      <c r="B83" s="1106"/>
      <c r="C83" s="1106"/>
      <c r="D83" s="1111"/>
      <c r="E83" s="1111"/>
      <c r="F83" s="1108"/>
      <c r="G83" s="1109"/>
      <c r="H83" s="1110"/>
    </row>
    <row r="84" spans="1:8" ht="18" customHeight="1" x14ac:dyDescent="0.2">
      <c r="A84" s="1462"/>
      <c r="B84" s="1106"/>
      <c r="C84" s="1106"/>
      <c r="D84" s="1111"/>
      <c r="E84" s="1111"/>
      <c r="F84" s="1108"/>
      <c r="G84" s="1109"/>
      <c r="H84" s="1110"/>
    </row>
    <row r="85" spans="1:8" ht="18" customHeight="1" x14ac:dyDescent="0.2">
      <c r="A85" s="1462"/>
      <c r="B85" s="1106"/>
      <c r="C85" s="1106"/>
      <c r="D85" s="1111"/>
      <c r="E85" s="1111"/>
      <c r="F85" s="1108"/>
      <c r="G85" s="1109"/>
      <c r="H85" s="1110"/>
    </row>
    <row r="86" spans="1:8" ht="18" customHeight="1" x14ac:dyDescent="0.2">
      <c r="A86" s="1462"/>
      <c r="B86" s="1106"/>
      <c r="C86" s="1106"/>
      <c r="D86" s="1111"/>
      <c r="E86" s="1111"/>
      <c r="F86" s="1108"/>
      <c r="G86" s="1109"/>
      <c r="H86" s="1110"/>
    </row>
    <row r="87" spans="1:8" ht="14.25" customHeight="1" x14ac:dyDescent="0.2">
      <c r="A87" s="1462"/>
      <c r="B87" s="1106"/>
      <c r="C87" s="1106"/>
      <c r="D87" s="1111"/>
      <c r="E87" s="1111"/>
      <c r="F87" s="1108"/>
      <c r="G87" s="1109"/>
      <c r="H87" s="1110"/>
    </row>
    <row r="88" spans="1:8" ht="14.25" customHeight="1" x14ac:dyDescent="0.2">
      <c r="A88" s="1462"/>
      <c r="B88" s="1106"/>
      <c r="C88" s="1106"/>
      <c r="D88" s="1111"/>
      <c r="E88" s="1111"/>
      <c r="F88" s="1108"/>
      <c r="G88" s="1109"/>
      <c r="H88" s="1110"/>
    </row>
    <row r="89" spans="1:8" ht="14.25" customHeight="1" x14ac:dyDescent="0.2">
      <c r="A89" s="1462"/>
      <c r="B89" s="1106"/>
      <c r="C89" s="1106"/>
      <c r="D89" s="1111"/>
      <c r="E89" s="1111"/>
      <c r="F89" s="1108"/>
      <c r="G89" s="1109"/>
      <c r="H89" s="1110"/>
    </row>
    <row r="90" spans="1:8" ht="14.25" customHeight="1" x14ac:dyDescent="0.2">
      <c r="A90" s="1462"/>
      <c r="B90" s="1106"/>
      <c r="C90" s="1106"/>
      <c r="D90" s="1113"/>
      <c r="E90" s="1111"/>
      <c r="F90" s="1108"/>
      <c r="G90" s="1109"/>
      <c r="H90" s="1110"/>
    </row>
    <row r="91" spans="1:8" ht="14.25" customHeight="1" x14ac:dyDescent="0.2">
      <c r="A91" s="1462"/>
      <c r="B91" s="814"/>
      <c r="C91" s="796"/>
      <c r="D91" s="796"/>
      <c r="E91" s="790"/>
      <c r="F91" s="790"/>
      <c r="G91" s="796"/>
      <c r="H91" s="796"/>
    </row>
    <row r="92" spans="1:8" ht="21.75" customHeight="1" x14ac:dyDescent="0.3">
      <c r="A92" s="1462"/>
      <c r="B92" s="815"/>
      <c r="C92" s="819"/>
      <c r="D92" s="1114"/>
      <c r="E92" s="790"/>
      <c r="F92" s="1115"/>
      <c r="G92" s="796"/>
      <c r="H92" s="796"/>
    </row>
    <row r="93" spans="1:8" ht="14.25" customHeight="1" x14ac:dyDescent="0.2">
      <c r="A93" s="1462"/>
      <c r="B93" s="796"/>
      <c r="C93" s="796"/>
      <c r="D93" s="796"/>
      <c r="E93" s="796"/>
      <c r="F93" s="796"/>
      <c r="G93" s="796"/>
      <c r="H93" s="796"/>
    </row>
    <row r="94" spans="1:8" x14ac:dyDescent="0.2">
      <c r="A94" s="1462"/>
      <c r="B94" s="796"/>
      <c r="C94" s="796"/>
      <c r="D94" s="796"/>
      <c r="E94" s="796"/>
      <c r="F94" s="796"/>
      <c r="G94" s="796"/>
      <c r="H94" s="796"/>
    </row>
    <row r="95" spans="1:8" ht="18" x14ac:dyDescent="0.2">
      <c r="A95" s="1462"/>
      <c r="B95" s="1673"/>
      <c r="C95" s="1674"/>
      <c r="D95" s="1674"/>
      <c r="E95" s="1674"/>
      <c r="F95" s="1674"/>
      <c r="G95" s="1674"/>
      <c r="H95" s="1674"/>
    </row>
    <row r="96" spans="1:8" ht="18" customHeight="1" x14ac:dyDescent="0.2">
      <c r="A96" s="1462"/>
      <c r="B96" s="1673"/>
      <c r="C96" s="1674"/>
      <c r="D96" s="1674"/>
      <c r="E96" s="1674"/>
      <c r="F96" s="1674"/>
      <c r="G96" s="1674"/>
      <c r="H96" s="1674"/>
    </row>
    <row r="97" spans="1:8" ht="43.5" customHeight="1" x14ac:dyDescent="0.2">
      <c r="A97" s="1463"/>
      <c r="B97" s="1103"/>
      <c r="C97" s="1104"/>
      <c r="D97" s="1103"/>
      <c r="E97" s="1105"/>
      <c r="F97" s="1105"/>
      <c r="G97" s="1103"/>
      <c r="H97" s="1105"/>
    </row>
    <row r="98" spans="1:8" ht="14.25" x14ac:dyDescent="0.2">
      <c r="A98" s="1462"/>
      <c r="B98" s="1106"/>
      <c r="C98" s="1106"/>
      <c r="D98" s="1106"/>
      <c r="E98" s="1107"/>
      <c r="F98" s="1108"/>
      <c r="G98" s="1109"/>
      <c r="H98" s="1110"/>
    </row>
    <row r="99" spans="1:8" ht="14.25" x14ac:dyDescent="0.2">
      <c r="A99" s="1462"/>
      <c r="B99" s="1106"/>
      <c r="C99" s="1106"/>
      <c r="D99" s="1106"/>
      <c r="E99" s="1107"/>
      <c r="F99" s="1108"/>
      <c r="G99" s="1109"/>
      <c r="H99" s="1110"/>
    </row>
    <row r="100" spans="1:8" ht="14.25" customHeight="1" x14ac:dyDescent="0.2">
      <c r="A100" s="1462"/>
      <c r="B100" s="1106"/>
      <c r="C100" s="1106"/>
      <c r="D100" s="1106"/>
      <c r="E100" s="1107"/>
      <c r="F100" s="1108"/>
      <c r="G100" s="1109"/>
      <c r="H100" s="1110"/>
    </row>
    <row r="101" spans="1:8" ht="14.25" customHeight="1" x14ac:dyDescent="0.2">
      <c r="A101" s="1462"/>
      <c r="B101" s="1106"/>
      <c r="C101" s="1106"/>
      <c r="D101" s="1106"/>
      <c r="E101" s="1107"/>
      <c r="F101" s="1108"/>
      <c r="G101" s="1109"/>
      <c r="H101" s="1110"/>
    </row>
    <row r="102" spans="1:8" ht="14.25" customHeight="1" x14ac:dyDescent="0.2">
      <c r="A102" s="1462"/>
      <c r="B102" s="1106"/>
      <c r="C102" s="1106"/>
      <c r="D102" s="1106"/>
      <c r="E102" s="1107"/>
      <c r="F102" s="1108"/>
      <c r="G102" s="1109"/>
      <c r="H102" s="1110"/>
    </row>
    <row r="103" spans="1:8" ht="14.25" customHeight="1" x14ac:dyDescent="0.2">
      <c r="A103" s="1462"/>
      <c r="B103" s="1106"/>
      <c r="C103" s="1106"/>
      <c r="D103" s="1106"/>
      <c r="E103" s="1107"/>
      <c r="F103" s="1108"/>
      <c r="G103" s="1109"/>
      <c r="H103" s="1110"/>
    </row>
    <row r="104" spans="1:8" ht="14.25" customHeight="1" x14ac:dyDescent="0.2">
      <c r="A104" s="1462"/>
      <c r="B104" s="1106"/>
      <c r="C104" s="1106"/>
      <c r="D104" s="1106"/>
      <c r="E104" s="1107"/>
      <c r="F104" s="1108"/>
      <c r="G104" s="1109"/>
      <c r="H104" s="1110"/>
    </row>
    <row r="105" spans="1:8" ht="14.25" customHeight="1" x14ac:dyDescent="0.2">
      <c r="A105" s="1462"/>
      <c r="B105" s="1106"/>
      <c r="C105" s="1106"/>
      <c r="D105" s="1106"/>
      <c r="E105" s="1107"/>
      <c r="F105" s="1108"/>
      <c r="G105" s="1109"/>
      <c r="H105" s="1110"/>
    </row>
    <row r="106" spans="1:8" ht="14.25" customHeight="1" x14ac:dyDescent="0.2">
      <c r="A106" s="1462"/>
      <c r="B106" s="1106"/>
      <c r="C106" s="1106"/>
      <c r="D106" s="1106"/>
      <c r="E106" s="1107"/>
      <c r="F106" s="1108"/>
      <c r="G106" s="1109"/>
      <c r="H106" s="1110"/>
    </row>
    <row r="107" spans="1:8" ht="14.25" customHeight="1" x14ac:dyDescent="0.2">
      <c r="A107" s="1462"/>
      <c r="B107" s="814"/>
      <c r="C107" s="796"/>
      <c r="D107" s="796"/>
      <c r="E107" s="790"/>
      <c r="F107" s="790"/>
      <c r="G107" s="796"/>
      <c r="H107" s="796"/>
    </row>
    <row r="108" spans="1:8" ht="21.75" customHeight="1" x14ac:dyDescent="0.3">
      <c r="A108" s="1462"/>
      <c r="B108" s="815"/>
      <c r="C108" s="819"/>
      <c r="D108" s="1114"/>
      <c r="E108" s="790"/>
      <c r="F108" s="1115"/>
      <c r="G108" s="796"/>
      <c r="H108" s="796"/>
    </row>
    <row r="109" spans="1:8" ht="14.25" customHeight="1" x14ac:dyDescent="0.2">
      <c r="A109" s="1462"/>
      <c r="B109" s="796"/>
      <c r="C109" s="796"/>
      <c r="D109" s="796"/>
      <c r="E109" s="796"/>
      <c r="F109" s="796"/>
      <c r="G109" s="796"/>
      <c r="H109" s="796"/>
    </row>
    <row r="110" spans="1:8" x14ac:dyDescent="0.2">
      <c r="A110" s="1461"/>
    </row>
    <row r="111" spans="1:8" x14ac:dyDescent="0.2">
      <c r="A111" s="1461"/>
    </row>
    <row r="112" spans="1:8" x14ac:dyDescent="0.2">
      <c r="A112" s="1461"/>
    </row>
    <row r="113" spans="1:1" x14ac:dyDescent="0.2">
      <c r="A113" s="1461"/>
    </row>
    <row r="114" spans="1:1" x14ac:dyDescent="0.2">
      <c r="A114" s="1461"/>
    </row>
    <row r="115" spans="1:1" x14ac:dyDescent="0.2">
      <c r="A115" s="1461"/>
    </row>
    <row r="116" spans="1:1" x14ac:dyDescent="0.2">
      <c r="A116" s="1461"/>
    </row>
    <row r="117" spans="1:1" x14ac:dyDescent="0.2">
      <c r="A117" s="1461"/>
    </row>
    <row r="118" spans="1:1" x14ac:dyDescent="0.2">
      <c r="A118" s="1461"/>
    </row>
    <row r="119" spans="1:1" x14ac:dyDescent="0.2">
      <c r="A119" s="1461"/>
    </row>
    <row r="120" spans="1:1" x14ac:dyDescent="0.2">
      <c r="A120" s="1461"/>
    </row>
    <row r="121" spans="1:1" x14ac:dyDescent="0.2">
      <c r="A121" s="1461"/>
    </row>
    <row r="122" spans="1:1" x14ac:dyDescent="0.2">
      <c r="A122" s="1461"/>
    </row>
    <row r="123" spans="1:1" x14ac:dyDescent="0.2">
      <c r="A123" s="1461"/>
    </row>
    <row r="124" spans="1:1" x14ac:dyDescent="0.2">
      <c r="A124" s="1461"/>
    </row>
    <row r="125" spans="1:1" x14ac:dyDescent="0.2">
      <c r="A125" s="1461"/>
    </row>
    <row r="126" spans="1:1" x14ac:dyDescent="0.2">
      <c r="A126" s="1461"/>
    </row>
    <row r="127" spans="1:1" x14ac:dyDescent="0.2">
      <c r="A127" s="1461"/>
    </row>
    <row r="128" spans="1:1" x14ac:dyDescent="0.2">
      <c r="A128" s="1461"/>
    </row>
    <row r="129" spans="1:1" x14ac:dyDescent="0.2">
      <c r="A129" s="1461"/>
    </row>
    <row r="130" spans="1:1" x14ac:dyDescent="0.2">
      <c r="A130" s="1461"/>
    </row>
    <row r="131" spans="1:1" x14ac:dyDescent="0.2">
      <c r="A131" s="1461"/>
    </row>
    <row r="132" spans="1:1" x14ac:dyDescent="0.2">
      <c r="A132" s="1461"/>
    </row>
    <row r="133" spans="1:1" x14ac:dyDescent="0.2">
      <c r="A133" s="1461"/>
    </row>
    <row r="134" spans="1:1" x14ac:dyDescent="0.2">
      <c r="A134" s="1461"/>
    </row>
    <row r="135" spans="1:1" x14ac:dyDescent="0.2">
      <c r="A135" s="1461"/>
    </row>
    <row r="136" spans="1:1" x14ac:dyDescent="0.2">
      <c r="A136" s="1461"/>
    </row>
    <row r="137" spans="1:1" x14ac:dyDescent="0.2">
      <c r="A137" s="1461"/>
    </row>
    <row r="138" spans="1:1" x14ac:dyDescent="0.2">
      <c r="A138" s="1461"/>
    </row>
    <row r="139" spans="1:1" x14ac:dyDescent="0.2">
      <c r="A139" s="1461"/>
    </row>
    <row r="140" spans="1:1" x14ac:dyDescent="0.2">
      <c r="A140" s="1461"/>
    </row>
    <row r="141" spans="1:1" x14ac:dyDescent="0.2">
      <c r="A141" s="1461"/>
    </row>
    <row r="142" spans="1:1" x14ac:dyDescent="0.2">
      <c r="A142" s="1461"/>
    </row>
    <row r="143" spans="1:1" x14ac:dyDescent="0.2">
      <c r="A143" s="1461"/>
    </row>
    <row r="144" spans="1:1"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10">
    <mergeCell ref="AE2:AG3"/>
    <mergeCell ref="B95:H95"/>
    <mergeCell ref="B96:H96"/>
    <mergeCell ref="B79:H79"/>
    <mergeCell ref="R26:T26"/>
    <mergeCell ref="B63:H63"/>
    <mergeCell ref="B2:H3"/>
    <mergeCell ref="R25:T25"/>
    <mergeCell ref="B80:H80"/>
    <mergeCell ref="B62:H62"/>
  </mergeCells>
  <printOptions horizontalCentered="1"/>
  <pageMargins left="0.4" right="0.4" top="1" bottom="0.5" header="0.3" footer="0.511811023622047"/>
  <pageSetup paperSize="9" scale="66" fitToHeight="0" orientation="landscape" r:id="rId1"/>
  <headerFooter>
    <oddHeader>&amp;C&amp;B&amp;16Oven Vegetables (3)&amp;R&amp;B Day 3</oddHeader>
    <oddFooter>&amp;CPage &amp;P of &amp;N</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rgb="FF7C7C7C"/>
    <pageSetUpPr fitToPage="1"/>
  </sheetPr>
  <dimension ref="A1:AT174"/>
  <sheetViews>
    <sheetView topLeftCell="F21" zoomScaleNormal="100" workbookViewId="0">
      <selection activeCell="U40" sqref="U40"/>
    </sheetView>
  </sheetViews>
  <sheetFormatPr defaultColWidth="12.5" defaultRowHeight="15" x14ac:dyDescent="0.25"/>
  <cols>
    <col min="1" max="1" width="12.5" style="1" customWidth="1"/>
    <col min="2" max="2" width="26.75" customWidth="1"/>
    <col min="3" max="3" width="23.875" customWidth="1"/>
    <col min="4" max="4" width="19" customWidth="1"/>
    <col min="5" max="5" width="16.125" customWidth="1"/>
    <col min="6" max="6" width="23.125" customWidth="1"/>
    <col min="7" max="7" width="25.125" customWidth="1"/>
    <col min="8" max="8" width="36.125" customWidth="1"/>
    <col min="9" max="9" width="14.875" customWidth="1"/>
    <col min="12" max="12" width="8.375" customWidth="1"/>
    <col min="13" max="14" width="4.375" customWidth="1"/>
    <col min="18" max="18" width="30.5" customWidth="1"/>
    <col min="19" max="19" width="21.125" customWidth="1"/>
    <col min="23" max="23" width="20.875" customWidth="1"/>
    <col min="28" max="28" width="11.625" bestFit="1" customWidth="1"/>
    <col min="29" max="29" width="13.125" bestFit="1" customWidth="1"/>
    <col min="30" max="30" width="9.875" bestFit="1" customWidth="1"/>
    <col min="31" max="31" width="11.625" bestFit="1" customWidth="1"/>
    <col min="32" max="35" width="5.5" customWidth="1"/>
    <col min="36" max="36" width="35.625" customWidth="1"/>
  </cols>
  <sheetData>
    <row r="1" spans="1:46" ht="54" customHeight="1" x14ac:dyDescent="0.25">
      <c r="B1" s="64" t="s">
        <v>231</v>
      </c>
      <c r="C1" s="65">
        <v>1000</v>
      </c>
      <c r="D1" s="66" t="s">
        <v>232</v>
      </c>
      <c r="E1" s="99">
        <f>T32</f>
        <v>3274.3439999999996</v>
      </c>
      <c r="F1" s="64" t="s">
        <v>233</v>
      </c>
      <c r="G1" s="227">
        <f>E1/C1</f>
        <v>3.2743439999999997</v>
      </c>
      <c r="H1" s="64" t="s">
        <v>234</v>
      </c>
      <c r="I1" s="227">
        <f>(G1/K1)</f>
        <v>3.2743439999999997</v>
      </c>
      <c r="J1" s="70" t="s">
        <v>235</v>
      </c>
      <c r="K1" s="227">
        <v>1</v>
      </c>
      <c r="L1" s="84"/>
      <c r="M1" s="73"/>
      <c r="N1" s="74"/>
      <c r="O1" s="75" t="s">
        <v>236</v>
      </c>
      <c r="P1" s="76" t="s">
        <v>237</v>
      </c>
      <c r="Q1" s="77" t="s">
        <v>238</v>
      </c>
      <c r="R1" s="76">
        <v>0.59</v>
      </c>
      <c r="Y1" s="75" t="s">
        <v>453</v>
      </c>
      <c r="Z1" s="766">
        <v>24610</v>
      </c>
      <c r="AA1" s="75" t="s">
        <v>556</v>
      </c>
      <c r="AB1" s="766">
        <v>500</v>
      </c>
      <c r="AC1" s="75" t="s">
        <v>546</v>
      </c>
      <c r="AD1" s="766">
        <v>169</v>
      </c>
      <c r="AE1" s="228"/>
      <c r="AF1" s="230"/>
      <c r="AG1" s="76"/>
      <c r="AJ1" s="78" t="s">
        <v>250</v>
      </c>
      <c r="AK1" s="78">
        <v>10000</v>
      </c>
      <c r="AL1" s="561" t="s">
        <v>483</v>
      </c>
      <c r="AM1" s="562">
        <f>$S$32</f>
        <v>21835.655999999999</v>
      </c>
      <c r="AN1" s="78" t="s">
        <v>239</v>
      </c>
      <c r="AO1" s="80">
        <f>($S$32/$R$1)/$AK$1</f>
        <v>3.7009586440677964</v>
      </c>
      <c r="AP1" s="79"/>
    </row>
    <row r="2" spans="1:46" ht="12.75" customHeight="1" x14ac:dyDescent="0.25">
      <c r="A2" s="242"/>
      <c r="B2" s="1715" t="s">
        <v>396</v>
      </c>
      <c r="C2" s="1653"/>
      <c r="D2" s="1653"/>
      <c r="E2" s="1653"/>
      <c r="F2" s="1653"/>
      <c r="G2" s="1653"/>
      <c r="H2" s="1653"/>
      <c r="I2" s="1653"/>
      <c r="J2" s="1653"/>
      <c r="K2" s="1645"/>
      <c r="L2" s="270"/>
      <c r="M2" s="84"/>
      <c r="N2" s="84"/>
      <c r="O2" s="84"/>
      <c r="P2" s="84"/>
      <c r="Q2" s="84"/>
      <c r="R2" s="84"/>
      <c r="AC2" s="83"/>
      <c r="AD2" s="83"/>
      <c r="AE2" s="1652"/>
      <c r="AF2" s="1653"/>
      <c r="AG2" s="1653"/>
      <c r="AJ2" s="85"/>
      <c r="AK2" s="1631" t="s">
        <v>398</v>
      </c>
      <c r="AL2" s="1631"/>
      <c r="AM2" s="1631"/>
      <c r="AN2" s="86"/>
      <c r="AO2" s="85"/>
      <c r="AP2" s="85"/>
    </row>
    <row r="3" spans="1:46" ht="12.75" customHeight="1" x14ac:dyDescent="0.25">
      <c r="A3" s="242"/>
      <c r="B3" s="1633"/>
      <c r="C3" s="1633"/>
      <c r="D3" s="1633"/>
      <c r="E3" s="1633"/>
      <c r="F3" s="1633"/>
      <c r="G3" s="1633"/>
      <c r="H3" s="1633"/>
      <c r="I3" s="1633"/>
      <c r="J3" s="1633"/>
      <c r="K3" s="1633"/>
      <c r="L3" s="270"/>
      <c r="M3" s="84"/>
      <c r="N3" s="84"/>
      <c r="O3" s="84"/>
      <c r="P3" s="84"/>
      <c r="Q3" s="84"/>
      <c r="R3" s="84"/>
      <c r="AC3" s="83"/>
      <c r="AD3" s="83"/>
      <c r="AE3" s="1653"/>
      <c r="AF3" s="1653"/>
      <c r="AG3" s="1653"/>
      <c r="AJ3" s="349"/>
      <c r="AK3" s="88"/>
      <c r="AL3" s="89"/>
      <c r="AM3" s="89"/>
      <c r="AN3" s="89"/>
      <c r="AO3" s="88"/>
      <c r="AP3" s="88"/>
    </row>
    <row r="4" spans="1:46" ht="69"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c r="P4" s="84"/>
      <c r="AA4" s="229"/>
      <c r="AB4" s="231"/>
      <c r="AC4" s="229"/>
      <c r="AD4" s="229"/>
      <c r="AE4" s="229"/>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493"/>
      <c r="B5" s="459" t="s">
        <v>220</v>
      </c>
      <c r="C5" s="460" t="s">
        <v>14</v>
      </c>
      <c r="D5" s="103">
        <f>I51/10</f>
        <v>11303.389830508475</v>
      </c>
      <c r="E5" s="99">
        <f>H52</f>
        <v>3.2742024291497973</v>
      </c>
      <c r="F5" s="109">
        <v>1</v>
      </c>
      <c r="G5" s="101">
        <f t="shared" ref="G5:G14" si="0">D5*E5</f>
        <v>37009.586440677966</v>
      </c>
      <c r="H5" s="102">
        <f t="shared" ref="H5:H14" si="1">G5*F5</f>
        <v>37009.586440677966</v>
      </c>
      <c r="I5" s="65">
        <f>VLOOKUP(B5,All_Ingredients!$A$1:$F$156,6,FALSE())</f>
        <v>0.86</v>
      </c>
      <c r="J5" s="103">
        <f>VLOOKUP(B5,All_Ingredients!$A$1:$J$156,10,FALSE())</f>
        <v>17.100000000000001</v>
      </c>
      <c r="K5" s="104">
        <f t="shared" ref="K5" si="2">(H5/I5)/1000</f>
        <v>43.034402837997639</v>
      </c>
      <c r="L5" s="104">
        <f t="shared" ref="L5" si="3">K5*J5</f>
        <v>735.88828852975973</v>
      </c>
      <c r="M5" s="84"/>
      <c r="N5" s="84"/>
      <c r="O5" s="84"/>
      <c r="P5" s="84"/>
      <c r="AA5" s="76"/>
      <c r="AB5" s="114"/>
      <c r="AC5" s="232"/>
      <c r="AD5" s="116"/>
      <c r="AE5" s="117"/>
      <c r="AJ5" s="350" t="s">
        <v>220</v>
      </c>
      <c r="AK5" s="106" t="s">
        <v>227</v>
      </c>
      <c r="AL5" s="351">
        <v>10</v>
      </c>
      <c r="AM5" s="352">
        <f>$AO$1</f>
        <v>3.7009586440677964</v>
      </c>
      <c r="AN5" s="353">
        <v>1</v>
      </c>
      <c r="AO5" s="354">
        <f t="shared" ref="AO5:AO12" si="4">AL5*AM5</f>
        <v>37.009586440677964</v>
      </c>
      <c r="AP5" s="355">
        <f t="shared" ref="AP5:AP12" si="5">AO5*AN5</f>
        <v>37.009586440677964</v>
      </c>
      <c r="AQ5" s="272"/>
      <c r="AR5" s="1017"/>
      <c r="AS5" s="156"/>
      <c r="AT5" s="1018"/>
    </row>
    <row r="6" spans="1:46" ht="14.25" customHeight="1" x14ac:dyDescent="0.25">
      <c r="A6" s="1494"/>
      <c r="B6" s="303" t="s">
        <v>152</v>
      </c>
      <c r="C6" s="460" t="s">
        <v>14</v>
      </c>
      <c r="D6" s="107">
        <v>40</v>
      </c>
      <c r="E6" s="201">
        <f t="shared" ref="E6:E14" si="6">$I$1</f>
        <v>3.2743439999999997</v>
      </c>
      <c r="F6" s="109">
        <v>1</v>
      </c>
      <c r="G6" s="101">
        <f t="shared" si="0"/>
        <v>130.97376</v>
      </c>
      <c r="H6" s="102">
        <f t="shared" si="1"/>
        <v>130.97376</v>
      </c>
      <c r="I6" s="65">
        <f>VLOOKUP(B6,All_Ingredients!$A$1:$F$156,6,FALSE())</f>
        <v>1</v>
      </c>
      <c r="J6" s="103">
        <f>VLOOKUP(B6,All_Ingredients!$A$1:$J$156,10,FALSE())</f>
        <v>30</v>
      </c>
      <c r="K6" s="104">
        <f t="shared" ref="K6:K14" si="7">(H6/I6)/1000</f>
        <v>0.13097375999999999</v>
      </c>
      <c r="L6" s="104">
        <f t="shared" ref="L6:L14" si="8">K6*J6</f>
        <v>3.9292127999999997</v>
      </c>
      <c r="AJ6" s="350" t="s">
        <v>54</v>
      </c>
      <c r="AK6" s="310" t="s">
        <v>14</v>
      </c>
      <c r="AL6" s="98">
        <v>100</v>
      </c>
      <c r="AM6" s="352">
        <f t="shared" ref="AM6:AM12" si="9">$AO$1</f>
        <v>3.7009586440677964</v>
      </c>
      <c r="AN6" s="353">
        <v>1</v>
      </c>
      <c r="AO6" s="354">
        <f t="shared" si="4"/>
        <v>370.09586440677964</v>
      </c>
      <c r="AP6" s="355">
        <f t="shared" si="5"/>
        <v>370.09586440677964</v>
      </c>
      <c r="AQ6" s="1018">
        <f>VLOOKUP(AJ6,Marination_Ordering!$A:$J,6,FALSE)</f>
        <v>0.87</v>
      </c>
      <c r="AR6" s="1018">
        <f>VLOOKUP(AJ6,Marination_Ordering!$A:$J,10,FALSE)</f>
        <v>7</v>
      </c>
      <c r="AS6" s="156">
        <f>AP6/AQ6</f>
        <v>425.39754529514903</v>
      </c>
      <c r="AT6" s="1018">
        <f>AR6*(AS6/1000)</f>
        <v>2.9777828170660432</v>
      </c>
    </row>
    <row r="7" spans="1:46" ht="14.25" customHeight="1" x14ac:dyDescent="0.25">
      <c r="A7" s="1494" t="s">
        <v>907</v>
      </c>
      <c r="B7" s="303" t="s">
        <v>727</v>
      </c>
      <c r="C7" s="460" t="s">
        <v>14</v>
      </c>
      <c r="D7" s="107">
        <v>40</v>
      </c>
      <c r="E7" s="201">
        <f t="shared" si="6"/>
        <v>3.2743439999999997</v>
      </c>
      <c r="F7" s="109">
        <v>1</v>
      </c>
      <c r="G7" s="101">
        <f t="shared" si="0"/>
        <v>130.97376</v>
      </c>
      <c r="H7" s="102">
        <f t="shared" si="1"/>
        <v>130.97376</v>
      </c>
      <c r="I7" s="65">
        <f>VLOOKUP(B7,All_Ingredients!$A$1:$F$156,6,FALSE())</f>
        <v>1</v>
      </c>
      <c r="J7" s="103">
        <f>VLOOKUP(B7,All_Ingredients!$A$1:$J$156,10,FALSE())</f>
        <v>10.5</v>
      </c>
      <c r="K7" s="104">
        <f t="shared" si="7"/>
        <v>0.13097375999999999</v>
      </c>
      <c r="L7" s="104">
        <f t="shared" si="8"/>
        <v>1.37522448</v>
      </c>
      <c r="AJ7" s="350" t="s">
        <v>727</v>
      </c>
      <c r="AK7" s="310" t="s">
        <v>14</v>
      </c>
      <c r="AL7" s="98">
        <v>150</v>
      </c>
      <c r="AM7" s="352">
        <f t="shared" si="9"/>
        <v>3.7009586440677964</v>
      </c>
      <c r="AN7" s="353">
        <v>1</v>
      </c>
      <c r="AO7" s="354">
        <f t="shared" si="4"/>
        <v>555.14379661016949</v>
      </c>
      <c r="AP7" s="355">
        <f t="shared" si="5"/>
        <v>555.14379661016949</v>
      </c>
      <c r="AQ7" s="1018">
        <f>VLOOKUP(AJ7,Marination_Ordering!$A:$J,6,FALSE)</f>
        <v>1</v>
      </c>
      <c r="AR7" s="1018">
        <f>VLOOKUP(AJ7,Marination_Ordering!$A:$J,10,FALSE)</f>
        <v>10.5</v>
      </c>
      <c r="AS7" s="156">
        <f t="shared" ref="AS7:AS8" si="10">AP7/AQ7</f>
        <v>555.14379661016949</v>
      </c>
      <c r="AT7" s="1018">
        <f t="shared" ref="AT7:AT8" si="11">AR7*(AS7/1000)</f>
        <v>5.8290098644067792</v>
      </c>
    </row>
    <row r="8" spans="1:46" ht="14.25" customHeight="1" x14ac:dyDescent="0.25">
      <c r="A8" s="1455"/>
      <c r="B8" s="303" t="s">
        <v>198</v>
      </c>
      <c r="C8" s="906" t="s">
        <v>160</v>
      </c>
      <c r="D8" s="107">
        <v>300</v>
      </c>
      <c r="E8" s="201">
        <f t="shared" si="6"/>
        <v>3.2743439999999997</v>
      </c>
      <c r="F8" s="109">
        <v>1</v>
      </c>
      <c r="G8" s="101">
        <f t="shared" si="0"/>
        <v>982.30319999999995</v>
      </c>
      <c r="H8" s="102">
        <f t="shared" si="1"/>
        <v>982.30319999999995</v>
      </c>
      <c r="I8" s="65">
        <f>VLOOKUP(B8,All_Ingredients!$A$1:$F$156,6,FALSE())</f>
        <v>1</v>
      </c>
      <c r="J8" s="103">
        <f>VLOOKUP(B8,All_Ingredients!$A$1:$J$156,10,FALSE())</f>
        <v>3.25</v>
      </c>
      <c r="K8" s="104">
        <f t="shared" si="7"/>
        <v>0.98230319999999993</v>
      </c>
      <c r="L8" s="104">
        <f t="shared" si="8"/>
        <v>3.1924853999999998</v>
      </c>
      <c r="AJ8" s="350" t="s">
        <v>212</v>
      </c>
      <c r="AK8" s="310" t="s">
        <v>160</v>
      </c>
      <c r="AL8" s="98">
        <v>150</v>
      </c>
      <c r="AM8" s="352">
        <f t="shared" si="9"/>
        <v>3.7009586440677964</v>
      </c>
      <c r="AN8" s="353">
        <v>1</v>
      </c>
      <c r="AO8" s="354">
        <f t="shared" si="4"/>
        <v>555.14379661016949</v>
      </c>
      <c r="AP8" s="355">
        <f t="shared" si="5"/>
        <v>555.14379661016949</v>
      </c>
      <c r="AQ8" s="1018">
        <f>VLOOKUP(AJ8,Marination_Ordering!$A:$J,6,FALSE)</f>
        <v>1</v>
      </c>
      <c r="AR8" s="1018">
        <f>VLOOKUP(AJ8,Marination_Ordering!$A:$J,10,FALSE)</f>
        <v>5</v>
      </c>
      <c r="AS8" s="156">
        <f t="shared" si="10"/>
        <v>555.14379661016949</v>
      </c>
      <c r="AT8" s="1018">
        <f t="shared" si="11"/>
        <v>2.7757189830508473</v>
      </c>
    </row>
    <row r="9" spans="1:46" ht="14.25" customHeight="1" x14ac:dyDescent="0.25">
      <c r="A9" s="1455"/>
      <c r="B9" s="303" t="s">
        <v>202</v>
      </c>
      <c r="C9" s="97" t="s">
        <v>14</v>
      </c>
      <c r="D9" s="107">
        <v>90</v>
      </c>
      <c r="E9" s="201">
        <f t="shared" si="6"/>
        <v>3.2743439999999997</v>
      </c>
      <c r="F9" s="109">
        <v>1</v>
      </c>
      <c r="G9" s="101">
        <f t="shared" si="0"/>
        <v>294.69095999999996</v>
      </c>
      <c r="H9" s="102">
        <f t="shared" si="1"/>
        <v>294.69095999999996</v>
      </c>
      <c r="I9" s="65">
        <f>VLOOKUP(B9,All_Ingredients!$A$1:$F$156,6,FALSE())</f>
        <v>1</v>
      </c>
      <c r="J9" s="103">
        <f>VLOOKUP(B9,All_Ingredients!$A$1:$J$156,10,FALSE())</f>
        <v>11.243386243386244</v>
      </c>
      <c r="K9" s="104">
        <f t="shared" si="7"/>
        <v>0.29469095999999995</v>
      </c>
      <c r="L9" s="104">
        <f t="shared" si="8"/>
        <v>3.3133242857142853</v>
      </c>
      <c r="AJ9" s="350" t="s">
        <v>208</v>
      </c>
      <c r="AK9" s="106" t="s">
        <v>160</v>
      </c>
      <c r="AL9" s="98">
        <v>100</v>
      </c>
      <c r="AM9" s="352">
        <f t="shared" si="9"/>
        <v>3.7009586440677964</v>
      </c>
      <c r="AN9" s="353">
        <v>1</v>
      </c>
      <c r="AO9" s="354">
        <f t="shared" si="4"/>
        <v>370.09586440677964</v>
      </c>
      <c r="AP9" s="355">
        <f t="shared" si="5"/>
        <v>370.09586440677964</v>
      </c>
      <c r="AQ9" s="1018">
        <f>VLOOKUP(AJ9,Marination_Ordering!$A:$J,6,FALSE)</f>
        <v>1</v>
      </c>
      <c r="AR9" s="1018">
        <f>VLOOKUP(AJ9,Marination_Ordering!$A:$J,10,FALSE)</f>
        <v>2.1621621621621623</v>
      </c>
      <c r="AS9" s="156">
        <f t="shared" ref="AS9:AS12" si="12">AP9/AQ9</f>
        <v>370.09586440677964</v>
      </c>
      <c r="AT9" s="1018">
        <f t="shared" ref="AT9:AT12" si="13">AR9*(AS9/1000)</f>
        <v>0.80020727439303718</v>
      </c>
    </row>
    <row r="10" spans="1:46" ht="14.25" customHeight="1" x14ac:dyDescent="0.25">
      <c r="A10" s="1455"/>
      <c r="B10" s="303" t="s">
        <v>698</v>
      </c>
      <c r="C10" s="97" t="s">
        <v>14</v>
      </c>
      <c r="D10" s="107">
        <v>90</v>
      </c>
      <c r="E10" s="201">
        <f t="shared" si="6"/>
        <v>3.2743439999999997</v>
      </c>
      <c r="F10" s="109">
        <v>1</v>
      </c>
      <c r="G10" s="101">
        <f t="shared" si="0"/>
        <v>294.69095999999996</v>
      </c>
      <c r="H10" s="102">
        <f t="shared" si="1"/>
        <v>294.69095999999996</v>
      </c>
      <c r="I10" s="65">
        <f>VLOOKUP(B10,All_Ingredients!$A$1:$F$156,6,FALSE())</f>
        <v>1</v>
      </c>
      <c r="J10" s="103">
        <f>VLOOKUP(B10,All_Ingredients!$A$1:$J$156,10,FALSE())</f>
        <v>8.1520833333333336</v>
      </c>
      <c r="K10" s="104">
        <f t="shared" si="7"/>
        <v>0.29469095999999995</v>
      </c>
      <c r="L10" s="104">
        <f t="shared" si="8"/>
        <v>2.4023452634999996</v>
      </c>
      <c r="AJ10" s="350" t="s">
        <v>93</v>
      </c>
      <c r="AK10" s="310" t="s">
        <v>14</v>
      </c>
      <c r="AL10" s="98">
        <v>5</v>
      </c>
      <c r="AM10" s="352">
        <f t="shared" si="9"/>
        <v>3.7009586440677964</v>
      </c>
      <c r="AN10" s="353">
        <v>1</v>
      </c>
      <c r="AO10" s="354">
        <f t="shared" si="4"/>
        <v>18.504793220338982</v>
      </c>
      <c r="AP10" s="355">
        <f t="shared" si="5"/>
        <v>18.504793220338982</v>
      </c>
      <c r="AQ10" s="1018">
        <f>VLOOKUP(AJ10,Marination_Ordering!$A:$J,6,FALSE)</f>
        <v>1</v>
      </c>
      <c r="AR10" s="1018">
        <f>VLOOKUP(AJ10,Marination_Ordering!$A:$J,10,FALSE)</f>
        <v>0.74</v>
      </c>
      <c r="AS10" s="156">
        <f t="shared" si="12"/>
        <v>18.504793220338982</v>
      </c>
      <c r="AT10" s="1018">
        <f t="shared" si="13"/>
        <v>1.3693546983050846E-2</v>
      </c>
    </row>
    <row r="11" spans="1:46" ht="13.5" customHeight="1" x14ac:dyDescent="0.25">
      <c r="A11" s="1455"/>
      <c r="B11" s="303" t="s">
        <v>192</v>
      </c>
      <c r="C11" s="97" t="s">
        <v>160</v>
      </c>
      <c r="D11" s="107">
        <v>40</v>
      </c>
      <c r="E11" s="201">
        <f t="shared" si="6"/>
        <v>3.2743439999999997</v>
      </c>
      <c r="F11" s="109">
        <v>1</v>
      </c>
      <c r="G11" s="101">
        <f t="shared" si="0"/>
        <v>130.97376</v>
      </c>
      <c r="H11" s="102">
        <f t="shared" si="1"/>
        <v>130.97376</v>
      </c>
      <c r="I11" s="65">
        <f>VLOOKUP(B11,All_Ingredients!$A$1:$F$156,6,FALSE())</f>
        <v>1</v>
      </c>
      <c r="J11" s="103">
        <f>VLOOKUP(B11,All_Ingredients!$A$1:$J$156,10,FALSE())</f>
        <v>58.685446009389672</v>
      </c>
      <c r="K11" s="104">
        <f t="shared" si="7"/>
        <v>0.13097375999999999</v>
      </c>
      <c r="L11" s="104">
        <f t="shared" si="8"/>
        <v>7.6862535211267602</v>
      </c>
      <c r="AJ11" s="350" t="s">
        <v>99</v>
      </c>
      <c r="AK11" s="310" t="s">
        <v>14</v>
      </c>
      <c r="AL11" s="98">
        <v>5</v>
      </c>
      <c r="AM11" s="352">
        <f t="shared" si="9"/>
        <v>3.7009586440677964</v>
      </c>
      <c r="AN11" s="353">
        <v>1</v>
      </c>
      <c r="AO11" s="354">
        <f t="shared" si="4"/>
        <v>18.504793220338982</v>
      </c>
      <c r="AP11" s="355">
        <f t="shared" si="5"/>
        <v>18.504793220338982</v>
      </c>
      <c r="AQ11" s="1018">
        <f>VLOOKUP(AJ11,Marination_Ordering!$A:$J,6,FALSE)</f>
        <v>1</v>
      </c>
      <c r="AR11" s="1018">
        <f>VLOOKUP(AJ11,Marination_Ordering!$A:$J,10,FALSE)</f>
        <v>31</v>
      </c>
      <c r="AS11" s="156">
        <f t="shared" si="12"/>
        <v>18.504793220338982</v>
      </c>
      <c r="AT11" s="1018">
        <f t="shared" si="13"/>
        <v>0.57364858983050848</v>
      </c>
    </row>
    <row r="12" spans="1:46" ht="14.25" customHeight="1" x14ac:dyDescent="0.25">
      <c r="A12" s="1455"/>
      <c r="B12" s="303" t="s">
        <v>82</v>
      </c>
      <c r="C12" s="97" t="s">
        <v>14</v>
      </c>
      <c r="D12" s="107">
        <v>1</v>
      </c>
      <c r="E12" s="201">
        <f t="shared" si="6"/>
        <v>3.2743439999999997</v>
      </c>
      <c r="F12" s="109">
        <v>1</v>
      </c>
      <c r="G12" s="101">
        <f t="shared" si="0"/>
        <v>3.2743439999999997</v>
      </c>
      <c r="H12" s="102">
        <f t="shared" si="1"/>
        <v>3.2743439999999997</v>
      </c>
      <c r="I12" s="65">
        <f>VLOOKUP(B12,All_Ingredients!$A$1:$F$156,6,FALSE())</f>
        <v>1</v>
      </c>
      <c r="J12" s="103">
        <f>VLOOKUP(B12,All_Ingredients!$A$1:$J$156,10,FALSE())</f>
        <v>147.88732394366198</v>
      </c>
      <c r="K12" s="104">
        <f t="shared" si="7"/>
        <v>3.2743439999999998E-3</v>
      </c>
      <c r="L12" s="104">
        <f t="shared" si="8"/>
        <v>0.48423397183098593</v>
      </c>
      <c r="AJ12" s="350" t="s">
        <v>837</v>
      </c>
      <c r="AK12" s="310" t="s">
        <v>14</v>
      </c>
      <c r="AL12" s="107">
        <v>5</v>
      </c>
      <c r="AM12" s="352">
        <f t="shared" si="9"/>
        <v>3.7009586440677964</v>
      </c>
      <c r="AN12" s="353">
        <v>1</v>
      </c>
      <c r="AO12" s="354">
        <f t="shared" si="4"/>
        <v>18.504793220338982</v>
      </c>
      <c r="AP12" s="355">
        <f t="shared" si="5"/>
        <v>18.504793220338982</v>
      </c>
      <c r="AQ12" s="1018">
        <f>VLOOKUP(AJ12,Marination_Ordering!$A:$J,6,FALSE)</f>
        <v>1</v>
      </c>
      <c r="AR12" s="1018">
        <f>VLOOKUP(AJ12,Marination_Ordering!$A:$J,10,FALSE)</f>
        <v>22.5</v>
      </c>
      <c r="AS12" s="156">
        <f t="shared" si="12"/>
        <v>18.504793220338982</v>
      </c>
      <c r="AT12" s="1018">
        <f t="shared" si="13"/>
        <v>0.41635784745762711</v>
      </c>
    </row>
    <row r="13" spans="1:46" ht="14.25" customHeight="1" x14ac:dyDescent="0.25">
      <c r="A13" s="1455"/>
      <c r="B13" s="303" t="s">
        <v>187</v>
      </c>
      <c r="C13" s="97" t="s">
        <v>14</v>
      </c>
      <c r="D13" s="107">
        <v>20</v>
      </c>
      <c r="E13" s="201">
        <f t="shared" si="6"/>
        <v>3.2743439999999997</v>
      </c>
      <c r="F13" s="109">
        <v>1</v>
      </c>
      <c r="G13" s="101">
        <f t="shared" si="0"/>
        <v>65.486879999999999</v>
      </c>
      <c r="H13" s="102">
        <f t="shared" si="1"/>
        <v>65.486879999999999</v>
      </c>
      <c r="I13" s="65">
        <f>VLOOKUP(B13,All_Ingredients!$A$1:$F$156,6,FALSE())</f>
        <v>0.9</v>
      </c>
      <c r="J13" s="103">
        <f>VLOOKUP(B13,All_Ingredients!$A$1:$J$156,10,FALSE())</f>
        <v>2.3199999999999998</v>
      </c>
      <c r="K13" s="104">
        <f t="shared" si="7"/>
        <v>7.27632E-2</v>
      </c>
      <c r="L13" s="104">
        <f t="shared" si="8"/>
        <v>0.16881062399999999</v>
      </c>
    </row>
    <row r="14" spans="1:46" ht="14.25" customHeight="1" x14ac:dyDescent="0.25">
      <c r="A14" s="1455"/>
      <c r="B14" s="303" t="s">
        <v>166</v>
      </c>
      <c r="C14" s="97" t="s">
        <v>160</v>
      </c>
      <c r="D14" s="107">
        <v>400</v>
      </c>
      <c r="E14" s="201">
        <f t="shared" si="6"/>
        <v>3.2743439999999997</v>
      </c>
      <c r="F14" s="109">
        <v>1</v>
      </c>
      <c r="G14" s="101">
        <f t="shared" si="0"/>
        <v>1309.7375999999999</v>
      </c>
      <c r="H14" s="102">
        <f t="shared" si="1"/>
        <v>1309.7375999999999</v>
      </c>
      <c r="I14" s="65">
        <f>VLOOKUP(B14,All_Ingredients!$A$1:$F$156,6,FALSE())</f>
        <v>1</v>
      </c>
      <c r="J14" s="103">
        <f>VLOOKUP(B14,All_Ingredients!$A$1:$J$156,10,FALSE())</f>
        <v>12.666666666666666</v>
      </c>
      <c r="K14" s="104">
        <f t="shared" si="7"/>
        <v>1.3097375999999998</v>
      </c>
      <c r="L14" s="104">
        <f t="shared" si="8"/>
        <v>16.590009599999998</v>
      </c>
    </row>
    <row r="15" spans="1:46" x14ac:dyDescent="0.25">
      <c r="A15" s="62"/>
    </row>
    <row r="16" spans="1:46" x14ac:dyDescent="0.25">
      <c r="A16" s="62"/>
    </row>
    <row r="17" spans="1:31" ht="14.25" customHeight="1" x14ac:dyDescent="0.25">
      <c r="A17" s="62"/>
      <c r="L17" s="189"/>
    </row>
    <row r="18" spans="1:31" ht="14.25" customHeight="1" x14ac:dyDescent="0.25">
      <c r="A18" s="62"/>
      <c r="L18" s="189"/>
      <c r="S18" s="110" t="s">
        <v>397</v>
      </c>
    </row>
    <row r="19" spans="1:31" ht="14.25" customHeight="1" x14ac:dyDescent="0.25">
      <c r="A19" s="62"/>
      <c r="L19" s="189"/>
      <c r="R19" s="5"/>
      <c r="S19" s="252" t="s">
        <v>309</v>
      </c>
    </row>
    <row r="20" spans="1:31" ht="14.25" customHeight="1" x14ac:dyDescent="0.25">
      <c r="A20" s="62"/>
      <c r="L20" s="189"/>
    </row>
    <row r="21" spans="1:31" ht="14.25" customHeight="1" x14ac:dyDescent="0.25">
      <c r="A21" s="62"/>
      <c r="L21" s="189"/>
    </row>
    <row r="22" spans="1:31" ht="14.25" customHeight="1" x14ac:dyDescent="0.25">
      <c r="A22" s="62"/>
      <c r="L22" s="189"/>
    </row>
    <row r="23" spans="1:31" ht="14.25" customHeight="1" x14ac:dyDescent="0.25">
      <c r="A23" s="62"/>
      <c r="B23" s="84"/>
      <c r="E23" s="84"/>
      <c r="F23" s="84"/>
      <c r="L23" s="189"/>
    </row>
    <row r="24" spans="1:31" ht="14.25" customHeight="1" x14ac:dyDescent="0.25">
      <c r="A24" s="62"/>
      <c r="B24" s="84"/>
      <c r="E24" s="84"/>
      <c r="F24" s="84"/>
      <c r="L24" s="189"/>
      <c r="Z24" s="1124"/>
    </row>
    <row r="25" spans="1:31" ht="15" customHeight="1" x14ac:dyDescent="0.25">
      <c r="A25" s="62"/>
      <c r="B25" s="84"/>
      <c r="E25" s="84"/>
      <c r="F25" s="84"/>
      <c r="L25" s="189"/>
      <c r="R25" s="1640" t="s">
        <v>398</v>
      </c>
      <c r="S25" s="1633"/>
      <c r="T25" s="1633"/>
      <c r="U25" s="1633"/>
      <c r="V25" s="997"/>
      <c r="Z25" s="122" t="s">
        <v>252</v>
      </c>
      <c r="AA25" s="123">
        <v>1</v>
      </c>
      <c r="AB25" s="122" t="s">
        <v>249</v>
      </c>
      <c r="AC25" s="124">
        <f>(AA25*AE30)+(AA30*(AB28/R1))</f>
        <v>3.1431127335687765E-2</v>
      </c>
      <c r="AD25" s="14"/>
    </row>
    <row r="26" spans="1:31" ht="19.5" customHeight="1" x14ac:dyDescent="0.25">
      <c r="A26" s="62"/>
      <c r="B26" s="84"/>
      <c r="E26" s="84"/>
      <c r="F26" s="84"/>
      <c r="L26" s="189"/>
      <c r="R26" s="1716" t="s">
        <v>360</v>
      </c>
      <c r="S26" s="1639"/>
      <c r="T26" s="1639"/>
      <c r="U26" s="1639"/>
      <c r="V26" s="997"/>
      <c r="Z26" s="14"/>
      <c r="AA26" s="14"/>
      <c r="AB26" s="14"/>
      <c r="AC26" s="14"/>
      <c r="AD26" s="14"/>
    </row>
    <row r="27" spans="1:31" ht="21" customHeight="1" thickBot="1" x14ac:dyDescent="0.3">
      <c r="A27" s="62"/>
      <c r="B27" s="84"/>
      <c r="E27" s="84"/>
      <c r="F27" s="84"/>
      <c r="R27" s="126" t="s">
        <v>254</v>
      </c>
      <c r="S27" s="127" t="s">
        <v>399</v>
      </c>
      <c r="T27" s="127" t="s">
        <v>256</v>
      </c>
      <c r="U27" s="127" t="s">
        <v>257</v>
      </c>
      <c r="V27" s="127" t="s">
        <v>772</v>
      </c>
      <c r="W27" s="127" t="s">
        <v>779</v>
      </c>
      <c r="Z27" s="122" t="s">
        <v>258</v>
      </c>
      <c r="AA27" s="1031" t="s">
        <v>312</v>
      </c>
      <c r="AB27" s="128" t="s">
        <v>259</v>
      </c>
      <c r="AC27" s="128" t="s">
        <v>260</v>
      </c>
      <c r="AD27" s="1032" t="s">
        <v>779</v>
      </c>
      <c r="AE27" s="128" t="s">
        <v>262</v>
      </c>
    </row>
    <row r="28" spans="1:31" ht="14.25" customHeight="1" thickBot="1" x14ac:dyDescent="0.3">
      <c r="A28" s="62"/>
      <c r="B28" s="84"/>
      <c r="E28" s="84"/>
      <c r="F28" s="84"/>
      <c r="R28" s="129" t="s">
        <v>263</v>
      </c>
      <c r="S28" s="690">
        <f>U28*S40</f>
        <v>21400.856</v>
      </c>
      <c r="T28" s="690">
        <f>U28*U40</f>
        <v>3209.1439999999998</v>
      </c>
      <c r="U28" s="696">
        <f>$Z$1</f>
        <v>24610</v>
      </c>
      <c r="V28" s="130">
        <f>SUM(AP5:AP12)</f>
        <v>1943.0032881355933</v>
      </c>
      <c r="W28" s="130">
        <f>H37</f>
        <v>11.830000000000002</v>
      </c>
      <c r="Z28" s="132"/>
      <c r="AA28" s="1034"/>
      <c r="AB28" s="133">
        <f>AA25*$S$40</f>
        <v>0.86960000000000004</v>
      </c>
      <c r="AC28" s="133">
        <f>AA25*$U$40</f>
        <v>0.13039999999999999</v>
      </c>
      <c r="AD28" s="1034"/>
      <c r="AE28" s="135">
        <f>SUM(AB28:AD28)</f>
        <v>1</v>
      </c>
    </row>
    <row r="29" spans="1:31" ht="14.25" customHeight="1" thickBot="1" x14ac:dyDescent="0.3">
      <c r="A29" s="62"/>
      <c r="B29" s="84"/>
      <c r="E29" s="84"/>
      <c r="F29" s="84"/>
      <c r="R29" s="129" t="s">
        <v>264</v>
      </c>
      <c r="S29" s="692"/>
      <c r="T29" s="1174"/>
      <c r="U29" s="130">
        <f>T29</f>
        <v>0</v>
      </c>
      <c r="V29" s="130"/>
      <c r="W29" s="130"/>
      <c r="Z29" s="132"/>
      <c r="AA29" s="1038"/>
      <c r="AB29" s="137">
        <f>AB28/$AE$28</f>
        <v>0.86960000000000004</v>
      </c>
      <c r="AC29" s="137">
        <f>AC28/$AE$28</f>
        <v>0.13039999999999999</v>
      </c>
      <c r="AD29" s="1038"/>
      <c r="AE29" s="137">
        <f>AE28/$AE$28</f>
        <v>1</v>
      </c>
    </row>
    <row r="30" spans="1:31" ht="14.25" customHeight="1" thickBot="1" x14ac:dyDescent="0.3">
      <c r="A30" s="62"/>
      <c r="R30" s="129" t="s">
        <v>265</v>
      </c>
      <c r="S30" s="692">
        <f>U30*S40</f>
        <v>434.8</v>
      </c>
      <c r="T30" s="692">
        <f>U30*U40</f>
        <v>65.199999999999989</v>
      </c>
      <c r="U30" s="1173">
        <f>$AB$1</f>
        <v>500</v>
      </c>
      <c r="V30" s="989"/>
      <c r="W30" s="989"/>
      <c r="Z30" s="122" t="s">
        <v>266</v>
      </c>
      <c r="AA30" s="1042">
        <f>V35/(S32/R1)</f>
        <v>3.6170139173656411E-4</v>
      </c>
      <c r="AB30" s="138">
        <f>S35/(S32)</f>
        <v>3.3701221915648415E-2</v>
      </c>
      <c r="AC30" s="139">
        <f>T35/T32</f>
        <v>1.1954119648446235E-2</v>
      </c>
      <c r="AD30" s="1045">
        <f>W35/U32</f>
        <v>3.2616487455197139E-5</v>
      </c>
      <c r="AE30" s="1047">
        <f>SUMPRODUCT(AB30:AC30,AB29:AC29)+AD30</f>
        <v>3.089801626746045E-2</v>
      </c>
    </row>
    <row r="31" spans="1:31" ht="14.25" customHeight="1" thickBot="1" x14ac:dyDescent="0.3">
      <c r="A31" s="62"/>
      <c r="R31" s="129" t="s">
        <v>267</v>
      </c>
      <c r="S31" s="136"/>
      <c r="T31" s="130"/>
      <c r="U31" s="130"/>
      <c r="V31" s="130"/>
      <c r="W31" s="130"/>
    </row>
    <row r="32" spans="1:31" ht="14.25" customHeight="1" thickBot="1" x14ac:dyDescent="0.3">
      <c r="A32" s="62"/>
      <c r="R32" s="141" t="s">
        <v>257</v>
      </c>
      <c r="S32" s="130">
        <f>SUM(S28:S30)</f>
        <v>21835.655999999999</v>
      </c>
      <c r="T32" s="130">
        <f>SUM(T28:T30)</f>
        <v>3274.3439999999996</v>
      </c>
      <c r="U32" s="130">
        <f>SUM(U28:U30)</f>
        <v>25110</v>
      </c>
      <c r="V32" s="130"/>
      <c r="W32" s="130">
        <f>SUM(W28:W30)</f>
        <v>11.830000000000002</v>
      </c>
    </row>
    <row r="33" spans="1:23" ht="14.25" customHeight="1" thickBot="1" x14ac:dyDescent="0.3">
      <c r="A33" s="62"/>
      <c r="B33" s="84"/>
      <c r="E33" s="84"/>
      <c r="F33" s="84"/>
      <c r="R33" s="142" t="s">
        <v>268</v>
      </c>
      <c r="S33" s="136"/>
      <c r="T33" s="136"/>
      <c r="U33" s="136"/>
      <c r="V33" s="136"/>
      <c r="W33" s="136"/>
    </row>
    <row r="34" spans="1:23" ht="14.25" customHeight="1" thickBot="1" x14ac:dyDescent="0.3">
      <c r="A34" s="62"/>
      <c r="R34" s="143" t="s">
        <v>269</v>
      </c>
      <c r="S34" s="136"/>
      <c r="T34" s="130"/>
      <c r="U34" s="136"/>
      <c r="V34" s="136"/>
      <c r="W34" s="136"/>
    </row>
    <row r="35" spans="1:23" ht="14.25" customHeight="1" thickBot="1" x14ac:dyDescent="0.3">
      <c r="A35" s="62"/>
      <c r="B35" s="1681" t="s">
        <v>658</v>
      </c>
      <c r="C35" s="1681"/>
      <c r="D35" s="1681"/>
      <c r="E35" s="1681"/>
      <c r="F35" s="1681"/>
      <c r="G35" s="797"/>
      <c r="H35" s="797"/>
      <c r="I35" s="803"/>
      <c r="J35" s="803"/>
      <c r="K35" s="803"/>
      <c r="L35" s="803"/>
      <c r="R35" s="144" t="s">
        <v>249</v>
      </c>
      <c r="S35" s="990">
        <f>$L$5</f>
        <v>735.88828852975973</v>
      </c>
      <c r="T35" s="990">
        <f>SUM(L6:L14)</f>
        <v>39.141899946172032</v>
      </c>
      <c r="U35" s="990">
        <f>S35+T35+V35+W35</f>
        <v>789.23560739911954</v>
      </c>
      <c r="V35" s="990">
        <f>SUM(AT6:AT12)</f>
        <v>13.386418923187893</v>
      </c>
      <c r="W35" s="990">
        <f>L37</f>
        <v>0.81900000000000017</v>
      </c>
    </row>
    <row r="36" spans="1:23" ht="47.25"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62"/>
      <c r="B37" s="772" t="s">
        <v>686</v>
      </c>
      <c r="C37" s="773" t="s">
        <v>14</v>
      </c>
      <c r="D37" s="774">
        <v>7.0000000000000007E-2</v>
      </c>
      <c r="E37" s="772">
        <f>$AD$1</f>
        <v>169</v>
      </c>
      <c r="F37" s="772">
        <f>D37*E37</f>
        <v>11.830000000000002</v>
      </c>
      <c r="G37" s="796"/>
      <c r="H37" s="772">
        <f>F37</f>
        <v>11.830000000000002</v>
      </c>
      <c r="I37" s="772">
        <f>VLOOKUP(B37,All_Ingredients!$A$1:$F$156,6,FALSE())</f>
        <v>0.65</v>
      </c>
      <c r="J37" s="772">
        <f>VLOOKUP(B37,All_Ingredients!$A$1:$J$156,10,FALSE())</f>
        <v>45</v>
      </c>
      <c r="K37" s="772">
        <f>(H37/I37)/1000</f>
        <v>1.8200000000000004E-2</v>
      </c>
      <c r="L37" s="772">
        <f>K37*J37</f>
        <v>0.81900000000000017</v>
      </c>
    </row>
    <row r="38" spans="1:23" ht="14.25" customHeight="1" x14ac:dyDescent="0.25">
      <c r="A38" s="62"/>
      <c r="S38" s="407"/>
    </row>
    <row r="39" spans="1:23" x14ac:dyDescent="0.25">
      <c r="A39" s="62"/>
    </row>
    <row r="40" spans="1:23" ht="15.75" customHeight="1" x14ac:dyDescent="0.25">
      <c r="A40" s="62"/>
      <c r="Q40" s="14"/>
      <c r="R40" s="146" t="s">
        <v>270</v>
      </c>
      <c r="S40" s="217">
        <v>0.86960000000000004</v>
      </c>
      <c r="T40" s="146" t="s">
        <v>271</v>
      </c>
      <c r="U40" s="217">
        <v>0.13039999999999999</v>
      </c>
      <c r="V40" s="149">
        <f>S40+U40</f>
        <v>1</v>
      </c>
      <c r="W40" s="14"/>
    </row>
    <row r="41" spans="1:23" ht="14.25" customHeight="1" x14ac:dyDescent="0.25">
      <c r="A41" s="62"/>
      <c r="Q41" s="14"/>
      <c r="R41" s="14"/>
      <c r="S41" s="14"/>
      <c r="T41" s="14"/>
      <c r="U41" s="150"/>
      <c r="V41" s="14"/>
      <c r="W41" s="14"/>
    </row>
    <row r="42" spans="1:23" ht="14.25" customHeight="1" x14ac:dyDescent="0.25">
      <c r="A42" s="62"/>
      <c r="Q42" s="14"/>
      <c r="R42" s="14"/>
      <c r="S42" s="14"/>
      <c r="T42" s="14"/>
      <c r="U42" s="14"/>
      <c r="V42" s="14"/>
      <c r="W42" s="14"/>
    </row>
    <row r="43" spans="1:23" ht="14.25" customHeight="1" x14ac:dyDescent="0.25">
      <c r="A43" s="62"/>
      <c r="Q43" s="151" t="s">
        <v>272</v>
      </c>
      <c r="R43" s="151" t="s">
        <v>273</v>
      </c>
      <c r="S43" s="151" t="s">
        <v>274</v>
      </c>
      <c r="T43" s="151" t="s">
        <v>275</v>
      </c>
      <c r="U43" s="151" t="s">
        <v>276</v>
      </c>
      <c r="V43" s="151" t="s">
        <v>277</v>
      </c>
      <c r="W43" s="235" t="s">
        <v>974</v>
      </c>
    </row>
    <row r="44" spans="1:23" ht="14.25" customHeight="1" x14ac:dyDescent="0.25">
      <c r="A44" s="62"/>
      <c r="Q44" s="153">
        <v>76690</v>
      </c>
      <c r="R44" s="154">
        <f>D51</f>
        <v>10000</v>
      </c>
      <c r="S44" s="461">
        <v>1</v>
      </c>
      <c r="T44" s="219">
        <v>0</v>
      </c>
      <c r="U44" s="220">
        <f>R44*S44</f>
        <v>10000</v>
      </c>
      <c r="V44" s="157">
        <f>R44*T44</f>
        <v>0</v>
      </c>
      <c r="W44" s="237">
        <f>Q44-U44</f>
        <v>66690</v>
      </c>
    </row>
    <row r="45" spans="1:23" x14ac:dyDescent="0.25">
      <c r="A45" s="62"/>
    </row>
    <row r="46" spans="1:23" x14ac:dyDescent="0.25">
      <c r="A46" s="62"/>
    </row>
    <row r="47" spans="1:23" x14ac:dyDescent="0.25">
      <c r="A47" s="62"/>
    </row>
    <row r="48" spans="1:23" x14ac:dyDescent="0.25">
      <c r="A48" s="62"/>
    </row>
    <row r="49" spans="1:10" x14ac:dyDescent="0.25">
      <c r="A49" s="62"/>
    </row>
    <row r="50" spans="1:10" x14ac:dyDescent="0.25">
      <c r="A50" s="62"/>
      <c r="B50" s="253"/>
      <c r="C50" s="126" t="s">
        <v>233</v>
      </c>
      <c r="D50" s="126" t="s">
        <v>279</v>
      </c>
      <c r="E50" s="84"/>
      <c r="F50" s="84"/>
      <c r="G50" s="126" t="s">
        <v>280</v>
      </c>
      <c r="H50" s="126" t="s">
        <v>233</v>
      </c>
      <c r="I50" s="126" t="s">
        <v>281</v>
      </c>
      <c r="J50" s="126" t="s">
        <v>282</v>
      </c>
    </row>
    <row r="51" spans="1:10" x14ac:dyDescent="0.25">
      <c r="A51" s="62"/>
      <c r="B51" s="161" t="s">
        <v>283</v>
      </c>
      <c r="C51" s="162">
        <f>10/$K$1</f>
        <v>10</v>
      </c>
      <c r="D51" s="163">
        <f>$C$1*10</f>
        <v>10000</v>
      </c>
      <c r="E51" s="164"/>
      <c r="F51" s="84"/>
      <c r="G51" s="161" t="s">
        <v>283</v>
      </c>
      <c r="H51" s="254">
        <f>I51/$D$5</f>
        <v>10</v>
      </c>
      <c r="I51" s="162">
        <f>J51/$R$1</f>
        <v>113033.89830508475</v>
      </c>
      <c r="J51" s="162">
        <f>$W$44</f>
        <v>66690</v>
      </c>
    </row>
    <row r="52" spans="1:10" x14ac:dyDescent="0.25">
      <c r="A52" s="62"/>
      <c r="B52" s="209" t="s">
        <v>262</v>
      </c>
      <c r="C52" s="210">
        <f>$I$1</f>
        <v>3.2743439999999997</v>
      </c>
      <c r="D52" s="211">
        <f>$E$1</f>
        <v>3274.3439999999996</v>
      </c>
      <c r="E52" s="84"/>
      <c r="F52" s="84"/>
      <c r="G52" s="129" t="s">
        <v>262</v>
      </c>
      <c r="H52" s="190">
        <f>I52/$D$5</f>
        <v>3.2742024291497973</v>
      </c>
      <c r="I52" s="157">
        <f>J52/$R$1</f>
        <v>37009.586440677966</v>
      </c>
      <c r="J52" s="165">
        <f>$S$32</f>
        <v>21835.655999999999</v>
      </c>
    </row>
    <row r="53" spans="1:10" x14ac:dyDescent="0.25">
      <c r="A53" s="62"/>
      <c r="B53" s="209" t="s">
        <v>284</v>
      </c>
      <c r="C53" s="212">
        <f>MIN(C52, C51)</f>
        <v>3.2743439999999997</v>
      </c>
      <c r="D53" s="211">
        <f>(C53*$K$1)*$C$1</f>
        <v>3274.3439999999996</v>
      </c>
      <c r="E53" s="84"/>
      <c r="F53" s="84"/>
      <c r="G53" s="129" t="s">
        <v>284</v>
      </c>
      <c r="H53" s="168">
        <f>MIN(H52,H51)</f>
        <v>3.2742024291497973</v>
      </c>
      <c r="I53" s="157">
        <f>J53/$R$1</f>
        <v>37009.586440677966</v>
      </c>
      <c r="J53" s="157">
        <f>MIN(J52,J51)</f>
        <v>21835.655999999999</v>
      </c>
    </row>
    <row r="54" spans="1:10" x14ac:dyDescent="0.25">
      <c r="A54" s="6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62"/>
    </row>
    <row r="57" spans="1:10" x14ac:dyDescent="0.25">
      <c r="A57" s="62"/>
    </row>
    <row r="58" spans="1:10" x14ac:dyDescent="0.25">
      <c r="A58" s="62"/>
    </row>
    <row r="59" spans="1:10" x14ac:dyDescent="0.25">
      <c r="A59" s="62"/>
    </row>
    <row r="60" spans="1:10" x14ac:dyDescent="0.25">
      <c r="A60" s="62"/>
    </row>
    <row r="61" spans="1:10" x14ac:dyDescent="0.25">
      <c r="A61" s="62"/>
    </row>
    <row r="62" spans="1:10" ht="18" customHeight="1" x14ac:dyDescent="0.25">
      <c r="A62" s="1456"/>
      <c r="B62" s="1636" t="str">
        <f>"ستيك دجاج ميكس  1 / " &amp; COUNTIF($C$53:$C$55, "&gt;0")</f>
        <v>ستيك دجاج ميكس  1 / 1</v>
      </c>
      <c r="C62" s="1637"/>
      <c r="D62" s="1637"/>
      <c r="E62" s="1637"/>
      <c r="F62" s="1637"/>
      <c r="G62" s="1637"/>
      <c r="H62" s="1637"/>
    </row>
    <row r="63" spans="1:10" ht="18" customHeight="1" x14ac:dyDescent="0.25">
      <c r="A63" s="1456"/>
      <c r="B63" s="1634" t="str">
        <f>"Chicken Steak Mix 1 / " &amp; COUNTIF($C$53:$C$55, "&gt;0")</f>
        <v>Chicken Steak Mix 1 / 1</v>
      </c>
      <c r="C63" s="1635"/>
      <c r="D63" s="1635"/>
      <c r="E63" s="1635"/>
      <c r="F63" s="1635"/>
      <c r="G63" s="1635"/>
      <c r="H63" s="1635"/>
    </row>
    <row r="64" spans="1:10" ht="25.5" customHeight="1" x14ac:dyDescent="0.2">
      <c r="A64" s="1457"/>
      <c r="B64" s="221" t="s">
        <v>241</v>
      </c>
      <c r="C64" s="222" t="s">
        <v>242</v>
      </c>
      <c r="D64" s="223" t="s">
        <v>231</v>
      </c>
      <c r="E64" s="197" t="s">
        <v>234</v>
      </c>
      <c r="F64" s="197" t="s">
        <v>243</v>
      </c>
      <c r="G64" s="223" t="s">
        <v>244</v>
      </c>
      <c r="H64" s="197" t="s">
        <v>245</v>
      </c>
    </row>
    <row r="65" spans="1:8" ht="14.25" customHeight="1" x14ac:dyDescent="0.25">
      <c r="A65" s="1455"/>
      <c r="B65" s="271" t="str">
        <f t="shared" ref="B65:D74" si="14">B5</f>
        <v>Chicken - دجاج</v>
      </c>
      <c r="C65" s="271" t="str">
        <f t="shared" si="14"/>
        <v>gm</v>
      </c>
      <c r="D65" s="462">
        <f t="shared" si="14"/>
        <v>11303.389830508475</v>
      </c>
      <c r="E65" s="258">
        <f>H53</f>
        <v>3.2742024291497973</v>
      </c>
      <c r="F65" s="109">
        <f t="shared" ref="F65:F74" si="15">F5</f>
        <v>1</v>
      </c>
      <c r="G65" s="101">
        <f t="shared" ref="G65:G74" si="16">D65*E65</f>
        <v>37009.586440677966</v>
      </c>
      <c r="H65" s="102">
        <f t="shared" ref="H65:H74" si="17">G65*F65</f>
        <v>37009.586440677966</v>
      </c>
    </row>
    <row r="66" spans="1:8" ht="14.25" customHeight="1" x14ac:dyDescent="0.25">
      <c r="A66" s="1455"/>
      <c r="B66" s="271" t="str">
        <f t="shared" si="14"/>
        <v>Butter - زبدة</v>
      </c>
      <c r="C66" s="271" t="str">
        <f t="shared" si="14"/>
        <v>gm</v>
      </c>
      <c r="D66" s="271">
        <f t="shared" si="14"/>
        <v>40</v>
      </c>
      <c r="E66" s="258">
        <f>$C$53</f>
        <v>3.2743439999999997</v>
      </c>
      <c r="F66" s="109">
        <f t="shared" si="15"/>
        <v>1</v>
      </c>
      <c r="G66" s="101">
        <f t="shared" si="16"/>
        <v>130.97376</v>
      </c>
      <c r="H66" s="102">
        <f t="shared" si="17"/>
        <v>130.97376</v>
      </c>
    </row>
    <row r="67" spans="1:8" ht="14.25" customHeight="1" x14ac:dyDescent="0.25">
      <c r="A67" s="1455" t="s">
        <v>907</v>
      </c>
      <c r="B67" s="271" t="str">
        <f t="shared" si="14"/>
        <v>Garlic - ثوم مقشر</v>
      </c>
      <c r="C67" s="271" t="str">
        <f t="shared" si="14"/>
        <v>gm</v>
      </c>
      <c r="D67" s="271">
        <f t="shared" si="14"/>
        <v>40</v>
      </c>
      <c r="E67" s="258">
        <f t="shared" ref="E67:E74" si="18">$C$53</f>
        <v>3.2743439999999997</v>
      </c>
      <c r="F67" s="109">
        <f t="shared" si="15"/>
        <v>1</v>
      </c>
      <c r="G67" s="101">
        <f t="shared" si="16"/>
        <v>130.97376</v>
      </c>
      <c r="H67" s="102">
        <f t="shared" si="17"/>
        <v>130.97376</v>
      </c>
    </row>
    <row r="68" spans="1:8" ht="14.25" customHeight="1" x14ac:dyDescent="0.25">
      <c r="A68" s="1455"/>
      <c r="B68" s="271" t="str">
        <f t="shared" si="14"/>
        <v>Tomato Ketchup - كاتشب طماطم</v>
      </c>
      <c r="C68" s="271" t="str">
        <f t="shared" si="14"/>
        <v>ml</v>
      </c>
      <c r="D68" s="271">
        <f t="shared" si="14"/>
        <v>300</v>
      </c>
      <c r="E68" s="258">
        <f>$C$53</f>
        <v>3.2743439999999997</v>
      </c>
      <c r="F68" s="109">
        <f t="shared" si="15"/>
        <v>1</v>
      </c>
      <c r="G68" s="101">
        <f t="shared" si="16"/>
        <v>982.30319999999995</v>
      </c>
      <c r="H68" s="102">
        <f t="shared" si="17"/>
        <v>982.30319999999995</v>
      </c>
    </row>
    <row r="69" spans="1:8" ht="14.25" customHeight="1" x14ac:dyDescent="0.25">
      <c r="A69" s="1455"/>
      <c r="B69" s="271" t="str">
        <f t="shared" si="14"/>
        <v>Mustard - خردل</v>
      </c>
      <c r="C69" s="271" t="str">
        <f t="shared" si="14"/>
        <v>gm</v>
      </c>
      <c r="D69" s="271">
        <f t="shared" si="14"/>
        <v>90</v>
      </c>
      <c r="E69" s="258">
        <f t="shared" si="18"/>
        <v>3.2743439999999997</v>
      </c>
      <c r="F69" s="109">
        <f t="shared" si="15"/>
        <v>1</v>
      </c>
      <c r="G69" s="101">
        <f t="shared" si="16"/>
        <v>294.69095999999996</v>
      </c>
      <c r="H69" s="102">
        <f t="shared" si="17"/>
        <v>294.69095999999996</v>
      </c>
    </row>
    <row r="70" spans="1:8" ht="14.25" customHeight="1" x14ac:dyDescent="0.25">
      <c r="A70" s="1455"/>
      <c r="B70" s="271" t="str">
        <f t="shared" si="14"/>
        <v>Tomato Paste - صلصة طماطم</v>
      </c>
      <c r="C70" s="271" t="str">
        <f t="shared" si="14"/>
        <v>gm</v>
      </c>
      <c r="D70" s="271">
        <f t="shared" si="14"/>
        <v>90</v>
      </c>
      <c r="E70" s="258">
        <f t="shared" si="18"/>
        <v>3.2743439999999997</v>
      </c>
      <c r="F70" s="109">
        <f t="shared" si="15"/>
        <v>1</v>
      </c>
      <c r="G70" s="101">
        <f t="shared" si="16"/>
        <v>294.69095999999996</v>
      </c>
      <c r="H70" s="102">
        <f t="shared" si="17"/>
        <v>294.69095999999996</v>
      </c>
    </row>
    <row r="71" spans="1:8" ht="14.25" customHeight="1" x14ac:dyDescent="0.25">
      <c r="A71" s="1455"/>
      <c r="B71" s="271" t="str">
        <f t="shared" si="14"/>
        <v>Sriracha Sauce - صوص سريراتشا</v>
      </c>
      <c r="C71" s="271" t="str">
        <f t="shared" si="14"/>
        <v>ml</v>
      </c>
      <c r="D71" s="271">
        <f t="shared" si="14"/>
        <v>40</v>
      </c>
      <c r="E71" s="258">
        <f t="shared" si="18"/>
        <v>3.2743439999999997</v>
      </c>
      <c r="F71" s="109">
        <f t="shared" si="15"/>
        <v>1</v>
      </c>
      <c r="G71" s="101">
        <f t="shared" si="16"/>
        <v>130.97376</v>
      </c>
      <c r="H71" s="102">
        <f t="shared" si="17"/>
        <v>130.97376</v>
      </c>
    </row>
    <row r="72" spans="1:8" ht="14.25" customHeight="1" x14ac:dyDescent="0.25">
      <c r="A72" s="1455"/>
      <c r="B72" s="271" t="str">
        <f t="shared" si="14"/>
        <v>Dry Oregano - أوريجانو مجفف</v>
      </c>
      <c r="C72" s="271" t="str">
        <f t="shared" si="14"/>
        <v>gm</v>
      </c>
      <c r="D72" s="271">
        <f t="shared" si="14"/>
        <v>1</v>
      </c>
      <c r="E72" s="258">
        <f t="shared" si="18"/>
        <v>3.2743439999999997</v>
      </c>
      <c r="F72" s="109">
        <f t="shared" si="15"/>
        <v>1</v>
      </c>
      <c r="G72" s="101">
        <f t="shared" si="16"/>
        <v>3.2743439999999997</v>
      </c>
      <c r="H72" s="102">
        <f t="shared" si="17"/>
        <v>3.2743439999999997</v>
      </c>
    </row>
    <row r="73" spans="1:8" ht="14.25" customHeight="1" x14ac:dyDescent="0.25">
      <c r="A73" s="1455"/>
      <c r="B73" s="271" t="str">
        <f t="shared" si="14"/>
        <v>Corn Starch - نشا ذرة</v>
      </c>
      <c r="C73" s="271" t="str">
        <f t="shared" si="14"/>
        <v>gm</v>
      </c>
      <c r="D73" s="271">
        <f t="shared" si="14"/>
        <v>20</v>
      </c>
      <c r="E73" s="258">
        <f t="shared" si="18"/>
        <v>3.2743439999999997</v>
      </c>
      <c r="F73" s="109">
        <f t="shared" si="15"/>
        <v>1</v>
      </c>
      <c r="G73" s="101">
        <f t="shared" si="16"/>
        <v>65.486879999999999</v>
      </c>
      <c r="H73" s="102">
        <f t="shared" si="17"/>
        <v>65.486879999999999</v>
      </c>
    </row>
    <row r="74" spans="1:8" ht="14.25" customHeight="1" x14ac:dyDescent="0.25">
      <c r="A74" s="1455"/>
      <c r="B74" s="271" t="str">
        <f t="shared" si="14"/>
        <v>Cooking Cream - كريمة طبخ</v>
      </c>
      <c r="C74" s="271" t="str">
        <f t="shared" si="14"/>
        <v>ml</v>
      </c>
      <c r="D74" s="271">
        <f t="shared" si="14"/>
        <v>400</v>
      </c>
      <c r="E74" s="258">
        <f t="shared" si="18"/>
        <v>3.2743439999999997</v>
      </c>
      <c r="F74" s="109">
        <f t="shared" si="15"/>
        <v>1</v>
      </c>
      <c r="G74" s="101">
        <f t="shared" si="16"/>
        <v>1309.7375999999999</v>
      </c>
      <c r="H74" s="102">
        <f t="shared" si="17"/>
        <v>1309.7375999999999</v>
      </c>
    </row>
    <row r="75" spans="1:8" ht="20.25" customHeight="1" x14ac:dyDescent="0.25">
      <c r="A75" s="1458"/>
      <c r="B75" s="178" t="s">
        <v>287</v>
      </c>
      <c r="C75" s="180" t="s">
        <v>273</v>
      </c>
      <c r="D75" s="14"/>
      <c r="E75" s="180" t="s">
        <v>288</v>
      </c>
      <c r="F75" s="14"/>
      <c r="G75" s="804" t="s">
        <v>264</v>
      </c>
      <c r="H75" s="804" t="s">
        <v>673</v>
      </c>
    </row>
    <row r="76" spans="1:8" ht="28.5" customHeight="1" x14ac:dyDescent="0.3">
      <c r="A76" s="1458"/>
      <c r="B76" s="179">
        <f>$J$53</f>
        <v>21835.655999999999</v>
      </c>
      <c r="C76" s="179">
        <f>E76+G76</f>
        <v>3274.3439999999996</v>
      </c>
      <c r="D76" s="839"/>
      <c r="E76" s="179">
        <f>$D$53*$S$44</f>
        <v>3274.3439999999996</v>
      </c>
      <c r="F76" s="843"/>
      <c r="G76" s="179">
        <f>$D$53*$T$44</f>
        <v>0</v>
      </c>
      <c r="H76" s="179">
        <f>B76+E76</f>
        <v>25110</v>
      </c>
    </row>
    <row r="77" spans="1:8" x14ac:dyDescent="0.25">
      <c r="A77" s="62"/>
      <c r="C77" s="839"/>
      <c r="D77" s="839"/>
      <c r="E77" s="839"/>
      <c r="F77" s="839"/>
      <c r="G77" s="839"/>
      <c r="H77" s="839"/>
    </row>
    <row r="78" spans="1:8" ht="18" customHeight="1" x14ac:dyDescent="0.25">
      <c r="A78" s="1479"/>
      <c r="B78" s="1636" t="str">
        <f>"ستيك دجاج ميكس 2 / " &amp; COUNTIF($C$53:$C$55, "&gt;0")</f>
        <v>ستيك دجاج ميكس 2 / 1</v>
      </c>
      <c r="C78" s="1633"/>
      <c r="D78" s="1633"/>
      <c r="E78" s="1633"/>
      <c r="F78" s="1633"/>
      <c r="G78" s="1633"/>
      <c r="H78" s="1633"/>
    </row>
    <row r="79" spans="1:8" ht="18" customHeight="1" x14ac:dyDescent="0.25">
      <c r="A79" s="1479"/>
      <c r="B79" s="1634" t="str">
        <f>"Chicken Steak 2 / " &amp; COUNTIF($C$53:$C$55, "&gt;0")</f>
        <v>Chicken Steak 2 / 1</v>
      </c>
      <c r="C79" s="1639"/>
      <c r="D79" s="1639"/>
      <c r="E79" s="1639"/>
      <c r="F79" s="1639"/>
      <c r="G79" s="1639"/>
      <c r="H79" s="1639"/>
    </row>
    <row r="80" spans="1:8" ht="25.5" customHeight="1" x14ac:dyDescent="0.2">
      <c r="A80" s="1457"/>
      <c r="B80" s="221" t="s">
        <v>241</v>
      </c>
      <c r="C80" s="222" t="s">
        <v>242</v>
      </c>
      <c r="D80" s="223" t="s">
        <v>231</v>
      </c>
      <c r="E80" s="197" t="s">
        <v>234</v>
      </c>
      <c r="F80" s="197" t="s">
        <v>243</v>
      </c>
      <c r="G80" s="223" t="s">
        <v>244</v>
      </c>
      <c r="H80" s="197" t="s">
        <v>245</v>
      </c>
    </row>
    <row r="81" spans="1:9" ht="14.25" customHeight="1" x14ac:dyDescent="0.25">
      <c r="A81" s="1455"/>
      <c r="B81" s="271" t="str">
        <f t="shared" ref="B81:D90" si="19">B5</f>
        <v>Chicken - دجاج</v>
      </c>
      <c r="C81" s="271" t="str">
        <f t="shared" si="19"/>
        <v>gm</v>
      </c>
      <c r="D81" s="387">
        <f t="shared" si="19"/>
        <v>11303.389830508475</v>
      </c>
      <c r="E81" s="177">
        <f>H54</f>
        <v>0</v>
      </c>
      <c r="F81" s="109">
        <f t="shared" ref="F81:F90" si="20">F5</f>
        <v>1</v>
      </c>
      <c r="G81" s="101">
        <f t="shared" ref="G81:G90" si="21">D81*E81</f>
        <v>0</v>
      </c>
      <c r="H81" s="102">
        <f t="shared" ref="H81:H90" si="22">G81*F81</f>
        <v>0</v>
      </c>
    </row>
    <row r="82" spans="1:9" ht="14.25" customHeight="1" x14ac:dyDescent="0.25">
      <c r="A82" s="1455"/>
      <c r="B82" s="271" t="str">
        <f t="shared" si="19"/>
        <v>Butter - زبدة</v>
      </c>
      <c r="C82" s="271" t="str">
        <f t="shared" si="19"/>
        <v>gm</v>
      </c>
      <c r="D82" s="271">
        <f t="shared" si="19"/>
        <v>40</v>
      </c>
      <c r="E82" s="177">
        <f t="shared" ref="E82:E90" si="23">$C$54</f>
        <v>0</v>
      </c>
      <c r="F82" s="109">
        <f t="shared" si="20"/>
        <v>1</v>
      </c>
      <c r="G82" s="101">
        <f t="shared" si="21"/>
        <v>0</v>
      </c>
      <c r="H82" s="102">
        <f t="shared" si="22"/>
        <v>0</v>
      </c>
    </row>
    <row r="83" spans="1:9" ht="14.25" customHeight="1" x14ac:dyDescent="0.25">
      <c r="A83" s="1455" t="s">
        <v>907</v>
      </c>
      <c r="B83" s="271" t="str">
        <f t="shared" si="19"/>
        <v>Garlic - ثوم مقشر</v>
      </c>
      <c r="C83" s="271" t="str">
        <f t="shared" si="19"/>
        <v>gm</v>
      </c>
      <c r="D83" s="271">
        <f t="shared" si="19"/>
        <v>40</v>
      </c>
      <c r="E83" s="177">
        <f t="shared" si="23"/>
        <v>0</v>
      </c>
      <c r="F83" s="109">
        <f t="shared" si="20"/>
        <v>1</v>
      </c>
      <c r="G83" s="101">
        <f t="shared" si="21"/>
        <v>0</v>
      </c>
      <c r="H83" s="102">
        <f t="shared" si="22"/>
        <v>0</v>
      </c>
    </row>
    <row r="84" spans="1:9" ht="14.25" customHeight="1" x14ac:dyDescent="0.25">
      <c r="A84" s="1455"/>
      <c r="B84" s="271" t="str">
        <f t="shared" si="19"/>
        <v>Tomato Ketchup - كاتشب طماطم</v>
      </c>
      <c r="C84" s="271" t="str">
        <f t="shared" si="19"/>
        <v>ml</v>
      </c>
      <c r="D84" s="271">
        <f t="shared" si="19"/>
        <v>300</v>
      </c>
      <c r="E84" s="177">
        <f t="shared" si="23"/>
        <v>0</v>
      </c>
      <c r="F84" s="109">
        <f t="shared" si="20"/>
        <v>1</v>
      </c>
      <c r="G84" s="101">
        <f t="shared" si="21"/>
        <v>0</v>
      </c>
      <c r="H84" s="102">
        <f t="shared" si="22"/>
        <v>0</v>
      </c>
    </row>
    <row r="85" spans="1:9" ht="14.25" customHeight="1" x14ac:dyDescent="0.25">
      <c r="A85" s="1455"/>
      <c r="B85" s="271" t="str">
        <f t="shared" si="19"/>
        <v>Mustard - خردل</v>
      </c>
      <c r="C85" s="271" t="str">
        <f t="shared" si="19"/>
        <v>gm</v>
      </c>
      <c r="D85" s="271">
        <f t="shared" si="19"/>
        <v>90</v>
      </c>
      <c r="E85" s="177">
        <f t="shared" si="23"/>
        <v>0</v>
      </c>
      <c r="F85" s="109">
        <f t="shared" si="20"/>
        <v>1</v>
      </c>
      <c r="G85" s="101">
        <f t="shared" si="21"/>
        <v>0</v>
      </c>
      <c r="H85" s="102">
        <f t="shared" si="22"/>
        <v>0</v>
      </c>
    </row>
    <row r="86" spans="1:9" ht="14.25" customHeight="1" x14ac:dyDescent="0.25">
      <c r="A86" s="1455"/>
      <c r="B86" s="271" t="str">
        <f t="shared" si="19"/>
        <v>Tomato Paste - صلصة طماطم</v>
      </c>
      <c r="C86" s="271" t="str">
        <f t="shared" si="19"/>
        <v>gm</v>
      </c>
      <c r="D86" s="271">
        <f t="shared" si="19"/>
        <v>90</v>
      </c>
      <c r="E86" s="177">
        <f t="shared" si="23"/>
        <v>0</v>
      </c>
      <c r="F86" s="109">
        <f t="shared" si="20"/>
        <v>1</v>
      </c>
      <c r="G86" s="101">
        <f t="shared" si="21"/>
        <v>0</v>
      </c>
      <c r="H86" s="102">
        <f t="shared" si="22"/>
        <v>0</v>
      </c>
    </row>
    <row r="87" spans="1:9" ht="14.25" customHeight="1" x14ac:dyDescent="0.25">
      <c r="A87" s="1455"/>
      <c r="B87" s="271" t="str">
        <f t="shared" si="19"/>
        <v>Sriracha Sauce - صوص سريراتشا</v>
      </c>
      <c r="C87" s="271" t="str">
        <f t="shared" si="19"/>
        <v>ml</v>
      </c>
      <c r="D87" s="271">
        <f t="shared" si="19"/>
        <v>40</v>
      </c>
      <c r="E87" s="177">
        <f t="shared" si="23"/>
        <v>0</v>
      </c>
      <c r="F87" s="109">
        <f t="shared" si="20"/>
        <v>1</v>
      </c>
      <c r="G87" s="101">
        <f t="shared" si="21"/>
        <v>0</v>
      </c>
      <c r="H87" s="102">
        <f t="shared" si="22"/>
        <v>0</v>
      </c>
    </row>
    <row r="88" spans="1:9" ht="14.25" customHeight="1" x14ac:dyDescent="0.25">
      <c r="A88" s="1455"/>
      <c r="B88" s="271" t="str">
        <f t="shared" si="19"/>
        <v>Dry Oregano - أوريجانو مجفف</v>
      </c>
      <c r="C88" s="271" t="str">
        <f t="shared" si="19"/>
        <v>gm</v>
      </c>
      <c r="D88" s="271">
        <f t="shared" si="19"/>
        <v>1</v>
      </c>
      <c r="E88" s="177">
        <f t="shared" si="23"/>
        <v>0</v>
      </c>
      <c r="F88" s="109">
        <f t="shared" si="20"/>
        <v>1</v>
      </c>
      <c r="G88" s="101">
        <f t="shared" si="21"/>
        <v>0</v>
      </c>
      <c r="H88" s="102">
        <f t="shared" si="22"/>
        <v>0</v>
      </c>
    </row>
    <row r="89" spans="1:9" ht="14.25" customHeight="1" x14ac:dyDescent="0.25">
      <c r="A89" s="1455"/>
      <c r="B89" s="271" t="str">
        <f t="shared" si="19"/>
        <v>Corn Starch - نشا ذرة</v>
      </c>
      <c r="C89" s="271" t="str">
        <f t="shared" si="19"/>
        <v>gm</v>
      </c>
      <c r="D89" s="271">
        <f t="shared" si="19"/>
        <v>20</v>
      </c>
      <c r="E89" s="177">
        <f t="shared" si="23"/>
        <v>0</v>
      </c>
      <c r="F89" s="109">
        <f t="shared" si="20"/>
        <v>1</v>
      </c>
      <c r="G89" s="101">
        <f t="shared" si="21"/>
        <v>0</v>
      </c>
      <c r="H89" s="102">
        <f t="shared" si="22"/>
        <v>0</v>
      </c>
    </row>
    <row r="90" spans="1:9" ht="14.25" customHeight="1" x14ac:dyDescent="0.25">
      <c r="A90" s="1455"/>
      <c r="B90" s="271" t="str">
        <f t="shared" si="19"/>
        <v>Cooking Cream - كريمة طبخ</v>
      </c>
      <c r="C90" s="271" t="str">
        <f t="shared" si="19"/>
        <v>ml</v>
      </c>
      <c r="D90" s="271">
        <f t="shared" si="19"/>
        <v>400</v>
      </c>
      <c r="E90" s="177">
        <f t="shared" si="23"/>
        <v>0</v>
      </c>
      <c r="F90" s="109">
        <f t="shared" si="20"/>
        <v>1</v>
      </c>
      <c r="G90" s="101">
        <f t="shared" si="21"/>
        <v>0</v>
      </c>
      <c r="H90" s="102">
        <f t="shared" si="22"/>
        <v>0</v>
      </c>
    </row>
    <row r="91" spans="1:9" ht="20.25" customHeight="1" x14ac:dyDescent="0.25">
      <c r="A91" s="1458"/>
      <c r="B91" s="178" t="s">
        <v>287</v>
      </c>
      <c r="C91" s="180" t="s">
        <v>273</v>
      </c>
      <c r="D91" s="14"/>
      <c r="E91" s="180" t="s">
        <v>288</v>
      </c>
      <c r="F91" s="14"/>
      <c r="G91" s="804" t="s">
        <v>264</v>
      </c>
      <c r="H91" s="804" t="s">
        <v>673</v>
      </c>
      <c r="I91" s="184"/>
    </row>
    <row r="92" spans="1:9" ht="20.25" x14ac:dyDescent="0.3">
      <c r="A92" s="1458"/>
      <c r="B92" s="179">
        <f>$J$54</f>
        <v>0</v>
      </c>
      <c r="C92" s="179">
        <f>E92+G92</f>
        <v>0</v>
      </c>
      <c r="D92" s="839"/>
      <c r="E92" s="179">
        <f>$D$54*$S$44</f>
        <v>0</v>
      </c>
      <c r="F92" s="843"/>
      <c r="G92" s="179">
        <f>$D$54*$T$44</f>
        <v>0</v>
      </c>
      <c r="H92" s="179">
        <f>B92+E92</f>
        <v>0</v>
      </c>
    </row>
    <row r="93" spans="1:9" x14ac:dyDescent="0.25">
      <c r="A93" s="62"/>
      <c r="C93" s="839"/>
      <c r="D93" s="839"/>
      <c r="E93" s="839"/>
      <c r="F93" s="839"/>
      <c r="G93" s="839"/>
      <c r="H93" s="839"/>
    </row>
    <row r="94" spans="1:9" x14ac:dyDescent="0.25">
      <c r="A94" s="62"/>
    </row>
    <row r="95" spans="1:9" x14ac:dyDescent="0.25">
      <c r="A95" s="62"/>
    </row>
    <row r="96" spans="1:9" x14ac:dyDescent="0.25">
      <c r="A96" s="62"/>
    </row>
    <row r="97" spans="1:1" x14ac:dyDescent="0.25">
      <c r="A97" s="62"/>
    </row>
    <row r="98" spans="1:1" x14ac:dyDescent="0.25">
      <c r="A98" s="62"/>
    </row>
    <row r="99" spans="1:1" x14ac:dyDescent="0.25">
      <c r="A99" s="62"/>
    </row>
    <row r="100" spans="1:1" x14ac:dyDescent="0.25">
      <c r="A100" s="62"/>
    </row>
    <row r="101" spans="1:1" x14ac:dyDescent="0.25">
      <c r="A101" s="62"/>
    </row>
    <row r="102" spans="1:1" x14ac:dyDescent="0.25">
      <c r="A102" s="62"/>
    </row>
    <row r="103" spans="1:1" x14ac:dyDescent="0.25">
      <c r="A103" s="62"/>
    </row>
    <row r="104" spans="1:1" x14ac:dyDescent="0.25">
      <c r="A104" s="62"/>
    </row>
    <row r="105" spans="1:1" x14ac:dyDescent="0.25">
      <c r="A105" s="62"/>
    </row>
    <row r="106" spans="1:1" x14ac:dyDescent="0.25">
      <c r="A106" s="62"/>
    </row>
    <row r="107" spans="1:1" x14ac:dyDescent="0.25">
      <c r="A107" s="62"/>
    </row>
    <row r="108" spans="1:1" x14ac:dyDescent="0.25">
      <c r="A108" s="62"/>
    </row>
    <row r="109" spans="1:1" x14ac:dyDescent="0.25">
      <c r="A109" s="62"/>
    </row>
    <row r="110" spans="1:1" x14ac:dyDescent="0.25">
      <c r="A110" s="62"/>
    </row>
    <row r="111" spans="1:1" x14ac:dyDescent="0.25">
      <c r="A111" s="62"/>
    </row>
    <row r="112" spans="1:1"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1">
    <mergeCell ref="AK2:AM2"/>
    <mergeCell ref="B2:J3"/>
    <mergeCell ref="AE2:AG3"/>
    <mergeCell ref="B79:H79"/>
    <mergeCell ref="R26:U26"/>
    <mergeCell ref="R25:U25"/>
    <mergeCell ref="B62:H62"/>
    <mergeCell ref="B78:H78"/>
    <mergeCell ref="K2:K3"/>
    <mergeCell ref="B63:H63"/>
    <mergeCell ref="B35:F35"/>
  </mergeCells>
  <printOptions horizontalCentered="1"/>
  <pageMargins left="0.4" right="0.4" top="1" bottom="0.5" header="0.3" footer="0.511811023622047"/>
  <pageSetup paperSize="9" scale="48" orientation="landscape"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rgb="FF7C7C7C"/>
    <pageSetUpPr fitToPage="1"/>
  </sheetPr>
  <dimension ref="A1:AG174"/>
  <sheetViews>
    <sheetView topLeftCell="A21" zoomScaleNormal="100" workbookViewId="0">
      <selection activeCell="U58" sqref="U58"/>
    </sheetView>
  </sheetViews>
  <sheetFormatPr defaultColWidth="12.5" defaultRowHeight="15" x14ac:dyDescent="0.25"/>
  <cols>
    <col min="1" max="1" width="12.5" style="1" customWidth="1"/>
    <col min="2" max="2" width="22.625" customWidth="1"/>
    <col min="3" max="3" width="23.875" customWidth="1"/>
    <col min="4" max="4" width="19" customWidth="1"/>
    <col min="5" max="5" width="16.125" customWidth="1"/>
    <col min="6" max="6" width="23.125" customWidth="1"/>
    <col min="7" max="7" width="25.125" customWidth="1"/>
    <col min="8" max="8" width="36.125" customWidth="1"/>
    <col min="9" max="9" width="14.875" customWidth="1"/>
    <col min="12" max="12" width="8.375" customWidth="1"/>
    <col min="13" max="14" width="5.75" customWidth="1"/>
    <col min="18" max="18" width="30.5" customWidth="1"/>
    <col min="19" max="19" width="21.125" customWidth="1"/>
  </cols>
  <sheetData>
    <row r="1" spans="1:33" ht="54" customHeight="1" x14ac:dyDescent="0.25">
      <c r="B1" s="64" t="s">
        <v>231</v>
      </c>
      <c r="C1" s="65">
        <v>1000</v>
      </c>
      <c r="D1" s="66" t="s">
        <v>232</v>
      </c>
      <c r="E1" s="99">
        <f>S31</f>
        <v>8703.3333333333321</v>
      </c>
      <c r="F1" s="64" t="s">
        <v>233</v>
      </c>
      <c r="G1" s="227">
        <f>E1/C1</f>
        <v>8.7033333333333314</v>
      </c>
      <c r="H1" s="64" t="s">
        <v>234</v>
      </c>
      <c r="I1" s="227">
        <f>(G1/K1)</f>
        <v>8.7033333333333314</v>
      </c>
      <c r="J1" s="70" t="s">
        <v>235</v>
      </c>
      <c r="K1" s="227">
        <v>1</v>
      </c>
      <c r="L1" s="84"/>
      <c r="M1" s="73"/>
      <c r="N1" s="74"/>
      <c r="O1" s="75" t="s">
        <v>236</v>
      </c>
      <c r="P1" s="76" t="s">
        <v>237</v>
      </c>
      <c r="Q1" s="77" t="s">
        <v>238</v>
      </c>
      <c r="R1" s="76">
        <v>0.59</v>
      </c>
      <c r="Y1" s="75" t="s">
        <v>453</v>
      </c>
      <c r="Z1" s="766">
        <v>24610</v>
      </c>
      <c r="AA1" s="75" t="s">
        <v>556</v>
      </c>
      <c r="AB1" s="766">
        <v>500</v>
      </c>
      <c r="AC1" s="75" t="s">
        <v>546</v>
      </c>
      <c r="AD1" s="766">
        <v>169</v>
      </c>
    </row>
    <row r="2" spans="1:33" ht="12.75" customHeight="1" x14ac:dyDescent="0.25">
      <c r="A2" s="242"/>
      <c r="B2" s="1715" t="s">
        <v>92</v>
      </c>
      <c r="C2" s="1653"/>
      <c r="D2" s="1653"/>
      <c r="E2" s="1653"/>
      <c r="F2" s="1653"/>
      <c r="G2" s="1653"/>
      <c r="H2" s="1653"/>
      <c r="I2" s="1653"/>
      <c r="J2" s="1653"/>
      <c r="K2" s="1645"/>
      <c r="L2" s="270"/>
      <c r="M2" s="84"/>
      <c r="N2" s="84"/>
      <c r="O2" s="84"/>
      <c r="P2" s="84"/>
      <c r="Q2" s="84"/>
      <c r="R2" s="84"/>
      <c r="AE2" s="1616"/>
      <c r="AF2" s="1653"/>
      <c r="AG2" s="1653"/>
    </row>
    <row r="3" spans="1:33" ht="12.75" customHeight="1" x14ac:dyDescent="0.25">
      <c r="A3" s="242"/>
      <c r="B3" s="1633"/>
      <c r="C3" s="1633"/>
      <c r="D3" s="1633"/>
      <c r="E3" s="1633"/>
      <c r="F3" s="1633"/>
      <c r="G3" s="1633"/>
      <c r="H3" s="1633"/>
      <c r="I3" s="1633"/>
      <c r="J3" s="1633"/>
      <c r="K3" s="1633"/>
      <c r="L3" s="270"/>
      <c r="M3" s="84"/>
      <c r="N3" s="84"/>
      <c r="O3" s="84"/>
      <c r="P3" s="84"/>
      <c r="Q3" s="84"/>
      <c r="R3" s="84"/>
      <c r="AE3" s="1653"/>
      <c r="AF3" s="1653"/>
      <c r="AG3" s="1653"/>
    </row>
    <row r="4" spans="1:33" ht="35.25"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c r="P4" s="84"/>
    </row>
    <row r="5" spans="1:33" ht="14.25" customHeight="1" x14ac:dyDescent="0.25">
      <c r="A5" s="1455"/>
      <c r="B5" s="200" t="s">
        <v>159</v>
      </c>
      <c r="C5" s="106" t="s">
        <v>160</v>
      </c>
      <c r="D5" s="107">
        <v>550</v>
      </c>
      <c r="E5" s="201">
        <f t="shared" ref="E5:E12" si="0">$I$1</f>
        <v>8.7033333333333314</v>
      </c>
      <c r="F5" s="109">
        <v>1</v>
      </c>
      <c r="G5" s="101">
        <f t="shared" ref="G5:G12" si="1">D5*E5</f>
        <v>4786.8333333333321</v>
      </c>
      <c r="H5" s="102">
        <f t="shared" ref="H5:H12" si="2">G5*F5</f>
        <v>4786.8333333333321</v>
      </c>
      <c r="I5" s="65">
        <f>VLOOKUP(B5,All_Ingredients!$A$1:$F$156,6,FALSE())</f>
        <v>1</v>
      </c>
      <c r="J5" s="101">
        <f>VLOOKUP(B5,All_Ingredients!$A$1:$J$156,10,FALSE())</f>
        <v>4.2033333333333331</v>
      </c>
      <c r="K5" s="104">
        <f t="shared" ref="K5" si="3">(H5/I5)/1000</f>
        <v>4.7868333333333322</v>
      </c>
      <c r="L5" s="104">
        <f t="shared" ref="L5" si="4">K5*J5</f>
        <v>20.120656111111106</v>
      </c>
      <c r="M5" s="84"/>
      <c r="N5" s="84"/>
      <c r="O5" s="84"/>
      <c r="P5" s="84"/>
    </row>
    <row r="6" spans="1:33" ht="14.25" customHeight="1" x14ac:dyDescent="0.25">
      <c r="A6" s="1455"/>
      <c r="B6" s="200" t="s">
        <v>166</v>
      </c>
      <c r="C6" s="106" t="s">
        <v>160</v>
      </c>
      <c r="D6" s="107">
        <v>550</v>
      </c>
      <c r="E6" s="201">
        <f t="shared" si="0"/>
        <v>8.7033333333333314</v>
      </c>
      <c r="F6" s="109">
        <v>1</v>
      </c>
      <c r="G6" s="101">
        <f t="shared" si="1"/>
        <v>4786.8333333333321</v>
      </c>
      <c r="H6" s="102">
        <f t="shared" si="2"/>
        <v>4786.8333333333321</v>
      </c>
      <c r="I6" s="65">
        <f>VLOOKUP(B6,All_Ingredients!$A$1:$F$156,6,FALSE())</f>
        <v>1</v>
      </c>
      <c r="J6" s="101">
        <f>VLOOKUP(B6,All_Ingredients!$A$1:$J$156,10,FALSE())</f>
        <v>12.666666666666666</v>
      </c>
      <c r="K6" s="104">
        <f t="shared" ref="K6:K12" si="5">(H6/I6)/1000</f>
        <v>4.7868333333333322</v>
      </c>
      <c r="L6" s="104">
        <f t="shared" ref="L6:L12" si="6">K6*J6</f>
        <v>60.633222222222201</v>
      </c>
    </row>
    <row r="7" spans="1:33" ht="14.25" customHeight="1" x14ac:dyDescent="0.25">
      <c r="A7" s="1455"/>
      <c r="B7" s="200" t="s">
        <v>152</v>
      </c>
      <c r="C7" s="106" t="s">
        <v>14</v>
      </c>
      <c r="D7" s="107">
        <v>30</v>
      </c>
      <c r="E7" s="201">
        <f t="shared" si="0"/>
        <v>8.7033333333333314</v>
      </c>
      <c r="F7" s="109">
        <v>1</v>
      </c>
      <c r="G7" s="101">
        <f t="shared" si="1"/>
        <v>261.09999999999997</v>
      </c>
      <c r="H7" s="102">
        <f t="shared" si="2"/>
        <v>261.09999999999997</v>
      </c>
      <c r="I7" s="65">
        <f>VLOOKUP(B7,All_Ingredients!$A$1:$F$156,6,FALSE())</f>
        <v>1</v>
      </c>
      <c r="J7" s="101">
        <f>VLOOKUP(B7,All_Ingredients!$A$1:$J$156,10,FALSE())</f>
        <v>30</v>
      </c>
      <c r="K7" s="104">
        <f t="shared" si="5"/>
        <v>0.26109999999999994</v>
      </c>
      <c r="L7" s="104">
        <f t="shared" si="6"/>
        <v>7.8329999999999984</v>
      </c>
    </row>
    <row r="8" spans="1:33" ht="14.25" customHeight="1" x14ac:dyDescent="0.25">
      <c r="A8" s="1455"/>
      <c r="B8" s="200" t="s">
        <v>185</v>
      </c>
      <c r="C8" s="106" t="s">
        <v>14</v>
      </c>
      <c r="D8" s="107">
        <v>20</v>
      </c>
      <c r="E8" s="201">
        <f t="shared" si="0"/>
        <v>8.7033333333333314</v>
      </c>
      <c r="F8" s="109">
        <v>1</v>
      </c>
      <c r="G8" s="101">
        <f t="shared" si="1"/>
        <v>174.06666666666663</v>
      </c>
      <c r="H8" s="102">
        <f t="shared" si="2"/>
        <v>174.06666666666663</v>
      </c>
      <c r="I8" s="65">
        <f>VLOOKUP(B8,All_Ingredients!$A$1:$F$156,6,FALSE())</f>
        <v>1</v>
      </c>
      <c r="J8" s="101">
        <f>VLOOKUP(B8,All_Ingredients!$A$1:$J$156,10,FALSE())</f>
        <v>1.7</v>
      </c>
      <c r="K8" s="104">
        <f t="shared" si="5"/>
        <v>0.17406666666666665</v>
      </c>
      <c r="L8" s="104">
        <f t="shared" si="6"/>
        <v>0.29591333333333331</v>
      </c>
    </row>
    <row r="9" spans="1:33" ht="14.25" customHeight="1" x14ac:dyDescent="0.25">
      <c r="A9" s="1455"/>
      <c r="B9" s="200" t="s">
        <v>139</v>
      </c>
      <c r="C9" s="106" t="s">
        <v>14</v>
      </c>
      <c r="D9" s="107">
        <v>18</v>
      </c>
      <c r="E9" s="201">
        <f t="shared" si="0"/>
        <v>8.7033333333333314</v>
      </c>
      <c r="F9" s="109">
        <v>0.75</v>
      </c>
      <c r="G9" s="101">
        <f t="shared" si="1"/>
        <v>156.65999999999997</v>
      </c>
      <c r="H9" s="102">
        <f t="shared" si="2"/>
        <v>117.49499999999998</v>
      </c>
      <c r="I9" s="65">
        <f>VLOOKUP(B9,All_Ingredients!$A$1:$F$156,6,FALSE())</f>
        <v>1</v>
      </c>
      <c r="J9" s="101">
        <f>VLOOKUP(B9,All_Ingredients!$A$1:$J$156,10,FALSE())</f>
        <v>15.277777777777779</v>
      </c>
      <c r="K9" s="104">
        <f t="shared" si="5"/>
        <v>0.11749499999999997</v>
      </c>
      <c r="L9" s="104">
        <f t="shared" si="6"/>
        <v>1.7950624999999998</v>
      </c>
    </row>
    <row r="10" spans="1:33" ht="14.25" customHeight="1" x14ac:dyDescent="0.25">
      <c r="A10" s="1455"/>
      <c r="B10" s="200" t="s">
        <v>101</v>
      </c>
      <c r="C10" s="106" t="s">
        <v>14</v>
      </c>
      <c r="D10" s="107">
        <v>5</v>
      </c>
      <c r="E10" s="201">
        <f t="shared" si="0"/>
        <v>8.7033333333333314</v>
      </c>
      <c r="F10" s="109">
        <v>0.75</v>
      </c>
      <c r="G10" s="101">
        <f t="shared" si="1"/>
        <v>43.516666666666659</v>
      </c>
      <c r="H10" s="102">
        <f t="shared" si="2"/>
        <v>32.637499999999996</v>
      </c>
      <c r="I10" s="65">
        <f>VLOOKUP(B10,All_Ingredients!$A$1:$F$156,6,FALSE())</f>
        <v>1</v>
      </c>
      <c r="J10" s="101">
        <f>VLOOKUP(B10,All_Ingredients!$A$1:$J$156,10,FALSE())</f>
        <v>47</v>
      </c>
      <c r="K10" s="104">
        <f t="shared" si="5"/>
        <v>3.2637499999999993E-2</v>
      </c>
      <c r="L10" s="104">
        <f t="shared" si="6"/>
        <v>1.5339624999999997</v>
      </c>
    </row>
    <row r="11" spans="1:33" ht="14.25" customHeight="1" x14ac:dyDescent="0.25">
      <c r="A11" s="1455"/>
      <c r="B11" s="200" t="s">
        <v>93</v>
      </c>
      <c r="C11" s="106" t="s">
        <v>14</v>
      </c>
      <c r="D11" s="107">
        <v>4</v>
      </c>
      <c r="E11" s="201">
        <f t="shared" si="0"/>
        <v>8.7033333333333314</v>
      </c>
      <c r="F11" s="109">
        <v>0.75</v>
      </c>
      <c r="G11" s="101">
        <f t="shared" si="1"/>
        <v>34.813333333333325</v>
      </c>
      <c r="H11" s="102">
        <f t="shared" si="2"/>
        <v>26.109999999999992</v>
      </c>
      <c r="I11" s="65">
        <f>VLOOKUP(B11,All_Ingredients!$A$1:$F$156,6,FALSE())</f>
        <v>1</v>
      </c>
      <c r="J11" s="101">
        <f>VLOOKUP(B11,All_Ingredients!$A$1:$J$156,10,FALSE())</f>
        <v>0.74</v>
      </c>
      <c r="K11" s="104">
        <f t="shared" si="5"/>
        <v>2.6109999999999991E-2</v>
      </c>
      <c r="L11" s="104">
        <f t="shared" si="6"/>
        <v>1.9321399999999992E-2</v>
      </c>
    </row>
    <row r="12" spans="1:33" ht="14.25" customHeight="1" x14ac:dyDescent="0.25">
      <c r="A12" s="1455"/>
      <c r="B12" s="244" t="s">
        <v>12</v>
      </c>
      <c r="C12" s="106" t="s">
        <v>14</v>
      </c>
      <c r="D12" s="107">
        <v>30</v>
      </c>
      <c r="E12" s="201">
        <f t="shared" si="0"/>
        <v>8.7033333333333314</v>
      </c>
      <c r="F12" s="109">
        <v>0.95</v>
      </c>
      <c r="G12" s="101">
        <f t="shared" si="1"/>
        <v>261.09999999999997</v>
      </c>
      <c r="H12" s="102">
        <f t="shared" si="2"/>
        <v>248.04499999999996</v>
      </c>
      <c r="I12" s="65">
        <f>VLOOKUP(B12,All_Ingredients!$A$1:$F$156,6,FALSE())</f>
        <v>0.9</v>
      </c>
      <c r="J12" s="101">
        <f>VLOOKUP(B12,All_Ingredients!$A$1:$J$156,10,FALSE())</f>
        <v>3</v>
      </c>
      <c r="K12" s="104">
        <f t="shared" si="5"/>
        <v>0.27560555555555549</v>
      </c>
      <c r="L12" s="104">
        <f t="shared" si="6"/>
        <v>0.82681666666666653</v>
      </c>
    </row>
    <row r="13" spans="1:33" x14ac:dyDescent="0.25">
      <c r="A13" s="62"/>
    </row>
    <row r="14" spans="1:33" x14ac:dyDescent="0.25">
      <c r="A14" s="62"/>
    </row>
    <row r="15" spans="1:33" x14ac:dyDescent="0.25">
      <c r="A15" s="62"/>
    </row>
    <row r="16" spans="1:33" ht="14.25" customHeight="1" x14ac:dyDescent="0.25">
      <c r="A16" s="62"/>
      <c r="E16" s="84"/>
      <c r="F16" s="84"/>
      <c r="G16" s="160"/>
      <c r="H16" s="160"/>
      <c r="I16" s="160"/>
      <c r="J16" s="160"/>
      <c r="L16" s="189"/>
    </row>
    <row r="17" spans="1:30" ht="14.25" customHeight="1" x14ac:dyDescent="0.25">
      <c r="A17" s="62"/>
      <c r="E17" s="84"/>
      <c r="F17" s="84"/>
      <c r="G17" s="160"/>
      <c r="H17" s="275"/>
      <c r="I17" s="275"/>
      <c r="J17" s="296"/>
      <c r="L17" s="189"/>
    </row>
    <row r="18" spans="1:30" ht="14.25" customHeight="1" x14ac:dyDescent="0.25">
      <c r="A18" s="62"/>
      <c r="E18" s="84"/>
      <c r="F18" s="84"/>
      <c r="G18" s="160"/>
      <c r="H18" s="275"/>
      <c r="I18" s="275"/>
      <c r="J18" s="296"/>
      <c r="L18" s="189"/>
    </row>
    <row r="19" spans="1:30" ht="14.25" customHeight="1" x14ac:dyDescent="0.25">
      <c r="A19" s="62"/>
      <c r="E19" s="84"/>
      <c r="F19" s="84"/>
      <c r="G19" s="160"/>
      <c r="H19" s="275"/>
      <c r="I19" s="275"/>
      <c r="J19" s="296"/>
      <c r="L19" s="189"/>
      <c r="R19" s="5"/>
      <c r="S19" s="252" t="s">
        <v>309</v>
      </c>
    </row>
    <row r="20" spans="1:30" ht="14.25" customHeight="1" x14ac:dyDescent="0.25">
      <c r="A20" s="62"/>
      <c r="E20" s="84"/>
      <c r="F20" s="84"/>
      <c r="G20" s="160"/>
      <c r="H20" s="275"/>
      <c r="I20" s="275"/>
      <c r="J20" s="296"/>
      <c r="L20" s="189"/>
    </row>
    <row r="21" spans="1:30" ht="14.25" customHeight="1" x14ac:dyDescent="0.25">
      <c r="A21" s="62"/>
      <c r="B21" s="84"/>
      <c r="E21" s="84"/>
      <c r="F21" s="84"/>
      <c r="L21" s="189"/>
    </row>
    <row r="22" spans="1:30" ht="14.25" customHeight="1" x14ac:dyDescent="0.25">
      <c r="A22" s="62"/>
      <c r="B22" s="84"/>
      <c r="E22" s="84"/>
      <c r="F22" s="84"/>
      <c r="L22" s="189"/>
    </row>
    <row r="23" spans="1:30" ht="14.25" customHeight="1" x14ac:dyDescent="0.25">
      <c r="A23" s="62"/>
      <c r="B23" s="84"/>
      <c r="E23" s="84"/>
      <c r="F23" s="84"/>
      <c r="L23" s="189"/>
    </row>
    <row r="24" spans="1:30" ht="14.25" customHeight="1" x14ac:dyDescent="0.25">
      <c r="A24" s="62"/>
      <c r="B24" s="84"/>
      <c r="E24" s="84"/>
      <c r="F24" s="84"/>
      <c r="L24" s="189"/>
      <c r="Z24" s="1124"/>
    </row>
    <row r="25" spans="1:30" ht="15" customHeight="1" x14ac:dyDescent="0.25">
      <c r="A25" s="62"/>
      <c r="B25" s="84"/>
      <c r="E25" s="84"/>
      <c r="F25" s="84"/>
      <c r="R25" s="1640" t="s">
        <v>954</v>
      </c>
      <c r="S25" s="1633"/>
      <c r="T25" s="1633"/>
      <c r="Z25" s="122" t="s">
        <v>252</v>
      </c>
      <c r="AA25" s="123">
        <v>1</v>
      </c>
      <c r="AB25" s="122" t="s">
        <v>249</v>
      </c>
      <c r="AC25" s="124">
        <f>(T34/T31)*AA25</f>
        <v>1.0692219999999999E-2</v>
      </c>
    </row>
    <row r="26" spans="1:30" ht="19.5" customHeight="1" x14ac:dyDescent="0.25">
      <c r="A26" s="62"/>
      <c r="B26" s="84"/>
      <c r="E26" s="84"/>
      <c r="F26" s="84"/>
      <c r="R26" s="463" t="s">
        <v>253</v>
      </c>
      <c r="S26" s="464"/>
      <c r="T26" s="464"/>
      <c r="AA26" s="14"/>
      <c r="AB26" s="14"/>
      <c r="AC26" s="14"/>
      <c r="AD26" s="14"/>
    </row>
    <row r="27" spans="1:30" ht="21" customHeight="1" thickBot="1" x14ac:dyDescent="0.3">
      <c r="A27" s="62"/>
      <c r="B27" s="84"/>
      <c r="E27" s="84"/>
      <c r="F27" s="84"/>
      <c r="R27" s="126" t="s">
        <v>254</v>
      </c>
      <c r="S27" s="127" t="s">
        <v>256</v>
      </c>
      <c r="T27" s="127" t="s">
        <v>257</v>
      </c>
    </row>
    <row r="28" spans="1:30" ht="14.25" customHeight="1" thickBot="1" x14ac:dyDescent="0.3">
      <c r="A28" s="62"/>
      <c r="B28" s="84"/>
      <c r="E28" s="84"/>
      <c r="F28" s="84"/>
      <c r="R28" s="129" t="s">
        <v>263</v>
      </c>
      <c r="S28" s="130"/>
      <c r="T28" s="696">
        <f>$Z$1</f>
        <v>24610</v>
      </c>
    </row>
    <row r="29" spans="1:30" ht="14.25" customHeight="1" thickBot="1" x14ac:dyDescent="0.3">
      <c r="A29" s="62"/>
      <c r="B29" s="84"/>
      <c r="E29" s="84"/>
      <c r="F29" s="84"/>
      <c r="R29" s="129" t="s">
        <v>264</v>
      </c>
      <c r="S29" s="1248">
        <f>T28*(1/3)</f>
        <v>8203.3333333333321</v>
      </c>
      <c r="T29" s="690">
        <f>S29</f>
        <v>8203.3333333333321</v>
      </c>
    </row>
    <row r="30" spans="1:30" ht="14.25" customHeight="1" thickBot="1" x14ac:dyDescent="0.3">
      <c r="A30" s="62"/>
      <c r="B30" s="84"/>
      <c r="E30" s="84"/>
      <c r="F30" s="84"/>
      <c r="R30" s="129" t="s">
        <v>265</v>
      </c>
      <c r="S30" s="1173">
        <f>$AB$1</f>
        <v>500</v>
      </c>
      <c r="T30" s="692">
        <f>S30</f>
        <v>500</v>
      </c>
    </row>
    <row r="31" spans="1:30" ht="14.25" customHeight="1" thickBot="1" x14ac:dyDescent="0.3">
      <c r="A31" s="62"/>
      <c r="B31" s="84"/>
      <c r="E31" s="84"/>
      <c r="F31" s="84"/>
      <c r="R31" s="141" t="s">
        <v>257</v>
      </c>
      <c r="S31" s="130">
        <f>SUM(S28:S30)</f>
        <v>8703.3333333333321</v>
      </c>
      <c r="T31" s="130">
        <f>S31</f>
        <v>8703.3333333333321</v>
      </c>
    </row>
    <row r="32" spans="1:30" ht="14.25" customHeight="1" x14ac:dyDescent="0.25">
      <c r="A32" s="62"/>
    </row>
    <row r="33" spans="1:20" ht="14.25" customHeight="1" thickBot="1" x14ac:dyDescent="0.3">
      <c r="A33" s="62"/>
    </row>
    <row r="34" spans="1:20" ht="14.25" customHeight="1" thickBot="1" x14ac:dyDescent="0.3">
      <c r="A34" s="62"/>
      <c r="R34" s="144" t="s">
        <v>249</v>
      </c>
      <c r="S34" s="990">
        <f>SUM(L5:L12)</f>
        <v>93.057954733333304</v>
      </c>
      <c r="T34" s="1078">
        <f>S34</f>
        <v>93.057954733333304</v>
      </c>
    </row>
    <row r="35" spans="1:20" ht="14.25" customHeight="1" x14ac:dyDescent="0.25">
      <c r="A35" s="62"/>
    </row>
    <row r="36" spans="1:20" x14ac:dyDescent="0.25">
      <c r="A36" s="62"/>
    </row>
    <row r="37" spans="1:20" x14ac:dyDescent="0.25">
      <c r="A37" s="62"/>
      <c r="R37" s="363"/>
      <c r="S37" s="465"/>
      <c r="T37" s="363"/>
    </row>
    <row r="38" spans="1:20" x14ac:dyDescent="0.25">
      <c r="A38" s="62"/>
      <c r="R38" s="14"/>
      <c r="S38" s="14"/>
      <c r="T38" s="14"/>
    </row>
    <row r="39" spans="1:20" x14ac:dyDescent="0.25">
      <c r="A39" s="62"/>
      <c r="R39" s="14"/>
      <c r="S39" s="14"/>
      <c r="T39" s="14"/>
    </row>
    <row r="40" spans="1:20" ht="27" customHeight="1" x14ac:dyDescent="0.25">
      <c r="A40" s="62"/>
      <c r="Q40" s="14"/>
      <c r="R40" s="298"/>
      <c r="S40" s="298"/>
      <c r="T40" s="298"/>
    </row>
    <row r="41" spans="1:20" ht="14.25" customHeight="1" x14ac:dyDescent="0.25">
      <c r="A41" s="62"/>
      <c r="Q41" s="14"/>
      <c r="R41" s="362"/>
      <c r="S41" s="365"/>
      <c r="T41" s="466"/>
    </row>
    <row r="42" spans="1:20" ht="14.25" customHeight="1" x14ac:dyDescent="0.25">
      <c r="A42" s="62"/>
      <c r="Q42" s="14"/>
    </row>
    <row r="43" spans="1:20" ht="14.25" customHeight="1" x14ac:dyDescent="0.25">
      <c r="A43" s="62"/>
      <c r="Q43" s="298"/>
    </row>
    <row r="44" spans="1:20" ht="14.25" customHeight="1" x14ac:dyDescent="0.25">
      <c r="A44" s="62"/>
      <c r="Q44" s="14"/>
    </row>
    <row r="45" spans="1:20" x14ac:dyDescent="0.25">
      <c r="A45" s="62"/>
    </row>
    <row r="46" spans="1:20" x14ac:dyDescent="0.25">
      <c r="A46" s="62"/>
    </row>
    <row r="47" spans="1:20" x14ac:dyDescent="0.25">
      <c r="A47" s="62"/>
    </row>
    <row r="48" spans="1:20" x14ac:dyDescent="0.25">
      <c r="A48" s="62"/>
    </row>
    <row r="49" spans="1:8" x14ac:dyDescent="0.25">
      <c r="A49" s="62"/>
    </row>
    <row r="50" spans="1:8" x14ac:dyDescent="0.25">
      <c r="A50" s="62"/>
      <c r="B50" s="253"/>
      <c r="C50" s="126" t="s">
        <v>233</v>
      </c>
      <c r="D50" s="126" t="s">
        <v>279</v>
      </c>
    </row>
    <row r="51" spans="1:8" x14ac:dyDescent="0.25">
      <c r="A51" s="62"/>
      <c r="B51" s="161" t="s">
        <v>283</v>
      </c>
      <c r="C51" s="162">
        <f>10/$K$1</f>
        <v>10</v>
      </c>
      <c r="D51" s="163">
        <f>$C$1*10</f>
        <v>10000</v>
      </c>
    </row>
    <row r="52" spans="1:8" x14ac:dyDescent="0.25">
      <c r="A52" s="62"/>
      <c r="B52" s="209" t="s">
        <v>262</v>
      </c>
      <c r="C52" s="210">
        <f>$I$1</f>
        <v>8.7033333333333314</v>
      </c>
      <c r="D52" s="211">
        <f>$E$1</f>
        <v>8703.3333333333321</v>
      </c>
    </row>
    <row r="53" spans="1:8" x14ac:dyDescent="0.25">
      <c r="A53" s="62"/>
      <c r="B53" s="209" t="s">
        <v>284</v>
      </c>
      <c r="C53" s="212">
        <f>MIN(C52, C51)</f>
        <v>8.7033333333333314</v>
      </c>
      <c r="D53" s="211">
        <f>(C53*$K$1)*$C$1</f>
        <v>8703.3333333333321</v>
      </c>
    </row>
    <row r="54" spans="1:8" x14ac:dyDescent="0.25">
      <c r="A54" s="62"/>
      <c r="B54" s="209" t="s">
        <v>285</v>
      </c>
      <c r="C54" s="212">
        <f>MIN(MAX(C52-C53,0),C51)</f>
        <v>0</v>
      </c>
      <c r="D54" s="211">
        <f>(C54*$K$1)*$C$1</f>
        <v>0</v>
      </c>
    </row>
    <row r="55" spans="1:8" x14ac:dyDescent="0.25">
      <c r="A55" s="62"/>
      <c r="B55" s="209" t="s">
        <v>286</v>
      </c>
      <c r="C55" s="212">
        <f>MIN(MAX(C52-C53-C54,0),C51)</f>
        <v>0</v>
      </c>
      <c r="D55" s="211">
        <f>(C55*$K$1)*$C$1</f>
        <v>0</v>
      </c>
    </row>
    <row r="56" spans="1:8" x14ac:dyDescent="0.25">
      <c r="A56" s="62"/>
    </row>
    <row r="57" spans="1:8" x14ac:dyDescent="0.25">
      <c r="A57" s="62"/>
    </row>
    <row r="58" spans="1:8" x14ac:dyDescent="0.25">
      <c r="A58" s="62"/>
    </row>
    <row r="59" spans="1:8" x14ac:dyDescent="0.25">
      <c r="A59" s="62"/>
    </row>
    <row r="60" spans="1:8" x14ac:dyDescent="0.25">
      <c r="A60" s="62"/>
    </row>
    <row r="61" spans="1:8" x14ac:dyDescent="0.25">
      <c r="A61" s="62"/>
    </row>
    <row r="62" spans="1:8" ht="18" customHeight="1" x14ac:dyDescent="0.25">
      <c r="A62" s="1456"/>
      <c r="B62" s="1636" t="str">
        <f>"ستيك دجاج صوص الاضافي 1 / " &amp; COUNTIF($C$53:$C$55, "&gt;0")</f>
        <v>ستيك دجاج صوص الاضافي 1 / 1</v>
      </c>
      <c r="C62" s="1637"/>
      <c r="D62" s="1637"/>
      <c r="E62" s="1637"/>
      <c r="F62" s="1637"/>
      <c r="G62" s="1637"/>
      <c r="H62" s="1637"/>
    </row>
    <row r="63" spans="1:8" ht="18" customHeight="1" x14ac:dyDescent="0.25">
      <c r="A63" s="1456"/>
      <c r="B63" s="1634" t="str">
        <f>"Chicken Steak Topping 1 / " &amp; COUNTIF($C$53:$C$55, "&gt;0")</f>
        <v>Chicken Steak Topping 1 / 1</v>
      </c>
      <c r="C63" s="1635"/>
      <c r="D63" s="1635"/>
      <c r="E63" s="1635"/>
      <c r="F63" s="1635"/>
      <c r="G63" s="1635"/>
      <c r="H63" s="1635"/>
    </row>
    <row r="64" spans="1:8" ht="25.5" customHeight="1" x14ac:dyDescent="0.2">
      <c r="A64" s="1457"/>
      <c r="B64" s="221" t="s">
        <v>241</v>
      </c>
      <c r="C64" s="222" t="s">
        <v>242</v>
      </c>
      <c r="D64" s="223" t="s">
        <v>231</v>
      </c>
      <c r="E64" s="197" t="s">
        <v>234</v>
      </c>
      <c r="F64" s="197" t="s">
        <v>243</v>
      </c>
      <c r="G64" s="223" t="s">
        <v>244</v>
      </c>
      <c r="H64" s="197" t="s">
        <v>245</v>
      </c>
    </row>
    <row r="65" spans="1:8" ht="14.25" customHeight="1" x14ac:dyDescent="0.25">
      <c r="A65" s="1455"/>
      <c r="B65" s="271" t="str">
        <f t="shared" ref="B65:D72" si="7">B5</f>
        <v>Milk - حليب</v>
      </c>
      <c r="C65" s="271" t="str">
        <f t="shared" si="7"/>
        <v>ml</v>
      </c>
      <c r="D65" s="271">
        <f t="shared" si="7"/>
        <v>550</v>
      </c>
      <c r="E65" s="258">
        <f>$C$53</f>
        <v>8.7033333333333314</v>
      </c>
      <c r="F65" s="109">
        <f t="shared" ref="F65:F72" si="8">F5</f>
        <v>1</v>
      </c>
      <c r="G65" s="65">
        <f t="shared" ref="G65:G72" si="9">D65*E65</f>
        <v>4786.8333333333321</v>
      </c>
      <c r="H65" s="102">
        <f t="shared" ref="H65:H72" si="10">G65*F65</f>
        <v>4786.8333333333321</v>
      </c>
    </row>
    <row r="66" spans="1:8" ht="14.25" customHeight="1" x14ac:dyDescent="0.25">
      <c r="A66" s="1455"/>
      <c r="B66" s="271" t="str">
        <f t="shared" si="7"/>
        <v>Cooking Cream - كريمة طبخ</v>
      </c>
      <c r="C66" s="271" t="str">
        <f t="shared" si="7"/>
        <v>ml</v>
      </c>
      <c r="D66" s="271">
        <f t="shared" si="7"/>
        <v>550</v>
      </c>
      <c r="E66" s="258">
        <f t="shared" ref="E66:E72" si="11">$C$53</f>
        <v>8.7033333333333314</v>
      </c>
      <c r="F66" s="109">
        <f t="shared" si="8"/>
        <v>1</v>
      </c>
      <c r="G66" s="65">
        <f t="shared" si="9"/>
        <v>4786.8333333333321</v>
      </c>
      <c r="H66" s="102">
        <f t="shared" si="10"/>
        <v>4786.8333333333321</v>
      </c>
    </row>
    <row r="67" spans="1:8" ht="14.25" customHeight="1" x14ac:dyDescent="0.25">
      <c r="A67" s="1455"/>
      <c r="B67" s="271" t="str">
        <f t="shared" si="7"/>
        <v>Butter - زبدة</v>
      </c>
      <c r="C67" s="271" t="str">
        <f t="shared" si="7"/>
        <v>gm</v>
      </c>
      <c r="D67" s="271">
        <f t="shared" si="7"/>
        <v>30</v>
      </c>
      <c r="E67" s="258">
        <f t="shared" si="11"/>
        <v>8.7033333333333314</v>
      </c>
      <c r="F67" s="109">
        <f t="shared" si="8"/>
        <v>1</v>
      </c>
      <c r="G67" s="65">
        <f t="shared" si="9"/>
        <v>261.09999999999997</v>
      </c>
      <c r="H67" s="102">
        <f t="shared" si="10"/>
        <v>261.09999999999997</v>
      </c>
    </row>
    <row r="68" spans="1:8" ht="14.25" customHeight="1" x14ac:dyDescent="0.25">
      <c r="A68" s="1455"/>
      <c r="B68" s="271" t="str">
        <f t="shared" si="7"/>
        <v>Flour - دقيق</v>
      </c>
      <c r="C68" s="271" t="str">
        <f t="shared" si="7"/>
        <v>gm</v>
      </c>
      <c r="D68" s="271">
        <f t="shared" si="7"/>
        <v>20</v>
      </c>
      <c r="E68" s="258">
        <f t="shared" si="11"/>
        <v>8.7033333333333314</v>
      </c>
      <c r="F68" s="109">
        <f t="shared" si="8"/>
        <v>1</v>
      </c>
      <c r="G68" s="65">
        <f t="shared" si="9"/>
        <v>174.06666666666663</v>
      </c>
      <c r="H68" s="102">
        <f t="shared" si="10"/>
        <v>174.06666666666663</v>
      </c>
    </row>
    <row r="69" spans="1:8" ht="14.25" customHeight="1" x14ac:dyDescent="0.25">
      <c r="A69" s="1455"/>
      <c r="B69" s="271" t="str">
        <f t="shared" si="7"/>
        <v>Maggi Cubes - مكعبات ماجي</v>
      </c>
      <c r="C69" s="271" t="str">
        <f t="shared" si="7"/>
        <v>gm</v>
      </c>
      <c r="D69" s="271">
        <f t="shared" si="7"/>
        <v>18</v>
      </c>
      <c r="E69" s="258">
        <f t="shared" si="11"/>
        <v>8.7033333333333314</v>
      </c>
      <c r="F69" s="109">
        <f t="shared" si="8"/>
        <v>0.75</v>
      </c>
      <c r="G69" s="65">
        <f t="shared" si="9"/>
        <v>156.65999999999997</v>
      </c>
      <c r="H69" s="102">
        <f t="shared" si="10"/>
        <v>117.49499999999998</v>
      </c>
    </row>
    <row r="70" spans="1:8" ht="14.25" customHeight="1" x14ac:dyDescent="0.25">
      <c r="A70" s="1455"/>
      <c r="B70" s="271" t="str">
        <f t="shared" si="7"/>
        <v>White Pepper - فلفل أبيض</v>
      </c>
      <c r="C70" s="271" t="str">
        <f t="shared" si="7"/>
        <v>gm</v>
      </c>
      <c r="D70" s="271">
        <f t="shared" si="7"/>
        <v>5</v>
      </c>
      <c r="E70" s="258">
        <f t="shared" si="11"/>
        <v>8.7033333333333314</v>
      </c>
      <c r="F70" s="109">
        <f t="shared" si="8"/>
        <v>0.75</v>
      </c>
      <c r="G70" s="65">
        <f t="shared" si="9"/>
        <v>43.516666666666659</v>
      </c>
      <c r="H70" s="102">
        <f t="shared" si="10"/>
        <v>32.637499999999996</v>
      </c>
    </row>
    <row r="71" spans="1:8" ht="14.25" customHeight="1" x14ac:dyDescent="0.25">
      <c r="A71" s="1455"/>
      <c r="B71" s="271" t="str">
        <f t="shared" si="7"/>
        <v>Salt - ملح</v>
      </c>
      <c r="C71" s="271" t="str">
        <f t="shared" si="7"/>
        <v>gm</v>
      </c>
      <c r="D71" s="271">
        <f t="shared" si="7"/>
        <v>4</v>
      </c>
      <c r="E71" s="258">
        <f t="shared" si="11"/>
        <v>8.7033333333333314</v>
      </c>
      <c r="F71" s="109">
        <f t="shared" si="8"/>
        <v>0.75</v>
      </c>
      <c r="G71" s="65">
        <f t="shared" si="9"/>
        <v>34.813333333333325</v>
      </c>
      <c r="H71" s="102">
        <f t="shared" si="10"/>
        <v>26.109999999999992</v>
      </c>
    </row>
    <row r="72" spans="1:8" ht="14.25" customHeight="1" x14ac:dyDescent="0.25">
      <c r="A72" s="1455"/>
      <c r="B72" s="271" t="str">
        <f t="shared" si="7"/>
        <v>Onion - بصل</v>
      </c>
      <c r="C72" s="271" t="str">
        <f t="shared" si="7"/>
        <v>gm</v>
      </c>
      <c r="D72" s="271">
        <f t="shared" si="7"/>
        <v>30</v>
      </c>
      <c r="E72" s="258">
        <f t="shared" si="11"/>
        <v>8.7033333333333314</v>
      </c>
      <c r="F72" s="109">
        <f t="shared" si="8"/>
        <v>0.95</v>
      </c>
      <c r="G72" s="65">
        <f t="shared" si="9"/>
        <v>261.09999999999997</v>
      </c>
      <c r="H72" s="102">
        <f t="shared" si="10"/>
        <v>248.04499999999996</v>
      </c>
    </row>
    <row r="73" spans="1:8" ht="20.25" customHeight="1" x14ac:dyDescent="0.25">
      <c r="A73" s="1458"/>
      <c r="B73" s="178" t="s">
        <v>287</v>
      </c>
      <c r="C73" s="180" t="s">
        <v>273</v>
      </c>
      <c r="D73" s="14"/>
      <c r="E73" s="180" t="s">
        <v>288</v>
      </c>
      <c r="F73" s="14"/>
      <c r="G73" s="804" t="s">
        <v>264</v>
      </c>
      <c r="H73" s="804" t="s">
        <v>673</v>
      </c>
    </row>
    <row r="74" spans="1:8" ht="30" customHeight="1" x14ac:dyDescent="0.3">
      <c r="A74" s="1458"/>
      <c r="B74" s="179">
        <f>$J$53</f>
        <v>0</v>
      </c>
      <c r="C74" s="179">
        <f>E74+G74</f>
        <v>8703.3333333333321</v>
      </c>
      <c r="D74" s="839"/>
      <c r="E74" s="179">
        <v>0</v>
      </c>
      <c r="F74" s="843"/>
      <c r="G74" s="179">
        <f>D53</f>
        <v>8703.3333333333321</v>
      </c>
      <c r="H74" s="179">
        <f>B74+E74</f>
        <v>0</v>
      </c>
    </row>
    <row r="75" spans="1:8" ht="14.25" customHeight="1" x14ac:dyDescent="0.25">
      <c r="A75" s="1492"/>
      <c r="B75" s="790"/>
      <c r="C75" s="819"/>
      <c r="D75" s="820"/>
      <c r="E75" s="790"/>
      <c r="F75" s="790"/>
      <c r="G75" s="791"/>
      <c r="H75" s="791"/>
    </row>
    <row r="76" spans="1:8" ht="18" customHeight="1" x14ac:dyDescent="0.25">
      <c r="A76" s="1456"/>
      <c r="B76" s="1636" t="str">
        <f>"ستيك دجاج صوص الاضافي 2 / " &amp; COUNTIF($C$53:$C$55, "&gt;0")</f>
        <v>ستيك دجاج صوص الاضافي 2 / 1</v>
      </c>
      <c r="C76" s="1636"/>
      <c r="D76" s="1636"/>
      <c r="E76" s="1636"/>
      <c r="F76" s="1636"/>
      <c r="G76" s="1636"/>
      <c r="H76" s="1636"/>
    </row>
    <row r="77" spans="1:8" ht="18" customHeight="1" x14ac:dyDescent="0.25">
      <c r="A77" s="1456"/>
      <c r="B77" s="1634" t="str">
        <f>"Chicken Steak Topping 2 / " &amp; COUNTIF($C$53:$C$55, "&gt;0")</f>
        <v>Chicken Steak Topping 2 / 1</v>
      </c>
      <c r="C77" s="1634"/>
      <c r="D77" s="1634"/>
      <c r="E77" s="1634"/>
      <c r="F77" s="1634"/>
      <c r="G77" s="1634"/>
      <c r="H77" s="1634"/>
    </row>
    <row r="78" spans="1:8" ht="45" customHeight="1" x14ac:dyDescent="0.2">
      <c r="A78" s="1457"/>
      <c r="B78" s="221" t="s">
        <v>241</v>
      </c>
      <c r="C78" s="222" t="s">
        <v>242</v>
      </c>
      <c r="D78" s="223" t="s">
        <v>231</v>
      </c>
      <c r="E78" s="197" t="s">
        <v>234</v>
      </c>
      <c r="F78" s="197" t="s">
        <v>243</v>
      </c>
      <c r="G78" s="223" t="s">
        <v>244</v>
      </c>
      <c r="H78" s="197" t="s">
        <v>245</v>
      </c>
    </row>
    <row r="79" spans="1:8" ht="14.25" customHeight="1" x14ac:dyDescent="0.25">
      <c r="A79" s="1455"/>
      <c r="B79" s="271" t="str">
        <f t="shared" ref="B79:D86" si="12">B5</f>
        <v>Milk - حليب</v>
      </c>
      <c r="C79" s="271" t="str">
        <f t="shared" si="12"/>
        <v>ml</v>
      </c>
      <c r="D79" s="271">
        <f t="shared" si="12"/>
        <v>550</v>
      </c>
      <c r="E79" s="177">
        <f>$C$54</f>
        <v>0</v>
      </c>
      <c r="F79" s="109">
        <f t="shared" ref="F79:F86" si="13">F5</f>
        <v>1</v>
      </c>
      <c r="G79" s="101">
        <f t="shared" ref="G79:G86" si="14">D79*E79</f>
        <v>0</v>
      </c>
      <c r="H79" s="102">
        <f t="shared" ref="H79:H86" si="15">G79*F79</f>
        <v>0</v>
      </c>
    </row>
    <row r="80" spans="1:8" ht="14.25" customHeight="1" x14ac:dyDescent="0.25">
      <c r="A80" s="1455"/>
      <c r="B80" s="271" t="str">
        <f t="shared" si="12"/>
        <v>Cooking Cream - كريمة طبخ</v>
      </c>
      <c r="C80" s="271" t="str">
        <f t="shared" si="12"/>
        <v>ml</v>
      </c>
      <c r="D80" s="271">
        <f t="shared" si="12"/>
        <v>550</v>
      </c>
      <c r="E80" s="177">
        <f t="shared" ref="E80:E86" si="16">$C$54</f>
        <v>0</v>
      </c>
      <c r="F80" s="109">
        <f t="shared" si="13"/>
        <v>1</v>
      </c>
      <c r="G80" s="101">
        <f t="shared" si="14"/>
        <v>0</v>
      </c>
      <c r="H80" s="102">
        <f t="shared" si="15"/>
        <v>0</v>
      </c>
    </row>
    <row r="81" spans="1:8" ht="14.25" customHeight="1" x14ac:dyDescent="0.25">
      <c r="A81" s="1455"/>
      <c r="B81" s="271" t="str">
        <f t="shared" si="12"/>
        <v>Butter - زبدة</v>
      </c>
      <c r="C81" s="271" t="str">
        <f t="shared" si="12"/>
        <v>gm</v>
      </c>
      <c r="D81" s="271">
        <f t="shared" si="12"/>
        <v>30</v>
      </c>
      <c r="E81" s="177">
        <f t="shared" si="16"/>
        <v>0</v>
      </c>
      <c r="F81" s="109">
        <f t="shared" si="13"/>
        <v>1</v>
      </c>
      <c r="G81" s="101">
        <f t="shared" si="14"/>
        <v>0</v>
      </c>
      <c r="H81" s="102">
        <f t="shared" si="15"/>
        <v>0</v>
      </c>
    </row>
    <row r="82" spans="1:8" ht="14.25" customHeight="1" x14ac:dyDescent="0.25">
      <c r="A82" s="1455"/>
      <c r="B82" s="271" t="str">
        <f t="shared" si="12"/>
        <v>Flour - دقيق</v>
      </c>
      <c r="C82" s="271" t="str">
        <f t="shared" si="12"/>
        <v>gm</v>
      </c>
      <c r="D82" s="271">
        <f t="shared" si="12"/>
        <v>20</v>
      </c>
      <c r="E82" s="177">
        <f t="shared" si="16"/>
        <v>0</v>
      </c>
      <c r="F82" s="109">
        <f t="shared" si="13"/>
        <v>1</v>
      </c>
      <c r="G82" s="101">
        <f t="shared" si="14"/>
        <v>0</v>
      </c>
      <c r="H82" s="102">
        <f t="shared" si="15"/>
        <v>0</v>
      </c>
    </row>
    <row r="83" spans="1:8" ht="14.25" customHeight="1" x14ac:dyDescent="0.25">
      <c r="A83" s="1455"/>
      <c r="B83" s="271" t="str">
        <f t="shared" si="12"/>
        <v>Maggi Cubes - مكعبات ماجي</v>
      </c>
      <c r="C83" s="271" t="str">
        <f t="shared" si="12"/>
        <v>gm</v>
      </c>
      <c r="D83" s="271">
        <f t="shared" si="12"/>
        <v>18</v>
      </c>
      <c r="E83" s="177">
        <f t="shared" si="16"/>
        <v>0</v>
      </c>
      <c r="F83" s="109">
        <f t="shared" si="13"/>
        <v>0.75</v>
      </c>
      <c r="G83" s="101">
        <f t="shared" si="14"/>
        <v>0</v>
      </c>
      <c r="H83" s="102">
        <f t="shared" si="15"/>
        <v>0</v>
      </c>
    </row>
    <row r="84" spans="1:8" ht="14.25" customHeight="1" x14ac:dyDescent="0.25">
      <c r="A84" s="1455"/>
      <c r="B84" s="271" t="str">
        <f t="shared" si="12"/>
        <v>White Pepper - فلفل أبيض</v>
      </c>
      <c r="C84" s="271" t="str">
        <f t="shared" si="12"/>
        <v>gm</v>
      </c>
      <c r="D84" s="271">
        <f t="shared" si="12"/>
        <v>5</v>
      </c>
      <c r="E84" s="177">
        <f t="shared" si="16"/>
        <v>0</v>
      </c>
      <c r="F84" s="109">
        <f t="shared" si="13"/>
        <v>0.75</v>
      </c>
      <c r="G84" s="101">
        <f t="shared" si="14"/>
        <v>0</v>
      </c>
      <c r="H84" s="102">
        <f t="shared" si="15"/>
        <v>0</v>
      </c>
    </row>
    <row r="85" spans="1:8" ht="14.25" customHeight="1" x14ac:dyDescent="0.25">
      <c r="A85" s="1455"/>
      <c r="B85" s="271" t="str">
        <f t="shared" si="12"/>
        <v>Salt - ملح</v>
      </c>
      <c r="C85" s="271" t="str">
        <f t="shared" si="12"/>
        <v>gm</v>
      </c>
      <c r="D85" s="271">
        <f t="shared" si="12"/>
        <v>4</v>
      </c>
      <c r="E85" s="177">
        <f t="shared" si="16"/>
        <v>0</v>
      </c>
      <c r="F85" s="109">
        <f t="shared" si="13"/>
        <v>0.75</v>
      </c>
      <c r="G85" s="101">
        <f t="shared" si="14"/>
        <v>0</v>
      </c>
      <c r="H85" s="102">
        <f t="shared" si="15"/>
        <v>0</v>
      </c>
    </row>
    <row r="86" spans="1:8" ht="14.25" customHeight="1" x14ac:dyDescent="0.25">
      <c r="A86" s="1455"/>
      <c r="B86" s="271" t="str">
        <f t="shared" si="12"/>
        <v>Onion - بصل</v>
      </c>
      <c r="C86" s="271" t="str">
        <f t="shared" si="12"/>
        <v>gm</v>
      </c>
      <c r="D86" s="271">
        <f t="shared" si="12"/>
        <v>30</v>
      </c>
      <c r="E86" s="177">
        <f t="shared" si="16"/>
        <v>0</v>
      </c>
      <c r="F86" s="109">
        <f t="shared" si="13"/>
        <v>0.95</v>
      </c>
      <c r="G86" s="101">
        <f t="shared" si="14"/>
        <v>0</v>
      </c>
      <c r="H86" s="102">
        <f t="shared" si="15"/>
        <v>0</v>
      </c>
    </row>
    <row r="87" spans="1:8" ht="20.25" customHeight="1" x14ac:dyDescent="0.25">
      <c r="A87" s="1458"/>
      <c r="B87" s="178" t="s">
        <v>287</v>
      </c>
      <c r="C87" s="180" t="s">
        <v>273</v>
      </c>
      <c r="D87" s="14"/>
      <c r="E87" s="180" t="s">
        <v>288</v>
      </c>
      <c r="F87" s="14"/>
      <c r="G87" s="804" t="s">
        <v>264</v>
      </c>
      <c r="H87" s="804" t="s">
        <v>673</v>
      </c>
    </row>
    <row r="88" spans="1:8" ht="20.25" x14ac:dyDescent="0.3">
      <c r="A88" s="1458"/>
      <c r="B88" s="179">
        <f>$J$53</f>
        <v>0</v>
      </c>
      <c r="C88" s="179">
        <f>E88+G88</f>
        <v>0</v>
      </c>
      <c r="D88" s="839"/>
      <c r="E88" s="179">
        <v>0</v>
      </c>
      <c r="F88" s="843"/>
      <c r="G88" s="179">
        <f>D54</f>
        <v>0</v>
      </c>
      <c r="H88" s="179">
        <f>B88+E88</f>
        <v>0</v>
      </c>
    </row>
    <row r="89" spans="1:8" x14ac:dyDescent="0.25">
      <c r="A89" s="62"/>
    </row>
    <row r="90" spans="1:8" x14ac:dyDescent="0.25">
      <c r="A90" s="62"/>
    </row>
    <row r="91" spans="1:8" ht="18" x14ac:dyDescent="0.25">
      <c r="A91" s="1456"/>
      <c r="B91" s="1636" t="str">
        <f>"ستيك دجاج صوص الاضافي 3 / " &amp; COUNTIF($C$53:$C$55, "&gt;0")</f>
        <v>ستيك دجاج صوص الاضافي 3 / 1</v>
      </c>
      <c r="C91" s="1636"/>
      <c r="D91" s="1636"/>
      <c r="E91" s="1636"/>
      <c r="F91" s="1636"/>
      <c r="G91" s="1636"/>
      <c r="H91" s="1636"/>
    </row>
    <row r="92" spans="1:8" ht="18" x14ac:dyDescent="0.25">
      <c r="A92" s="1456"/>
      <c r="B92" s="1634" t="str">
        <f>"Chicken Steak Topping 3 / " &amp; COUNTIF($C$53:$C$55, "&gt;0")</f>
        <v>Chicken Steak Topping 3 / 1</v>
      </c>
      <c r="C92" s="1634"/>
      <c r="D92" s="1634"/>
      <c r="E92" s="1634"/>
      <c r="F92" s="1634"/>
      <c r="G92" s="1634"/>
      <c r="H92" s="1634"/>
    </row>
    <row r="93" spans="1:8" ht="25.5" x14ac:dyDescent="0.2">
      <c r="A93" s="1457"/>
      <c r="B93" s="221" t="s">
        <v>241</v>
      </c>
      <c r="C93" s="222" t="s">
        <v>242</v>
      </c>
      <c r="D93" s="223" t="s">
        <v>231</v>
      </c>
      <c r="E93" s="197" t="s">
        <v>234</v>
      </c>
      <c r="F93" s="197" t="s">
        <v>243</v>
      </c>
      <c r="G93" s="223" t="s">
        <v>244</v>
      </c>
      <c r="H93" s="197" t="s">
        <v>245</v>
      </c>
    </row>
    <row r="94" spans="1:8" x14ac:dyDescent="0.25">
      <c r="A94" s="1455"/>
      <c r="B94" s="271" t="str">
        <f>B5</f>
        <v>Milk - حليب</v>
      </c>
      <c r="C94" s="271" t="str">
        <f t="shared" ref="C94:D94" si="17">C5</f>
        <v>ml</v>
      </c>
      <c r="D94" s="271">
        <f t="shared" si="17"/>
        <v>550</v>
      </c>
      <c r="E94" s="177">
        <f>$C$55</f>
        <v>0</v>
      </c>
      <c r="F94" s="109">
        <f>F5</f>
        <v>1</v>
      </c>
      <c r="G94" s="101">
        <f t="shared" ref="G94:G101" si="18">D94*E94</f>
        <v>0</v>
      </c>
      <c r="H94" s="102">
        <f t="shared" ref="H94:H101" si="19">G94*F94</f>
        <v>0</v>
      </c>
    </row>
    <row r="95" spans="1:8" x14ac:dyDescent="0.25">
      <c r="A95" s="1455"/>
      <c r="B95" s="271" t="str">
        <f t="shared" ref="B95:D95" si="20">B6</f>
        <v>Cooking Cream - كريمة طبخ</v>
      </c>
      <c r="C95" s="271" t="str">
        <f t="shared" si="20"/>
        <v>ml</v>
      </c>
      <c r="D95" s="271">
        <f t="shared" si="20"/>
        <v>550</v>
      </c>
      <c r="E95" s="177">
        <f t="shared" ref="E95:E101" si="21">$C$55</f>
        <v>0</v>
      </c>
      <c r="F95" s="109">
        <f t="shared" ref="F95:F101" si="22">F6</f>
        <v>1</v>
      </c>
      <c r="G95" s="101">
        <f t="shared" si="18"/>
        <v>0</v>
      </c>
      <c r="H95" s="102">
        <f t="shared" si="19"/>
        <v>0</v>
      </c>
    </row>
    <row r="96" spans="1:8" x14ac:dyDescent="0.25">
      <c r="A96" s="1455"/>
      <c r="B96" s="271" t="str">
        <f t="shared" ref="B96:D96" si="23">B7</f>
        <v>Butter - زبدة</v>
      </c>
      <c r="C96" s="271" t="str">
        <f t="shared" si="23"/>
        <v>gm</v>
      </c>
      <c r="D96" s="271">
        <f t="shared" si="23"/>
        <v>30</v>
      </c>
      <c r="E96" s="177">
        <f t="shared" si="21"/>
        <v>0</v>
      </c>
      <c r="F96" s="109">
        <f t="shared" si="22"/>
        <v>1</v>
      </c>
      <c r="G96" s="101">
        <f t="shared" si="18"/>
        <v>0</v>
      </c>
      <c r="H96" s="102">
        <f t="shared" si="19"/>
        <v>0</v>
      </c>
    </row>
    <row r="97" spans="1:8" x14ac:dyDescent="0.25">
      <c r="A97" s="1455"/>
      <c r="B97" s="271" t="str">
        <f t="shared" ref="B97:D97" si="24">B8</f>
        <v>Flour - دقيق</v>
      </c>
      <c r="C97" s="271" t="str">
        <f t="shared" si="24"/>
        <v>gm</v>
      </c>
      <c r="D97" s="271">
        <f t="shared" si="24"/>
        <v>20</v>
      </c>
      <c r="E97" s="177">
        <f t="shared" si="21"/>
        <v>0</v>
      </c>
      <c r="F97" s="109">
        <f t="shared" si="22"/>
        <v>1</v>
      </c>
      <c r="G97" s="101">
        <f t="shared" si="18"/>
        <v>0</v>
      </c>
      <c r="H97" s="102">
        <f t="shared" si="19"/>
        <v>0</v>
      </c>
    </row>
    <row r="98" spans="1:8" x14ac:dyDescent="0.25">
      <c r="A98" s="1455"/>
      <c r="B98" s="271" t="str">
        <f t="shared" ref="B98:D98" si="25">B9</f>
        <v>Maggi Cubes - مكعبات ماجي</v>
      </c>
      <c r="C98" s="271" t="str">
        <f t="shared" si="25"/>
        <v>gm</v>
      </c>
      <c r="D98" s="271">
        <f t="shared" si="25"/>
        <v>18</v>
      </c>
      <c r="E98" s="177">
        <f t="shared" si="21"/>
        <v>0</v>
      </c>
      <c r="F98" s="109">
        <f t="shared" si="22"/>
        <v>0.75</v>
      </c>
      <c r="G98" s="101">
        <f t="shared" si="18"/>
        <v>0</v>
      </c>
      <c r="H98" s="102">
        <f t="shared" si="19"/>
        <v>0</v>
      </c>
    </row>
    <row r="99" spans="1:8" x14ac:dyDescent="0.25">
      <c r="A99" s="1455"/>
      <c r="B99" s="271" t="str">
        <f t="shared" ref="B99:D99" si="26">B10</f>
        <v>White Pepper - فلفل أبيض</v>
      </c>
      <c r="C99" s="271" t="str">
        <f t="shared" si="26"/>
        <v>gm</v>
      </c>
      <c r="D99" s="271">
        <f t="shared" si="26"/>
        <v>5</v>
      </c>
      <c r="E99" s="177">
        <f t="shared" si="21"/>
        <v>0</v>
      </c>
      <c r="F99" s="109">
        <f t="shared" si="22"/>
        <v>0.75</v>
      </c>
      <c r="G99" s="101">
        <f t="shared" si="18"/>
        <v>0</v>
      </c>
      <c r="H99" s="102">
        <f t="shared" si="19"/>
        <v>0</v>
      </c>
    </row>
    <row r="100" spans="1:8" x14ac:dyDescent="0.25">
      <c r="A100" s="1455"/>
      <c r="B100" s="271" t="str">
        <f t="shared" ref="B100:D100" si="27">B11</f>
        <v>Salt - ملح</v>
      </c>
      <c r="C100" s="271" t="str">
        <f t="shared" si="27"/>
        <v>gm</v>
      </c>
      <c r="D100" s="271">
        <f t="shared" si="27"/>
        <v>4</v>
      </c>
      <c r="E100" s="177">
        <f t="shared" si="21"/>
        <v>0</v>
      </c>
      <c r="F100" s="109">
        <f t="shared" si="22"/>
        <v>0.75</v>
      </c>
      <c r="G100" s="101">
        <f t="shared" si="18"/>
        <v>0</v>
      </c>
      <c r="H100" s="102">
        <f t="shared" si="19"/>
        <v>0</v>
      </c>
    </row>
    <row r="101" spans="1:8" x14ac:dyDescent="0.25">
      <c r="A101" s="1455"/>
      <c r="B101" s="271" t="str">
        <f t="shared" ref="B101:D101" si="28">B12</f>
        <v>Onion - بصل</v>
      </c>
      <c r="C101" s="271" t="str">
        <f t="shared" si="28"/>
        <v>gm</v>
      </c>
      <c r="D101" s="271">
        <f t="shared" si="28"/>
        <v>30</v>
      </c>
      <c r="E101" s="177">
        <f t="shared" si="21"/>
        <v>0</v>
      </c>
      <c r="F101" s="109">
        <f t="shared" si="22"/>
        <v>0.95</v>
      </c>
      <c r="G101" s="101">
        <f t="shared" si="18"/>
        <v>0</v>
      </c>
      <c r="H101" s="102">
        <f t="shared" si="19"/>
        <v>0</v>
      </c>
    </row>
    <row r="102" spans="1:8" ht="18" x14ac:dyDescent="0.25">
      <c r="A102" s="1458"/>
      <c r="B102" s="178" t="s">
        <v>287</v>
      </c>
      <c r="C102" s="180" t="s">
        <v>273</v>
      </c>
      <c r="D102" s="14"/>
      <c r="E102" s="180" t="s">
        <v>288</v>
      </c>
      <c r="F102" s="14"/>
      <c r="G102" s="804" t="s">
        <v>264</v>
      </c>
      <c r="H102" s="804" t="s">
        <v>673</v>
      </c>
    </row>
    <row r="103" spans="1:8" ht="20.25" x14ac:dyDescent="0.3">
      <c r="A103" s="1458"/>
      <c r="B103" s="179">
        <f>$J$53</f>
        <v>0</v>
      </c>
      <c r="C103" s="179">
        <f>E103+G103</f>
        <v>0</v>
      </c>
      <c r="D103" s="839"/>
      <c r="E103" s="179">
        <v>0</v>
      </c>
      <c r="F103" s="843"/>
      <c r="G103" s="179">
        <f>D55</f>
        <v>0</v>
      </c>
      <c r="H103" s="179">
        <f>B103+E103</f>
        <v>0</v>
      </c>
    </row>
    <row r="104" spans="1:8" x14ac:dyDescent="0.25">
      <c r="A104" s="62"/>
    </row>
    <row r="105" spans="1:8" x14ac:dyDescent="0.25">
      <c r="A105" s="62"/>
    </row>
    <row r="106" spans="1:8" x14ac:dyDescent="0.25">
      <c r="A106" s="62"/>
    </row>
    <row r="107" spans="1:8" x14ac:dyDescent="0.25">
      <c r="A107" s="62"/>
    </row>
    <row r="108" spans="1:8" x14ac:dyDescent="0.25">
      <c r="A108" s="62"/>
    </row>
    <row r="109" spans="1:8" x14ac:dyDescent="0.25">
      <c r="A109" s="62"/>
    </row>
    <row r="110" spans="1:8" x14ac:dyDescent="0.25">
      <c r="A110" s="62"/>
    </row>
    <row r="111" spans="1:8" x14ac:dyDescent="0.25">
      <c r="A111" s="62"/>
    </row>
    <row r="112" spans="1:8"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0">
    <mergeCell ref="B91:H91"/>
    <mergeCell ref="B92:H92"/>
    <mergeCell ref="B2:J3"/>
    <mergeCell ref="AE2:AG3"/>
    <mergeCell ref="B77:H77"/>
    <mergeCell ref="K2:K3"/>
    <mergeCell ref="B62:H62"/>
    <mergeCell ref="R25:T25"/>
    <mergeCell ref="B76:H76"/>
    <mergeCell ref="B63:H63"/>
  </mergeCells>
  <printOptions horizontalCentered="1"/>
  <pageMargins left="0.5" right="0.5" top="1" bottom="0.5" header="0.3" footer="0.511811023622047"/>
  <pageSetup paperSize="9" scale="32" orientation="portrait"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rgb="FF7C7C7C"/>
    <pageSetUpPr fitToPage="1"/>
  </sheetPr>
  <dimension ref="A1:AT174"/>
  <sheetViews>
    <sheetView topLeftCell="C29" zoomScale="85" zoomScaleNormal="85" workbookViewId="0">
      <selection activeCell="W44" sqref="W44"/>
    </sheetView>
  </sheetViews>
  <sheetFormatPr defaultColWidth="12.5" defaultRowHeight="15" x14ac:dyDescent="0.25"/>
  <cols>
    <col min="1" max="1" width="12.5" style="1" customWidth="1"/>
    <col min="2" max="2" width="37.875" customWidth="1"/>
    <col min="3" max="3" width="23.875" customWidth="1"/>
    <col min="4" max="4" width="19" customWidth="1"/>
    <col min="5" max="5" width="16.125" customWidth="1"/>
    <col min="6" max="6" width="23.125" customWidth="1"/>
    <col min="7" max="7" width="25.125" customWidth="1"/>
    <col min="8" max="8" width="36.125" customWidth="1"/>
    <col min="9" max="9" width="17.5" customWidth="1"/>
    <col min="11" max="11" width="15.625" bestFit="1" customWidth="1"/>
    <col min="12" max="12" width="8.375" customWidth="1"/>
    <col min="13" max="13" width="9.625" customWidth="1"/>
    <col min="18" max="18" width="33.75" customWidth="1"/>
    <col min="26" max="26" width="14.5" customWidth="1"/>
    <col min="28" max="28" width="11.75" bestFit="1" customWidth="1"/>
    <col min="29" max="30" width="13.25" bestFit="1" customWidth="1"/>
    <col min="31" max="31" width="11.375" bestFit="1" customWidth="1"/>
    <col min="32" max="32" width="10.125" bestFit="1" customWidth="1"/>
    <col min="33" max="33" width="11.375" bestFit="1" customWidth="1"/>
    <col min="34" max="35" width="3.25" customWidth="1"/>
    <col min="36" max="36" width="38" customWidth="1"/>
    <col min="42" max="42" width="19.5" customWidth="1"/>
  </cols>
  <sheetData>
    <row r="1" spans="1:46" ht="35.25" customHeight="1" x14ac:dyDescent="0.25">
      <c r="B1" s="64" t="s">
        <v>231</v>
      </c>
      <c r="C1" s="65">
        <v>1000</v>
      </c>
      <c r="D1" s="66" t="s">
        <v>232</v>
      </c>
      <c r="E1" s="99">
        <f>T32</f>
        <v>3900</v>
      </c>
      <c r="F1" s="64" t="s">
        <v>233</v>
      </c>
      <c r="G1" s="99">
        <f>E1/C1</f>
        <v>3.9</v>
      </c>
      <c r="H1" s="64" t="s">
        <v>234</v>
      </c>
      <c r="I1" s="227">
        <f>(G1/K1)</f>
        <v>3.9795918367346941</v>
      </c>
      <c r="J1" s="70" t="s">
        <v>235</v>
      </c>
      <c r="K1" s="65">
        <v>0.98</v>
      </c>
      <c r="L1" s="84"/>
      <c r="M1" s="73"/>
      <c r="N1" s="74"/>
      <c r="O1" s="75" t="s">
        <v>236</v>
      </c>
      <c r="P1" s="76" t="s">
        <v>289</v>
      </c>
      <c r="Q1" s="77" t="s">
        <v>238</v>
      </c>
      <c r="R1" s="76">
        <v>0.51</v>
      </c>
      <c r="Y1" s="75" t="s">
        <v>453</v>
      </c>
      <c r="Z1" s="766">
        <v>11700</v>
      </c>
      <c r="AA1" s="75" t="s">
        <v>556</v>
      </c>
      <c r="AB1" s="766">
        <v>0</v>
      </c>
      <c r="AC1" s="75" t="s">
        <v>546</v>
      </c>
      <c r="AD1" s="766">
        <v>81</v>
      </c>
      <c r="AE1" s="228"/>
      <c r="AF1" s="230"/>
      <c r="AG1" s="76"/>
      <c r="AJ1" s="78" t="s">
        <v>544</v>
      </c>
      <c r="AK1" s="78">
        <v>15000</v>
      </c>
      <c r="AL1" s="561" t="s">
        <v>483</v>
      </c>
      <c r="AM1" s="562">
        <f>$S$32</f>
        <v>10530</v>
      </c>
      <c r="AN1" s="78" t="s">
        <v>239</v>
      </c>
      <c r="AO1" s="80">
        <f>($S$32/$R$1)/$AK$1</f>
        <v>1.3764705882352941</v>
      </c>
      <c r="AP1" s="79"/>
    </row>
    <row r="2" spans="1:46" ht="12.75" customHeight="1" x14ac:dyDescent="0.25">
      <c r="A2" s="242"/>
      <c r="B2" s="82"/>
      <c r="C2" s="82"/>
      <c r="D2" s="82"/>
      <c r="E2" s="82"/>
      <c r="F2" s="1632" t="s">
        <v>400</v>
      </c>
      <c r="G2" s="82"/>
      <c r="H2" s="82"/>
      <c r="I2" s="82"/>
      <c r="J2" s="82"/>
      <c r="K2" s="82"/>
      <c r="L2" s="270"/>
      <c r="M2" s="84"/>
      <c r="N2" s="84"/>
      <c r="O2" s="84"/>
      <c r="P2" s="84"/>
      <c r="Q2" s="84"/>
      <c r="R2" s="84"/>
      <c r="AC2" s="83"/>
      <c r="AD2" s="83"/>
      <c r="AE2" s="1652"/>
      <c r="AF2" s="1653"/>
      <c r="AG2" s="1653"/>
      <c r="AJ2" s="85"/>
      <c r="AK2" s="1631" t="s">
        <v>519</v>
      </c>
      <c r="AL2" s="1631"/>
      <c r="AM2" s="1631"/>
      <c r="AN2" s="86"/>
      <c r="AO2" s="85"/>
      <c r="AP2" s="85"/>
    </row>
    <row r="3" spans="1:46" ht="12.75" customHeight="1" x14ac:dyDescent="0.25">
      <c r="A3" s="242"/>
      <c r="B3" s="87"/>
      <c r="C3" s="87"/>
      <c r="D3" s="87"/>
      <c r="E3" s="87"/>
      <c r="F3" s="1633"/>
      <c r="G3" s="87"/>
      <c r="H3" s="87"/>
      <c r="I3" s="87"/>
      <c r="J3" s="87"/>
      <c r="K3" s="87"/>
      <c r="L3" s="270"/>
      <c r="M3" s="84"/>
      <c r="N3" s="84"/>
      <c r="O3" s="84"/>
      <c r="P3" s="84"/>
      <c r="Q3" s="84"/>
      <c r="R3" s="84"/>
      <c r="AC3" s="83"/>
      <c r="AD3" s="83"/>
      <c r="AE3" s="1653"/>
      <c r="AF3" s="1653"/>
      <c r="AG3" s="1653"/>
      <c r="AJ3" s="349"/>
      <c r="AK3" s="1670" t="s">
        <v>545</v>
      </c>
      <c r="AL3" s="1670"/>
      <c r="AM3" s="89"/>
      <c r="AN3" s="89"/>
      <c r="AO3" s="88"/>
      <c r="AP3" s="88"/>
    </row>
    <row r="4" spans="1:46" ht="39"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c r="P4" s="84"/>
      <c r="AA4" s="229"/>
      <c r="AB4" s="231"/>
      <c r="AC4" s="229"/>
      <c r="AD4" s="229"/>
      <c r="AE4" s="229"/>
      <c r="AJ4" s="93" t="s">
        <v>241</v>
      </c>
      <c r="AK4" s="94" t="s">
        <v>242</v>
      </c>
      <c r="AL4" s="93" t="s">
        <v>544</v>
      </c>
      <c r="AM4" s="93" t="s">
        <v>234</v>
      </c>
      <c r="AN4" s="93" t="s">
        <v>243</v>
      </c>
      <c r="AO4" s="93" t="s">
        <v>244</v>
      </c>
      <c r="AP4" s="95" t="s">
        <v>245</v>
      </c>
      <c r="AQ4" s="75" t="s">
        <v>246</v>
      </c>
      <c r="AR4" s="75" t="s">
        <v>247</v>
      </c>
      <c r="AS4" s="75" t="s">
        <v>248</v>
      </c>
      <c r="AT4" s="75" t="s">
        <v>249</v>
      </c>
    </row>
    <row r="5" spans="1:46" ht="14.25" customHeight="1" x14ac:dyDescent="0.2">
      <c r="A5" s="1491"/>
      <c r="B5" s="459" t="s">
        <v>220</v>
      </c>
      <c r="C5" s="97" t="s">
        <v>14</v>
      </c>
      <c r="D5" s="103">
        <f>I51/10</f>
        <v>6536.0784313725489</v>
      </c>
      <c r="E5" s="99">
        <f>H52</f>
        <v>3.1589368212635751</v>
      </c>
      <c r="F5" s="109">
        <v>1</v>
      </c>
      <c r="G5" s="101">
        <f t="shared" ref="G5:G17" si="0">D5*E5</f>
        <v>20647.058823529413</v>
      </c>
      <c r="H5" s="102">
        <f t="shared" ref="H5:H17" si="1">G5*F5</f>
        <v>20647.058823529413</v>
      </c>
      <c r="I5" s="65">
        <f>VLOOKUP(B5,All_Ingredients!$A$1:$F$156,6,FALSE())</f>
        <v>0.86</v>
      </c>
      <c r="J5" s="101">
        <f>VLOOKUP(B5,All_Ingredients!$A$1:$J$156,10,FALSE())</f>
        <v>17.100000000000001</v>
      </c>
      <c r="K5" s="104">
        <f t="shared" ref="K5" si="2">(H5/I5)/1000</f>
        <v>24.008207934336525</v>
      </c>
      <c r="L5" s="104">
        <f t="shared" ref="L5" si="3">K5*J5</f>
        <v>410.54035567715459</v>
      </c>
      <c r="M5" s="84"/>
      <c r="N5" s="84"/>
      <c r="O5" s="84"/>
      <c r="P5" s="84"/>
      <c r="AA5" s="76"/>
      <c r="AB5" s="114"/>
      <c r="AC5" s="232"/>
      <c r="AD5" s="116"/>
      <c r="AE5" s="117"/>
      <c r="AJ5" s="350" t="s">
        <v>220</v>
      </c>
      <c r="AK5" s="106" t="s">
        <v>227</v>
      </c>
      <c r="AL5" s="351">
        <v>15</v>
      </c>
      <c r="AM5" s="352">
        <f>$AO$1</f>
        <v>1.3764705882352941</v>
      </c>
      <c r="AN5" s="353">
        <v>1</v>
      </c>
      <c r="AO5" s="354">
        <f>AL5*AM5</f>
        <v>20.647058823529413</v>
      </c>
      <c r="AP5" s="355">
        <f>AO5*AN5</f>
        <v>20.647058823529413</v>
      </c>
      <c r="AQ5" s="272"/>
      <c r="AR5" s="1017"/>
      <c r="AS5" s="156"/>
      <c r="AT5" s="1018"/>
    </row>
    <row r="6" spans="1:46" ht="14.25" customHeight="1" x14ac:dyDescent="0.25">
      <c r="A6" s="1455" t="s">
        <v>905</v>
      </c>
      <c r="B6" s="96" t="s">
        <v>12</v>
      </c>
      <c r="C6" s="106" t="s">
        <v>14</v>
      </c>
      <c r="D6" s="107">
        <v>100</v>
      </c>
      <c r="E6" s="201">
        <f t="shared" ref="E6:E17" si="4">$I$1</f>
        <v>3.9795918367346941</v>
      </c>
      <c r="F6" s="109">
        <v>0.95</v>
      </c>
      <c r="G6" s="101">
        <f t="shared" si="0"/>
        <v>397.9591836734694</v>
      </c>
      <c r="H6" s="102">
        <f t="shared" si="1"/>
        <v>378.0612244897959</v>
      </c>
      <c r="I6" s="65">
        <f>VLOOKUP(B6,All_Ingredients!$A$1:$F$156,6,FALSE())</f>
        <v>0.9</v>
      </c>
      <c r="J6" s="101">
        <f>VLOOKUP(B6,All_Ingredients!$A$1:$J$156,10,FALSE())</f>
        <v>3</v>
      </c>
      <c r="K6" s="104">
        <f t="shared" ref="K6:K17" si="5">(H6/I6)/1000</f>
        <v>0.42006802721088432</v>
      </c>
      <c r="L6" s="104">
        <f t="shared" ref="L6:L17" si="6">K6*J6</f>
        <v>1.260204081632653</v>
      </c>
      <c r="AJ6" s="350" t="s">
        <v>754</v>
      </c>
      <c r="AK6" s="106" t="s">
        <v>14</v>
      </c>
      <c r="AL6" s="351">
        <v>3000</v>
      </c>
      <c r="AM6" s="352">
        <f>$AO$1</f>
        <v>1.3764705882352941</v>
      </c>
      <c r="AN6" s="353">
        <v>1</v>
      </c>
      <c r="AO6" s="354">
        <f>AL6*AM6</f>
        <v>4129.411764705882</v>
      </c>
      <c r="AP6" s="355">
        <f>AO6*AN6</f>
        <v>4129.411764705882</v>
      </c>
      <c r="AQ6" s="1018">
        <f>VLOOKUP(AJ6,Marination_Ordering!$A:$J,6,FALSE)</f>
        <v>1</v>
      </c>
      <c r="AR6" s="1018">
        <f>VLOOKUP(AJ6,Marination_Ordering!$A:$J,10,FALSE)</f>
        <v>22</v>
      </c>
      <c r="AS6" s="156">
        <f>AP6/AQ6</f>
        <v>4129.411764705882</v>
      </c>
      <c r="AT6" s="1018">
        <f>AR6*(AS6/1000)</f>
        <v>90.847058823529409</v>
      </c>
    </row>
    <row r="7" spans="1:46" ht="14.25" customHeight="1" x14ac:dyDescent="0.25">
      <c r="A7" s="1455" t="s">
        <v>907</v>
      </c>
      <c r="B7" s="96" t="s">
        <v>727</v>
      </c>
      <c r="C7" s="106" t="s">
        <v>14</v>
      </c>
      <c r="D7" s="107">
        <v>30</v>
      </c>
      <c r="E7" s="201">
        <f t="shared" si="4"/>
        <v>3.9795918367346941</v>
      </c>
      <c r="F7" s="109">
        <v>1</v>
      </c>
      <c r="G7" s="101">
        <f t="shared" si="0"/>
        <v>119.38775510204083</v>
      </c>
      <c r="H7" s="102">
        <f t="shared" si="1"/>
        <v>119.38775510204083</v>
      </c>
      <c r="I7" s="65">
        <f>VLOOKUP(B7,All_Ingredients!$A$1:$F$156,6,FALSE())</f>
        <v>1</v>
      </c>
      <c r="J7" s="101">
        <f>VLOOKUP(B7,All_Ingredients!$A$1:$J$156,10,FALSE())</f>
        <v>10.5</v>
      </c>
      <c r="K7" s="104">
        <f t="shared" si="5"/>
        <v>0.11938775510204083</v>
      </c>
      <c r="L7" s="104">
        <f t="shared" si="6"/>
        <v>1.2535714285714288</v>
      </c>
      <c r="AJ7" s="350" t="s">
        <v>12</v>
      </c>
      <c r="AK7" s="106" t="s">
        <v>14</v>
      </c>
      <c r="AL7" s="351">
        <v>1000</v>
      </c>
      <c r="AM7" s="352">
        <f t="shared" ref="AM7:AM17" si="7">$AO$1</f>
        <v>1.3764705882352941</v>
      </c>
      <c r="AN7" s="353">
        <v>1</v>
      </c>
      <c r="AO7" s="354">
        <f t="shared" ref="AO7:AO17" si="8">AL7*AM7</f>
        <v>1376.4705882352941</v>
      </c>
      <c r="AP7" s="355">
        <f t="shared" ref="AP7:AP17" si="9">AO7*AN7</f>
        <v>1376.4705882352941</v>
      </c>
      <c r="AQ7" s="1018">
        <f>VLOOKUP(AJ7,Marination_Ordering!$A:$J,6,FALSE)</f>
        <v>0.9</v>
      </c>
      <c r="AR7" s="1018">
        <f>VLOOKUP(AJ7,Marination_Ordering!$A:$J,10,FALSE)</f>
        <v>3</v>
      </c>
      <c r="AS7" s="156">
        <f t="shared" ref="AS7:AS8" si="10">AP7/AQ7</f>
        <v>1529.4117647058824</v>
      </c>
      <c r="AT7" s="1018">
        <f t="shared" ref="AT7:AT8" si="11">AR7*(AS7/1000)</f>
        <v>4.5882352941176476</v>
      </c>
    </row>
    <row r="8" spans="1:46" ht="14.25" customHeight="1" x14ac:dyDescent="0.25">
      <c r="A8" s="1455" t="s">
        <v>927</v>
      </c>
      <c r="B8" s="96" t="s">
        <v>754</v>
      </c>
      <c r="C8" s="106" t="s">
        <v>14</v>
      </c>
      <c r="D8" s="107">
        <v>350</v>
      </c>
      <c r="E8" s="201">
        <f t="shared" si="4"/>
        <v>3.9795918367346941</v>
      </c>
      <c r="F8" s="109">
        <v>1</v>
      </c>
      <c r="G8" s="101">
        <f t="shared" si="0"/>
        <v>1392.8571428571429</v>
      </c>
      <c r="H8" s="102">
        <f t="shared" si="1"/>
        <v>1392.8571428571429</v>
      </c>
      <c r="I8" s="65">
        <f>VLOOKUP(B8,All_Ingredients!$A$1:$F$156,6,FALSE())</f>
        <v>1</v>
      </c>
      <c r="J8" s="101">
        <f>VLOOKUP(B8,All_Ingredients!$A$1:$J$156,10,FALSE())</f>
        <v>22</v>
      </c>
      <c r="K8" s="104">
        <f t="shared" si="5"/>
        <v>1.3928571428571428</v>
      </c>
      <c r="L8" s="104">
        <f t="shared" si="6"/>
        <v>30.642857142857142</v>
      </c>
      <c r="AJ8" s="350" t="s">
        <v>727</v>
      </c>
      <c r="AK8" s="106" t="s">
        <v>14</v>
      </c>
      <c r="AL8" s="351">
        <v>250</v>
      </c>
      <c r="AM8" s="352">
        <f t="shared" si="7"/>
        <v>1.3764705882352941</v>
      </c>
      <c r="AN8" s="353">
        <v>1</v>
      </c>
      <c r="AO8" s="354">
        <f t="shared" si="8"/>
        <v>344.11764705882354</v>
      </c>
      <c r="AP8" s="355">
        <f t="shared" si="9"/>
        <v>344.11764705882354</v>
      </c>
      <c r="AQ8" s="1018">
        <f>VLOOKUP(AJ8,Marination_Ordering!$A:$J,6,FALSE)</f>
        <v>1</v>
      </c>
      <c r="AR8" s="1018">
        <f>VLOOKUP(AJ8,Marination_Ordering!$A:$J,10,FALSE)</f>
        <v>10.5</v>
      </c>
      <c r="AS8" s="156">
        <f t="shared" si="10"/>
        <v>344.11764705882354</v>
      </c>
      <c r="AT8" s="1018">
        <f t="shared" si="11"/>
        <v>3.6132352941176471</v>
      </c>
    </row>
    <row r="9" spans="1:46" ht="14.25" customHeight="1" x14ac:dyDescent="0.25">
      <c r="A9" s="1455"/>
      <c r="B9" s="96" t="s">
        <v>79</v>
      </c>
      <c r="C9" s="106" t="s">
        <v>14</v>
      </c>
      <c r="D9" s="107">
        <v>1</v>
      </c>
      <c r="E9" s="201">
        <f t="shared" si="4"/>
        <v>3.9795918367346941</v>
      </c>
      <c r="F9" s="109">
        <v>0.75</v>
      </c>
      <c r="G9" s="101">
        <f t="shared" si="0"/>
        <v>3.9795918367346941</v>
      </c>
      <c r="H9" s="102">
        <f t="shared" si="1"/>
        <v>2.9846938775510203</v>
      </c>
      <c r="I9" s="65">
        <f>VLOOKUP(B9,All_Ingredients!$A$1:$F$156,6,FALSE())</f>
        <v>1</v>
      </c>
      <c r="J9" s="101">
        <f>VLOOKUP(B9,All_Ingredients!$A$1:$J$156,10,FALSE())</f>
        <v>7</v>
      </c>
      <c r="K9" s="104">
        <f t="shared" si="5"/>
        <v>2.9846938775510202E-3</v>
      </c>
      <c r="L9" s="104">
        <f t="shared" si="6"/>
        <v>2.089285714285714E-2</v>
      </c>
      <c r="AJ9" s="350" t="s">
        <v>152</v>
      </c>
      <c r="AK9" s="106" t="s">
        <v>14</v>
      </c>
      <c r="AL9" s="351">
        <v>300</v>
      </c>
      <c r="AM9" s="352">
        <f t="shared" si="7"/>
        <v>1.3764705882352941</v>
      </c>
      <c r="AN9" s="353">
        <v>1</v>
      </c>
      <c r="AO9" s="354">
        <f t="shared" si="8"/>
        <v>412.94117647058823</v>
      </c>
      <c r="AP9" s="355">
        <f t="shared" si="9"/>
        <v>412.94117647058823</v>
      </c>
      <c r="AQ9" s="1018">
        <f>VLOOKUP(AJ9,Marination_Ordering!$A:$J,6,FALSE)</f>
        <v>1</v>
      </c>
      <c r="AR9" s="1018">
        <f>VLOOKUP(AJ9,Marination_Ordering!$A:$J,10,FALSE)</f>
        <v>30</v>
      </c>
      <c r="AS9" s="156">
        <f t="shared" ref="AS9:AS17" si="12">AP9/AQ9</f>
        <v>412.94117647058823</v>
      </c>
      <c r="AT9" s="1018">
        <f t="shared" ref="AT9:AT17" si="13">AR9*(AS9/1000)</f>
        <v>12.388235294117647</v>
      </c>
    </row>
    <row r="10" spans="1:46" ht="14.25" customHeight="1" x14ac:dyDescent="0.25">
      <c r="A10" s="1455"/>
      <c r="B10" s="96" t="s">
        <v>99</v>
      </c>
      <c r="C10" s="106" t="s">
        <v>14</v>
      </c>
      <c r="D10" s="107">
        <v>2</v>
      </c>
      <c r="E10" s="201">
        <f t="shared" si="4"/>
        <v>3.9795918367346941</v>
      </c>
      <c r="F10" s="109">
        <v>0.75</v>
      </c>
      <c r="G10" s="101">
        <f t="shared" si="0"/>
        <v>7.9591836734693882</v>
      </c>
      <c r="H10" s="102">
        <f t="shared" si="1"/>
        <v>5.9693877551020407</v>
      </c>
      <c r="I10" s="65">
        <f>VLOOKUP(B10,All_Ingredients!$A$1:$F$156,6,FALSE())</f>
        <v>1</v>
      </c>
      <c r="J10" s="101">
        <f>VLOOKUP(B10,All_Ingredients!$A$1:$J$156,10,FALSE())</f>
        <v>31</v>
      </c>
      <c r="K10" s="104">
        <f t="shared" si="5"/>
        <v>5.9693877551020404E-3</v>
      </c>
      <c r="L10" s="104">
        <f t="shared" si="6"/>
        <v>0.18505102040816326</v>
      </c>
      <c r="AJ10" s="350" t="s">
        <v>990</v>
      </c>
      <c r="AK10" s="106" t="s">
        <v>14</v>
      </c>
      <c r="AL10" s="351">
        <v>350</v>
      </c>
      <c r="AM10" s="352">
        <f t="shared" si="7"/>
        <v>1.3764705882352941</v>
      </c>
      <c r="AN10" s="353">
        <v>1</v>
      </c>
      <c r="AO10" s="354">
        <f t="shared" si="8"/>
        <v>481.76470588235293</v>
      </c>
      <c r="AP10" s="355">
        <f t="shared" si="9"/>
        <v>481.76470588235293</v>
      </c>
      <c r="AQ10" s="1018">
        <f>VLOOKUP(AJ10,Marination_Ordering!$A:$J,6,FALSE)</f>
        <v>1</v>
      </c>
      <c r="AR10" s="1018">
        <f>VLOOKUP(AJ10,Marination_Ordering!$A:$J,10,FALSE)</f>
        <v>11.304</v>
      </c>
      <c r="AS10" s="156">
        <f t="shared" si="12"/>
        <v>481.76470588235293</v>
      </c>
      <c r="AT10" s="1018">
        <f t="shared" si="13"/>
        <v>5.4458682352941175</v>
      </c>
    </row>
    <row r="11" spans="1:46" ht="14.25" customHeight="1" x14ac:dyDescent="0.25">
      <c r="A11" s="1455"/>
      <c r="B11" s="96" t="s">
        <v>93</v>
      </c>
      <c r="C11" s="106" t="s">
        <v>14</v>
      </c>
      <c r="D11" s="107">
        <v>5</v>
      </c>
      <c r="E11" s="201">
        <f t="shared" si="4"/>
        <v>3.9795918367346941</v>
      </c>
      <c r="F11" s="109">
        <v>0.75</v>
      </c>
      <c r="G11" s="101">
        <f t="shared" si="0"/>
        <v>19.897959183673471</v>
      </c>
      <c r="H11" s="102">
        <f t="shared" si="1"/>
        <v>14.923469387755103</v>
      </c>
      <c r="I11" s="65">
        <f>VLOOKUP(B11,All_Ingredients!$A$1:$F$156,6,FALSE())</f>
        <v>1</v>
      </c>
      <c r="J11" s="101">
        <f>VLOOKUP(B11,All_Ingredients!$A$1:$J$156,10,FALSE())</f>
        <v>0.74</v>
      </c>
      <c r="K11" s="104">
        <f t="shared" si="5"/>
        <v>1.4923469387755104E-2</v>
      </c>
      <c r="L11" s="104">
        <f t="shared" si="6"/>
        <v>1.1043367346938776E-2</v>
      </c>
      <c r="AJ11" s="350" t="s">
        <v>726</v>
      </c>
      <c r="AK11" s="106" t="s">
        <v>14</v>
      </c>
      <c r="AL11" s="351">
        <v>100</v>
      </c>
      <c r="AM11" s="352">
        <f t="shared" si="7"/>
        <v>1.3764705882352941</v>
      </c>
      <c r="AN11" s="353">
        <v>1</v>
      </c>
      <c r="AO11" s="354">
        <f t="shared" si="8"/>
        <v>137.64705882352942</v>
      </c>
      <c r="AP11" s="355">
        <f t="shared" si="9"/>
        <v>137.64705882352942</v>
      </c>
      <c r="AQ11" s="1018">
        <f>VLOOKUP(AJ11,Marination_Ordering!$A:$J,6,FALSE)</f>
        <v>1</v>
      </c>
      <c r="AR11" s="1018">
        <f>VLOOKUP(AJ11,Marination_Ordering!$A:$J,10,FALSE)</f>
        <v>67.91483113069016</v>
      </c>
      <c r="AS11" s="156">
        <f t="shared" si="12"/>
        <v>137.64705882352942</v>
      </c>
      <c r="AT11" s="1018">
        <f t="shared" si="13"/>
        <v>9.3482767556361761</v>
      </c>
    </row>
    <row r="12" spans="1:46" ht="14.25" customHeight="1" x14ac:dyDescent="0.25">
      <c r="A12" s="1455"/>
      <c r="B12" s="96" t="s">
        <v>152</v>
      </c>
      <c r="C12" s="106" t="s">
        <v>14</v>
      </c>
      <c r="D12" s="107">
        <v>15</v>
      </c>
      <c r="E12" s="201">
        <f t="shared" si="4"/>
        <v>3.9795918367346941</v>
      </c>
      <c r="F12" s="109">
        <v>1</v>
      </c>
      <c r="G12" s="101">
        <f t="shared" si="0"/>
        <v>59.693877551020414</v>
      </c>
      <c r="H12" s="102">
        <f t="shared" si="1"/>
        <v>59.693877551020414</v>
      </c>
      <c r="I12" s="65">
        <f>VLOOKUP(B12,All_Ingredients!$A$1:$F$156,6,FALSE())</f>
        <v>1</v>
      </c>
      <c r="J12" s="101">
        <f>VLOOKUP(B12,All_Ingredients!$A$1:$J$156,10,FALSE())</f>
        <v>30</v>
      </c>
      <c r="K12" s="104">
        <f t="shared" si="5"/>
        <v>5.9693877551020416E-2</v>
      </c>
      <c r="L12" s="104">
        <f t="shared" si="6"/>
        <v>1.7908163265306125</v>
      </c>
      <c r="AJ12" s="350" t="s">
        <v>64</v>
      </c>
      <c r="AK12" s="106" t="s">
        <v>14</v>
      </c>
      <c r="AL12" s="351">
        <v>50</v>
      </c>
      <c r="AM12" s="352">
        <f t="shared" si="7"/>
        <v>1.3764705882352941</v>
      </c>
      <c r="AN12" s="353">
        <v>1</v>
      </c>
      <c r="AO12" s="354">
        <f t="shared" si="8"/>
        <v>68.82352941176471</v>
      </c>
      <c r="AP12" s="355">
        <f t="shared" si="9"/>
        <v>68.82352941176471</v>
      </c>
      <c r="AQ12" s="1018">
        <f>VLOOKUP(AJ12,Marination_Ordering!$A:$J,6,FALSE)</f>
        <v>0.65</v>
      </c>
      <c r="AR12" s="1018">
        <f>VLOOKUP(AJ12,Marination_Ordering!$A:$J,10,FALSE)</f>
        <v>3.5</v>
      </c>
      <c r="AS12" s="156">
        <f t="shared" si="12"/>
        <v>105.88235294117648</v>
      </c>
      <c r="AT12" s="1018">
        <f t="shared" si="13"/>
        <v>0.37058823529411766</v>
      </c>
    </row>
    <row r="13" spans="1:46" ht="14.25" customHeight="1" x14ac:dyDescent="0.25">
      <c r="A13" s="1455"/>
      <c r="B13" s="96" t="s">
        <v>185</v>
      </c>
      <c r="C13" s="106" t="s">
        <v>14</v>
      </c>
      <c r="D13" s="107">
        <v>20</v>
      </c>
      <c r="E13" s="201">
        <f t="shared" si="4"/>
        <v>3.9795918367346941</v>
      </c>
      <c r="F13" s="109">
        <v>0.75</v>
      </c>
      <c r="G13" s="101">
        <f t="shared" si="0"/>
        <v>79.591836734693885</v>
      </c>
      <c r="H13" s="102">
        <f t="shared" si="1"/>
        <v>59.693877551020414</v>
      </c>
      <c r="I13" s="65">
        <f>VLOOKUP(B13,All_Ingredients!$A$1:$F$156,6,FALSE())</f>
        <v>1</v>
      </c>
      <c r="J13" s="101">
        <f>VLOOKUP(B13,All_Ingredients!$A$1:$J$156,10,FALSE())</f>
        <v>1.7</v>
      </c>
      <c r="K13" s="104">
        <f t="shared" si="5"/>
        <v>5.9693877551020416E-2</v>
      </c>
      <c r="L13" s="104">
        <f t="shared" si="6"/>
        <v>0.1014795918367347</v>
      </c>
      <c r="AJ13" s="350" t="s">
        <v>729</v>
      </c>
      <c r="AK13" s="106" t="s">
        <v>14</v>
      </c>
      <c r="AL13" s="351">
        <v>10</v>
      </c>
      <c r="AM13" s="352">
        <f t="shared" si="7"/>
        <v>1.3764705882352941</v>
      </c>
      <c r="AN13" s="353">
        <v>1</v>
      </c>
      <c r="AO13" s="354">
        <f t="shared" si="8"/>
        <v>13.764705882352942</v>
      </c>
      <c r="AP13" s="355">
        <f t="shared" si="9"/>
        <v>13.764705882352942</v>
      </c>
      <c r="AQ13" s="1018">
        <f>VLOOKUP(AJ13,Marination_Ordering!$A:$J,6,FALSE)</f>
        <v>0.5</v>
      </c>
      <c r="AR13" s="1018">
        <f>VLOOKUP(AJ13,Marination_Ordering!$A:$J,10,FALSE)</f>
        <v>90</v>
      </c>
      <c r="AS13" s="156">
        <f t="shared" si="12"/>
        <v>27.529411764705884</v>
      </c>
      <c r="AT13" s="1018">
        <f t="shared" si="13"/>
        <v>2.4776470588235298</v>
      </c>
    </row>
    <row r="14" spans="1:46" ht="14.25" customHeight="1" x14ac:dyDescent="0.25">
      <c r="A14" s="1455"/>
      <c r="B14" s="96" t="s">
        <v>159</v>
      </c>
      <c r="C14" s="106" t="s">
        <v>160</v>
      </c>
      <c r="D14" s="107">
        <v>600</v>
      </c>
      <c r="E14" s="201">
        <f t="shared" si="4"/>
        <v>3.9795918367346941</v>
      </c>
      <c r="F14" s="109">
        <v>1</v>
      </c>
      <c r="G14" s="101">
        <f t="shared" si="0"/>
        <v>2387.7551020408164</v>
      </c>
      <c r="H14" s="102">
        <f t="shared" si="1"/>
        <v>2387.7551020408164</v>
      </c>
      <c r="I14" s="65">
        <f>VLOOKUP(B14,All_Ingredients!$A$1:$F$156,6,FALSE())</f>
        <v>1</v>
      </c>
      <c r="J14" s="101">
        <f>VLOOKUP(B14,All_Ingredients!$A$1:$J$156,10,FALSE())</f>
        <v>4.2033333333333331</v>
      </c>
      <c r="K14" s="104">
        <f t="shared" si="5"/>
        <v>2.3877551020408165</v>
      </c>
      <c r="L14" s="104">
        <f t="shared" si="6"/>
        <v>10.036530612244899</v>
      </c>
      <c r="AJ14" s="350" t="s">
        <v>141</v>
      </c>
      <c r="AK14" s="106" t="s">
        <v>14</v>
      </c>
      <c r="AL14" s="351">
        <v>2.5</v>
      </c>
      <c r="AM14" s="352">
        <f t="shared" si="7"/>
        <v>1.3764705882352941</v>
      </c>
      <c r="AN14" s="353">
        <v>1</v>
      </c>
      <c r="AO14" s="354">
        <f t="shared" si="8"/>
        <v>3.4411764705882355</v>
      </c>
      <c r="AP14" s="355">
        <f t="shared" si="9"/>
        <v>3.4411764705882355</v>
      </c>
      <c r="AQ14" s="1018">
        <f>VLOOKUP(AJ14,Marination_Ordering!$A:$J,6,FALSE)</f>
        <v>1</v>
      </c>
      <c r="AR14" s="1018">
        <f>VLOOKUP(AJ14,Marination_Ordering!$A:$J,10,FALSE)</f>
        <v>249.99999999999997</v>
      </c>
      <c r="AS14" s="156">
        <f t="shared" si="12"/>
        <v>3.4411764705882355</v>
      </c>
      <c r="AT14" s="1018">
        <f t="shared" si="13"/>
        <v>0.86029411764705888</v>
      </c>
    </row>
    <row r="15" spans="1:46" ht="15" customHeight="1" x14ac:dyDescent="0.25">
      <c r="A15" s="1455"/>
      <c r="B15" s="96" t="s">
        <v>166</v>
      </c>
      <c r="C15" s="106" t="s">
        <v>160</v>
      </c>
      <c r="D15" s="107">
        <v>600</v>
      </c>
      <c r="E15" s="201">
        <f t="shared" si="4"/>
        <v>3.9795918367346941</v>
      </c>
      <c r="F15" s="109">
        <v>1</v>
      </c>
      <c r="G15" s="101">
        <f t="shared" si="0"/>
        <v>2387.7551020408164</v>
      </c>
      <c r="H15" s="102">
        <f t="shared" si="1"/>
        <v>2387.7551020408164</v>
      </c>
      <c r="I15" s="65">
        <f>VLOOKUP(B15,All_Ingredients!$A$1:$F$156,6,FALSE())</f>
        <v>1</v>
      </c>
      <c r="J15" s="101">
        <f>VLOOKUP(B15,All_Ingredients!$A$1:$J$156,10,FALSE())</f>
        <v>12.666666666666666</v>
      </c>
      <c r="K15" s="104">
        <f t="shared" si="5"/>
        <v>2.3877551020408165</v>
      </c>
      <c r="L15" s="104">
        <f t="shared" si="6"/>
        <v>30.244897959183675</v>
      </c>
      <c r="AJ15" s="350" t="s">
        <v>93</v>
      </c>
      <c r="AK15" s="106" t="s">
        <v>14</v>
      </c>
      <c r="AL15" s="351">
        <v>15</v>
      </c>
      <c r="AM15" s="352">
        <f t="shared" si="7"/>
        <v>1.3764705882352941</v>
      </c>
      <c r="AN15" s="353">
        <v>1</v>
      </c>
      <c r="AO15" s="354">
        <f>AL15*AM15</f>
        <v>20.647058823529413</v>
      </c>
      <c r="AP15" s="355">
        <f>AO15*AN15</f>
        <v>20.647058823529413</v>
      </c>
      <c r="AQ15" s="1018">
        <f>VLOOKUP(AJ15,Marination_Ordering!$A:$J,6,FALSE)</f>
        <v>1</v>
      </c>
      <c r="AR15" s="1018">
        <f>VLOOKUP(AJ15,Marination_Ordering!$A:$J,10,FALSE)</f>
        <v>0.74</v>
      </c>
      <c r="AS15" s="156">
        <f t="shared" si="12"/>
        <v>20.647058823529413</v>
      </c>
      <c r="AT15" s="1018">
        <f t="shared" si="13"/>
        <v>1.5278823529411767E-2</v>
      </c>
    </row>
    <row r="16" spans="1:46" ht="14.25" customHeight="1" x14ac:dyDescent="0.25">
      <c r="A16" s="1455"/>
      <c r="B16" s="96" t="s">
        <v>192</v>
      </c>
      <c r="C16" s="106" t="s">
        <v>160</v>
      </c>
      <c r="D16" s="107">
        <v>3</v>
      </c>
      <c r="E16" s="201">
        <f t="shared" si="4"/>
        <v>3.9795918367346941</v>
      </c>
      <c r="F16" s="109">
        <v>0.75</v>
      </c>
      <c r="G16" s="101">
        <f t="shared" si="0"/>
        <v>11.938775510204081</v>
      </c>
      <c r="H16" s="102">
        <f t="shared" si="1"/>
        <v>8.954081632653061</v>
      </c>
      <c r="I16" s="65">
        <f>VLOOKUP(B16,All_Ingredients!$A$1:$F$156,6,FALSE())</f>
        <v>1</v>
      </c>
      <c r="J16" s="101">
        <f>VLOOKUP(B16,All_Ingredients!$A$1:$J$156,10,FALSE())</f>
        <v>58.685446009389672</v>
      </c>
      <c r="K16" s="104">
        <f t="shared" si="5"/>
        <v>8.954081632653061E-3</v>
      </c>
      <c r="L16" s="104">
        <f t="shared" si="6"/>
        <v>0.52547427421672899</v>
      </c>
      <c r="AJ16" s="350" t="s">
        <v>101</v>
      </c>
      <c r="AK16" s="106" t="s">
        <v>14</v>
      </c>
      <c r="AL16" s="351">
        <v>10</v>
      </c>
      <c r="AM16" s="352">
        <f t="shared" si="7"/>
        <v>1.3764705882352941</v>
      </c>
      <c r="AN16" s="353">
        <v>1</v>
      </c>
      <c r="AO16" s="354">
        <f>AL16*AM16</f>
        <v>13.764705882352942</v>
      </c>
      <c r="AP16" s="355">
        <f>AO16*AN16</f>
        <v>13.764705882352942</v>
      </c>
      <c r="AQ16" s="1018">
        <f>VLOOKUP(AJ16,Marination_Ordering!$A:$J,6,FALSE)</f>
        <v>1</v>
      </c>
      <c r="AR16" s="1018">
        <f>VLOOKUP(AJ16,Marination_Ordering!$A:$J,10,FALSE)</f>
        <v>47</v>
      </c>
      <c r="AS16" s="156">
        <f t="shared" si="12"/>
        <v>13.764705882352942</v>
      </c>
      <c r="AT16" s="1018">
        <f t="shared" si="13"/>
        <v>0.64694117647058835</v>
      </c>
    </row>
    <row r="17" spans="1:46" ht="14.25" customHeight="1" x14ac:dyDescent="0.25">
      <c r="A17" s="1455"/>
      <c r="B17" s="96" t="s">
        <v>139</v>
      </c>
      <c r="C17" s="106" t="s">
        <v>14</v>
      </c>
      <c r="D17" s="107">
        <v>20</v>
      </c>
      <c r="E17" s="201">
        <f t="shared" si="4"/>
        <v>3.9795918367346941</v>
      </c>
      <c r="F17" s="109">
        <v>0.75</v>
      </c>
      <c r="G17" s="101">
        <f t="shared" si="0"/>
        <v>79.591836734693885</v>
      </c>
      <c r="H17" s="102">
        <f t="shared" si="1"/>
        <v>59.693877551020414</v>
      </c>
      <c r="I17" s="65">
        <f>VLOOKUP(B17,All_Ingredients!$A$1:$F$156,6,FALSE())</f>
        <v>1</v>
      </c>
      <c r="J17" s="101">
        <f>VLOOKUP(B17,All_Ingredients!$A$1:$J$156,10,FALSE())</f>
        <v>15.277777777777779</v>
      </c>
      <c r="K17" s="104">
        <f t="shared" si="5"/>
        <v>5.9693877551020416E-2</v>
      </c>
      <c r="L17" s="104">
        <f t="shared" si="6"/>
        <v>0.91198979591836749</v>
      </c>
      <c r="AJ17" s="350" t="s">
        <v>99</v>
      </c>
      <c r="AK17" s="106" t="s">
        <v>14</v>
      </c>
      <c r="AL17" s="351">
        <v>5</v>
      </c>
      <c r="AM17" s="352">
        <f t="shared" si="7"/>
        <v>1.3764705882352941</v>
      </c>
      <c r="AN17" s="353">
        <v>1</v>
      </c>
      <c r="AO17" s="354">
        <f t="shared" si="8"/>
        <v>6.882352941176471</v>
      </c>
      <c r="AP17" s="355">
        <f t="shared" si="9"/>
        <v>6.882352941176471</v>
      </c>
      <c r="AQ17" s="1018">
        <f>VLOOKUP(AJ17,Marination_Ordering!$A:$J,6,FALSE)</f>
        <v>1</v>
      </c>
      <c r="AR17" s="1018">
        <f>VLOOKUP(AJ17,Marination_Ordering!$A:$J,10,FALSE)</f>
        <v>31</v>
      </c>
      <c r="AS17" s="156">
        <f t="shared" si="12"/>
        <v>6.882352941176471</v>
      </c>
      <c r="AT17" s="1018">
        <f t="shared" si="13"/>
        <v>0.21335294117647061</v>
      </c>
    </row>
    <row r="18" spans="1:46" x14ac:dyDescent="0.25">
      <c r="A18" s="62"/>
    </row>
    <row r="19" spans="1:46" x14ac:dyDescent="0.25">
      <c r="A19" s="62"/>
    </row>
    <row r="20" spans="1:46" ht="14.25" customHeight="1" x14ac:dyDescent="0.25">
      <c r="A20" s="62"/>
      <c r="L20" s="189"/>
    </row>
    <row r="21" spans="1:46" ht="14.25" customHeight="1" x14ac:dyDescent="0.25">
      <c r="A21" s="62"/>
      <c r="L21" s="189"/>
    </row>
    <row r="22" spans="1:46" ht="14.25" customHeight="1" x14ac:dyDescent="0.25">
      <c r="A22" s="62"/>
      <c r="L22" s="189"/>
      <c r="R22" s="110" t="s">
        <v>300</v>
      </c>
    </row>
    <row r="23" spans="1:46" ht="14.25" customHeight="1" x14ac:dyDescent="0.25">
      <c r="A23" s="62"/>
      <c r="L23" s="189"/>
      <c r="R23" s="252" t="s">
        <v>401</v>
      </c>
    </row>
    <row r="24" spans="1:46" ht="14.25" customHeight="1" x14ac:dyDescent="0.25">
      <c r="A24" s="62"/>
      <c r="L24" s="189"/>
      <c r="Z24" s="1124"/>
    </row>
    <row r="25" spans="1:46" ht="14.25" customHeight="1" x14ac:dyDescent="0.25">
      <c r="A25" s="62"/>
      <c r="L25" s="189"/>
      <c r="R25" s="1717" t="s">
        <v>519</v>
      </c>
      <c r="S25" s="1717"/>
      <c r="T25" s="1717"/>
      <c r="U25" s="1717"/>
      <c r="V25" s="1717"/>
      <c r="W25" s="997"/>
      <c r="Z25" s="122" t="s">
        <v>252</v>
      </c>
      <c r="AA25" s="123">
        <v>1</v>
      </c>
      <c r="AB25" s="122" t="s">
        <v>249</v>
      </c>
      <c r="AC25" s="124">
        <f>(AA25*(4/3))*AF30+(AA30*(AB28/R1))</f>
        <v>5.2883138003960425E-2</v>
      </c>
      <c r="AD25" s="14"/>
      <c r="AN25" s="572"/>
      <c r="AP25" s="744"/>
    </row>
    <row r="26" spans="1:46" ht="14.25" customHeight="1" x14ac:dyDescent="0.25">
      <c r="A26" s="62"/>
      <c r="B26" s="84"/>
      <c r="E26" s="84"/>
      <c r="F26" s="84"/>
      <c r="R26" s="1718" t="s">
        <v>402</v>
      </c>
      <c r="S26" s="1718"/>
      <c r="T26" s="1718"/>
      <c r="U26" s="1718"/>
      <c r="V26" s="1718"/>
      <c r="W26" s="997"/>
      <c r="Z26" s="14"/>
      <c r="AA26" s="14"/>
      <c r="AB26" s="14"/>
      <c r="AC26" s="14"/>
      <c r="AD26" s="14"/>
      <c r="AN26" s="572"/>
    </row>
    <row r="27" spans="1:46" ht="14.25" customHeight="1" thickBot="1" x14ac:dyDescent="0.3">
      <c r="A27" s="62"/>
      <c r="R27" s="126" t="s">
        <v>254</v>
      </c>
      <c r="S27" s="127" t="s">
        <v>255</v>
      </c>
      <c r="T27" s="127" t="s">
        <v>256</v>
      </c>
      <c r="U27" s="127" t="s">
        <v>403</v>
      </c>
      <c r="V27" s="126" t="s">
        <v>257</v>
      </c>
      <c r="W27" s="127" t="s">
        <v>772</v>
      </c>
      <c r="X27" s="127" t="s">
        <v>779</v>
      </c>
      <c r="Z27" s="1029" t="s">
        <v>258</v>
      </c>
      <c r="AA27" s="1031" t="s">
        <v>312</v>
      </c>
      <c r="AB27" s="1032" t="s">
        <v>259</v>
      </c>
      <c r="AC27" s="1032" t="s">
        <v>261</v>
      </c>
      <c r="AD27" s="1032" t="s">
        <v>403</v>
      </c>
      <c r="AE27" s="1032" t="s">
        <v>779</v>
      </c>
      <c r="AF27" s="1032" t="s">
        <v>262</v>
      </c>
    </row>
    <row r="28" spans="1:46" ht="14.25" customHeight="1" thickBot="1" x14ac:dyDescent="0.3">
      <c r="A28" s="62"/>
      <c r="R28" s="129" t="s">
        <v>263</v>
      </c>
      <c r="S28" s="690">
        <f>V28*0.9</f>
        <v>10530</v>
      </c>
      <c r="T28" s="690"/>
      <c r="U28" s="690">
        <f>V28*0.1</f>
        <v>1170</v>
      </c>
      <c r="V28" s="720">
        <f>$Z$1</f>
        <v>11700</v>
      </c>
      <c r="W28" s="130">
        <f>SUM(AP5:AP17)</f>
        <v>7030.3235294117667</v>
      </c>
      <c r="X28" s="130">
        <f>F37</f>
        <v>5.6700000000000008</v>
      </c>
      <c r="Z28" s="1033"/>
      <c r="AA28" s="1034"/>
      <c r="AB28" s="1136">
        <f>AA25*$S$40</f>
        <v>0.9</v>
      </c>
      <c r="AC28" s="1134">
        <f>AA25*(1/3)</f>
        <v>0.33333333333333331</v>
      </c>
      <c r="AD28" s="3">
        <f>AA25*U40</f>
        <v>0.1</v>
      </c>
      <c r="AE28" s="1034"/>
      <c r="AF28" s="1137">
        <f>SUM(AB28:AD28)</f>
        <v>1.3333333333333335</v>
      </c>
    </row>
    <row r="29" spans="1:46" ht="14.25" customHeight="1" thickBot="1" x14ac:dyDescent="0.3">
      <c r="A29" s="62"/>
      <c r="B29" s="84"/>
      <c r="E29" s="84"/>
      <c r="F29" s="84"/>
      <c r="R29" s="129" t="s">
        <v>264</v>
      </c>
      <c r="S29" s="1255"/>
      <c r="T29" s="130">
        <f>V28*(1/3)</f>
        <v>3900</v>
      </c>
      <c r="U29" s="1255"/>
      <c r="V29" s="1256"/>
      <c r="W29" s="130"/>
      <c r="X29" s="130"/>
      <c r="Z29" s="1033"/>
      <c r="AA29" s="1038"/>
      <c r="AB29" s="1041">
        <f>AB28/$AF$28</f>
        <v>0.67499999999999993</v>
      </c>
      <c r="AC29" s="1041">
        <f>AC28/$AF$28</f>
        <v>0.24999999999999994</v>
      </c>
      <c r="AD29" s="1041">
        <f>AD28/$AF$28</f>
        <v>7.4999999999999997E-2</v>
      </c>
      <c r="AE29" s="1038"/>
      <c r="AF29" s="1041">
        <f>AF28/$AF$28</f>
        <v>1</v>
      </c>
    </row>
    <row r="30" spans="1:46" ht="14.25" customHeight="1" thickBot="1" x14ac:dyDescent="0.3">
      <c r="A30" s="62"/>
      <c r="R30" s="129" t="s">
        <v>265</v>
      </c>
      <c r="S30" s="692">
        <f>V30*0.9</f>
        <v>0</v>
      </c>
      <c r="T30" s="692">
        <f>V30*0.3</f>
        <v>0</v>
      </c>
      <c r="U30" s="692">
        <f>V30*0.1</f>
        <v>0</v>
      </c>
      <c r="V30" s="747">
        <f>$AB$1</f>
        <v>0</v>
      </c>
      <c r="W30" s="989"/>
      <c r="X30" s="989"/>
      <c r="Z30" s="1029" t="s">
        <v>266</v>
      </c>
      <c r="AA30" s="1042">
        <f>W35/(S32/R1)</f>
        <v>6.3357698143755425E-3</v>
      </c>
      <c r="AB30" s="1044">
        <f>S35/(S32)</f>
        <v>3.8987688098495211E-2</v>
      </c>
      <c r="AC30" s="475">
        <f>T35/T32</f>
        <v>1.1882551619239243E-2</v>
      </c>
      <c r="AD30" s="3">
        <f>U35/U32</f>
        <v>2.6190476190476191E-2</v>
      </c>
      <c r="AE30" s="1045">
        <f>X35/V32</f>
        <v>2.5162721893491125E-5</v>
      </c>
      <c r="AF30" s="1135">
        <f>SUMPRODUCT(AB30:AD30,AB29:AD29)+AE30</f>
        <v>3.1276775807473282E-2</v>
      </c>
    </row>
    <row r="31" spans="1:46" ht="14.25" customHeight="1" thickBot="1" x14ac:dyDescent="0.3">
      <c r="A31" s="62"/>
      <c r="R31" s="129"/>
      <c r="S31" s="136"/>
      <c r="T31" s="130"/>
      <c r="U31" s="136"/>
      <c r="V31" s="315"/>
      <c r="W31" s="130"/>
      <c r="X31" s="130"/>
    </row>
    <row r="32" spans="1:46" ht="14.25" customHeight="1" thickBot="1" x14ac:dyDescent="0.3">
      <c r="A32" s="62"/>
      <c r="R32" s="141" t="s">
        <v>257</v>
      </c>
      <c r="S32" s="130">
        <f>S28+S30</f>
        <v>10530</v>
      </c>
      <c r="T32" s="130">
        <f>SUM(T28:T30)</f>
        <v>3900</v>
      </c>
      <c r="U32" s="130">
        <f>U28+U30</f>
        <v>1170</v>
      </c>
      <c r="V32" s="316">
        <f>S32+U32+T32</f>
        <v>15600</v>
      </c>
      <c r="W32" s="130"/>
      <c r="X32" s="130">
        <f>H37</f>
        <v>5.6700000000000008</v>
      </c>
    </row>
    <row r="33" spans="1:25" ht="14.25" customHeight="1" thickBot="1" x14ac:dyDescent="0.3">
      <c r="A33" s="62"/>
      <c r="B33" s="84"/>
      <c r="E33" s="84"/>
      <c r="F33" s="84"/>
      <c r="R33" s="142" t="s">
        <v>268</v>
      </c>
      <c r="S33" s="136"/>
      <c r="T33" s="136"/>
      <c r="U33" s="136"/>
      <c r="V33" s="319"/>
      <c r="W33" s="136"/>
      <c r="X33" s="136"/>
    </row>
    <row r="34" spans="1:25" ht="14.25" customHeight="1" thickBot="1" x14ac:dyDescent="0.3">
      <c r="A34" s="62"/>
      <c r="B34" s="84"/>
      <c r="E34" s="84"/>
      <c r="F34" s="84"/>
      <c r="R34" s="143" t="s">
        <v>269</v>
      </c>
      <c r="S34" s="136"/>
      <c r="T34" s="130"/>
      <c r="U34" s="136"/>
      <c r="V34" s="320"/>
      <c r="W34" s="136"/>
      <c r="X34" s="136"/>
    </row>
    <row r="35" spans="1:25" ht="14.25" customHeight="1" thickBot="1" x14ac:dyDescent="0.3">
      <c r="A35" s="62"/>
      <c r="B35" s="1681" t="s">
        <v>659</v>
      </c>
      <c r="C35" s="1681"/>
      <c r="D35" s="1681"/>
      <c r="E35" s="1681"/>
      <c r="F35" s="1681"/>
      <c r="G35" s="797"/>
      <c r="H35" s="797"/>
      <c r="R35" s="144" t="s">
        <v>249</v>
      </c>
      <c r="S35" s="990">
        <f>L5</f>
        <v>410.54035567715459</v>
      </c>
      <c r="T35" s="990">
        <f>SUM(L9:L17,L6:L7)</f>
        <v>46.34195131503305</v>
      </c>
      <c r="U35" s="990">
        <f>$L$8</f>
        <v>30.642857142857142</v>
      </c>
      <c r="V35" s="1049">
        <f>S35+T35+U35+W35+X35</f>
        <v>618.73271464633717</v>
      </c>
      <c r="W35" s="990">
        <f>SUM(AT6:AT17)</f>
        <v>130.81501204975385</v>
      </c>
      <c r="X35" s="990">
        <f>L37</f>
        <v>0.39253846153846156</v>
      </c>
    </row>
    <row r="36" spans="1:25" ht="47.25"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5" x14ac:dyDescent="0.25">
      <c r="A37" s="62"/>
      <c r="B37" s="772" t="s">
        <v>686</v>
      </c>
      <c r="C37" s="773" t="s">
        <v>14</v>
      </c>
      <c r="D37" s="774">
        <v>7.0000000000000007E-2</v>
      </c>
      <c r="E37" s="772">
        <f>$AD$1</f>
        <v>81</v>
      </c>
      <c r="F37" s="772">
        <f>D37*E37</f>
        <v>5.6700000000000008</v>
      </c>
      <c r="G37" s="796"/>
      <c r="H37" s="772">
        <f>F37</f>
        <v>5.6700000000000008</v>
      </c>
      <c r="I37" s="772">
        <f>VLOOKUP(B37,All_Ingredients!$A$1:$F$156,6,FALSE())</f>
        <v>0.65</v>
      </c>
      <c r="J37" s="772">
        <f>VLOOKUP(B37,All_Ingredients!$A$1:$J$156,10,FALSE())</f>
        <v>45</v>
      </c>
      <c r="K37" s="1133">
        <f>(H37/I37)/1000</f>
        <v>8.7230769230769237E-3</v>
      </c>
      <c r="L37" s="1133">
        <f>K37*J37</f>
        <v>0.39253846153846156</v>
      </c>
    </row>
    <row r="38" spans="1:25" x14ac:dyDescent="0.25">
      <c r="A38" s="62"/>
    </row>
    <row r="39" spans="1:25" x14ac:dyDescent="0.25">
      <c r="A39" s="62"/>
    </row>
    <row r="40" spans="1:25" ht="17.25" customHeight="1" x14ac:dyDescent="0.25">
      <c r="A40" s="62"/>
      <c r="Q40" s="14"/>
      <c r="R40" s="146" t="s">
        <v>270</v>
      </c>
      <c r="S40" s="217">
        <v>0.9</v>
      </c>
      <c r="T40" s="146" t="s">
        <v>797</v>
      </c>
      <c r="U40" s="217">
        <v>0.1</v>
      </c>
      <c r="V40" s="149">
        <f>S40+U40</f>
        <v>1</v>
      </c>
      <c r="W40" s="14"/>
      <c r="X40" s="14"/>
      <c r="Y40" s="14"/>
    </row>
    <row r="41" spans="1:25" ht="14.25" customHeight="1" x14ac:dyDescent="0.25">
      <c r="A41" s="62"/>
      <c r="Q41" s="14"/>
      <c r="R41" s="14"/>
      <c r="S41" s="14"/>
      <c r="T41" s="14"/>
      <c r="U41" s="150"/>
      <c r="V41" s="14"/>
      <c r="W41" s="14"/>
      <c r="X41" s="14"/>
      <c r="Y41" s="14"/>
    </row>
    <row r="42" spans="1:25" ht="14.25" customHeight="1" x14ac:dyDescent="0.25">
      <c r="A42" s="62"/>
      <c r="Q42" s="14"/>
      <c r="R42" s="14"/>
      <c r="S42" s="14"/>
      <c r="T42" s="14"/>
      <c r="U42" s="14"/>
      <c r="V42" s="14"/>
      <c r="W42" s="14"/>
      <c r="X42" s="14"/>
      <c r="Y42" s="14"/>
    </row>
    <row r="43" spans="1:25" ht="14.25" customHeight="1" x14ac:dyDescent="0.25">
      <c r="A43" s="62"/>
      <c r="Q43" s="151" t="s">
        <v>272</v>
      </c>
      <c r="R43" s="151" t="s">
        <v>273</v>
      </c>
      <c r="S43" s="151" t="s">
        <v>274</v>
      </c>
      <c r="T43" s="151" t="s">
        <v>275</v>
      </c>
      <c r="U43" s="151" t="s">
        <v>276</v>
      </c>
      <c r="V43" s="151" t="s">
        <v>277</v>
      </c>
      <c r="W43" s="235" t="s">
        <v>278</v>
      </c>
      <c r="X43" s="298"/>
      <c r="Y43" s="298"/>
    </row>
    <row r="44" spans="1:25" ht="14.25" customHeight="1" x14ac:dyDescent="0.25">
      <c r="A44" s="62"/>
      <c r="Q44" s="153">
        <v>33334</v>
      </c>
      <c r="R44" s="154">
        <f>D51</f>
        <v>10000</v>
      </c>
      <c r="S44" s="155">
        <v>0</v>
      </c>
      <c r="T44" s="219">
        <v>1</v>
      </c>
      <c r="U44" s="220">
        <f>R44*S44</f>
        <v>0</v>
      </c>
      <c r="V44" s="157">
        <f>R44*T44</f>
        <v>10000</v>
      </c>
      <c r="W44" s="237">
        <f>Q44-U44</f>
        <v>33334</v>
      </c>
      <c r="X44" s="275"/>
      <c r="Y44" s="14"/>
    </row>
    <row r="45" spans="1:25" x14ac:dyDescent="0.25">
      <c r="A45" s="62"/>
    </row>
    <row r="46" spans="1:25" x14ac:dyDescent="0.25">
      <c r="A46" s="62"/>
    </row>
    <row r="47" spans="1:25" x14ac:dyDescent="0.25">
      <c r="A47" s="62"/>
    </row>
    <row r="48" spans="1:25" x14ac:dyDescent="0.25">
      <c r="A48" s="62"/>
    </row>
    <row r="49" spans="1:44" x14ac:dyDescent="0.25">
      <c r="A49" s="62"/>
    </row>
    <row r="50" spans="1:44" x14ac:dyDescent="0.25">
      <c r="A50" s="62"/>
      <c r="B50" s="253"/>
      <c r="C50" s="126" t="s">
        <v>233</v>
      </c>
      <c r="D50" s="126" t="s">
        <v>279</v>
      </c>
      <c r="F50" s="84"/>
      <c r="G50" s="126" t="s">
        <v>280</v>
      </c>
      <c r="H50" s="126" t="s">
        <v>233</v>
      </c>
      <c r="I50" s="126" t="s">
        <v>281</v>
      </c>
      <c r="J50" s="126" t="s">
        <v>282</v>
      </c>
    </row>
    <row r="51" spans="1:44" x14ac:dyDescent="0.25">
      <c r="A51" s="62"/>
      <c r="B51" s="161" t="s">
        <v>283</v>
      </c>
      <c r="C51" s="162">
        <f>10/$K$1</f>
        <v>10.204081632653061</v>
      </c>
      <c r="D51" s="163">
        <f>$C$1*10</f>
        <v>10000</v>
      </c>
      <c r="E51" s="164"/>
      <c r="F51" s="84"/>
      <c r="G51" s="161" t="s">
        <v>283</v>
      </c>
      <c r="H51" s="254">
        <f>I51/$D$5</f>
        <v>10</v>
      </c>
      <c r="I51" s="162">
        <f>J51/$R$1</f>
        <v>65360.784313725489</v>
      </c>
      <c r="J51" s="162">
        <f>$W$44</f>
        <v>33334</v>
      </c>
    </row>
    <row r="52" spans="1:44" x14ac:dyDescent="0.25">
      <c r="A52" s="62"/>
      <c r="B52" s="209" t="s">
        <v>262</v>
      </c>
      <c r="C52" s="210">
        <f>$I$1</f>
        <v>3.9795918367346941</v>
      </c>
      <c r="D52" s="211">
        <f>$E$1</f>
        <v>3900</v>
      </c>
      <c r="E52" s="84"/>
      <c r="F52" s="84"/>
      <c r="G52" s="129" t="s">
        <v>262</v>
      </c>
      <c r="H52" s="190">
        <f>I52/$D$5</f>
        <v>3.1589368212635751</v>
      </c>
      <c r="I52" s="157">
        <f>J52/$R$1</f>
        <v>20647.058823529413</v>
      </c>
      <c r="J52" s="165">
        <f>$S$32</f>
        <v>10530</v>
      </c>
    </row>
    <row r="53" spans="1:44" x14ac:dyDescent="0.25">
      <c r="A53" s="62"/>
      <c r="B53" s="209" t="s">
        <v>284</v>
      </c>
      <c r="C53" s="212">
        <f>MIN(C52, C51)</f>
        <v>3.9795918367346941</v>
      </c>
      <c r="D53" s="211">
        <f>(C53*$K$1)*$C$1</f>
        <v>3900</v>
      </c>
      <c r="E53" s="84"/>
      <c r="F53" s="84"/>
      <c r="G53" s="129" t="s">
        <v>284</v>
      </c>
      <c r="H53" s="168">
        <f>MIN(H52,H51)</f>
        <v>3.1589368212635751</v>
      </c>
      <c r="I53" s="157">
        <f>J53/$R$1</f>
        <v>20647.058823529413</v>
      </c>
      <c r="J53" s="157">
        <f>MIN(J52,J51)</f>
        <v>10530</v>
      </c>
    </row>
    <row r="54" spans="1:44" x14ac:dyDescent="0.25">
      <c r="A54" s="62"/>
      <c r="B54" s="209" t="s">
        <v>285</v>
      </c>
      <c r="C54" s="212">
        <f>MIN(MAX(C52-C53,0),C51)</f>
        <v>0</v>
      </c>
      <c r="D54" s="211">
        <f>(C54*$K$1)*$C$1</f>
        <v>0</v>
      </c>
      <c r="E54" s="84"/>
      <c r="F54" s="84"/>
      <c r="G54" s="129" t="s">
        <v>285</v>
      </c>
      <c r="H54" s="168">
        <f>MIN(MAX(H52-H53),H51)</f>
        <v>0</v>
      </c>
      <c r="I54" s="157">
        <f>J54/$R$1</f>
        <v>0</v>
      </c>
      <c r="J54" s="157">
        <f>MIN(MAX(J52-J53),J51)</f>
        <v>0</v>
      </c>
    </row>
    <row r="55" spans="1:44"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44" x14ac:dyDescent="0.25">
      <c r="A56" s="62"/>
    </row>
    <row r="57" spans="1:44" x14ac:dyDescent="0.25">
      <c r="A57" s="62"/>
    </row>
    <row r="58" spans="1:44" x14ac:dyDescent="0.25">
      <c r="A58" s="62"/>
    </row>
    <row r="59" spans="1:44" x14ac:dyDescent="0.25">
      <c r="A59" s="62"/>
    </row>
    <row r="60" spans="1:44" x14ac:dyDescent="0.25">
      <c r="A60" s="62"/>
    </row>
    <row r="61" spans="1:44" x14ac:dyDescent="0.25">
      <c r="A61" s="62"/>
    </row>
    <row r="62" spans="1:44" ht="18" customHeight="1" x14ac:dyDescent="0.25">
      <c r="A62" s="1456"/>
      <c r="B62" s="1636" t="str">
        <f>"دجاج مشروم  1 / " &amp; COUNTIF($C$53:$C$55, "&gt;0")</f>
        <v>دجاج مشروم  1 / 1</v>
      </c>
      <c r="C62" s="1637"/>
      <c r="D62" s="1637"/>
      <c r="E62" s="1637"/>
      <c r="F62" s="1637"/>
      <c r="G62" s="1637"/>
      <c r="H62" s="1637"/>
      <c r="AJ62" s="739"/>
      <c r="AK62" s="739"/>
      <c r="AL62" s="739"/>
      <c r="AM62" s="739"/>
      <c r="AN62" s="739"/>
      <c r="AO62" s="689"/>
      <c r="AP62" s="739"/>
      <c r="AQ62" s="739"/>
      <c r="AR62" s="739"/>
    </row>
    <row r="63" spans="1:44" ht="18" customHeight="1" x14ac:dyDescent="0.25">
      <c r="A63" s="1456" t="s">
        <v>927</v>
      </c>
      <c r="B63" s="1634" t="str">
        <f>"Chicken Mushroom  1 / " &amp; COUNTIF($C$53:$C$55, "&gt;0")</f>
        <v>Chicken Mushroom  1 / 1</v>
      </c>
      <c r="C63" s="1635"/>
      <c r="D63" s="1635"/>
      <c r="E63" s="1635"/>
      <c r="F63" s="1635"/>
      <c r="G63" s="1635"/>
      <c r="H63" s="1635"/>
      <c r="AJ63" s="740"/>
      <c r="AK63" s="740"/>
      <c r="AL63" s="725"/>
      <c r="AM63" s="689"/>
      <c r="AN63" s="689"/>
      <c r="AO63" s="689"/>
      <c r="AP63" s="726"/>
      <c r="AQ63" s="741"/>
      <c r="AR63" s="741"/>
    </row>
    <row r="64" spans="1:44" ht="25.5" customHeight="1" x14ac:dyDescent="0.25">
      <c r="A64" s="1457"/>
      <c r="B64" s="221" t="s">
        <v>241</v>
      </c>
      <c r="C64" s="222" t="s">
        <v>242</v>
      </c>
      <c r="D64" s="223" t="s">
        <v>231</v>
      </c>
      <c r="E64" s="197" t="s">
        <v>234</v>
      </c>
      <c r="F64" s="197" t="s">
        <v>243</v>
      </c>
      <c r="G64" s="223" t="s">
        <v>244</v>
      </c>
      <c r="H64" s="197" t="s">
        <v>245</v>
      </c>
      <c r="AJ64" s="740"/>
      <c r="AK64" s="740"/>
      <c r="AL64" s="725"/>
      <c r="AM64" s="689"/>
      <c r="AN64" s="689"/>
      <c r="AO64" s="689"/>
      <c r="AP64" s="727"/>
      <c r="AQ64" s="740"/>
      <c r="AR64" s="740"/>
    </row>
    <row r="65" spans="1:44" ht="14.25" customHeight="1" x14ac:dyDescent="0.25">
      <c r="A65" s="1491"/>
      <c r="B65" s="105" t="str">
        <f t="shared" ref="B65:D77" si="14">B5</f>
        <v>Chicken - دجاج</v>
      </c>
      <c r="C65" s="105" t="str">
        <f t="shared" si="14"/>
        <v>gm</v>
      </c>
      <c r="D65" s="240">
        <f t="shared" si="14"/>
        <v>6536.0784313725489</v>
      </c>
      <c r="E65" s="327">
        <f>H53</f>
        <v>3.1589368212635751</v>
      </c>
      <c r="F65" s="109">
        <f t="shared" ref="F65:F77" si="15">F5</f>
        <v>1</v>
      </c>
      <c r="G65" s="101">
        <f t="shared" ref="G65:G77" si="16">D65*E65</f>
        <v>20647.058823529413</v>
      </c>
      <c r="H65" s="102">
        <f t="shared" ref="H65:H77" si="17">G65*F65</f>
        <v>20647.058823529413</v>
      </c>
      <c r="AJ65" s="740"/>
      <c r="AK65" s="740"/>
      <c r="AL65" s="725"/>
      <c r="AM65" s="689"/>
      <c r="AN65" s="689"/>
      <c r="AO65" s="689"/>
      <c r="AP65" s="727"/>
      <c r="AQ65" s="740"/>
      <c r="AR65" s="740"/>
    </row>
    <row r="66" spans="1:44" ht="14.25" customHeight="1" x14ac:dyDescent="0.25">
      <c r="A66" s="1455" t="s">
        <v>905</v>
      </c>
      <c r="B66" s="105" t="str">
        <f t="shared" si="14"/>
        <v>Onion - بصل</v>
      </c>
      <c r="C66" s="105" t="str">
        <f t="shared" si="14"/>
        <v>gm</v>
      </c>
      <c r="D66" s="105">
        <f t="shared" si="14"/>
        <v>100</v>
      </c>
      <c r="E66" s="327">
        <f t="shared" ref="E66:E77" si="18">$C$53</f>
        <v>3.9795918367346941</v>
      </c>
      <c r="F66" s="109">
        <f t="shared" si="15"/>
        <v>0.95</v>
      </c>
      <c r="G66" s="101">
        <f t="shared" si="16"/>
        <v>397.9591836734694</v>
      </c>
      <c r="H66" s="102">
        <f t="shared" si="17"/>
        <v>378.0612244897959</v>
      </c>
      <c r="AJ66" s="743"/>
      <c r="AK66" s="743"/>
      <c r="AL66" s="728"/>
      <c r="AM66" s="689"/>
      <c r="AN66" s="689"/>
      <c r="AO66" s="689"/>
      <c r="AP66" s="727"/>
      <c r="AQ66" s="740"/>
      <c r="AR66" s="740"/>
    </row>
    <row r="67" spans="1:44" ht="14.25" customHeight="1" x14ac:dyDescent="0.25">
      <c r="A67" s="1455" t="s">
        <v>907</v>
      </c>
      <c r="B67" s="105" t="str">
        <f t="shared" si="14"/>
        <v>Garlic - ثوم مقشر</v>
      </c>
      <c r="C67" s="105" t="str">
        <f t="shared" si="14"/>
        <v>gm</v>
      </c>
      <c r="D67" s="105">
        <f t="shared" si="14"/>
        <v>30</v>
      </c>
      <c r="E67" s="327">
        <f t="shared" si="18"/>
        <v>3.9795918367346941</v>
      </c>
      <c r="F67" s="109">
        <f t="shared" si="15"/>
        <v>1</v>
      </c>
      <c r="G67" s="101">
        <f t="shared" si="16"/>
        <v>119.38775510204083</v>
      </c>
      <c r="H67" s="102">
        <f t="shared" si="17"/>
        <v>119.38775510204083</v>
      </c>
      <c r="AJ67" s="743"/>
      <c r="AK67" s="743"/>
      <c r="AL67" s="728"/>
      <c r="AM67" s="689"/>
      <c r="AN67" s="689"/>
      <c r="AO67" s="689"/>
      <c r="AP67" s="727"/>
      <c r="AQ67" s="740"/>
      <c r="AR67" s="740"/>
    </row>
    <row r="68" spans="1:44" ht="14.25" customHeight="1" x14ac:dyDescent="0.25">
      <c r="A68" s="1455" t="s">
        <v>927</v>
      </c>
      <c r="B68" s="105" t="str">
        <f t="shared" si="14"/>
        <v>Mushroom - مشروم ابيض</v>
      </c>
      <c r="C68" s="105" t="str">
        <f t="shared" si="14"/>
        <v>gm</v>
      </c>
      <c r="D68" s="105">
        <f t="shared" si="14"/>
        <v>350</v>
      </c>
      <c r="E68" s="327">
        <f t="shared" si="18"/>
        <v>3.9795918367346941</v>
      </c>
      <c r="F68" s="109">
        <f t="shared" si="15"/>
        <v>1</v>
      </c>
      <c r="G68" s="101">
        <f t="shared" si="16"/>
        <v>1392.8571428571429</v>
      </c>
      <c r="H68" s="102">
        <f t="shared" si="17"/>
        <v>1392.8571428571429</v>
      </c>
      <c r="AJ68" s="689"/>
      <c r="AK68" s="689"/>
      <c r="AL68" s="689"/>
      <c r="AM68" s="689"/>
      <c r="AN68" s="689"/>
      <c r="AO68" s="689"/>
      <c r="AP68" s="727"/>
      <c r="AQ68" s="740"/>
      <c r="AR68" s="740"/>
    </row>
    <row r="69" spans="1:44" ht="14.25" customHeight="1" x14ac:dyDescent="0.25">
      <c r="A69" s="1455"/>
      <c r="B69" s="105" t="str">
        <f t="shared" si="14"/>
        <v>Dry Thyme - زعتر مجفف</v>
      </c>
      <c r="C69" s="105" t="str">
        <f t="shared" si="14"/>
        <v>gm</v>
      </c>
      <c r="D69" s="105">
        <f t="shared" si="14"/>
        <v>1</v>
      </c>
      <c r="E69" s="327">
        <f t="shared" si="18"/>
        <v>3.9795918367346941</v>
      </c>
      <c r="F69" s="109">
        <f t="shared" si="15"/>
        <v>0.75</v>
      </c>
      <c r="G69" s="101">
        <f t="shared" si="16"/>
        <v>3.9795918367346941</v>
      </c>
      <c r="H69" s="102">
        <f t="shared" si="17"/>
        <v>2.9846938775510203</v>
      </c>
    </row>
    <row r="70" spans="1:44" ht="14.25" customHeight="1" x14ac:dyDescent="0.25">
      <c r="A70" s="1455"/>
      <c r="B70" s="105" t="str">
        <f t="shared" si="14"/>
        <v>Black Pepper Powder - فلفل أسود مطحون</v>
      </c>
      <c r="C70" s="105" t="str">
        <f t="shared" si="14"/>
        <v>gm</v>
      </c>
      <c r="D70" s="105">
        <f t="shared" si="14"/>
        <v>2</v>
      </c>
      <c r="E70" s="327">
        <f t="shared" si="18"/>
        <v>3.9795918367346941</v>
      </c>
      <c r="F70" s="109">
        <f t="shared" si="15"/>
        <v>0.75</v>
      </c>
      <c r="G70" s="101">
        <f t="shared" si="16"/>
        <v>7.9591836734693882</v>
      </c>
      <c r="H70" s="102">
        <f t="shared" si="17"/>
        <v>5.9693877551020407</v>
      </c>
      <c r="AJ70" s="742"/>
      <c r="AK70" s="742"/>
      <c r="AL70" s="742"/>
      <c r="AM70" s="742"/>
      <c r="AN70" s="742"/>
      <c r="AO70" s="742"/>
      <c r="AP70" s="742"/>
      <c r="AQ70" s="742"/>
      <c r="AR70" s="742"/>
    </row>
    <row r="71" spans="1:44" ht="14.25" customHeight="1" x14ac:dyDescent="0.25">
      <c r="A71" s="1455"/>
      <c r="B71" s="105" t="str">
        <f t="shared" si="14"/>
        <v>Salt - ملح</v>
      </c>
      <c r="C71" s="105" t="str">
        <f t="shared" si="14"/>
        <v>gm</v>
      </c>
      <c r="D71" s="105">
        <f t="shared" si="14"/>
        <v>5</v>
      </c>
      <c r="E71" s="327">
        <f t="shared" si="18"/>
        <v>3.9795918367346941</v>
      </c>
      <c r="F71" s="109">
        <f t="shared" si="15"/>
        <v>0.75</v>
      </c>
      <c r="G71" s="101">
        <f t="shared" si="16"/>
        <v>19.897959183673471</v>
      </c>
      <c r="H71" s="102">
        <f t="shared" si="17"/>
        <v>14.923469387755103</v>
      </c>
      <c r="AJ71" s="729"/>
      <c r="AK71" s="729"/>
      <c r="AL71" s="729"/>
      <c r="AM71" s="729"/>
      <c r="AN71" s="729"/>
      <c r="AO71" s="729"/>
      <c r="AP71" s="729"/>
      <c r="AQ71" s="729"/>
      <c r="AR71" s="689"/>
    </row>
    <row r="72" spans="1:44" ht="14.25" customHeight="1" x14ac:dyDescent="0.25">
      <c r="A72" s="1455"/>
      <c r="B72" s="105" t="str">
        <f t="shared" si="14"/>
        <v>Butter - زبدة</v>
      </c>
      <c r="C72" s="105" t="str">
        <f t="shared" si="14"/>
        <v>gm</v>
      </c>
      <c r="D72" s="105">
        <f t="shared" si="14"/>
        <v>15</v>
      </c>
      <c r="E72" s="327">
        <f t="shared" si="18"/>
        <v>3.9795918367346941</v>
      </c>
      <c r="F72" s="109">
        <f t="shared" si="15"/>
        <v>1</v>
      </c>
      <c r="G72" s="101">
        <f t="shared" si="16"/>
        <v>59.693877551020414</v>
      </c>
      <c r="H72" s="102">
        <f t="shared" si="17"/>
        <v>59.693877551020414</v>
      </c>
      <c r="AJ72" s="730"/>
      <c r="AK72" s="727"/>
      <c r="AL72" s="731"/>
      <c r="AM72" s="732"/>
      <c r="AN72" s="725"/>
      <c r="AO72" s="733"/>
      <c r="AP72" s="734"/>
      <c r="AQ72" s="735"/>
      <c r="AR72" s="689"/>
    </row>
    <row r="73" spans="1:44" ht="14.25" customHeight="1" x14ac:dyDescent="0.25">
      <c r="A73" s="1455"/>
      <c r="B73" s="105" t="str">
        <f t="shared" si="14"/>
        <v>Flour - دقيق</v>
      </c>
      <c r="C73" s="105" t="str">
        <f t="shared" si="14"/>
        <v>gm</v>
      </c>
      <c r="D73" s="105">
        <f t="shared" si="14"/>
        <v>20</v>
      </c>
      <c r="E73" s="327">
        <f t="shared" si="18"/>
        <v>3.9795918367346941</v>
      </c>
      <c r="F73" s="109">
        <f t="shared" si="15"/>
        <v>0.75</v>
      </c>
      <c r="G73" s="101">
        <f t="shared" si="16"/>
        <v>79.591836734693885</v>
      </c>
      <c r="H73" s="102">
        <f t="shared" si="17"/>
        <v>59.693877551020414</v>
      </c>
      <c r="AJ73" s="730"/>
      <c r="AK73" s="727"/>
      <c r="AL73" s="731"/>
      <c r="AM73" s="732"/>
      <c r="AN73" s="725"/>
      <c r="AO73" s="733"/>
      <c r="AP73" s="734"/>
      <c r="AQ73" s="735"/>
      <c r="AR73" s="689"/>
    </row>
    <row r="74" spans="1:44" ht="14.25" customHeight="1" x14ac:dyDescent="0.25">
      <c r="A74" s="1455"/>
      <c r="B74" s="105" t="str">
        <f t="shared" si="14"/>
        <v>Milk - حليب</v>
      </c>
      <c r="C74" s="105" t="str">
        <f t="shared" si="14"/>
        <v>ml</v>
      </c>
      <c r="D74" s="105">
        <f t="shared" si="14"/>
        <v>600</v>
      </c>
      <c r="E74" s="327">
        <f t="shared" si="18"/>
        <v>3.9795918367346941</v>
      </c>
      <c r="F74" s="109">
        <f t="shared" si="15"/>
        <v>1</v>
      </c>
      <c r="G74" s="101">
        <f t="shared" si="16"/>
        <v>2387.7551020408164</v>
      </c>
      <c r="H74" s="102">
        <f t="shared" si="17"/>
        <v>2387.7551020408164</v>
      </c>
      <c r="AJ74" s="730"/>
      <c r="AK74" s="727"/>
      <c r="AL74" s="731"/>
      <c r="AM74" s="732"/>
      <c r="AN74" s="725"/>
      <c r="AO74" s="733"/>
      <c r="AP74" s="734"/>
      <c r="AQ74" s="735"/>
      <c r="AR74" s="689"/>
    </row>
    <row r="75" spans="1:44" ht="14.25" customHeight="1" x14ac:dyDescent="0.25">
      <c r="A75" s="1455"/>
      <c r="B75" s="105" t="str">
        <f t="shared" si="14"/>
        <v>Cooking Cream - كريمة طبخ</v>
      </c>
      <c r="C75" s="105" t="str">
        <f t="shared" si="14"/>
        <v>ml</v>
      </c>
      <c r="D75" s="105">
        <f t="shared" si="14"/>
        <v>600</v>
      </c>
      <c r="E75" s="327">
        <f t="shared" si="18"/>
        <v>3.9795918367346941</v>
      </c>
      <c r="F75" s="109">
        <f t="shared" si="15"/>
        <v>1</v>
      </c>
      <c r="G75" s="101">
        <f t="shared" si="16"/>
        <v>2387.7551020408164</v>
      </c>
      <c r="H75" s="102">
        <f t="shared" si="17"/>
        <v>2387.7551020408164</v>
      </c>
      <c r="AJ75" s="730"/>
      <c r="AK75" s="727"/>
      <c r="AL75" s="731"/>
      <c r="AM75" s="732"/>
      <c r="AN75" s="725"/>
      <c r="AO75" s="733"/>
      <c r="AP75" s="734"/>
      <c r="AQ75" s="735"/>
    </row>
    <row r="76" spans="1:44" ht="14.25" customHeight="1" x14ac:dyDescent="0.25">
      <c r="A76" s="1455"/>
      <c r="B76" s="105" t="str">
        <f t="shared" si="14"/>
        <v>Sriracha Sauce - صوص سريراتشا</v>
      </c>
      <c r="C76" s="105" t="str">
        <f t="shared" si="14"/>
        <v>ml</v>
      </c>
      <c r="D76" s="105">
        <f t="shared" si="14"/>
        <v>3</v>
      </c>
      <c r="E76" s="327">
        <f t="shared" si="18"/>
        <v>3.9795918367346941</v>
      </c>
      <c r="F76" s="109">
        <f t="shared" si="15"/>
        <v>0.75</v>
      </c>
      <c r="G76" s="101">
        <f t="shared" si="16"/>
        <v>11.938775510204081</v>
      </c>
      <c r="H76" s="102">
        <f t="shared" si="17"/>
        <v>8.954081632653061</v>
      </c>
      <c r="AJ76" s="730"/>
      <c r="AK76" s="727"/>
      <c r="AL76" s="731"/>
      <c r="AM76" s="732"/>
      <c r="AN76" s="736"/>
      <c r="AO76" s="733"/>
      <c r="AP76" s="734"/>
      <c r="AQ76" s="735"/>
    </row>
    <row r="77" spans="1:44" ht="14.25" customHeight="1" x14ac:dyDescent="0.25">
      <c r="A77" s="1455"/>
      <c r="B77" s="105" t="str">
        <f t="shared" si="14"/>
        <v>Maggi Cubes - مكعبات ماجي</v>
      </c>
      <c r="C77" s="105" t="str">
        <f t="shared" si="14"/>
        <v>gm</v>
      </c>
      <c r="D77" s="105">
        <f t="shared" si="14"/>
        <v>20</v>
      </c>
      <c r="E77" s="327">
        <f t="shared" si="18"/>
        <v>3.9795918367346941</v>
      </c>
      <c r="F77" s="109">
        <f t="shared" si="15"/>
        <v>0.75</v>
      </c>
      <c r="G77" s="101">
        <f t="shared" si="16"/>
        <v>79.591836734693885</v>
      </c>
      <c r="H77" s="102">
        <f t="shared" si="17"/>
        <v>59.693877551020414</v>
      </c>
      <c r="AJ77" s="730"/>
      <c r="AK77" s="727"/>
      <c r="AL77" s="731"/>
      <c r="AM77" s="732"/>
      <c r="AN77" s="725"/>
      <c r="AO77" s="733"/>
      <c r="AP77" s="734"/>
      <c r="AQ77" s="735"/>
    </row>
    <row r="78" spans="1:44" ht="20.25" customHeight="1" x14ac:dyDescent="0.25">
      <c r="A78" s="1458"/>
      <c r="B78" s="178" t="s">
        <v>287</v>
      </c>
      <c r="C78" s="180" t="s">
        <v>273</v>
      </c>
      <c r="D78" s="14"/>
      <c r="E78" s="180" t="s">
        <v>288</v>
      </c>
      <c r="F78" s="14"/>
      <c r="G78" s="804" t="s">
        <v>264</v>
      </c>
      <c r="H78" s="804" t="s">
        <v>673</v>
      </c>
      <c r="AJ78" s="730"/>
      <c r="AK78" s="727"/>
      <c r="AL78" s="731"/>
      <c r="AM78" s="732"/>
      <c r="AN78" s="725"/>
      <c r="AO78" s="733"/>
      <c r="AP78" s="734"/>
      <c r="AQ78" s="735"/>
    </row>
    <row r="79" spans="1:44" ht="22.5" customHeight="1" x14ac:dyDescent="0.3">
      <c r="A79" s="1458"/>
      <c r="B79" s="179">
        <f>$J$53</f>
        <v>10530</v>
      </c>
      <c r="C79" s="179">
        <f>E79+G79</f>
        <v>3900</v>
      </c>
      <c r="D79" s="839"/>
      <c r="E79" s="179">
        <f>$D$53*$S$44</f>
        <v>0</v>
      </c>
      <c r="F79" s="843"/>
      <c r="G79" s="179">
        <f>$D$53*$T$44</f>
        <v>3900</v>
      </c>
      <c r="H79" s="179">
        <f>B79+E79</f>
        <v>10530</v>
      </c>
      <c r="AJ79" s="730"/>
      <c r="AK79" s="727"/>
      <c r="AL79" s="731"/>
      <c r="AM79" s="732"/>
      <c r="AN79" s="725"/>
      <c r="AO79" s="733"/>
      <c r="AP79" s="734"/>
      <c r="AQ79" s="735"/>
    </row>
    <row r="80" spans="1:44" ht="14.25" customHeight="1" x14ac:dyDescent="0.25">
      <c r="A80" s="62"/>
      <c r="B80" s="84"/>
      <c r="C80" s="188"/>
      <c r="D80" s="189"/>
      <c r="E80" s="84"/>
      <c r="F80" s="84"/>
      <c r="AJ80" s="730"/>
      <c r="AK80" s="727"/>
      <c r="AL80" s="731"/>
      <c r="AM80" s="732"/>
      <c r="AN80" s="725"/>
      <c r="AO80" s="733"/>
      <c r="AP80" s="734"/>
      <c r="AQ80" s="735"/>
    </row>
    <row r="81" spans="1:43" ht="18" customHeight="1" x14ac:dyDescent="0.25">
      <c r="A81" s="1479"/>
      <c r="B81" s="1636" t="str">
        <f>"دجاج مشروم  2 / " &amp; COUNTIF($C$53:$C$55, "&gt;0")</f>
        <v>دجاج مشروم  2 / 1</v>
      </c>
      <c r="C81" s="1633"/>
      <c r="D81" s="1633"/>
      <c r="E81" s="1633"/>
      <c r="F81" s="1633"/>
      <c r="G81" s="1633"/>
      <c r="H81" s="1633"/>
      <c r="AJ81" s="730"/>
      <c r="AK81" s="727"/>
      <c r="AL81" s="731"/>
      <c r="AM81" s="732"/>
      <c r="AN81" s="725"/>
      <c r="AO81" s="733"/>
      <c r="AP81" s="734"/>
      <c r="AQ81" s="735"/>
    </row>
    <row r="82" spans="1:43" ht="18" customHeight="1" x14ac:dyDescent="0.25">
      <c r="A82" s="1479" t="s">
        <v>927</v>
      </c>
      <c r="B82" s="1634" t="str">
        <f>"Chicken Mushroom  2 / " &amp; COUNTIF($C$53:$C$55, "&gt;0")</f>
        <v>Chicken Mushroom  2 / 1</v>
      </c>
      <c r="C82" s="1639"/>
      <c r="D82" s="1639"/>
      <c r="E82" s="1639"/>
      <c r="F82" s="1639"/>
      <c r="G82" s="1639"/>
      <c r="H82" s="1639"/>
      <c r="AJ82" s="730"/>
      <c r="AK82" s="727"/>
      <c r="AL82" s="731"/>
      <c r="AM82" s="732"/>
      <c r="AN82" s="725"/>
      <c r="AO82" s="733"/>
      <c r="AP82" s="734"/>
      <c r="AQ82" s="735"/>
    </row>
    <row r="83" spans="1:43" ht="25.5" customHeight="1" x14ac:dyDescent="0.2">
      <c r="A83" s="1457"/>
      <c r="B83" s="221" t="s">
        <v>241</v>
      </c>
      <c r="C83" s="222" t="s">
        <v>242</v>
      </c>
      <c r="D83" s="223" t="s">
        <v>231</v>
      </c>
      <c r="E83" s="197" t="s">
        <v>234</v>
      </c>
      <c r="F83" s="197" t="s">
        <v>243</v>
      </c>
      <c r="G83" s="223" t="s">
        <v>244</v>
      </c>
      <c r="H83" s="197" t="s">
        <v>245</v>
      </c>
      <c r="AJ83" s="730"/>
      <c r="AK83" s="727"/>
      <c r="AL83" s="731"/>
      <c r="AM83" s="732"/>
      <c r="AN83" s="725"/>
      <c r="AO83" s="733"/>
      <c r="AP83" s="734"/>
      <c r="AQ83" s="735"/>
    </row>
    <row r="84" spans="1:43" ht="14.25" customHeight="1" x14ac:dyDescent="0.25">
      <c r="A84" s="1455"/>
      <c r="B84" s="105" t="str">
        <f t="shared" ref="B84:D96" si="19">B5</f>
        <v>Chicken - دجاج</v>
      </c>
      <c r="C84" s="105" t="str">
        <f t="shared" si="19"/>
        <v>gm</v>
      </c>
      <c r="D84" s="240">
        <f t="shared" si="19"/>
        <v>6536.0784313725489</v>
      </c>
      <c r="E84" s="201">
        <f>H54</f>
        <v>0</v>
      </c>
      <c r="F84" s="109">
        <f t="shared" ref="F84:F96" si="20">F5</f>
        <v>1</v>
      </c>
      <c r="G84" s="101">
        <f t="shared" ref="G84:G96" si="21">D84*E84</f>
        <v>0</v>
      </c>
      <c r="H84" s="102">
        <f t="shared" ref="H84:H96" si="22">G84*F84</f>
        <v>0</v>
      </c>
      <c r="AJ84" s="741"/>
      <c r="AK84" s="741"/>
      <c r="AL84" s="741"/>
      <c r="AM84" s="741"/>
      <c r="AN84" s="741"/>
      <c r="AO84" s="737"/>
      <c r="AP84" s="738"/>
      <c r="AQ84" s="737"/>
    </row>
    <row r="85" spans="1:43" ht="14.25" customHeight="1" x14ac:dyDescent="0.25">
      <c r="A85" s="1455" t="s">
        <v>905</v>
      </c>
      <c r="B85" s="105" t="str">
        <f t="shared" si="19"/>
        <v>Onion - بصل</v>
      </c>
      <c r="C85" s="105" t="str">
        <f t="shared" si="19"/>
        <v>gm</v>
      </c>
      <c r="D85" s="105">
        <f t="shared" si="19"/>
        <v>100</v>
      </c>
      <c r="E85" s="201">
        <f t="shared" ref="E85:E96" si="23">$C$54</f>
        <v>0</v>
      </c>
      <c r="F85" s="109">
        <f t="shared" si="20"/>
        <v>0.95</v>
      </c>
      <c r="G85" s="101">
        <f t="shared" si="21"/>
        <v>0</v>
      </c>
      <c r="H85" s="102">
        <f t="shared" si="22"/>
        <v>0</v>
      </c>
    </row>
    <row r="86" spans="1:43" ht="14.25" customHeight="1" x14ac:dyDescent="0.25">
      <c r="A86" s="1455" t="s">
        <v>907</v>
      </c>
      <c r="B86" s="105" t="str">
        <f t="shared" si="19"/>
        <v>Garlic - ثوم مقشر</v>
      </c>
      <c r="C86" s="105" t="str">
        <f t="shared" si="19"/>
        <v>gm</v>
      </c>
      <c r="D86" s="105">
        <f t="shared" si="19"/>
        <v>30</v>
      </c>
      <c r="E86" s="201">
        <f t="shared" si="23"/>
        <v>0</v>
      </c>
      <c r="F86" s="109">
        <f t="shared" si="20"/>
        <v>1</v>
      </c>
      <c r="G86" s="101">
        <f t="shared" si="21"/>
        <v>0</v>
      </c>
      <c r="H86" s="102">
        <f t="shared" si="22"/>
        <v>0</v>
      </c>
    </row>
    <row r="87" spans="1:43" ht="14.25" customHeight="1" x14ac:dyDescent="0.25">
      <c r="A87" s="1455" t="s">
        <v>927</v>
      </c>
      <c r="B87" s="105" t="str">
        <f t="shared" si="19"/>
        <v>Mushroom - مشروم ابيض</v>
      </c>
      <c r="C87" s="105" t="str">
        <f t="shared" si="19"/>
        <v>gm</v>
      </c>
      <c r="D87" s="105">
        <f t="shared" si="19"/>
        <v>350</v>
      </c>
      <c r="E87" s="201">
        <f t="shared" si="23"/>
        <v>0</v>
      </c>
      <c r="F87" s="109">
        <f t="shared" si="20"/>
        <v>1</v>
      </c>
      <c r="G87" s="101">
        <f t="shared" si="21"/>
        <v>0</v>
      </c>
      <c r="H87" s="102">
        <f t="shared" si="22"/>
        <v>0</v>
      </c>
    </row>
    <row r="88" spans="1:43" ht="14.25" customHeight="1" x14ac:dyDescent="0.25">
      <c r="A88" s="1455"/>
      <c r="B88" s="105" t="str">
        <f t="shared" si="19"/>
        <v>Dry Thyme - زعتر مجفف</v>
      </c>
      <c r="C88" s="105" t="str">
        <f t="shared" si="19"/>
        <v>gm</v>
      </c>
      <c r="D88" s="105">
        <f t="shared" si="19"/>
        <v>1</v>
      </c>
      <c r="E88" s="201">
        <f t="shared" si="23"/>
        <v>0</v>
      </c>
      <c r="F88" s="109">
        <f t="shared" si="20"/>
        <v>0.75</v>
      </c>
      <c r="G88" s="101">
        <f t="shared" si="21"/>
        <v>0</v>
      </c>
      <c r="H88" s="102">
        <f t="shared" si="22"/>
        <v>0</v>
      </c>
      <c r="AM88" s="725"/>
    </row>
    <row r="89" spans="1:43" ht="14.25" customHeight="1" x14ac:dyDescent="0.25">
      <c r="A89" s="1455"/>
      <c r="B89" s="105" t="str">
        <f t="shared" si="19"/>
        <v>Black Pepper Powder - فلفل أسود مطحون</v>
      </c>
      <c r="C89" s="105" t="str">
        <f t="shared" si="19"/>
        <v>gm</v>
      </c>
      <c r="D89" s="105">
        <f t="shared" si="19"/>
        <v>2</v>
      </c>
      <c r="E89" s="201">
        <f t="shared" si="23"/>
        <v>0</v>
      </c>
      <c r="F89" s="109">
        <f t="shared" si="20"/>
        <v>0.75</v>
      </c>
      <c r="G89" s="101">
        <f t="shared" si="21"/>
        <v>0</v>
      </c>
      <c r="H89" s="102">
        <f t="shared" si="22"/>
        <v>0</v>
      </c>
      <c r="AM89" s="725"/>
    </row>
    <row r="90" spans="1:43" ht="14.25" customHeight="1" x14ac:dyDescent="0.25">
      <c r="A90" s="1455"/>
      <c r="B90" s="105" t="str">
        <f t="shared" si="19"/>
        <v>Salt - ملح</v>
      </c>
      <c r="C90" s="105" t="str">
        <f t="shared" si="19"/>
        <v>gm</v>
      </c>
      <c r="D90" s="105">
        <f t="shared" si="19"/>
        <v>5</v>
      </c>
      <c r="E90" s="201">
        <f t="shared" si="23"/>
        <v>0</v>
      </c>
      <c r="F90" s="109">
        <f t="shared" si="20"/>
        <v>0.75</v>
      </c>
      <c r="G90" s="101">
        <f t="shared" si="21"/>
        <v>0</v>
      </c>
      <c r="H90" s="102">
        <f t="shared" si="22"/>
        <v>0</v>
      </c>
      <c r="AM90" s="725"/>
    </row>
    <row r="91" spans="1:43" ht="14.25" customHeight="1" x14ac:dyDescent="0.25">
      <c r="A91" s="1455"/>
      <c r="B91" s="105" t="str">
        <f t="shared" si="19"/>
        <v>Butter - زبدة</v>
      </c>
      <c r="C91" s="105" t="str">
        <f t="shared" si="19"/>
        <v>gm</v>
      </c>
      <c r="D91" s="105">
        <f t="shared" si="19"/>
        <v>15</v>
      </c>
      <c r="E91" s="201">
        <f t="shared" si="23"/>
        <v>0</v>
      </c>
      <c r="F91" s="109">
        <f t="shared" si="20"/>
        <v>1</v>
      </c>
      <c r="G91" s="101">
        <f t="shared" si="21"/>
        <v>0</v>
      </c>
      <c r="H91" s="102">
        <f t="shared" si="22"/>
        <v>0</v>
      </c>
      <c r="AM91" s="725"/>
    </row>
    <row r="92" spans="1:43" ht="14.25" customHeight="1" x14ac:dyDescent="0.25">
      <c r="A92" s="1455"/>
      <c r="B92" s="105" t="str">
        <f t="shared" si="19"/>
        <v>Flour - دقيق</v>
      </c>
      <c r="C92" s="105" t="str">
        <f t="shared" si="19"/>
        <v>gm</v>
      </c>
      <c r="D92" s="105">
        <f t="shared" si="19"/>
        <v>20</v>
      </c>
      <c r="E92" s="201">
        <f t="shared" si="23"/>
        <v>0</v>
      </c>
      <c r="F92" s="109">
        <f t="shared" si="20"/>
        <v>0.75</v>
      </c>
      <c r="G92" s="101">
        <f t="shared" si="21"/>
        <v>0</v>
      </c>
      <c r="H92" s="102">
        <f t="shared" si="22"/>
        <v>0</v>
      </c>
      <c r="AM92" s="736"/>
    </row>
    <row r="93" spans="1:43" ht="14.25" customHeight="1" x14ac:dyDescent="0.25">
      <c r="A93" s="1455"/>
      <c r="B93" s="105" t="str">
        <f t="shared" si="19"/>
        <v>Milk - حليب</v>
      </c>
      <c r="C93" s="105" t="str">
        <f t="shared" si="19"/>
        <v>ml</v>
      </c>
      <c r="D93" s="105">
        <f t="shared" si="19"/>
        <v>600</v>
      </c>
      <c r="E93" s="201">
        <f t="shared" si="23"/>
        <v>0</v>
      </c>
      <c r="F93" s="109">
        <f t="shared" si="20"/>
        <v>1</v>
      </c>
      <c r="G93" s="101">
        <f t="shared" si="21"/>
        <v>0</v>
      </c>
      <c r="H93" s="102">
        <f t="shared" si="22"/>
        <v>0</v>
      </c>
      <c r="AM93" s="725"/>
    </row>
    <row r="94" spans="1:43" ht="14.25" customHeight="1" x14ac:dyDescent="0.25">
      <c r="A94" s="1455"/>
      <c r="B94" s="105" t="str">
        <f t="shared" si="19"/>
        <v>Cooking Cream - كريمة طبخ</v>
      </c>
      <c r="C94" s="105" t="str">
        <f t="shared" si="19"/>
        <v>ml</v>
      </c>
      <c r="D94" s="105">
        <f t="shared" si="19"/>
        <v>600</v>
      </c>
      <c r="E94" s="201">
        <f t="shared" si="23"/>
        <v>0</v>
      </c>
      <c r="F94" s="109">
        <f t="shared" si="20"/>
        <v>1</v>
      </c>
      <c r="G94" s="101">
        <f t="shared" si="21"/>
        <v>0</v>
      </c>
      <c r="H94" s="102">
        <f t="shared" si="22"/>
        <v>0</v>
      </c>
      <c r="AM94" s="725"/>
    </row>
    <row r="95" spans="1:43" ht="14.25" customHeight="1" x14ac:dyDescent="0.25">
      <c r="A95" s="1455"/>
      <c r="B95" s="105" t="str">
        <f t="shared" si="19"/>
        <v>Sriracha Sauce - صوص سريراتشا</v>
      </c>
      <c r="C95" s="105" t="str">
        <f t="shared" si="19"/>
        <v>ml</v>
      </c>
      <c r="D95" s="105">
        <f t="shared" si="19"/>
        <v>3</v>
      </c>
      <c r="E95" s="201">
        <f t="shared" si="23"/>
        <v>0</v>
      </c>
      <c r="F95" s="109">
        <f t="shared" si="20"/>
        <v>0.75</v>
      </c>
      <c r="G95" s="101">
        <f t="shared" si="21"/>
        <v>0</v>
      </c>
      <c r="H95" s="102">
        <f t="shared" si="22"/>
        <v>0</v>
      </c>
      <c r="AM95" s="725"/>
    </row>
    <row r="96" spans="1:43" ht="14.25" customHeight="1" x14ac:dyDescent="0.25">
      <c r="A96" s="1455"/>
      <c r="B96" s="105" t="str">
        <f t="shared" si="19"/>
        <v>Maggi Cubes - مكعبات ماجي</v>
      </c>
      <c r="C96" s="105" t="str">
        <f t="shared" si="19"/>
        <v>gm</v>
      </c>
      <c r="D96" s="105">
        <f t="shared" si="19"/>
        <v>20</v>
      </c>
      <c r="E96" s="201">
        <f t="shared" si="23"/>
        <v>0</v>
      </c>
      <c r="F96" s="109">
        <f t="shared" si="20"/>
        <v>0.75</v>
      </c>
      <c r="G96" s="101">
        <f t="shared" si="21"/>
        <v>0</v>
      </c>
      <c r="H96" s="102">
        <f t="shared" si="22"/>
        <v>0</v>
      </c>
      <c r="AM96" s="725"/>
    </row>
    <row r="97" spans="1:39" ht="20.25" customHeight="1" x14ac:dyDescent="0.25">
      <c r="A97" s="1458"/>
      <c r="B97" s="178" t="s">
        <v>287</v>
      </c>
      <c r="C97" s="180" t="s">
        <v>273</v>
      </c>
      <c r="D97" s="14"/>
      <c r="E97" s="180" t="s">
        <v>288</v>
      </c>
      <c r="F97" s="14"/>
      <c r="G97" s="804" t="s">
        <v>264</v>
      </c>
      <c r="H97" s="804" t="s">
        <v>673</v>
      </c>
      <c r="AM97" s="725"/>
    </row>
    <row r="98" spans="1:39" ht="30" customHeight="1" x14ac:dyDescent="0.3">
      <c r="A98" s="1458"/>
      <c r="B98" s="179">
        <f>$J$54</f>
        <v>0</v>
      </c>
      <c r="C98" s="179">
        <f>E98+G98</f>
        <v>0</v>
      </c>
      <c r="D98" s="839"/>
      <c r="E98" s="179">
        <f>$D$54*$S$44</f>
        <v>0</v>
      </c>
      <c r="F98" s="843"/>
      <c r="G98" s="179">
        <f>$D$54*$T$44</f>
        <v>0</v>
      </c>
      <c r="H98" s="179">
        <f>B98+E98</f>
        <v>0</v>
      </c>
      <c r="AM98" s="725"/>
    </row>
    <row r="99" spans="1:39" x14ac:dyDescent="0.25">
      <c r="A99" s="62"/>
      <c r="AM99" s="725"/>
    </row>
    <row r="100" spans="1:39" x14ac:dyDescent="0.25">
      <c r="A100" s="62"/>
    </row>
    <row r="101" spans="1:39" x14ac:dyDescent="0.25">
      <c r="A101" s="62"/>
    </row>
    <row r="102" spans="1:39" x14ac:dyDescent="0.25">
      <c r="A102" s="62"/>
    </row>
    <row r="103" spans="1:39" x14ac:dyDescent="0.25">
      <c r="A103" s="62"/>
    </row>
    <row r="104" spans="1:39" x14ac:dyDescent="0.25">
      <c r="A104" s="62"/>
    </row>
    <row r="105" spans="1:39" x14ac:dyDescent="0.25">
      <c r="A105" s="62"/>
    </row>
    <row r="106" spans="1:39" x14ac:dyDescent="0.25">
      <c r="A106" s="62"/>
    </row>
    <row r="107" spans="1:39" x14ac:dyDescent="0.25">
      <c r="A107" s="62"/>
    </row>
    <row r="108" spans="1:39" x14ac:dyDescent="0.25">
      <c r="A108" s="62"/>
    </row>
    <row r="109" spans="1:39" x14ac:dyDescent="0.25">
      <c r="A109" s="62"/>
    </row>
    <row r="110" spans="1:39" x14ac:dyDescent="0.25">
      <c r="A110" s="62"/>
    </row>
    <row r="111" spans="1:39" x14ac:dyDescent="0.25">
      <c r="A111" s="62"/>
    </row>
    <row r="112" spans="1:39"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1">
    <mergeCell ref="AK3:AL3"/>
    <mergeCell ref="AK2:AM2"/>
    <mergeCell ref="AE2:AG3"/>
    <mergeCell ref="B82:H82"/>
    <mergeCell ref="B62:H62"/>
    <mergeCell ref="F2:F3"/>
    <mergeCell ref="B81:H81"/>
    <mergeCell ref="B63:H63"/>
    <mergeCell ref="R25:V25"/>
    <mergeCell ref="R26:V26"/>
    <mergeCell ref="B35:F35"/>
  </mergeCells>
  <printOptions horizontalCentered="1"/>
  <pageMargins left="0.4" right="0.4" top="1" bottom="0.5" header="0.3" footer="0.511811023622047"/>
  <pageSetup paperSize="9" scale="43" orientation="landscape"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7C7C7C"/>
    <pageSetUpPr fitToPage="1"/>
  </sheetPr>
  <dimension ref="A1:AG174"/>
  <sheetViews>
    <sheetView topLeftCell="R1" zoomScaleNormal="100" workbookViewId="0">
      <selection activeCell="W44" sqref="W44"/>
    </sheetView>
  </sheetViews>
  <sheetFormatPr defaultColWidth="12.5" defaultRowHeight="15" x14ac:dyDescent="0.25"/>
  <cols>
    <col min="1" max="1" width="12.5" style="63" customWidth="1"/>
    <col min="2" max="2" width="38.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5.375" style="14" customWidth="1"/>
    <col min="15" max="17" width="12.5" style="14" customWidth="1"/>
    <col min="18" max="18" width="32.875" style="14" customWidth="1"/>
    <col min="19" max="19" width="12.5" style="14" customWidth="1"/>
    <col min="20" max="27" width="12.5" style="14"/>
    <col min="28" max="28" width="11.625" style="14" bestFit="1" customWidth="1"/>
    <col min="29" max="16384" width="12.5" style="14"/>
  </cols>
  <sheetData>
    <row r="1" spans="1:33" ht="34.5" customHeight="1" x14ac:dyDescent="0.25">
      <c r="B1" s="64" t="s">
        <v>231</v>
      </c>
      <c r="C1" s="65">
        <v>1000</v>
      </c>
      <c r="D1" s="66" t="s">
        <v>232</v>
      </c>
      <c r="E1" s="99">
        <f>T32</f>
        <v>4038.4615384615427</v>
      </c>
      <c r="F1" s="64" t="s">
        <v>233</v>
      </c>
      <c r="G1" s="227">
        <f>E1/C1</f>
        <v>4.0384615384615428</v>
      </c>
      <c r="H1" s="64" t="s">
        <v>234</v>
      </c>
      <c r="I1" s="260">
        <f>G1/K1</f>
        <v>4.0384615384615428</v>
      </c>
      <c r="J1" s="70" t="s">
        <v>235</v>
      </c>
      <c r="K1" s="84">
        <f>9.5/9.5</f>
        <v>1</v>
      </c>
      <c r="L1" s="303"/>
      <c r="M1" s="73"/>
      <c r="N1" s="74"/>
      <c r="O1" s="75" t="s">
        <v>236</v>
      </c>
      <c r="P1" s="76" t="s">
        <v>289</v>
      </c>
      <c r="Q1" s="77" t="s">
        <v>238</v>
      </c>
      <c r="R1" s="76">
        <v>0.51</v>
      </c>
      <c r="Y1" s="75" t="s">
        <v>453</v>
      </c>
      <c r="Z1" s="766">
        <v>17500</v>
      </c>
      <c r="AA1" s="75" t="s">
        <v>556</v>
      </c>
      <c r="AB1" s="766">
        <v>0</v>
      </c>
      <c r="AC1" s="75" t="s">
        <v>546</v>
      </c>
      <c r="AD1" s="766">
        <v>123</v>
      </c>
      <c r="AE1" s="228"/>
      <c r="AF1" s="230"/>
      <c r="AG1" s="76"/>
    </row>
    <row r="2" spans="1:33" ht="12.75" customHeight="1" x14ac:dyDescent="0.25">
      <c r="A2" s="81"/>
      <c r="B2" s="1645" t="s">
        <v>404</v>
      </c>
      <c r="C2" s="1655"/>
      <c r="D2" s="1655"/>
      <c r="E2" s="1655"/>
      <c r="F2" s="1655"/>
      <c r="G2" s="1655"/>
      <c r="H2" s="1655"/>
      <c r="I2" s="1655"/>
      <c r="J2" s="1655"/>
      <c r="K2" s="1655"/>
      <c r="L2" s="270"/>
      <c r="M2" s="84"/>
      <c r="N2" s="84"/>
      <c r="O2" s="84"/>
      <c r="P2" s="84"/>
      <c r="Q2" s="84"/>
      <c r="R2" s="84"/>
      <c r="AE2" s="1652"/>
      <c r="AF2" s="1655"/>
      <c r="AG2" s="1655"/>
    </row>
    <row r="3" spans="1:33" ht="12.75" customHeight="1" x14ac:dyDescent="0.25">
      <c r="A3" s="81"/>
      <c r="B3" s="1633"/>
      <c r="C3" s="1633"/>
      <c r="D3" s="1633"/>
      <c r="E3" s="1633"/>
      <c r="F3" s="1633"/>
      <c r="G3" s="1633"/>
      <c r="H3" s="1633"/>
      <c r="I3" s="1633"/>
      <c r="J3" s="1633"/>
      <c r="K3" s="1633"/>
      <c r="L3" s="270"/>
      <c r="M3" s="84"/>
      <c r="N3" s="84"/>
      <c r="O3" s="84"/>
      <c r="P3" s="84"/>
      <c r="Q3" s="84"/>
      <c r="R3" s="84"/>
      <c r="AE3" s="1655"/>
      <c r="AF3" s="1655"/>
      <c r="AG3" s="1655"/>
    </row>
    <row r="4" spans="1:33" ht="35.25"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AA4" s="229"/>
      <c r="AB4" s="231"/>
      <c r="AE4" s="229"/>
    </row>
    <row r="5" spans="1:33" ht="14.25" customHeight="1" x14ac:dyDescent="0.2">
      <c r="A5" s="1454"/>
      <c r="B5" s="199" t="s">
        <v>223</v>
      </c>
      <c r="C5" s="97" t="s">
        <v>14</v>
      </c>
      <c r="D5" s="103">
        <f>I51/10</f>
        <v>6536.0784313725489</v>
      </c>
      <c r="E5" s="99">
        <f>H52</f>
        <v>4.0383807708461203</v>
      </c>
      <c r="F5" s="109">
        <v>1</v>
      </c>
      <c r="G5" s="101">
        <f t="shared" ref="G5:G20" si="0">D5*E5</f>
        <v>26395.173453996977</v>
      </c>
      <c r="H5" s="102">
        <f t="shared" ref="H5:H20" si="1">G5*F5</f>
        <v>26395.173453996977</v>
      </c>
      <c r="I5" s="65">
        <f>VLOOKUP(B5,All_Ingredients!$A$1:$F$156,6,FALSE())</f>
        <v>0.55000000000000004</v>
      </c>
      <c r="J5" s="101">
        <f>VLOOKUP(B5,All_Ingredients!$A$1:$J$156,10,FALSE())</f>
        <v>14.361111111111111</v>
      </c>
      <c r="K5" s="104">
        <f t="shared" ref="K5" si="2">(H5/I5)/1000</f>
        <v>47.991224461812678</v>
      </c>
      <c r="L5" s="104">
        <f t="shared" ref="L5" si="3">K5*J5</f>
        <v>689.20730685436536</v>
      </c>
      <c r="M5" s="84"/>
      <c r="N5" s="84"/>
      <c r="O5" s="84"/>
      <c r="P5" s="84"/>
      <c r="AA5" s="76"/>
      <c r="AB5" s="114"/>
      <c r="AE5" s="117"/>
    </row>
    <row r="6" spans="1:33" ht="14.25" customHeight="1" x14ac:dyDescent="0.25">
      <c r="A6" s="1471" t="s">
        <v>905</v>
      </c>
      <c r="B6" s="20" t="s">
        <v>12</v>
      </c>
      <c r="C6" s="106" t="s">
        <v>14</v>
      </c>
      <c r="D6" s="107">
        <v>200</v>
      </c>
      <c r="E6" s="177">
        <f t="shared" ref="E6:E20" si="4">$I$1</f>
        <v>4.0384615384615428</v>
      </c>
      <c r="F6" s="109">
        <v>0.95</v>
      </c>
      <c r="G6" s="101">
        <f t="shared" si="0"/>
        <v>807.69230769230853</v>
      </c>
      <c r="H6" s="102">
        <f t="shared" si="1"/>
        <v>767.30769230769306</v>
      </c>
      <c r="I6" s="65">
        <f>VLOOKUP(B6,All_Ingredients!$A$1:$F$156,6,FALSE())</f>
        <v>0.9</v>
      </c>
      <c r="J6" s="101">
        <f>VLOOKUP(B6,All_Ingredients!$A$1:$J$156,10,FALSE())</f>
        <v>3</v>
      </c>
      <c r="K6" s="104">
        <f t="shared" ref="K6:K20" si="5">(H6/I6)/1000</f>
        <v>0.85256410256410331</v>
      </c>
      <c r="L6" s="104">
        <f t="shared" ref="L6:L20" si="6">K6*J6</f>
        <v>2.5576923076923102</v>
      </c>
    </row>
    <row r="7" spans="1:33" ht="14.25" customHeight="1" x14ac:dyDescent="0.25">
      <c r="A7" s="1471" t="s">
        <v>907</v>
      </c>
      <c r="B7" s="20" t="s">
        <v>727</v>
      </c>
      <c r="C7" s="106" t="s">
        <v>14</v>
      </c>
      <c r="D7" s="107">
        <v>30</v>
      </c>
      <c r="E7" s="177">
        <f t="shared" si="4"/>
        <v>4.0384615384615428</v>
      </c>
      <c r="F7" s="109">
        <v>0.95</v>
      </c>
      <c r="G7" s="101">
        <f t="shared" si="0"/>
        <v>121.15384615384629</v>
      </c>
      <c r="H7" s="102">
        <f t="shared" si="1"/>
        <v>115.09615384615397</v>
      </c>
      <c r="I7" s="65">
        <f>VLOOKUP(B7,All_Ingredients!$A$1:$F$156,6,FALSE())</f>
        <v>1</v>
      </c>
      <c r="J7" s="101">
        <f>VLOOKUP(B7,All_Ingredients!$A$1:$J$156,10,FALSE())</f>
        <v>10.5</v>
      </c>
      <c r="K7" s="104">
        <f t="shared" si="5"/>
        <v>0.11509615384615397</v>
      </c>
      <c r="L7" s="104">
        <f t="shared" si="6"/>
        <v>1.2085096153846167</v>
      </c>
    </row>
    <row r="8" spans="1:33" ht="14.25" customHeight="1" x14ac:dyDescent="0.25">
      <c r="A8" s="1471"/>
      <c r="B8" s="20" t="s">
        <v>202</v>
      </c>
      <c r="C8" s="106" t="s">
        <v>14</v>
      </c>
      <c r="D8" s="107">
        <v>20</v>
      </c>
      <c r="E8" s="177">
        <f t="shared" si="4"/>
        <v>4.0384615384615428</v>
      </c>
      <c r="F8" s="109">
        <v>1</v>
      </c>
      <c r="G8" s="101">
        <f t="shared" si="0"/>
        <v>80.769230769230859</v>
      </c>
      <c r="H8" s="102">
        <f t="shared" si="1"/>
        <v>80.769230769230859</v>
      </c>
      <c r="I8" s="65">
        <f>VLOOKUP(B8,All_Ingredients!$A$1:$F$156,6,FALSE())</f>
        <v>1</v>
      </c>
      <c r="J8" s="101">
        <f>VLOOKUP(B8,All_Ingredients!$A$1:$J$156,10,FALSE())</f>
        <v>11.243386243386244</v>
      </c>
      <c r="K8" s="104">
        <f t="shared" si="5"/>
        <v>8.0769230769230857E-2</v>
      </c>
      <c r="L8" s="104">
        <f t="shared" si="6"/>
        <v>0.90811965811965911</v>
      </c>
    </row>
    <row r="9" spans="1:33" ht="14.25" customHeight="1" x14ac:dyDescent="0.25">
      <c r="A9" s="1471"/>
      <c r="B9" s="20" t="s">
        <v>698</v>
      </c>
      <c r="C9" s="106" t="s">
        <v>14</v>
      </c>
      <c r="D9" s="107">
        <v>100</v>
      </c>
      <c r="E9" s="177">
        <f t="shared" si="4"/>
        <v>4.0384615384615428</v>
      </c>
      <c r="F9" s="109">
        <v>1</v>
      </c>
      <c r="G9" s="101">
        <f t="shared" si="0"/>
        <v>403.84615384615427</v>
      </c>
      <c r="H9" s="102">
        <f t="shared" si="1"/>
        <v>403.84615384615427</v>
      </c>
      <c r="I9" s="65">
        <f>VLOOKUP(B9,All_Ingredients!$A$1:$F$156,6,FALSE())</f>
        <v>1</v>
      </c>
      <c r="J9" s="101">
        <f>VLOOKUP(B9,All_Ingredients!$A$1:$J$156,10,FALSE())</f>
        <v>8.1520833333333336</v>
      </c>
      <c r="K9" s="104">
        <f t="shared" si="5"/>
        <v>0.40384615384615424</v>
      </c>
      <c r="L9" s="104">
        <f t="shared" si="6"/>
        <v>3.2921875000000034</v>
      </c>
    </row>
    <row r="10" spans="1:33" ht="14.25" customHeight="1" x14ac:dyDescent="0.25">
      <c r="A10" s="1471"/>
      <c r="B10" s="20" t="s">
        <v>837</v>
      </c>
      <c r="C10" s="106" t="s">
        <v>14</v>
      </c>
      <c r="D10" s="107">
        <v>3</v>
      </c>
      <c r="E10" s="177">
        <f t="shared" si="4"/>
        <v>4.0384615384615428</v>
      </c>
      <c r="F10" s="109">
        <v>0.75</v>
      </c>
      <c r="G10" s="101">
        <f t="shared" si="0"/>
        <v>12.115384615384627</v>
      </c>
      <c r="H10" s="102">
        <f t="shared" si="1"/>
        <v>9.0865384615384706</v>
      </c>
      <c r="I10" s="65">
        <f>VLOOKUP(B10,All_Ingredients!$A$1:$F$156,6,FALSE())</f>
        <v>1</v>
      </c>
      <c r="J10" s="101">
        <f>VLOOKUP(B10,All_Ingredients!$A$1:$J$156,10,FALSE())</f>
        <v>22.5</v>
      </c>
      <c r="K10" s="104">
        <f t="shared" si="5"/>
        <v>9.0865384615384705E-3</v>
      </c>
      <c r="L10" s="104">
        <f t="shared" si="6"/>
        <v>0.20444711538461557</v>
      </c>
    </row>
    <row r="11" spans="1:33" ht="14.25" customHeight="1" x14ac:dyDescent="0.25">
      <c r="A11" s="1471"/>
      <c r="B11" s="20" t="s">
        <v>203</v>
      </c>
      <c r="C11" s="106" t="s">
        <v>160</v>
      </c>
      <c r="D11" s="1212">
        <v>10</v>
      </c>
      <c r="E11" s="177">
        <f t="shared" si="4"/>
        <v>4.0384615384615428</v>
      </c>
      <c r="F11" s="109">
        <v>1</v>
      </c>
      <c r="G11" s="101">
        <f t="shared" si="0"/>
        <v>40.384615384615429</v>
      </c>
      <c r="H11" s="102">
        <f t="shared" si="1"/>
        <v>40.384615384615429</v>
      </c>
      <c r="I11" s="65">
        <f>VLOOKUP(B11,All_Ingredients!$A$1:$F$156,6,FALSE())</f>
        <v>1</v>
      </c>
      <c r="J11" s="101">
        <f>VLOOKUP(B11,All_Ingredients!$A$1:$J$156,10,FALSE())</f>
        <v>0</v>
      </c>
      <c r="K11" s="104">
        <f t="shared" si="5"/>
        <v>4.0384615384615428E-2</v>
      </c>
      <c r="L11" s="104">
        <f t="shared" si="6"/>
        <v>0</v>
      </c>
    </row>
    <row r="12" spans="1:33" ht="14.25" customHeight="1" x14ac:dyDescent="0.25">
      <c r="A12" s="1471"/>
      <c r="B12" s="20" t="s">
        <v>99</v>
      </c>
      <c r="C12" s="106" t="s">
        <v>14</v>
      </c>
      <c r="D12" s="107">
        <v>2</v>
      </c>
      <c r="E12" s="177">
        <f t="shared" si="4"/>
        <v>4.0384615384615428</v>
      </c>
      <c r="F12" s="109">
        <v>1</v>
      </c>
      <c r="G12" s="101">
        <f t="shared" si="0"/>
        <v>8.0769230769230855</v>
      </c>
      <c r="H12" s="102">
        <f t="shared" si="1"/>
        <v>8.0769230769230855</v>
      </c>
      <c r="I12" s="65">
        <f>VLOOKUP(B12,All_Ingredients!$A$1:$F$156,6,FALSE())</f>
        <v>1</v>
      </c>
      <c r="J12" s="101">
        <f>VLOOKUP(B12,All_Ingredients!$A$1:$J$156,10,FALSE())</f>
        <v>31</v>
      </c>
      <c r="K12" s="104">
        <f t="shared" si="5"/>
        <v>8.0769230769230857E-3</v>
      </c>
      <c r="L12" s="104">
        <f t="shared" si="6"/>
        <v>0.25038461538461565</v>
      </c>
    </row>
    <row r="13" spans="1:33" ht="14.25" customHeight="1" x14ac:dyDescent="0.25">
      <c r="A13" s="1471"/>
      <c r="B13" s="20" t="s">
        <v>200</v>
      </c>
      <c r="C13" s="106" t="s">
        <v>14</v>
      </c>
      <c r="D13" s="107">
        <v>25</v>
      </c>
      <c r="E13" s="177">
        <f t="shared" si="4"/>
        <v>4.0384615384615428</v>
      </c>
      <c r="F13" s="109">
        <v>0.75</v>
      </c>
      <c r="G13" s="101">
        <f t="shared" si="0"/>
        <v>100.96153846153857</v>
      </c>
      <c r="H13" s="102">
        <f t="shared" si="1"/>
        <v>75.721153846153925</v>
      </c>
      <c r="I13" s="65">
        <f>VLOOKUP(B13,All_Ingredients!$A$1:$F$156,6,FALSE())</f>
        <v>1</v>
      </c>
      <c r="J13" s="101">
        <f>VLOOKUP(B13,All_Ingredients!$A$1:$J$156,10,FALSE())</f>
        <v>63.333333333333336</v>
      </c>
      <c r="K13" s="104">
        <f t="shared" si="5"/>
        <v>7.5721153846153924E-2</v>
      </c>
      <c r="L13" s="104">
        <f t="shared" si="6"/>
        <v>4.795673076923082</v>
      </c>
    </row>
    <row r="14" spans="1:33" ht="14.25" customHeight="1" x14ac:dyDescent="0.25">
      <c r="A14" s="1471"/>
      <c r="B14" s="20" t="s">
        <v>166</v>
      </c>
      <c r="C14" s="106" t="s">
        <v>160</v>
      </c>
      <c r="D14" s="107">
        <v>500</v>
      </c>
      <c r="E14" s="177">
        <f t="shared" si="4"/>
        <v>4.0384615384615428</v>
      </c>
      <c r="F14" s="109">
        <v>1</v>
      </c>
      <c r="G14" s="101">
        <f t="shared" si="0"/>
        <v>2019.2307692307713</v>
      </c>
      <c r="H14" s="102">
        <f t="shared" si="1"/>
        <v>2019.2307692307713</v>
      </c>
      <c r="I14" s="65">
        <f>VLOOKUP(B14,All_Ingredients!$A$1:$F$156,6,FALSE())</f>
        <v>1</v>
      </c>
      <c r="J14" s="101">
        <f>VLOOKUP(B14,All_Ingredients!$A$1:$J$156,10,FALSE())</f>
        <v>12.666666666666666</v>
      </c>
      <c r="K14" s="104">
        <f t="shared" si="5"/>
        <v>2.0192307692307714</v>
      </c>
      <c r="L14" s="104">
        <f t="shared" si="6"/>
        <v>25.576923076923102</v>
      </c>
    </row>
    <row r="15" spans="1:33" ht="14.25" customHeight="1" x14ac:dyDescent="0.25">
      <c r="A15" s="1471"/>
      <c r="B15" s="20" t="s">
        <v>139</v>
      </c>
      <c r="C15" s="106" t="s">
        <v>14</v>
      </c>
      <c r="D15" s="107">
        <v>8</v>
      </c>
      <c r="E15" s="177">
        <f t="shared" si="4"/>
        <v>4.0384615384615428</v>
      </c>
      <c r="F15" s="109">
        <v>1</v>
      </c>
      <c r="G15" s="101">
        <f t="shared" si="0"/>
        <v>32.307692307692342</v>
      </c>
      <c r="H15" s="102">
        <f t="shared" si="1"/>
        <v>32.307692307692342</v>
      </c>
      <c r="I15" s="65">
        <f>VLOOKUP(B15,All_Ingredients!$A$1:$F$156,6,FALSE())</f>
        <v>1</v>
      </c>
      <c r="J15" s="101">
        <f>VLOOKUP(B15,All_Ingredients!$A$1:$J$156,10,FALSE())</f>
        <v>15.277777777777779</v>
      </c>
      <c r="K15" s="104">
        <f t="shared" si="5"/>
        <v>3.2307692307692343E-2</v>
      </c>
      <c r="L15" s="104">
        <f t="shared" si="6"/>
        <v>0.49358974358974417</v>
      </c>
    </row>
    <row r="16" spans="1:33" ht="14.25" customHeight="1" x14ac:dyDescent="0.25">
      <c r="A16" s="1471"/>
      <c r="B16" s="20" t="s">
        <v>93</v>
      </c>
      <c r="C16" s="106" t="s">
        <v>14</v>
      </c>
      <c r="D16" s="107">
        <v>5</v>
      </c>
      <c r="E16" s="177">
        <f t="shared" si="4"/>
        <v>4.0384615384615428</v>
      </c>
      <c r="F16" s="109">
        <v>1</v>
      </c>
      <c r="G16" s="101">
        <f t="shared" si="0"/>
        <v>20.192307692307715</v>
      </c>
      <c r="H16" s="102">
        <f t="shared" si="1"/>
        <v>20.192307692307715</v>
      </c>
      <c r="I16" s="65">
        <f>VLOOKUP(B16,All_Ingredients!$A$1:$F$156,6,FALSE())</f>
        <v>1</v>
      </c>
      <c r="J16" s="101">
        <f>VLOOKUP(B16,All_Ingredients!$A$1:$J$156,10,FALSE())</f>
        <v>0.74</v>
      </c>
      <c r="K16" s="104">
        <f t="shared" si="5"/>
        <v>2.0192307692307714E-2</v>
      </c>
      <c r="L16" s="104">
        <f t="shared" si="6"/>
        <v>1.4942307692307708E-2</v>
      </c>
    </row>
    <row r="17" spans="1:30" ht="14.25" customHeight="1" x14ac:dyDescent="0.25">
      <c r="A17" s="1471"/>
      <c r="B17" s="20" t="s">
        <v>187</v>
      </c>
      <c r="C17" s="106" t="s">
        <v>14</v>
      </c>
      <c r="D17" s="107">
        <v>20</v>
      </c>
      <c r="E17" s="177">
        <f t="shared" si="4"/>
        <v>4.0384615384615428</v>
      </c>
      <c r="F17" s="109">
        <v>0.75</v>
      </c>
      <c r="G17" s="101">
        <f t="shared" si="0"/>
        <v>80.769230769230859</v>
      </c>
      <c r="H17" s="102">
        <f t="shared" si="1"/>
        <v>60.576923076923144</v>
      </c>
      <c r="I17" s="65">
        <f>VLOOKUP(B17,All_Ingredients!$A$1:$F$156,6,FALSE())</f>
        <v>0.9</v>
      </c>
      <c r="J17" s="101">
        <f>VLOOKUP(B17,All_Ingredients!$A$1:$J$156,10,FALSE())</f>
        <v>2.3199999999999998</v>
      </c>
      <c r="K17" s="104">
        <f t="shared" si="5"/>
        <v>6.7307692307692374E-2</v>
      </c>
      <c r="L17" s="104">
        <f t="shared" si="6"/>
        <v>0.15615384615384631</v>
      </c>
    </row>
    <row r="18" spans="1:30" ht="14.25" customHeight="1" x14ac:dyDescent="0.25">
      <c r="A18" s="1471" t="s">
        <v>927</v>
      </c>
      <c r="B18" s="20" t="s">
        <v>754</v>
      </c>
      <c r="C18" s="106" t="s">
        <v>14</v>
      </c>
      <c r="D18" s="107">
        <v>100</v>
      </c>
      <c r="E18" s="177">
        <f t="shared" si="4"/>
        <v>4.0384615384615428</v>
      </c>
      <c r="F18" s="109">
        <v>1</v>
      </c>
      <c r="G18" s="101">
        <f t="shared" si="0"/>
        <v>403.84615384615427</v>
      </c>
      <c r="H18" s="102">
        <f t="shared" si="1"/>
        <v>403.84615384615427</v>
      </c>
      <c r="I18" s="65">
        <f>VLOOKUP(B18,All_Ingredients!$A$1:$F$156,6,FALSE())</f>
        <v>1</v>
      </c>
      <c r="J18" s="101">
        <f>VLOOKUP(B18,All_Ingredients!$A$1:$J$156,10,FALSE())</f>
        <v>22</v>
      </c>
      <c r="K18" s="104">
        <f t="shared" si="5"/>
        <v>0.40384615384615424</v>
      </c>
      <c r="L18" s="104">
        <f t="shared" si="6"/>
        <v>8.8846153846153939</v>
      </c>
    </row>
    <row r="19" spans="1:30" ht="14.25" customHeight="1" x14ac:dyDescent="0.25">
      <c r="A19" s="1471"/>
      <c r="B19" s="200" t="s">
        <v>152</v>
      </c>
      <c r="C19" s="106" t="s">
        <v>14</v>
      </c>
      <c r="D19" s="107">
        <v>20</v>
      </c>
      <c r="E19" s="177">
        <f t="shared" si="4"/>
        <v>4.0384615384615428</v>
      </c>
      <c r="F19" s="109">
        <v>1</v>
      </c>
      <c r="G19" s="101">
        <f t="shared" si="0"/>
        <v>80.769230769230859</v>
      </c>
      <c r="H19" s="102">
        <f t="shared" si="1"/>
        <v>80.769230769230859</v>
      </c>
      <c r="I19" s="65">
        <f>VLOOKUP(B19,All_Ingredients!$A$1:$F$156,6,FALSE())</f>
        <v>1</v>
      </c>
      <c r="J19" s="101">
        <f>VLOOKUP(B19,All_Ingredients!$A$1:$J$156,10,FALSE())</f>
        <v>30</v>
      </c>
      <c r="K19" s="104">
        <f t="shared" si="5"/>
        <v>8.0769230769230857E-2</v>
      </c>
      <c r="L19" s="104">
        <f t="shared" si="6"/>
        <v>2.4230769230769256</v>
      </c>
    </row>
    <row r="20" spans="1:30" ht="14.25" customHeight="1" x14ac:dyDescent="0.25">
      <c r="A20" s="1471"/>
      <c r="B20" s="200" t="s">
        <v>192</v>
      </c>
      <c r="C20" s="106" t="s">
        <v>160</v>
      </c>
      <c r="D20" s="107">
        <v>15</v>
      </c>
      <c r="E20" s="177">
        <f t="shared" si="4"/>
        <v>4.0384615384615428</v>
      </c>
      <c r="F20" s="109">
        <v>0.9</v>
      </c>
      <c r="G20" s="101">
        <f t="shared" si="0"/>
        <v>60.576923076923144</v>
      </c>
      <c r="H20" s="102">
        <f t="shared" si="1"/>
        <v>54.51923076923083</v>
      </c>
      <c r="I20" s="65">
        <f>VLOOKUP(B20,All_Ingredients!$A$1:$F$156,6,FALSE())</f>
        <v>1</v>
      </c>
      <c r="J20" s="101">
        <f>VLOOKUP(B20,All_Ingredients!$A$1:$J$156,10,FALSE())</f>
        <v>58.685446009389672</v>
      </c>
      <c r="K20" s="104">
        <f t="shared" si="5"/>
        <v>5.4519230769230834E-2</v>
      </c>
      <c r="L20" s="104">
        <f t="shared" si="6"/>
        <v>3.1994853737811524</v>
      </c>
    </row>
    <row r="21" spans="1:30" ht="14.25" customHeight="1" x14ac:dyDescent="0.25">
      <c r="A21" s="1472"/>
      <c r="B21" s="84"/>
      <c r="C21" s="152"/>
      <c r="D21" s="152"/>
      <c r="E21" s="84"/>
      <c r="F21" s="84"/>
      <c r="G21" s="152"/>
      <c r="L21" s="274"/>
    </row>
    <row r="22" spans="1:30" ht="14.25" customHeight="1" x14ac:dyDescent="0.25">
      <c r="A22" s="1472"/>
      <c r="L22" s="274"/>
    </row>
    <row r="23" spans="1:30" ht="14.25" customHeight="1" x14ac:dyDescent="0.25">
      <c r="A23" s="1472"/>
      <c r="L23" s="274"/>
    </row>
    <row r="24" spans="1:30" ht="14.25" customHeight="1" x14ac:dyDescent="0.25">
      <c r="A24" s="1472"/>
      <c r="L24" s="274"/>
      <c r="Z24" s="1073"/>
    </row>
    <row r="25" spans="1:30" ht="14.25" customHeight="1" x14ac:dyDescent="0.25">
      <c r="A25" s="1472"/>
      <c r="L25" s="274"/>
      <c r="R25" s="1662" t="s">
        <v>405</v>
      </c>
      <c r="S25" s="1714"/>
      <c r="T25" s="1714"/>
      <c r="U25" s="1714"/>
      <c r="V25" s="1052"/>
      <c r="Z25" s="122" t="s">
        <v>252</v>
      </c>
      <c r="AA25" s="123">
        <v>1</v>
      </c>
      <c r="AB25" s="122" t="s">
        <v>249</v>
      </c>
      <c r="AC25" s="124">
        <f>AD30*AA25</f>
        <v>4.2501096246980785E-2</v>
      </c>
    </row>
    <row r="26" spans="1:30" ht="14.25" customHeight="1" x14ac:dyDescent="0.25">
      <c r="A26" s="1472"/>
      <c r="L26" s="274"/>
      <c r="R26" s="1672" t="s">
        <v>406</v>
      </c>
      <c r="S26" s="1719"/>
      <c r="T26" s="1719"/>
      <c r="U26" s="1719"/>
      <c r="V26" s="1052"/>
    </row>
    <row r="27" spans="1:30" ht="14.25" customHeight="1" thickBot="1" x14ac:dyDescent="0.3">
      <c r="A27" s="1472"/>
      <c r="R27" s="126" t="s">
        <v>254</v>
      </c>
      <c r="S27" s="127" t="s">
        <v>298</v>
      </c>
      <c r="T27" s="127" t="s">
        <v>256</v>
      </c>
      <c r="U27" s="127" t="s">
        <v>257</v>
      </c>
      <c r="V27" s="127" t="s">
        <v>779</v>
      </c>
      <c r="Z27" s="122" t="s">
        <v>258</v>
      </c>
      <c r="AA27" s="128" t="s">
        <v>259</v>
      </c>
      <c r="AB27" s="128" t="s">
        <v>260</v>
      </c>
      <c r="AC27" s="1032" t="s">
        <v>779</v>
      </c>
      <c r="AD27" s="128" t="s">
        <v>262</v>
      </c>
    </row>
    <row r="28" spans="1:30" ht="14.25" customHeight="1" thickBot="1" x14ac:dyDescent="0.3">
      <c r="A28" s="1472"/>
      <c r="B28" s="84"/>
      <c r="E28" s="84"/>
      <c r="F28" s="84"/>
      <c r="R28" s="129" t="s">
        <v>263</v>
      </c>
      <c r="S28" s="690">
        <f>U28*S40</f>
        <v>13461.538461538459</v>
      </c>
      <c r="T28" s="690">
        <f>U28*U40</f>
        <v>4038.4615384615427</v>
      </c>
      <c r="U28" s="696">
        <f>$Z$1</f>
        <v>17500</v>
      </c>
      <c r="V28" s="130">
        <f>H37</f>
        <v>8.6100000000000012</v>
      </c>
      <c r="Z28" s="132"/>
      <c r="AA28" s="133">
        <f>AA25*$S$40</f>
        <v>0.76923076923076905</v>
      </c>
      <c r="AB28" s="133">
        <f>AA25*$U$40</f>
        <v>0.230769230769231</v>
      </c>
      <c r="AC28" s="1034"/>
      <c r="AD28" s="135">
        <f>SUM(AA28:AB28)</f>
        <v>1</v>
      </c>
    </row>
    <row r="29" spans="1:30" ht="28.5" customHeight="1" thickBot="1" x14ac:dyDescent="0.3">
      <c r="A29" s="1472"/>
      <c r="B29" s="790"/>
      <c r="C29" s="1720"/>
      <c r="D29" s="1720"/>
      <c r="E29" s="1720"/>
      <c r="F29" s="1720"/>
      <c r="G29" s="1720"/>
      <c r="H29" s="791"/>
      <c r="R29" s="129" t="s">
        <v>264</v>
      </c>
      <c r="S29" s="692"/>
      <c r="T29" s="690"/>
      <c r="U29" s="130">
        <f>T29</f>
        <v>0</v>
      </c>
      <c r="V29" s="130"/>
      <c r="Z29" s="132"/>
      <c r="AA29" s="137">
        <f>AA28/$AD$28</f>
        <v>0.76923076923076905</v>
      </c>
      <c r="AB29" s="137">
        <f>AB28/$AD$28</f>
        <v>0.230769230769231</v>
      </c>
      <c r="AC29" s="1038"/>
      <c r="AD29" s="137">
        <f>AD28/$AD$28</f>
        <v>1</v>
      </c>
    </row>
    <row r="30" spans="1:30" ht="21.75" customHeight="1" thickBot="1" x14ac:dyDescent="0.3">
      <c r="A30" s="1472"/>
      <c r="B30" s="792"/>
      <c r="C30" s="793"/>
      <c r="D30" s="794"/>
      <c r="E30" s="792"/>
      <c r="F30" s="792"/>
      <c r="G30" s="794"/>
      <c r="H30" s="795"/>
      <c r="R30" s="129" t="s">
        <v>265</v>
      </c>
      <c r="S30" s="1162">
        <f>U30*S40</f>
        <v>0</v>
      </c>
      <c r="T30" s="690">
        <f>U30*U40</f>
        <v>0</v>
      </c>
      <c r="U30" s="696">
        <f>$AB$1</f>
        <v>0</v>
      </c>
      <c r="V30" s="989"/>
      <c r="Z30" s="122" t="s">
        <v>266</v>
      </c>
      <c r="AA30" s="138">
        <f>S35/(S32)</f>
        <v>5.1198257080610009E-2</v>
      </c>
      <c r="AB30" s="139">
        <f>T35/T32</f>
        <v>1.3362960134883374E-2</v>
      </c>
      <c r="AC30" s="1045">
        <f>V35/U32</f>
        <v>3.4061538461538458E-5</v>
      </c>
      <c r="AD30" s="1047">
        <f>SUMPRODUCT(AA30:AB30,AA29:AB29)+AC30</f>
        <v>4.2501096246980785E-2</v>
      </c>
    </row>
    <row r="31" spans="1:30" ht="14.25" customHeight="1" thickBot="1" x14ac:dyDescent="0.3">
      <c r="A31" s="1472"/>
      <c r="B31" s="84"/>
      <c r="E31" s="84"/>
      <c r="F31" s="84"/>
      <c r="R31" s="129" t="s">
        <v>267</v>
      </c>
      <c r="S31" s="136"/>
      <c r="T31" s="130"/>
      <c r="U31" s="130"/>
      <c r="V31" s="130"/>
    </row>
    <row r="32" spans="1:30" ht="14.25" customHeight="1" thickBot="1" x14ac:dyDescent="0.3">
      <c r="A32" s="1472"/>
      <c r="R32" s="141" t="s">
        <v>257</v>
      </c>
      <c r="S32" s="130">
        <f>SUM(S28:S30)</f>
        <v>13461.538461538459</v>
      </c>
      <c r="T32" s="130">
        <f>SUM(T28:T30)</f>
        <v>4038.4615384615427</v>
      </c>
      <c r="U32" s="130">
        <f>SUM(U28:U30)</f>
        <v>17500</v>
      </c>
      <c r="V32" s="130">
        <f>SUM(V28:V30)</f>
        <v>8.6100000000000012</v>
      </c>
    </row>
    <row r="33" spans="1:23" ht="14.25" customHeight="1" thickBot="1" x14ac:dyDescent="0.3">
      <c r="A33" s="1472"/>
      <c r="R33" s="142" t="s">
        <v>268</v>
      </c>
      <c r="S33" s="130"/>
      <c r="T33" s="136"/>
      <c r="U33" s="136"/>
      <c r="V33" s="136"/>
    </row>
    <row r="34" spans="1:23" ht="14.25" customHeight="1" thickBot="1" x14ac:dyDescent="0.3">
      <c r="A34" s="1472"/>
      <c r="R34" s="143" t="s">
        <v>269</v>
      </c>
      <c r="S34" s="130"/>
      <c r="T34" s="130"/>
      <c r="U34" s="136"/>
      <c r="V34" s="136"/>
    </row>
    <row r="35" spans="1:23" ht="14.25" customHeight="1" thickBot="1" x14ac:dyDescent="0.3">
      <c r="A35" s="1472"/>
      <c r="B35" s="1681" t="s">
        <v>660</v>
      </c>
      <c r="C35" s="1681"/>
      <c r="D35" s="1681"/>
      <c r="E35" s="1681"/>
      <c r="F35" s="1681"/>
      <c r="G35" s="797"/>
      <c r="H35" s="797"/>
      <c r="I35" s="803"/>
      <c r="J35" s="803"/>
      <c r="K35" s="803"/>
      <c r="L35" s="803"/>
      <c r="R35" s="144" t="s">
        <v>249</v>
      </c>
      <c r="S35" s="990">
        <f>$L$5</f>
        <v>689.20730685436536</v>
      </c>
      <c r="T35" s="990">
        <f>SUM(L6:L20)</f>
        <v>53.965800544721375</v>
      </c>
      <c r="U35" s="990">
        <f>S35+T35+V35</f>
        <v>743.7691843221636</v>
      </c>
      <c r="V35" s="990">
        <f>L37</f>
        <v>0.59607692307692306</v>
      </c>
    </row>
    <row r="36" spans="1:23" ht="47.25"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1472"/>
      <c r="B37" s="772" t="s">
        <v>686</v>
      </c>
      <c r="C37" s="773" t="s">
        <v>14</v>
      </c>
      <c r="D37" s="774">
        <v>7.0000000000000007E-2</v>
      </c>
      <c r="E37" s="772">
        <f>$AD$1</f>
        <v>123</v>
      </c>
      <c r="F37" s="772">
        <f>D37*E37</f>
        <v>8.6100000000000012</v>
      </c>
      <c r="G37" s="796"/>
      <c r="H37" s="772">
        <f>F37</f>
        <v>8.6100000000000012</v>
      </c>
      <c r="I37" s="772">
        <f>VLOOKUP(B37,All_Ingredients!$A$1:$F$156,6,FALSE())</f>
        <v>0.65</v>
      </c>
      <c r="J37" s="772">
        <f>VLOOKUP(B37,All_Ingredients!$A$1:$J$156,10,FALSE())</f>
        <v>45</v>
      </c>
      <c r="K37" s="772">
        <f>(H37/I37)/1000</f>
        <v>1.3246153846153847E-2</v>
      </c>
      <c r="L37" s="772">
        <f>K37*J37</f>
        <v>0.59607692307692306</v>
      </c>
    </row>
    <row r="38" spans="1:23" x14ac:dyDescent="0.25">
      <c r="A38" s="1472"/>
    </row>
    <row r="39" spans="1:23" x14ac:dyDescent="0.25">
      <c r="A39" s="1472"/>
    </row>
    <row r="40" spans="1:23" ht="18.75" customHeight="1" x14ac:dyDescent="0.25">
      <c r="A40" s="1472"/>
      <c r="R40" s="146" t="s">
        <v>270</v>
      </c>
      <c r="S40" s="147">
        <v>0.76923076923076905</v>
      </c>
      <c r="T40" s="146" t="s">
        <v>271</v>
      </c>
      <c r="U40" s="148">
        <v>0.230769230769231</v>
      </c>
      <c r="V40" s="149">
        <f>S40+U40</f>
        <v>1</v>
      </c>
    </row>
    <row r="41" spans="1:23" ht="14.25" customHeight="1" x14ac:dyDescent="0.25">
      <c r="A41" s="1472"/>
      <c r="U41" s="150"/>
    </row>
    <row r="42" spans="1:23" ht="14.25" customHeight="1"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43334</v>
      </c>
      <c r="R44" s="154">
        <f>D51</f>
        <v>10000</v>
      </c>
      <c r="S44" s="155">
        <v>1</v>
      </c>
      <c r="T44" s="155">
        <v>0</v>
      </c>
      <c r="U44" s="220">
        <f>R44*S44</f>
        <v>10000</v>
      </c>
      <c r="V44" s="157">
        <f>R44*T44</f>
        <v>0</v>
      </c>
      <c r="W44" s="237">
        <f>Q44-U44</f>
        <v>33334</v>
      </c>
    </row>
    <row r="45" spans="1:23" x14ac:dyDescent="0.25">
      <c r="A45" s="1472"/>
    </row>
    <row r="46" spans="1:23" x14ac:dyDescent="0.25">
      <c r="A46" s="1472"/>
    </row>
    <row r="47" spans="1:23" x14ac:dyDescent="0.25">
      <c r="A47" s="1472"/>
    </row>
    <row r="48" spans="1:23" x14ac:dyDescent="0.25">
      <c r="A48" s="1472"/>
    </row>
    <row r="49" spans="1:10" x14ac:dyDescent="0.25">
      <c r="A49" s="1472"/>
    </row>
    <row r="50" spans="1:10" ht="14.25" customHeight="1" x14ac:dyDescent="0.25">
      <c r="A50" s="1472"/>
      <c r="B50" s="126"/>
      <c r="C50" s="126" t="s">
        <v>233</v>
      </c>
      <c r="D50" s="126" t="s">
        <v>279</v>
      </c>
      <c r="E50" s="84"/>
      <c r="F50" s="84"/>
      <c r="G50" s="126" t="s">
        <v>280</v>
      </c>
      <c r="H50" s="126" t="s">
        <v>233</v>
      </c>
      <c r="I50" s="126" t="s">
        <v>281</v>
      </c>
      <c r="J50" s="126" t="s">
        <v>282</v>
      </c>
    </row>
    <row r="51" spans="1:10" ht="14.25" customHeight="1" x14ac:dyDescent="0.25">
      <c r="A51" s="1472"/>
      <c r="B51" s="161" t="s">
        <v>283</v>
      </c>
      <c r="C51" s="162">
        <f>10/$K$1</f>
        <v>10</v>
      </c>
      <c r="D51" s="163">
        <f>$C$1*10</f>
        <v>10000</v>
      </c>
      <c r="E51" s="164"/>
      <c r="F51" s="84"/>
      <c r="G51" s="161" t="s">
        <v>283</v>
      </c>
      <c r="H51" s="254">
        <f>I51/$D$5</f>
        <v>10</v>
      </c>
      <c r="I51" s="162">
        <f>J51/$R$1</f>
        <v>65360.784313725489</v>
      </c>
      <c r="J51" s="162">
        <f>$W$44</f>
        <v>33334</v>
      </c>
    </row>
    <row r="52" spans="1:10" x14ac:dyDescent="0.25">
      <c r="A52" s="1472"/>
      <c r="B52" s="209" t="s">
        <v>262</v>
      </c>
      <c r="C52" s="210">
        <f>$I$1</f>
        <v>4.0384615384615428</v>
      </c>
      <c r="D52" s="211">
        <f>$E$1</f>
        <v>4038.4615384615427</v>
      </c>
      <c r="E52" s="84"/>
      <c r="F52" s="84"/>
      <c r="G52" s="129" t="s">
        <v>262</v>
      </c>
      <c r="H52" s="190">
        <f>I52/$D$5</f>
        <v>4.0383807708461203</v>
      </c>
      <c r="I52" s="157">
        <f>J52/$R$1</f>
        <v>26395.173453996977</v>
      </c>
      <c r="J52" s="165">
        <f>$S$32</f>
        <v>13461.538461538459</v>
      </c>
    </row>
    <row r="53" spans="1:10" x14ac:dyDescent="0.25">
      <c r="A53" s="1472"/>
      <c r="B53" s="209" t="s">
        <v>284</v>
      </c>
      <c r="C53" s="212">
        <f>MIN(C52, C51)</f>
        <v>4.0384615384615428</v>
      </c>
      <c r="D53" s="211">
        <f>(C53*$K$1)*$C$1</f>
        <v>4038.4615384615427</v>
      </c>
      <c r="E53" s="84"/>
      <c r="F53" s="84"/>
      <c r="G53" s="129" t="s">
        <v>284</v>
      </c>
      <c r="H53" s="168">
        <f>MIN(H52,H51)</f>
        <v>4.0383807708461203</v>
      </c>
      <c r="I53" s="157">
        <f>J53/$R$1</f>
        <v>26395.173453996977</v>
      </c>
      <c r="J53" s="157">
        <f>MIN(J52,J51)</f>
        <v>13461.538461538459</v>
      </c>
    </row>
    <row r="54" spans="1:10"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36" t="str">
        <f>"ستروغانوف لحم  1 / " &amp; COUNTIF($C$53:$C$55, "&gt;0")</f>
        <v>ستروغانوف لحم  1 / 1</v>
      </c>
      <c r="C62" s="1637"/>
      <c r="D62" s="1637"/>
      <c r="E62" s="1637"/>
      <c r="F62" s="1637"/>
      <c r="G62" s="1637"/>
      <c r="H62" s="1637"/>
    </row>
    <row r="63" spans="1:10" ht="18" customHeight="1" x14ac:dyDescent="0.25">
      <c r="A63" s="1473"/>
      <c r="B63" s="1634" t="str">
        <f>"Stroganoff sauce for Beef  1 / " &amp; COUNTIF($C$53:$C$55, "&gt;0")</f>
        <v>Stroganoff sauce for Beef  1 / 1</v>
      </c>
      <c r="C63" s="1635"/>
      <c r="D63" s="1635"/>
      <c r="E63" s="1635"/>
      <c r="F63" s="1635"/>
      <c r="G63" s="1635"/>
      <c r="H63" s="1635"/>
    </row>
    <row r="64" spans="1:10" ht="43.5" customHeight="1" x14ac:dyDescent="0.2">
      <c r="A64" s="1457"/>
      <c r="B64" s="221" t="s">
        <v>241</v>
      </c>
      <c r="C64" s="222" t="s">
        <v>242</v>
      </c>
      <c r="D64" s="223" t="s">
        <v>231</v>
      </c>
      <c r="E64" s="197" t="s">
        <v>234</v>
      </c>
      <c r="F64" s="197" t="s">
        <v>243</v>
      </c>
      <c r="G64" s="223" t="s">
        <v>244</v>
      </c>
      <c r="H64" s="197" t="s">
        <v>245</v>
      </c>
    </row>
    <row r="65" spans="1:8" ht="14.25" customHeight="1" x14ac:dyDescent="0.25">
      <c r="A65" s="1471"/>
      <c r="B65" s="299" t="str">
        <f t="shared" ref="B65:D80" si="7">B5</f>
        <v>Indian Meat Alana  - لحم هندى ألانا</v>
      </c>
      <c r="C65" s="299" t="str">
        <f t="shared" si="7"/>
        <v>gm</v>
      </c>
      <c r="D65" s="300">
        <f t="shared" si="7"/>
        <v>6536.0784313725489</v>
      </c>
      <c r="E65" s="108">
        <f>H53</f>
        <v>4.0383807708461203</v>
      </c>
      <c r="F65" s="109">
        <f t="shared" ref="F65:F80" si="8">F5</f>
        <v>1</v>
      </c>
      <c r="G65" s="101">
        <f t="shared" ref="G65:G80" si="9">D65*E65</f>
        <v>26395.173453996977</v>
      </c>
      <c r="H65" s="102">
        <f t="shared" ref="H65:H80" si="10">G65*F65</f>
        <v>26395.173453996977</v>
      </c>
    </row>
    <row r="66" spans="1:8" ht="14.25" customHeight="1" x14ac:dyDescent="0.25">
      <c r="A66" s="1471" t="s">
        <v>905</v>
      </c>
      <c r="B66" s="299" t="str">
        <f t="shared" si="7"/>
        <v>Onion - بصل</v>
      </c>
      <c r="C66" s="299" t="str">
        <f t="shared" si="7"/>
        <v>gm</v>
      </c>
      <c r="D66" s="299">
        <f t="shared" si="7"/>
        <v>200</v>
      </c>
      <c r="E66" s="108">
        <f t="shared" ref="E66:E80" si="11">$C$53</f>
        <v>4.0384615384615428</v>
      </c>
      <c r="F66" s="109">
        <f t="shared" si="8"/>
        <v>0.95</v>
      </c>
      <c r="G66" s="101">
        <f t="shared" si="9"/>
        <v>807.69230769230853</v>
      </c>
      <c r="H66" s="102">
        <f t="shared" si="10"/>
        <v>767.30769230769306</v>
      </c>
    </row>
    <row r="67" spans="1:8" ht="14.25" customHeight="1" x14ac:dyDescent="0.25">
      <c r="A67" s="1471" t="s">
        <v>907</v>
      </c>
      <c r="B67" s="299" t="str">
        <f t="shared" si="7"/>
        <v>Garlic - ثوم مقشر</v>
      </c>
      <c r="C67" s="299" t="str">
        <f t="shared" si="7"/>
        <v>gm</v>
      </c>
      <c r="D67" s="299">
        <f t="shared" si="7"/>
        <v>30</v>
      </c>
      <c r="E67" s="108">
        <f t="shared" si="11"/>
        <v>4.0384615384615428</v>
      </c>
      <c r="F67" s="109">
        <f t="shared" si="8"/>
        <v>0.95</v>
      </c>
      <c r="G67" s="101">
        <f t="shared" si="9"/>
        <v>121.15384615384629</v>
      </c>
      <c r="H67" s="102">
        <f t="shared" si="10"/>
        <v>115.09615384615397</v>
      </c>
    </row>
    <row r="68" spans="1:8" ht="14.25" customHeight="1" x14ac:dyDescent="0.25">
      <c r="A68" s="1471"/>
      <c r="B68" s="299" t="str">
        <f t="shared" si="7"/>
        <v>Mustard - خردل</v>
      </c>
      <c r="C68" s="299" t="str">
        <f t="shared" si="7"/>
        <v>gm</v>
      </c>
      <c r="D68" s="299">
        <f t="shared" si="7"/>
        <v>20</v>
      </c>
      <c r="E68" s="108">
        <f t="shared" si="11"/>
        <v>4.0384615384615428</v>
      </c>
      <c r="F68" s="109">
        <f t="shared" si="8"/>
        <v>1</v>
      </c>
      <c r="G68" s="101">
        <f t="shared" si="9"/>
        <v>80.769230769230859</v>
      </c>
      <c r="H68" s="102">
        <f t="shared" si="10"/>
        <v>80.769230769230859</v>
      </c>
    </row>
    <row r="69" spans="1:8" ht="14.25" customHeight="1" x14ac:dyDescent="0.25">
      <c r="A69" s="1471"/>
      <c r="B69" s="299" t="str">
        <f t="shared" si="7"/>
        <v>Tomato Paste - صلصة طماطم</v>
      </c>
      <c r="C69" s="299" t="str">
        <f t="shared" si="7"/>
        <v>gm</v>
      </c>
      <c r="D69" s="299">
        <f t="shared" si="7"/>
        <v>100</v>
      </c>
      <c r="E69" s="108">
        <f t="shared" si="11"/>
        <v>4.0384615384615428</v>
      </c>
      <c r="F69" s="109">
        <f t="shared" si="8"/>
        <v>1</v>
      </c>
      <c r="G69" s="101">
        <f t="shared" si="9"/>
        <v>403.84615384615427</v>
      </c>
      <c r="H69" s="102">
        <f t="shared" si="10"/>
        <v>403.84615384615427</v>
      </c>
    </row>
    <row r="70" spans="1:8" ht="14.25" customHeight="1" x14ac:dyDescent="0.25">
      <c r="A70" s="1471"/>
      <c r="B70" s="299" t="str">
        <f t="shared" si="7"/>
        <v>Saffron yellow color powder - لون صفار زعفران بودر</v>
      </c>
      <c r="C70" s="299" t="str">
        <f t="shared" si="7"/>
        <v>gm</v>
      </c>
      <c r="D70" s="299">
        <f t="shared" si="7"/>
        <v>3</v>
      </c>
      <c r="E70" s="108">
        <f t="shared" si="11"/>
        <v>4.0384615384615428</v>
      </c>
      <c r="F70" s="109">
        <f t="shared" si="8"/>
        <v>0.75</v>
      </c>
      <c r="G70" s="101">
        <f t="shared" si="9"/>
        <v>12.115384615384627</v>
      </c>
      <c r="H70" s="102">
        <f t="shared" si="10"/>
        <v>9.0865384615384706</v>
      </c>
    </row>
    <row r="71" spans="1:8" ht="14.25" customHeight="1" x14ac:dyDescent="0.25">
      <c r="A71" s="1471"/>
      <c r="B71" s="299" t="str">
        <f t="shared" si="7"/>
        <v>Water - ماء</v>
      </c>
      <c r="C71" s="299" t="str">
        <f t="shared" si="7"/>
        <v>ml</v>
      </c>
      <c r="D71" s="299">
        <f t="shared" si="7"/>
        <v>10</v>
      </c>
      <c r="E71" s="108">
        <f t="shared" si="11"/>
        <v>4.0384615384615428</v>
      </c>
      <c r="F71" s="109">
        <f t="shared" si="8"/>
        <v>1</v>
      </c>
      <c r="G71" s="101">
        <f t="shared" si="9"/>
        <v>40.384615384615429</v>
      </c>
      <c r="H71" s="102">
        <f t="shared" si="10"/>
        <v>40.384615384615429</v>
      </c>
    </row>
    <row r="72" spans="1:8" ht="14.25" customHeight="1" x14ac:dyDescent="0.25">
      <c r="A72" s="1471"/>
      <c r="B72" s="299" t="str">
        <f t="shared" si="7"/>
        <v>Black Pepper Powder - فلفل أسود مطحون</v>
      </c>
      <c r="C72" s="299" t="str">
        <f t="shared" si="7"/>
        <v>gm</v>
      </c>
      <c r="D72" s="299">
        <f t="shared" si="7"/>
        <v>2</v>
      </c>
      <c r="E72" s="108">
        <f t="shared" si="11"/>
        <v>4.0384615384615428</v>
      </c>
      <c r="F72" s="109">
        <f t="shared" si="8"/>
        <v>1</v>
      </c>
      <c r="G72" s="101">
        <f t="shared" si="9"/>
        <v>8.0769230769230855</v>
      </c>
      <c r="H72" s="102">
        <f t="shared" si="10"/>
        <v>8.0769230769230855</v>
      </c>
    </row>
    <row r="73" spans="1:8" ht="14.25" customHeight="1" x14ac:dyDescent="0.25">
      <c r="A73" s="1471"/>
      <c r="B73" s="299" t="str">
        <f t="shared" si="7"/>
        <v>Demi Glaze Sauce - صوص ديمي غلاز</v>
      </c>
      <c r="C73" s="299" t="str">
        <f t="shared" si="7"/>
        <v>gm</v>
      </c>
      <c r="D73" s="299">
        <f t="shared" si="7"/>
        <v>25</v>
      </c>
      <c r="E73" s="108">
        <f t="shared" si="11"/>
        <v>4.0384615384615428</v>
      </c>
      <c r="F73" s="109">
        <f t="shared" si="8"/>
        <v>0.75</v>
      </c>
      <c r="G73" s="101">
        <f t="shared" si="9"/>
        <v>100.96153846153857</v>
      </c>
      <c r="H73" s="102">
        <f t="shared" si="10"/>
        <v>75.721153846153925</v>
      </c>
    </row>
    <row r="74" spans="1:8" ht="14.25" customHeight="1" x14ac:dyDescent="0.25">
      <c r="A74" s="1471"/>
      <c r="B74" s="299" t="str">
        <f t="shared" si="7"/>
        <v>Cooking Cream - كريمة طبخ</v>
      </c>
      <c r="C74" s="299" t="str">
        <f t="shared" si="7"/>
        <v>ml</v>
      </c>
      <c r="D74" s="299">
        <f t="shared" si="7"/>
        <v>500</v>
      </c>
      <c r="E74" s="108">
        <f t="shared" si="11"/>
        <v>4.0384615384615428</v>
      </c>
      <c r="F74" s="109">
        <f t="shared" si="8"/>
        <v>1</v>
      </c>
      <c r="G74" s="101">
        <f t="shared" si="9"/>
        <v>2019.2307692307713</v>
      </c>
      <c r="H74" s="102">
        <f t="shared" si="10"/>
        <v>2019.2307692307713</v>
      </c>
    </row>
    <row r="75" spans="1:8" ht="14.25" customHeight="1" x14ac:dyDescent="0.25">
      <c r="A75" s="1471"/>
      <c r="B75" s="299" t="str">
        <f t="shared" si="7"/>
        <v>Maggi Cubes - مكعبات ماجي</v>
      </c>
      <c r="C75" s="299" t="str">
        <f t="shared" si="7"/>
        <v>gm</v>
      </c>
      <c r="D75" s="299">
        <f t="shared" si="7"/>
        <v>8</v>
      </c>
      <c r="E75" s="108">
        <f t="shared" si="11"/>
        <v>4.0384615384615428</v>
      </c>
      <c r="F75" s="109">
        <f t="shared" si="8"/>
        <v>1</v>
      </c>
      <c r="G75" s="101">
        <f t="shared" si="9"/>
        <v>32.307692307692342</v>
      </c>
      <c r="H75" s="102">
        <f t="shared" si="10"/>
        <v>32.307692307692342</v>
      </c>
    </row>
    <row r="76" spans="1:8" ht="14.25" customHeight="1" x14ac:dyDescent="0.25">
      <c r="A76" s="1471"/>
      <c r="B76" s="299" t="str">
        <f t="shared" si="7"/>
        <v>Salt - ملح</v>
      </c>
      <c r="C76" s="299" t="str">
        <f t="shared" si="7"/>
        <v>gm</v>
      </c>
      <c r="D76" s="299">
        <f t="shared" si="7"/>
        <v>5</v>
      </c>
      <c r="E76" s="108">
        <f t="shared" si="11"/>
        <v>4.0384615384615428</v>
      </c>
      <c r="F76" s="109">
        <f t="shared" si="8"/>
        <v>1</v>
      </c>
      <c r="G76" s="101">
        <f t="shared" si="9"/>
        <v>20.192307692307715</v>
      </c>
      <c r="H76" s="102">
        <f t="shared" si="10"/>
        <v>20.192307692307715</v>
      </c>
    </row>
    <row r="77" spans="1:8" ht="14.25" customHeight="1" x14ac:dyDescent="0.25">
      <c r="A77" s="1471"/>
      <c r="B77" s="299" t="str">
        <f t="shared" si="7"/>
        <v>Corn Starch - نشا ذرة</v>
      </c>
      <c r="C77" s="299" t="str">
        <f t="shared" si="7"/>
        <v>gm</v>
      </c>
      <c r="D77" s="299">
        <f t="shared" si="7"/>
        <v>20</v>
      </c>
      <c r="E77" s="108">
        <f t="shared" si="11"/>
        <v>4.0384615384615428</v>
      </c>
      <c r="F77" s="109">
        <f t="shared" si="8"/>
        <v>0.75</v>
      </c>
      <c r="G77" s="101">
        <f t="shared" si="9"/>
        <v>80.769230769230859</v>
      </c>
      <c r="H77" s="102">
        <f t="shared" si="10"/>
        <v>60.576923076923144</v>
      </c>
    </row>
    <row r="78" spans="1:8" ht="14.25" customHeight="1" x14ac:dyDescent="0.25">
      <c r="A78" s="1471" t="s">
        <v>927</v>
      </c>
      <c r="B78" s="299" t="str">
        <f t="shared" si="7"/>
        <v>Mushroom - مشروم ابيض</v>
      </c>
      <c r="C78" s="299" t="str">
        <f t="shared" si="7"/>
        <v>gm</v>
      </c>
      <c r="D78" s="299">
        <f t="shared" si="7"/>
        <v>100</v>
      </c>
      <c r="E78" s="108">
        <f t="shared" si="11"/>
        <v>4.0384615384615428</v>
      </c>
      <c r="F78" s="109">
        <f t="shared" si="8"/>
        <v>1</v>
      </c>
      <c r="G78" s="101">
        <f t="shared" si="9"/>
        <v>403.84615384615427</v>
      </c>
      <c r="H78" s="102">
        <f t="shared" si="10"/>
        <v>403.84615384615427</v>
      </c>
    </row>
    <row r="79" spans="1:8" ht="14.25" customHeight="1" x14ac:dyDescent="0.25">
      <c r="A79" s="1471"/>
      <c r="B79" s="299" t="str">
        <f t="shared" si="7"/>
        <v>Butter - زبدة</v>
      </c>
      <c r="C79" s="299" t="str">
        <f t="shared" si="7"/>
        <v>gm</v>
      </c>
      <c r="D79" s="299">
        <f t="shared" si="7"/>
        <v>20</v>
      </c>
      <c r="E79" s="108">
        <f t="shared" si="11"/>
        <v>4.0384615384615428</v>
      </c>
      <c r="F79" s="109">
        <f t="shared" si="8"/>
        <v>1</v>
      </c>
      <c r="G79" s="101">
        <f t="shared" si="9"/>
        <v>80.769230769230859</v>
      </c>
      <c r="H79" s="102">
        <f t="shared" si="10"/>
        <v>80.769230769230859</v>
      </c>
    </row>
    <row r="80" spans="1:8" ht="14.25" customHeight="1" x14ac:dyDescent="0.25">
      <c r="A80" s="1471"/>
      <c r="B80" s="299" t="str">
        <f t="shared" si="7"/>
        <v>Sriracha Sauce - صوص سريراتشا</v>
      </c>
      <c r="C80" s="299" t="str">
        <f t="shared" si="7"/>
        <v>ml</v>
      </c>
      <c r="D80" s="299">
        <f t="shared" si="7"/>
        <v>15</v>
      </c>
      <c r="E80" s="108">
        <f t="shared" si="11"/>
        <v>4.0384615384615428</v>
      </c>
      <c r="F80" s="109">
        <f t="shared" si="8"/>
        <v>0.9</v>
      </c>
      <c r="G80" s="101">
        <f t="shared" si="9"/>
        <v>60.576923076923144</v>
      </c>
      <c r="H80" s="102">
        <f t="shared" si="10"/>
        <v>54.51923076923083</v>
      </c>
    </row>
    <row r="81" spans="1:8" ht="20.25" customHeight="1" x14ac:dyDescent="0.25">
      <c r="A81" s="1458"/>
      <c r="B81" s="178" t="s">
        <v>287</v>
      </c>
      <c r="C81" s="180" t="s">
        <v>273</v>
      </c>
      <c r="E81" s="180" t="s">
        <v>288</v>
      </c>
      <c r="G81" s="804" t="s">
        <v>264</v>
      </c>
      <c r="H81" s="804" t="s">
        <v>673</v>
      </c>
    </row>
    <row r="82" spans="1:8" ht="27" customHeight="1" x14ac:dyDescent="0.3">
      <c r="A82" s="1458"/>
      <c r="B82" s="179">
        <f>$J$53</f>
        <v>13461.538461538459</v>
      </c>
      <c r="C82" s="179">
        <f>E82+G82</f>
        <v>4038.4615384615427</v>
      </c>
      <c r="D82" s="839"/>
      <c r="E82" s="179">
        <f>$D$53*$S$44</f>
        <v>4038.4615384615427</v>
      </c>
      <c r="F82" s="843"/>
      <c r="G82" s="179">
        <f>$D$53*$T$44</f>
        <v>0</v>
      </c>
      <c r="H82" s="179">
        <f>B82+E82</f>
        <v>17500</v>
      </c>
    </row>
    <row r="83" spans="1:8" ht="14.25" customHeight="1" x14ac:dyDescent="0.25">
      <c r="A83" s="1472"/>
      <c r="B83" s="84"/>
      <c r="E83" s="84"/>
      <c r="F83" s="84"/>
    </row>
    <row r="84" spans="1:8" ht="14.25" customHeight="1" x14ac:dyDescent="0.25">
      <c r="A84" s="1472"/>
      <c r="B84" s="84"/>
      <c r="C84" s="84"/>
      <c r="D84" s="84"/>
      <c r="E84" s="84"/>
      <c r="F84" s="84"/>
      <c r="G84" s="84"/>
      <c r="H84" s="84"/>
    </row>
    <row r="85" spans="1:8" ht="14.25" customHeight="1" x14ac:dyDescent="0.25">
      <c r="A85" s="1472"/>
      <c r="B85" s="84"/>
      <c r="C85" s="84"/>
      <c r="D85" s="84"/>
      <c r="E85" s="84"/>
      <c r="F85" s="84"/>
      <c r="G85" s="84"/>
      <c r="H85" s="84"/>
    </row>
    <row r="86" spans="1:8" ht="14.25" customHeight="1" x14ac:dyDescent="0.25">
      <c r="A86" s="1472"/>
      <c r="B86" s="84"/>
      <c r="C86" s="84"/>
      <c r="D86" s="84"/>
      <c r="E86" s="84"/>
      <c r="F86" s="84"/>
      <c r="G86" s="84"/>
      <c r="H86" s="84"/>
    </row>
    <row r="87" spans="1:8" ht="18" customHeight="1" x14ac:dyDescent="0.25">
      <c r="A87" s="1486"/>
      <c r="B87" s="1636" t="str">
        <f>"ستروغانوف لحم  2 / " &amp; COUNTIF($C$53:$C$55, "&gt;0")</f>
        <v>ستروغانوف لحم  2 / 1</v>
      </c>
      <c r="C87" s="1633"/>
      <c r="D87" s="1633"/>
      <c r="E87" s="1633"/>
      <c r="F87" s="1633"/>
      <c r="G87" s="1633"/>
      <c r="H87" s="1633"/>
    </row>
    <row r="88" spans="1:8" ht="18" customHeight="1" x14ac:dyDescent="0.25">
      <c r="A88" s="1486"/>
      <c r="B88" s="1634" t="str">
        <f>"Stroganoff sauce for Beef  2 / " &amp; COUNTIF($C$53:$C$55, "&gt;0")</f>
        <v>Stroganoff sauce for Beef  2 / 1</v>
      </c>
      <c r="C88" s="1639"/>
      <c r="D88" s="1639"/>
      <c r="E88" s="1639"/>
      <c r="F88" s="1639"/>
      <c r="G88" s="1639"/>
      <c r="H88" s="1639"/>
    </row>
    <row r="89" spans="1:8" ht="25.5" customHeight="1" x14ac:dyDescent="0.2">
      <c r="A89" s="1457"/>
      <c r="B89" s="221" t="s">
        <v>241</v>
      </c>
      <c r="C89" s="222" t="s">
        <v>242</v>
      </c>
      <c r="D89" s="223" t="s">
        <v>231</v>
      </c>
      <c r="E89" s="197" t="s">
        <v>234</v>
      </c>
      <c r="F89" s="197" t="s">
        <v>243</v>
      </c>
      <c r="G89" s="223" t="s">
        <v>244</v>
      </c>
      <c r="H89" s="197" t="s">
        <v>245</v>
      </c>
    </row>
    <row r="90" spans="1:8" ht="14.25" customHeight="1" x14ac:dyDescent="0.25">
      <c r="A90" s="1471"/>
      <c r="B90" s="299" t="str">
        <f t="shared" ref="B90:D105" si="12">B5</f>
        <v>Indian Meat Alana  - لحم هندى ألانا</v>
      </c>
      <c r="C90" s="299" t="str">
        <f t="shared" si="12"/>
        <v>gm</v>
      </c>
      <c r="D90" s="300">
        <f t="shared" si="12"/>
        <v>6536.0784313725489</v>
      </c>
      <c r="E90" s="108">
        <f>H54</f>
        <v>0</v>
      </c>
      <c r="F90" s="109">
        <f t="shared" ref="F90:F105" si="13">F5</f>
        <v>1</v>
      </c>
      <c r="G90" s="101">
        <f t="shared" ref="G90:G105" si="14">D90*E90</f>
        <v>0</v>
      </c>
      <c r="H90" s="102">
        <f t="shared" ref="H90:H105" si="15">G90*F90</f>
        <v>0</v>
      </c>
    </row>
    <row r="91" spans="1:8" ht="14.25" customHeight="1" x14ac:dyDescent="0.25">
      <c r="A91" s="1471" t="s">
        <v>905</v>
      </c>
      <c r="B91" s="299" t="str">
        <f t="shared" si="12"/>
        <v>Onion - بصل</v>
      </c>
      <c r="C91" s="299" t="str">
        <f t="shared" si="12"/>
        <v>gm</v>
      </c>
      <c r="D91" s="299">
        <f t="shared" si="12"/>
        <v>200</v>
      </c>
      <c r="E91" s="108">
        <f t="shared" ref="E91:E105" si="16">$C$54</f>
        <v>0</v>
      </c>
      <c r="F91" s="109">
        <f t="shared" si="13"/>
        <v>0.95</v>
      </c>
      <c r="G91" s="101">
        <f t="shared" si="14"/>
        <v>0</v>
      </c>
      <c r="H91" s="102">
        <f t="shared" si="15"/>
        <v>0</v>
      </c>
    </row>
    <row r="92" spans="1:8" ht="14.25" customHeight="1" x14ac:dyDescent="0.25">
      <c r="A92" s="1471" t="s">
        <v>907</v>
      </c>
      <c r="B92" s="299" t="str">
        <f t="shared" si="12"/>
        <v>Garlic - ثوم مقشر</v>
      </c>
      <c r="C92" s="299" t="str">
        <f t="shared" si="12"/>
        <v>gm</v>
      </c>
      <c r="D92" s="299">
        <f t="shared" si="12"/>
        <v>30</v>
      </c>
      <c r="E92" s="108">
        <f t="shared" si="16"/>
        <v>0</v>
      </c>
      <c r="F92" s="109">
        <f t="shared" si="13"/>
        <v>0.95</v>
      </c>
      <c r="G92" s="101">
        <f t="shared" si="14"/>
        <v>0</v>
      </c>
      <c r="H92" s="102">
        <f t="shared" si="15"/>
        <v>0</v>
      </c>
    </row>
    <row r="93" spans="1:8" ht="14.25" customHeight="1" x14ac:dyDescent="0.25">
      <c r="A93" s="1471"/>
      <c r="B93" s="299" t="str">
        <f t="shared" si="12"/>
        <v>Mustard - خردل</v>
      </c>
      <c r="C93" s="299" t="str">
        <f t="shared" si="12"/>
        <v>gm</v>
      </c>
      <c r="D93" s="299">
        <f t="shared" si="12"/>
        <v>20</v>
      </c>
      <c r="E93" s="108">
        <f t="shared" si="16"/>
        <v>0</v>
      </c>
      <c r="F93" s="109">
        <f t="shared" si="13"/>
        <v>1</v>
      </c>
      <c r="G93" s="101">
        <f t="shared" si="14"/>
        <v>0</v>
      </c>
      <c r="H93" s="102">
        <f t="shared" si="15"/>
        <v>0</v>
      </c>
    </row>
    <row r="94" spans="1:8" ht="14.25" customHeight="1" x14ac:dyDescent="0.25">
      <c r="A94" s="1471"/>
      <c r="B94" s="299" t="str">
        <f t="shared" si="12"/>
        <v>Tomato Paste - صلصة طماطم</v>
      </c>
      <c r="C94" s="299" t="str">
        <f t="shared" si="12"/>
        <v>gm</v>
      </c>
      <c r="D94" s="299">
        <f t="shared" si="12"/>
        <v>100</v>
      </c>
      <c r="E94" s="108">
        <f t="shared" si="16"/>
        <v>0</v>
      </c>
      <c r="F94" s="109">
        <f t="shared" si="13"/>
        <v>1</v>
      </c>
      <c r="G94" s="101">
        <f t="shared" si="14"/>
        <v>0</v>
      </c>
      <c r="H94" s="102">
        <f t="shared" si="15"/>
        <v>0</v>
      </c>
    </row>
    <row r="95" spans="1:8" ht="14.25" customHeight="1" x14ac:dyDescent="0.25">
      <c r="A95" s="1471"/>
      <c r="B95" s="299" t="str">
        <f t="shared" si="12"/>
        <v>Saffron yellow color powder - لون صفار زعفران بودر</v>
      </c>
      <c r="C95" s="299" t="str">
        <f t="shared" si="12"/>
        <v>gm</v>
      </c>
      <c r="D95" s="299">
        <f t="shared" si="12"/>
        <v>3</v>
      </c>
      <c r="E95" s="108">
        <f t="shared" si="16"/>
        <v>0</v>
      </c>
      <c r="F95" s="109">
        <f t="shared" si="13"/>
        <v>0.75</v>
      </c>
      <c r="G95" s="101">
        <f t="shared" si="14"/>
        <v>0</v>
      </c>
      <c r="H95" s="102">
        <f t="shared" si="15"/>
        <v>0</v>
      </c>
    </row>
    <row r="96" spans="1:8" ht="14.25" customHeight="1" x14ac:dyDescent="0.25">
      <c r="A96" s="1471"/>
      <c r="B96" s="299" t="str">
        <f t="shared" si="12"/>
        <v>Water - ماء</v>
      </c>
      <c r="C96" s="299" t="str">
        <f t="shared" si="12"/>
        <v>ml</v>
      </c>
      <c r="D96" s="299">
        <f t="shared" si="12"/>
        <v>10</v>
      </c>
      <c r="E96" s="108">
        <f t="shared" si="16"/>
        <v>0</v>
      </c>
      <c r="F96" s="109">
        <f t="shared" si="13"/>
        <v>1</v>
      </c>
      <c r="G96" s="101">
        <f t="shared" si="14"/>
        <v>0</v>
      </c>
      <c r="H96" s="102">
        <f t="shared" si="15"/>
        <v>0</v>
      </c>
    </row>
    <row r="97" spans="1:8" ht="14.25" customHeight="1" x14ac:dyDescent="0.25">
      <c r="A97" s="1471"/>
      <c r="B97" s="299" t="str">
        <f t="shared" si="12"/>
        <v>Black Pepper Powder - فلفل أسود مطحون</v>
      </c>
      <c r="C97" s="299" t="str">
        <f t="shared" si="12"/>
        <v>gm</v>
      </c>
      <c r="D97" s="299">
        <f t="shared" si="12"/>
        <v>2</v>
      </c>
      <c r="E97" s="108">
        <f t="shared" si="16"/>
        <v>0</v>
      </c>
      <c r="F97" s="109">
        <f t="shared" si="13"/>
        <v>1</v>
      </c>
      <c r="G97" s="101">
        <f t="shared" si="14"/>
        <v>0</v>
      </c>
      <c r="H97" s="102">
        <f t="shared" si="15"/>
        <v>0</v>
      </c>
    </row>
    <row r="98" spans="1:8" ht="14.25" customHeight="1" x14ac:dyDescent="0.25">
      <c r="A98" s="1471"/>
      <c r="B98" s="299" t="str">
        <f t="shared" si="12"/>
        <v>Demi Glaze Sauce - صوص ديمي غلاز</v>
      </c>
      <c r="C98" s="299" t="str">
        <f t="shared" si="12"/>
        <v>gm</v>
      </c>
      <c r="D98" s="299">
        <f t="shared" si="12"/>
        <v>25</v>
      </c>
      <c r="E98" s="108">
        <f t="shared" si="16"/>
        <v>0</v>
      </c>
      <c r="F98" s="109">
        <f t="shared" si="13"/>
        <v>0.75</v>
      </c>
      <c r="G98" s="101">
        <f t="shared" si="14"/>
        <v>0</v>
      </c>
      <c r="H98" s="102">
        <f t="shared" si="15"/>
        <v>0</v>
      </c>
    </row>
    <row r="99" spans="1:8" ht="14.25" customHeight="1" x14ac:dyDescent="0.25">
      <c r="A99" s="1471"/>
      <c r="B99" s="299" t="str">
        <f t="shared" si="12"/>
        <v>Cooking Cream - كريمة طبخ</v>
      </c>
      <c r="C99" s="299" t="str">
        <f t="shared" si="12"/>
        <v>ml</v>
      </c>
      <c r="D99" s="299">
        <f t="shared" si="12"/>
        <v>500</v>
      </c>
      <c r="E99" s="108">
        <f t="shared" si="16"/>
        <v>0</v>
      </c>
      <c r="F99" s="109">
        <f t="shared" si="13"/>
        <v>1</v>
      </c>
      <c r="G99" s="101">
        <f t="shared" si="14"/>
        <v>0</v>
      </c>
      <c r="H99" s="102">
        <f t="shared" si="15"/>
        <v>0</v>
      </c>
    </row>
    <row r="100" spans="1:8" ht="14.25" customHeight="1" x14ac:dyDescent="0.25">
      <c r="A100" s="1471"/>
      <c r="B100" s="299" t="str">
        <f t="shared" si="12"/>
        <v>Maggi Cubes - مكعبات ماجي</v>
      </c>
      <c r="C100" s="299" t="str">
        <f t="shared" si="12"/>
        <v>gm</v>
      </c>
      <c r="D100" s="299">
        <f t="shared" si="12"/>
        <v>8</v>
      </c>
      <c r="E100" s="108">
        <f t="shared" si="16"/>
        <v>0</v>
      </c>
      <c r="F100" s="109">
        <f t="shared" si="13"/>
        <v>1</v>
      </c>
      <c r="G100" s="101">
        <f t="shared" si="14"/>
        <v>0</v>
      </c>
      <c r="H100" s="102">
        <f t="shared" si="15"/>
        <v>0</v>
      </c>
    </row>
    <row r="101" spans="1:8" ht="14.25" customHeight="1" x14ac:dyDescent="0.25">
      <c r="A101" s="1471"/>
      <c r="B101" s="299" t="str">
        <f t="shared" si="12"/>
        <v>Salt - ملح</v>
      </c>
      <c r="C101" s="299" t="str">
        <f t="shared" si="12"/>
        <v>gm</v>
      </c>
      <c r="D101" s="299">
        <f t="shared" si="12"/>
        <v>5</v>
      </c>
      <c r="E101" s="108">
        <f t="shared" si="16"/>
        <v>0</v>
      </c>
      <c r="F101" s="109">
        <f t="shared" si="13"/>
        <v>1</v>
      </c>
      <c r="G101" s="101">
        <f t="shared" si="14"/>
        <v>0</v>
      </c>
      <c r="H101" s="102">
        <f t="shared" si="15"/>
        <v>0</v>
      </c>
    </row>
    <row r="102" spans="1:8" ht="14.25" customHeight="1" x14ac:dyDescent="0.25">
      <c r="A102" s="1471"/>
      <c r="B102" s="299" t="str">
        <f t="shared" si="12"/>
        <v>Corn Starch - نشا ذرة</v>
      </c>
      <c r="C102" s="299" t="str">
        <f t="shared" si="12"/>
        <v>gm</v>
      </c>
      <c r="D102" s="299">
        <f t="shared" si="12"/>
        <v>20</v>
      </c>
      <c r="E102" s="108">
        <f t="shared" si="16"/>
        <v>0</v>
      </c>
      <c r="F102" s="109">
        <f t="shared" si="13"/>
        <v>0.75</v>
      </c>
      <c r="G102" s="101">
        <f t="shared" si="14"/>
        <v>0</v>
      </c>
      <c r="H102" s="102">
        <f t="shared" si="15"/>
        <v>0</v>
      </c>
    </row>
    <row r="103" spans="1:8" ht="14.25" customHeight="1" x14ac:dyDescent="0.25">
      <c r="A103" s="1471" t="s">
        <v>927</v>
      </c>
      <c r="B103" s="299" t="str">
        <f t="shared" si="12"/>
        <v>Mushroom - مشروم ابيض</v>
      </c>
      <c r="C103" s="299" t="str">
        <f t="shared" si="12"/>
        <v>gm</v>
      </c>
      <c r="D103" s="299">
        <f t="shared" si="12"/>
        <v>100</v>
      </c>
      <c r="E103" s="108">
        <f t="shared" si="16"/>
        <v>0</v>
      </c>
      <c r="F103" s="109">
        <f t="shared" si="13"/>
        <v>1</v>
      </c>
      <c r="G103" s="101">
        <f t="shared" si="14"/>
        <v>0</v>
      </c>
      <c r="H103" s="102">
        <f t="shared" si="15"/>
        <v>0</v>
      </c>
    </row>
    <row r="104" spans="1:8" ht="14.25" customHeight="1" x14ac:dyDescent="0.25">
      <c r="A104" s="1471"/>
      <c r="B104" s="299" t="str">
        <f t="shared" si="12"/>
        <v>Butter - زبدة</v>
      </c>
      <c r="C104" s="299" t="str">
        <f t="shared" si="12"/>
        <v>gm</v>
      </c>
      <c r="D104" s="299">
        <f t="shared" si="12"/>
        <v>20</v>
      </c>
      <c r="E104" s="108">
        <f t="shared" si="16"/>
        <v>0</v>
      </c>
      <c r="F104" s="109">
        <f t="shared" si="13"/>
        <v>1</v>
      </c>
      <c r="G104" s="101">
        <f t="shared" si="14"/>
        <v>0</v>
      </c>
      <c r="H104" s="102">
        <f t="shared" si="15"/>
        <v>0</v>
      </c>
    </row>
    <row r="105" spans="1:8" ht="14.25" customHeight="1" x14ac:dyDescent="0.25">
      <c r="A105" s="1471"/>
      <c r="B105" s="299" t="str">
        <f t="shared" si="12"/>
        <v>Sriracha Sauce - صوص سريراتشا</v>
      </c>
      <c r="C105" s="299" t="str">
        <f t="shared" si="12"/>
        <v>ml</v>
      </c>
      <c r="D105" s="299">
        <f t="shared" si="12"/>
        <v>15</v>
      </c>
      <c r="E105" s="108">
        <f t="shared" si="16"/>
        <v>0</v>
      </c>
      <c r="F105" s="109">
        <f t="shared" si="13"/>
        <v>0.9</v>
      </c>
      <c r="G105" s="101">
        <f t="shared" si="14"/>
        <v>0</v>
      </c>
      <c r="H105" s="102">
        <f t="shared" si="15"/>
        <v>0</v>
      </c>
    </row>
    <row r="106" spans="1:8" ht="20.25" customHeight="1" x14ac:dyDescent="0.25">
      <c r="A106" s="1458"/>
      <c r="B106" s="178" t="s">
        <v>287</v>
      </c>
      <c r="C106" s="180" t="s">
        <v>273</v>
      </c>
      <c r="E106" s="180" t="s">
        <v>288</v>
      </c>
      <c r="G106" s="804" t="s">
        <v>264</v>
      </c>
      <c r="H106" s="804" t="s">
        <v>673</v>
      </c>
    </row>
    <row r="107" spans="1:8" ht="20.25" x14ac:dyDescent="0.3">
      <c r="A107" s="1458"/>
      <c r="B107" s="179">
        <f>$J$54</f>
        <v>0</v>
      </c>
      <c r="C107" s="179">
        <f>E107+G107</f>
        <v>0</v>
      </c>
      <c r="D107" s="839"/>
      <c r="E107" s="179">
        <f>$D$54*$S$44</f>
        <v>0</v>
      </c>
      <c r="F107" s="843"/>
      <c r="G107" s="179">
        <f>$D$54*$T$44</f>
        <v>0</v>
      </c>
      <c r="H107" s="179">
        <f>B107+E107</f>
        <v>0</v>
      </c>
    </row>
    <row r="108" spans="1:8" x14ac:dyDescent="0.25">
      <c r="A108" s="1472"/>
    </row>
    <row r="109" spans="1:8" x14ac:dyDescent="0.25">
      <c r="A109" s="1472"/>
    </row>
    <row r="110" spans="1:8" x14ac:dyDescent="0.25">
      <c r="A110" s="1472"/>
    </row>
    <row r="111" spans="1:8" x14ac:dyDescent="0.25">
      <c r="A111" s="1472"/>
    </row>
    <row r="112" spans="1:8"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0">
    <mergeCell ref="AE2:AG3"/>
    <mergeCell ref="B88:H88"/>
    <mergeCell ref="R26:U26"/>
    <mergeCell ref="B87:H87"/>
    <mergeCell ref="R25:U25"/>
    <mergeCell ref="B62:H62"/>
    <mergeCell ref="B2:K3"/>
    <mergeCell ref="B63:H63"/>
    <mergeCell ref="C29:G29"/>
    <mergeCell ref="B35:F35"/>
  </mergeCells>
  <printOptions horizontalCentered="1"/>
  <pageMargins left="0.5" right="0.5" top="1" bottom="0.5" header="0.3" footer="0.511811023622047"/>
  <pageSetup paperSize="9" scale="30"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6" tint="-0.249977111117893"/>
    <pageSetUpPr fitToPage="1"/>
  </sheetPr>
  <dimension ref="A1:AD174"/>
  <sheetViews>
    <sheetView topLeftCell="N1" zoomScale="55" zoomScaleNormal="55" workbookViewId="0">
      <selection activeCell="W44" sqref="W44"/>
    </sheetView>
  </sheetViews>
  <sheetFormatPr defaultColWidth="12.5" defaultRowHeight="15" x14ac:dyDescent="0.25"/>
  <cols>
    <col min="1" max="1" width="12.5" style="63" customWidth="1"/>
    <col min="2" max="2" width="32.625" style="14" customWidth="1"/>
    <col min="3" max="3" width="12.125" style="14" customWidth="1"/>
    <col min="4" max="4" width="19" style="14" customWidth="1"/>
    <col min="5" max="5" width="16.125" style="14" customWidth="1"/>
    <col min="6" max="6" width="23.125" style="14" customWidth="1"/>
    <col min="7" max="7" width="25.125" style="14" customWidth="1"/>
    <col min="8" max="8" width="36.125" style="14" customWidth="1"/>
    <col min="9" max="9" width="18.625" style="14" customWidth="1"/>
    <col min="10" max="10" width="16.25" style="14" customWidth="1"/>
    <col min="11" max="11" width="12.5" style="14" customWidth="1"/>
    <col min="12" max="12" width="8.375" style="14" customWidth="1"/>
    <col min="13" max="14" width="6.75" style="14" customWidth="1"/>
    <col min="15" max="17" width="12.5" style="14" customWidth="1"/>
    <col min="18" max="18" width="32.875" style="14" customWidth="1"/>
    <col min="19" max="19" width="12.5" style="14" customWidth="1"/>
    <col min="20" max="26" width="12.5" style="14"/>
    <col min="27" max="27" width="10.75" style="14" customWidth="1"/>
    <col min="28" max="28" width="13.75" style="14" customWidth="1"/>
    <col min="29" max="29" width="13.25" style="14" bestFit="1" customWidth="1"/>
    <col min="30" max="16384" width="12.5" style="14"/>
  </cols>
  <sheetData>
    <row r="1" spans="1:30" ht="24" customHeight="1" x14ac:dyDescent="0.25">
      <c r="B1" s="64" t="s">
        <v>231</v>
      </c>
      <c r="C1" s="65">
        <v>1000</v>
      </c>
      <c r="D1" s="66" t="s">
        <v>232</v>
      </c>
      <c r="E1" s="99">
        <f>T32</f>
        <v>7000</v>
      </c>
      <c r="F1" s="64" t="s">
        <v>233</v>
      </c>
      <c r="G1" s="65">
        <f>E1/C1</f>
        <v>7</v>
      </c>
      <c r="H1" s="64" t="s">
        <v>234</v>
      </c>
      <c r="I1" s="260">
        <f>G1/K1</f>
        <v>7</v>
      </c>
      <c r="J1" s="70" t="s">
        <v>235</v>
      </c>
      <c r="K1" s="303">
        <v>1</v>
      </c>
      <c r="L1" s="84"/>
      <c r="M1" s="73"/>
      <c r="N1" s="74"/>
      <c r="O1" s="75" t="s">
        <v>236</v>
      </c>
      <c r="P1" s="84"/>
      <c r="Q1" s="77" t="s">
        <v>513</v>
      </c>
      <c r="R1" s="14">
        <v>2.5</v>
      </c>
      <c r="Y1" s="75" t="s">
        <v>453</v>
      </c>
      <c r="Z1" s="766">
        <v>17500</v>
      </c>
      <c r="AA1" s="75" t="s">
        <v>556</v>
      </c>
      <c r="AB1" s="766">
        <v>0</v>
      </c>
      <c r="AC1" s="75" t="s">
        <v>546</v>
      </c>
      <c r="AD1" s="766">
        <v>123</v>
      </c>
    </row>
    <row r="2" spans="1:30" ht="12.75" customHeight="1" x14ac:dyDescent="0.25">
      <c r="A2" s="81"/>
      <c r="B2" s="1632" t="s">
        <v>407</v>
      </c>
      <c r="C2" s="1661"/>
      <c r="D2" s="1661"/>
      <c r="E2" s="1661"/>
      <c r="F2" s="1661"/>
      <c r="G2" s="1661"/>
      <c r="H2" s="1661"/>
      <c r="I2" s="457"/>
      <c r="J2" s="457"/>
      <c r="K2" s="467"/>
      <c r="L2" s="270"/>
      <c r="M2" s="84"/>
      <c r="N2" s="84"/>
      <c r="O2" s="84"/>
      <c r="P2" s="84"/>
      <c r="Q2" s="84"/>
    </row>
    <row r="3" spans="1:30" ht="12.75" customHeight="1" x14ac:dyDescent="0.25">
      <c r="A3" s="81"/>
      <c r="B3" s="1633"/>
      <c r="C3" s="1633"/>
      <c r="D3" s="1633"/>
      <c r="E3" s="1633"/>
      <c r="F3" s="1633"/>
      <c r="G3" s="1633"/>
      <c r="H3" s="1633"/>
      <c r="I3" s="346"/>
      <c r="J3" s="346"/>
      <c r="K3" s="468"/>
      <c r="L3" s="270"/>
      <c r="M3" s="84"/>
      <c r="N3" s="84"/>
      <c r="O3" s="84"/>
      <c r="P3" s="84"/>
      <c r="Q3" s="84"/>
    </row>
    <row r="4" spans="1:30" ht="35.25"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row>
    <row r="5" spans="1:30" ht="14.25" customHeight="1" x14ac:dyDescent="0.2">
      <c r="A5" s="1454"/>
      <c r="B5" s="374" t="s">
        <v>408</v>
      </c>
      <c r="C5" s="106" t="s">
        <v>14</v>
      </c>
      <c r="D5" s="916">
        <f>I51/H51</f>
        <v>600</v>
      </c>
      <c r="E5" s="177">
        <f t="shared" ref="E5:E20" si="0">$I$1</f>
        <v>7</v>
      </c>
      <c r="F5" s="109">
        <v>1</v>
      </c>
      <c r="G5" s="103">
        <f>D5*E5</f>
        <v>4200</v>
      </c>
      <c r="H5" s="102">
        <f>G5*F5</f>
        <v>4200</v>
      </c>
      <c r="I5" s="65">
        <f>VLOOKUP(B5,All_Ingredients!$A$1:$F$156,6,FALSE())</f>
        <v>1</v>
      </c>
      <c r="J5" s="101">
        <f>VLOOKUP(B5,All_Ingredients!$A$1:$J$156,10,FALSE())</f>
        <v>8.3333333333333321</v>
      </c>
      <c r="K5" s="104">
        <f>(H5/I5)/1000</f>
        <v>4.2</v>
      </c>
      <c r="L5" s="104">
        <f>K5*J5</f>
        <v>35</v>
      </c>
      <c r="M5" s="84"/>
      <c r="N5" s="84"/>
      <c r="O5" s="84"/>
    </row>
    <row r="6" spans="1:30" ht="14.25" customHeight="1" x14ac:dyDescent="0.25">
      <c r="A6" s="1471"/>
      <c r="B6" s="20" t="s">
        <v>12</v>
      </c>
      <c r="C6" s="106" t="s">
        <v>14</v>
      </c>
      <c r="D6" s="187">
        <v>202.12765957446808</v>
      </c>
      <c r="E6" s="177">
        <f t="shared" si="0"/>
        <v>7</v>
      </c>
      <c r="F6" s="109">
        <v>0.95</v>
      </c>
      <c r="G6" s="103">
        <f t="shared" ref="G6:G20" si="1">D6*E6</f>
        <v>1414.8936170212767</v>
      </c>
      <c r="H6" s="102">
        <f t="shared" ref="H6:H20" si="2">G6*F6</f>
        <v>1344.1489361702127</v>
      </c>
      <c r="I6" s="65">
        <f>VLOOKUP(B6,All_Ingredients!$A$1:$F$156,6,FALSE())</f>
        <v>0.9</v>
      </c>
      <c r="J6" s="101">
        <f>VLOOKUP(B6,All_Ingredients!$A$1:$J$156,10,FALSE())</f>
        <v>3</v>
      </c>
      <c r="K6" s="104">
        <f t="shared" ref="K6:K20" si="3">(H6/I6)/1000</f>
        <v>1.4934988179669029</v>
      </c>
      <c r="L6" s="104">
        <f t="shared" ref="L6:L20" si="4">K6*J6</f>
        <v>4.4804964539007086</v>
      </c>
    </row>
    <row r="7" spans="1:30" ht="14.25" customHeight="1" x14ac:dyDescent="0.25">
      <c r="A7" s="1471"/>
      <c r="B7" s="20" t="s">
        <v>727</v>
      </c>
      <c r="C7" s="106" t="s">
        <v>14</v>
      </c>
      <c r="D7" s="187">
        <v>30.319148936170212</v>
      </c>
      <c r="E7" s="177">
        <f t="shared" si="0"/>
        <v>7</v>
      </c>
      <c r="F7" s="109">
        <v>0.95</v>
      </c>
      <c r="G7" s="103">
        <f t="shared" si="1"/>
        <v>212.23404255319147</v>
      </c>
      <c r="H7" s="102">
        <f t="shared" si="2"/>
        <v>201.62234042553189</v>
      </c>
      <c r="I7" s="65">
        <f>VLOOKUP(B7,All_Ingredients!$A$1:$F$156,6,FALSE())</f>
        <v>1</v>
      </c>
      <c r="J7" s="101">
        <f>VLOOKUP(B7,All_Ingredients!$A$1:$J$156,10,FALSE())</f>
        <v>10.5</v>
      </c>
      <c r="K7" s="104">
        <f t="shared" si="3"/>
        <v>0.2016223404255319</v>
      </c>
      <c r="L7" s="104">
        <f t="shared" si="4"/>
        <v>2.117034574468085</v>
      </c>
    </row>
    <row r="8" spans="1:30" ht="14.25" customHeight="1" x14ac:dyDescent="0.25">
      <c r="A8" s="1471"/>
      <c r="B8" s="20" t="s">
        <v>202</v>
      </c>
      <c r="C8" s="106" t="s">
        <v>14</v>
      </c>
      <c r="D8" s="187">
        <v>20.212765957446805</v>
      </c>
      <c r="E8" s="177">
        <f t="shared" si="0"/>
        <v>7</v>
      </c>
      <c r="F8" s="109">
        <v>1</v>
      </c>
      <c r="G8" s="103">
        <f t="shared" si="1"/>
        <v>141.48936170212764</v>
      </c>
      <c r="H8" s="102">
        <f t="shared" si="2"/>
        <v>141.48936170212764</v>
      </c>
      <c r="I8" s="65">
        <f>VLOOKUP(B8,All_Ingredients!$A$1:$F$156,6,FALSE())</f>
        <v>1</v>
      </c>
      <c r="J8" s="101">
        <f>VLOOKUP(B8,All_Ingredients!$A$1:$J$156,10,FALSE())</f>
        <v>11.243386243386244</v>
      </c>
      <c r="K8" s="104">
        <f t="shared" si="3"/>
        <v>0.14148936170212764</v>
      </c>
      <c r="L8" s="104">
        <f t="shared" si="4"/>
        <v>1.5908195429472023</v>
      </c>
    </row>
    <row r="9" spans="1:30" ht="14.25" customHeight="1" x14ac:dyDescent="0.25">
      <c r="A9" s="1471"/>
      <c r="B9" s="20" t="s">
        <v>698</v>
      </c>
      <c r="C9" s="106" t="s">
        <v>14</v>
      </c>
      <c r="D9" s="187">
        <v>101.06382978723404</v>
      </c>
      <c r="E9" s="177">
        <f t="shared" si="0"/>
        <v>7</v>
      </c>
      <c r="F9" s="109">
        <v>1</v>
      </c>
      <c r="G9" s="103">
        <f t="shared" si="1"/>
        <v>707.44680851063833</v>
      </c>
      <c r="H9" s="102">
        <f t="shared" si="2"/>
        <v>707.44680851063833</v>
      </c>
      <c r="I9" s="65">
        <f>VLOOKUP(B9,All_Ingredients!$A$1:$F$156,6,FALSE())</f>
        <v>1</v>
      </c>
      <c r="J9" s="101">
        <f>VLOOKUP(B9,All_Ingredients!$A$1:$J$156,10,FALSE())</f>
        <v>8.1520833333333336</v>
      </c>
      <c r="K9" s="104">
        <f t="shared" si="3"/>
        <v>0.70744680851063835</v>
      </c>
      <c r="L9" s="104">
        <f t="shared" si="4"/>
        <v>5.7671653368794331</v>
      </c>
    </row>
    <row r="10" spans="1:30" ht="14.25" customHeight="1" x14ac:dyDescent="0.25">
      <c r="A10" s="1471"/>
      <c r="B10" s="20" t="s">
        <v>837</v>
      </c>
      <c r="C10" s="106" t="s">
        <v>14</v>
      </c>
      <c r="D10" s="187">
        <v>3.0319148936170208</v>
      </c>
      <c r="E10" s="177">
        <f t="shared" si="0"/>
        <v>7</v>
      </c>
      <c r="F10" s="109">
        <v>0.75</v>
      </c>
      <c r="G10" s="103">
        <f t="shared" si="1"/>
        <v>21.223404255319146</v>
      </c>
      <c r="H10" s="102">
        <f t="shared" si="2"/>
        <v>15.917553191489359</v>
      </c>
      <c r="I10" s="65">
        <f>VLOOKUP(B10,All_Ingredients!$A$1:$F$156,6,FALSE())</f>
        <v>1</v>
      </c>
      <c r="J10" s="101">
        <f>VLOOKUP(B10,All_Ingredients!$A$1:$J$156,10,FALSE())</f>
        <v>22.5</v>
      </c>
      <c r="K10" s="104">
        <f t="shared" si="3"/>
        <v>1.591755319148936E-2</v>
      </c>
      <c r="L10" s="104">
        <f t="shared" si="4"/>
        <v>0.35814494680851061</v>
      </c>
    </row>
    <row r="11" spans="1:30" ht="14.25" customHeight="1" x14ac:dyDescent="0.25">
      <c r="A11" s="1471"/>
      <c r="B11" s="20" t="s">
        <v>203</v>
      </c>
      <c r="C11" s="106" t="s">
        <v>160</v>
      </c>
      <c r="D11" s="187">
        <v>200</v>
      </c>
      <c r="E11" s="177">
        <f t="shared" si="0"/>
        <v>7</v>
      </c>
      <c r="F11" s="109">
        <v>1</v>
      </c>
      <c r="G11" s="103">
        <f t="shared" si="1"/>
        <v>1400</v>
      </c>
      <c r="H11" s="102">
        <f t="shared" si="2"/>
        <v>1400</v>
      </c>
      <c r="I11" s="65">
        <f>VLOOKUP(B11,All_Ingredients!$A$1:$F$156,6,FALSE())</f>
        <v>1</v>
      </c>
      <c r="J11" s="101">
        <f>VLOOKUP(B11,All_Ingredients!$A$1:$J$156,10,FALSE())</f>
        <v>0</v>
      </c>
      <c r="K11" s="104">
        <f t="shared" si="3"/>
        <v>1.4</v>
      </c>
      <c r="L11" s="104">
        <f t="shared" si="4"/>
        <v>0</v>
      </c>
    </row>
    <row r="12" spans="1:30" ht="14.25" customHeight="1" x14ac:dyDescent="0.25">
      <c r="A12" s="1471"/>
      <c r="B12" s="20" t="s">
        <v>99</v>
      </c>
      <c r="C12" s="106" t="s">
        <v>14</v>
      </c>
      <c r="D12" s="187">
        <v>2.0212765957446805</v>
      </c>
      <c r="E12" s="177">
        <f t="shared" si="0"/>
        <v>7</v>
      </c>
      <c r="F12" s="109">
        <v>1</v>
      </c>
      <c r="G12" s="103">
        <f t="shared" si="1"/>
        <v>14.148936170212764</v>
      </c>
      <c r="H12" s="102">
        <f t="shared" si="2"/>
        <v>14.148936170212764</v>
      </c>
      <c r="I12" s="65">
        <f>VLOOKUP(B12,All_Ingredients!$A$1:$F$156,6,FALSE())</f>
        <v>1</v>
      </c>
      <c r="J12" s="101">
        <f>VLOOKUP(B12,All_Ingredients!$A$1:$J$156,10,FALSE())</f>
        <v>31</v>
      </c>
      <c r="K12" s="104">
        <f t="shared" si="3"/>
        <v>1.4148936170212763E-2</v>
      </c>
      <c r="L12" s="104">
        <f t="shared" si="4"/>
        <v>0.43861702127659563</v>
      </c>
    </row>
    <row r="13" spans="1:30" ht="14.25" customHeight="1" x14ac:dyDescent="0.25">
      <c r="A13" s="1471"/>
      <c r="B13" s="20" t="s">
        <v>200</v>
      </c>
      <c r="C13" s="106" t="s">
        <v>14</v>
      </c>
      <c r="D13" s="187">
        <v>25.26595744680851</v>
      </c>
      <c r="E13" s="177">
        <f t="shared" si="0"/>
        <v>7</v>
      </c>
      <c r="F13" s="109">
        <v>0.75</v>
      </c>
      <c r="G13" s="103">
        <f t="shared" si="1"/>
        <v>176.86170212765958</v>
      </c>
      <c r="H13" s="102">
        <f t="shared" si="2"/>
        <v>132.64627659574469</v>
      </c>
      <c r="I13" s="65">
        <f>VLOOKUP(B13,All_Ingredients!$A$1:$F$156,6,FALSE())</f>
        <v>1</v>
      </c>
      <c r="J13" s="101">
        <f>VLOOKUP(B13,All_Ingredients!$A$1:$J$156,10,FALSE())</f>
        <v>63.333333333333336</v>
      </c>
      <c r="K13" s="104">
        <f t="shared" si="3"/>
        <v>0.13264627659574468</v>
      </c>
      <c r="L13" s="104">
        <f t="shared" si="4"/>
        <v>8.4009308510638299</v>
      </c>
    </row>
    <row r="14" spans="1:30" ht="14.25" customHeight="1" x14ac:dyDescent="0.25">
      <c r="A14" s="1471"/>
      <c r="B14" s="20" t="s">
        <v>166</v>
      </c>
      <c r="C14" s="106" t="s">
        <v>160</v>
      </c>
      <c r="D14" s="187">
        <v>505.31914893617017</v>
      </c>
      <c r="E14" s="177">
        <f t="shared" si="0"/>
        <v>7</v>
      </c>
      <c r="F14" s="109">
        <v>1</v>
      </c>
      <c r="G14" s="103">
        <f t="shared" si="1"/>
        <v>3537.2340425531911</v>
      </c>
      <c r="H14" s="102">
        <f t="shared" si="2"/>
        <v>3537.2340425531911</v>
      </c>
      <c r="I14" s="65">
        <f>VLOOKUP(B14,All_Ingredients!$A$1:$F$156,6,FALSE())</f>
        <v>1</v>
      </c>
      <c r="J14" s="101">
        <f>VLOOKUP(B14,All_Ingredients!$A$1:$J$156,10,FALSE())</f>
        <v>12.666666666666666</v>
      </c>
      <c r="K14" s="104">
        <f t="shared" si="3"/>
        <v>3.537234042553191</v>
      </c>
      <c r="L14" s="104">
        <f t="shared" si="4"/>
        <v>44.804964539007081</v>
      </c>
    </row>
    <row r="15" spans="1:30" ht="14.25" customHeight="1" x14ac:dyDescent="0.25">
      <c r="A15" s="1471"/>
      <c r="B15" s="20" t="s">
        <v>139</v>
      </c>
      <c r="C15" s="106" t="s">
        <v>14</v>
      </c>
      <c r="D15" s="187">
        <v>8.0851063829787222</v>
      </c>
      <c r="E15" s="177">
        <f t="shared" si="0"/>
        <v>7</v>
      </c>
      <c r="F15" s="109">
        <v>1</v>
      </c>
      <c r="G15" s="103">
        <f t="shared" si="1"/>
        <v>56.595744680851055</v>
      </c>
      <c r="H15" s="102">
        <f t="shared" si="2"/>
        <v>56.595744680851055</v>
      </c>
      <c r="I15" s="65">
        <f>VLOOKUP(B15,All_Ingredients!$A$1:$F$156,6,FALSE())</f>
        <v>1</v>
      </c>
      <c r="J15" s="101">
        <f>VLOOKUP(B15,All_Ingredients!$A$1:$J$156,10,FALSE())</f>
        <v>15.277777777777779</v>
      </c>
      <c r="K15" s="104">
        <f t="shared" si="3"/>
        <v>5.6595744680851053E-2</v>
      </c>
      <c r="L15" s="104">
        <f t="shared" si="4"/>
        <v>0.86465721040189114</v>
      </c>
    </row>
    <row r="16" spans="1:30" ht="14.25" customHeight="1" x14ac:dyDescent="0.25">
      <c r="A16" s="1471"/>
      <c r="B16" s="20" t="s">
        <v>93</v>
      </c>
      <c r="C16" s="106" t="s">
        <v>14</v>
      </c>
      <c r="D16" s="187">
        <v>5.0531914893617014</v>
      </c>
      <c r="E16" s="177">
        <f t="shared" si="0"/>
        <v>7</v>
      </c>
      <c r="F16" s="109">
        <v>1</v>
      </c>
      <c r="G16" s="103">
        <f t="shared" si="1"/>
        <v>35.37234042553191</v>
      </c>
      <c r="H16" s="102">
        <f t="shared" si="2"/>
        <v>35.37234042553191</v>
      </c>
      <c r="I16" s="65">
        <f>VLOOKUP(B16,All_Ingredients!$A$1:$F$156,6,FALSE())</f>
        <v>1</v>
      </c>
      <c r="J16" s="101">
        <f>VLOOKUP(B16,All_Ingredients!$A$1:$J$156,10,FALSE())</f>
        <v>0.74</v>
      </c>
      <c r="K16" s="104">
        <f t="shared" si="3"/>
        <v>3.537234042553191E-2</v>
      </c>
      <c r="L16" s="104">
        <f t="shared" si="4"/>
        <v>2.6175531914893614E-2</v>
      </c>
    </row>
    <row r="17" spans="1:29" ht="14.25" customHeight="1" x14ac:dyDescent="0.25">
      <c r="A17" s="1471"/>
      <c r="B17" s="20" t="s">
        <v>187</v>
      </c>
      <c r="C17" s="106" t="s">
        <v>14</v>
      </c>
      <c r="D17" s="187">
        <v>70.744680851063819</v>
      </c>
      <c r="E17" s="177">
        <f t="shared" si="0"/>
        <v>7</v>
      </c>
      <c r="F17" s="109">
        <v>0.75</v>
      </c>
      <c r="G17" s="103">
        <f t="shared" si="1"/>
        <v>495.21276595744672</v>
      </c>
      <c r="H17" s="102">
        <f t="shared" si="2"/>
        <v>371.40957446808505</v>
      </c>
      <c r="I17" s="65">
        <f>VLOOKUP(B17,All_Ingredients!$A$1:$F$156,6,FALSE())</f>
        <v>0.9</v>
      </c>
      <c r="J17" s="101">
        <f>VLOOKUP(B17,All_Ingredients!$A$1:$J$156,10,FALSE())</f>
        <v>2.3199999999999998</v>
      </c>
      <c r="K17" s="104">
        <f t="shared" si="3"/>
        <v>0.41267730496453897</v>
      </c>
      <c r="L17" s="104">
        <f t="shared" si="4"/>
        <v>0.95741134751773038</v>
      </c>
    </row>
    <row r="18" spans="1:29" ht="14.25" customHeight="1" x14ac:dyDescent="0.25">
      <c r="A18" s="1471"/>
      <c r="B18" s="20" t="s">
        <v>754</v>
      </c>
      <c r="C18" s="106" t="s">
        <v>14</v>
      </c>
      <c r="D18" s="187">
        <v>101.06382978723404</v>
      </c>
      <c r="E18" s="177">
        <f t="shared" si="0"/>
        <v>7</v>
      </c>
      <c r="F18" s="109">
        <v>1</v>
      </c>
      <c r="G18" s="103">
        <f t="shared" si="1"/>
        <v>707.44680851063833</v>
      </c>
      <c r="H18" s="102">
        <f t="shared" si="2"/>
        <v>707.44680851063833</v>
      </c>
      <c r="I18" s="65">
        <f>VLOOKUP(B18,All_Ingredients!$A$1:$F$156,6,FALSE())</f>
        <v>1</v>
      </c>
      <c r="J18" s="101">
        <f>VLOOKUP(B18,All_Ingredients!$A$1:$J$156,10,FALSE())</f>
        <v>22</v>
      </c>
      <c r="K18" s="104">
        <f t="shared" si="3"/>
        <v>0.70744680851063835</v>
      </c>
      <c r="L18" s="104">
        <f t="shared" si="4"/>
        <v>15.563829787234043</v>
      </c>
    </row>
    <row r="19" spans="1:29" ht="14.25" customHeight="1" x14ac:dyDescent="0.25">
      <c r="A19" s="1471"/>
      <c r="B19" s="200" t="s">
        <v>152</v>
      </c>
      <c r="C19" s="106" t="s">
        <v>14</v>
      </c>
      <c r="D19" s="187">
        <v>20.212765957446805</v>
      </c>
      <c r="E19" s="177">
        <f t="shared" si="0"/>
        <v>7</v>
      </c>
      <c r="F19" s="109">
        <v>1</v>
      </c>
      <c r="G19" s="103">
        <f t="shared" si="1"/>
        <v>141.48936170212764</v>
      </c>
      <c r="H19" s="102">
        <f t="shared" si="2"/>
        <v>141.48936170212764</v>
      </c>
      <c r="I19" s="65">
        <f>VLOOKUP(B19,All_Ingredients!$A$1:$F$156,6,FALSE())</f>
        <v>1</v>
      </c>
      <c r="J19" s="101">
        <f>VLOOKUP(B19,All_Ingredients!$A$1:$J$156,10,FALSE())</f>
        <v>30</v>
      </c>
      <c r="K19" s="104">
        <f t="shared" si="3"/>
        <v>0.14148936170212764</v>
      </c>
      <c r="L19" s="104">
        <f t="shared" si="4"/>
        <v>4.244680851063829</v>
      </c>
    </row>
    <row r="20" spans="1:29" ht="14.25" customHeight="1" x14ac:dyDescent="0.25">
      <c r="A20" s="1471"/>
      <c r="B20" s="200" t="s">
        <v>192</v>
      </c>
      <c r="C20" s="106" t="s">
        <v>160</v>
      </c>
      <c r="D20" s="187">
        <v>15.159574468085106</v>
      </c>
      <c r="E20" s="177">
        <f t="shared" si="0"/>
        <v>7</v>
      </c>
      <c r="F20" s="109">
        <v>0.9</v>
      </c>
      <c r="G20" s="103">
        <f t="shared" si="1"/>
        <v>106.11702127659574</v>
      </c>
      <c r="H20" s="102">
        <f t="shared" si="2"/>
        <v>95.505319148936167</v>
      </c>
      <c r="I20" s="65">
        <f>VLOOKUP(B20,All_Ingredients!$A$1:$F$156,6,FALSE())</f>
        <v>1</v>
      </c>
      <c r="J20" s="101">
        <f>VLOOKUP(B20,All_Ingredients!$A$1:$J$156,10,FALSE())</f>
        <v>58.685446009389672</v>
      </c>
      <c r="K20" s="104">
        <f t="shared" si="3"/>
        <v>9.550531914893616E-2</v>
      </c>
      <c r="L20" s="104">
        <f t="shared" si="4"/>
        <v>5.6047722505244222</v>
      </c>
    </row>
    <row r="21" spans="1:29" ht="14.25" customHeight="1" x14ac:dyDescent="0.25">
      <c r="A21" s="1472"/>
      <c r="B21" s="84"/>
      <c r="C21" s="152"/>
      <c r="D21" s="152"/>
      <c r="E21" s="84"/>
      <c r="F21" s="84"/>
      <c r="G21" s="152"/>
      <c r="L21" s="274"/>
    </row>
    <row r="22" spans="1:29" ht="14.25" customHeight="1" x14ac:dyDescent="0.25">
      <c r="A22" s="1472"/>
    </row>
    <row r="23" spans="1:29" ht="14.25" customHeight="1" x14ac:dyDescent="0.25">
      <c r="A23" s="1472"/>
    </row>
    <row r="24" spans="1:29" ht="14.25" customHeight="1" x14ac:dyDescent="0.25">
      <c r="A24" s="1472"/>
      <c r="Z24" s="1073"/>
    </row>
    <row r="25" spans="1:29" ht="14.25" customHeight="1" x14ac:dyDescent="0.25">
      <c r="A25" s="1472"/>
      <c r="R25" s="1662" t="s">
        <v>409</v>
      </c>
      <c r="S25" s="1633"/>
      <c r="T25" s="1633"/>
      <c r="U25" s="1633"/>
      <c r="Z25" s="122" t="s">
        <v>252</v>
      </c>
      <c r="AA25" s="123">
        <v>1</v>
      </c>
      <c r="AB25" s="122" t="s">
        <v>249</v>
      </c>
      <c r="AC25" s="124">
        <f>AC30*AA25</f>
        <v>7.4411257282861864E-3</v>
      </c>
    </row>
    <row r="26" spans="1:29" ht="14.25" customHeight="1" x14ac:dyDescent="0.25">
      <c r="A26" s="1472"/>
      <c r="R26" s="1662" t="s">
        <v>410</v>
      </c>
      <c r="S26" s="1633"/>
      <c r="T26" s="1633"/>
      <c r="U26" s="1633"/>
    </row>
    <row r="27" spans="1:29" ht="14.25" customHeight="1" x14ac:dyDescent="0.25">
      <c r="A27" s="1472"/>
      <c r="R27" s="126" t="s">
        <v>254</v>
      </c>
      <c r="S27" s="127" t="s">
        <v>352</v>
      </c>
      <c r="T27" s="127" t="s">
        <v>256</v>
      </c>
      <c r="U27" s="127" t="s">
        <v>257</v>
      </c>
      <c r="Z27" s="122" t="s">
        <v>258</v>
      </c>
      <c r="AA27" s="128" t="s">
        <v>352</v>
      </c>
      <c r="AB27" s="128" t="s">
        <v>260</v>
      </c>
      <c r="AC27" s="128" t="s">
        <v>262</v>
      </c>
    </row>
    <row r="28" spans="1:29" ht="14.25" customHeight="1" x14ac:dyDescent="0.25">
      <c r="A28" s="1472"/>
      <c r="B28" s="160"/>
      <c r="D28" s="362"/>
      <c r="E28" s="84"/>
      <c r="F28" s="84"/>
      <c r="R28" s="129" t="s">
        <v>263</v>
      </c>
      <c r="S28" s="690">
        <f>U28*S40</f>
        <v>10500</v>
      </c>
      <c r="T28" s="690">
        <f>U28*U40</f>
        <v>7000</v>
      </c>
      <c r="U28" s="696">
        <f>$Z$1</f>
        <v>17500</v>
      </c>
      <c r="Z28" s="132"/>
      <c r="AA28" s="133">
        <f>AA25*$S$40</f>
        <v>0.6</v>
      </c>
      <c r="AB28" s="133">
        <f>AA25*$U$40</f>
        <v>0.4</v>
      </c>
      <c r="AC28" s="135">
        <f>SUM(AA28:AB28)</f>
        <v>1</v>
      </c>
    </row>
    <row r="29" spans="1:29" ht="22.5" customHeight="1" x14ac:dyDescent="0.25">
      <c r="A29" s="1472"/>
      <c r="B29" s="160"/>
      <c r="D29" s="362"/>
      <c r="E29" s="84"/>
      <c r="F29" s="84"/>
      <c r="R29" s="129" t="s">
        <v>264</v>
      </c>
      <c r="S29" s="692"/>
      <c r="T29" s="690"/>
      <c r="U29" s="130">
        <f>T29</f>
        <v>0</v>
      </c>
      <c r="Z29" s="132"/>
      <c r="AA29" s="137">
        <f>AA28/$AC$28</f>
        <v>0.6</v>
      </c>
      <c r="AB29" s="137">
        <f>AB28/$AC$28</f>
        <v>0.4</v>
      </c>
      <c r="AC29" s="137">
        <f>AC28/$AC$28</f>
        <v>1</v>
      </c>
    </row>
    <row r="30" spans="1:29" ht="21" customHeight="1" x14ac:dyDescent="0.25">
      <c r="A30" s="1472"/>
      <c r="B30" s="160"/>
      <c r="D30" s="362"/>
      <c r="E30" s="84"/>
      <c r="F30" s="84"/>
      <c r="R30" s="129" t="s">
        <v>265</v>
      </c>
      <c r="S30" s="1164">
        <f>U30*S40</f>
        <v>0</v>
      </c>
      <c r="T30" s="1186">
        <f>U30*U40</f>
        <v>0</v>
      </c>
      <c r="U30" s="696">
        <f>$AB$1</f>
        <v>0</v>
      </c>
      <c r="Z30" s="122" t="s">
        <v>266</v>
      </c>
      <c r="AA30" s="138">
        <f>S35/(S28)</f>
        <v>3.3333333333333335E-3</v>
      </c>
      <c r="AB30" s="139">
        <f>T35/T32</f>
        <v>1.3602814320715466E-2</v>
      </c>
      <c r="AC30" s="140">
        <f>SUMPRODUCT(AA30:AB30,AA29:AB29)</f>
        <v>7.4411257282861864E-3</v>
      </c>
    </row>
    <row r="31" spans="1:29" ht="14.25" customHeight="1" x14ac:dyDescent="0.25">
      <c r="A31" s="1472"/>
      <c r="B31" s="160"/>
      <c r="D31" s="362"/>
      <c r="E31" s="84"/>
      <c r="F31" s="84"/>
      <c r="R31" s="129" t="s">
        <v>267</v>
      </c>
      <c r="S31" s="136"/>
      <c r="T31" s="130"/>
      <c r="U31" s="130"/>
    </row>
    <row r="32" spans="1:29" ht="14.25" customHeight="1" x14ac:dyDescent="0.25">
      <c r="A32" s="1472"/>
      <c r="B32" s="160"/>
      <c r="D32" s="362"/>
      <c r="E32" s="84"/>
      <c r="F32" s="84"/>
      <c r="R32" s="141" t="s">
        <v>257</v>
      </c>
      <c r="S32" s="130">
        <f>SUM(S28:S30)</f>
        <v>10500</v>
      </c>
      <c r="T32" s="130">
        <f>SUM(T28:T30)</f>
        <v>7000</v>
      </c>
      <c r="U32" s="130">
        <f>SUM(U28:U30)</f>
        <v>17500</v>
      </c>
    </row>
    <row r="33" spans="1:23" ht="14.25" customHeight="1" x14ac:dyDescent="0.25">
      <c r="A33" s="1472"/>
      <c r="B33" s="84"/>
      <c r="E33" s="84"/>
      <c r="F33" s="84"/>
      <c r="R33" s="142" t="s">
        <v>268</v>
      </c>
      <c r="S33" s="136"/>
      <c r="T33" s="136"/>
      <c r="U33" s="136"/>
    </row>
    <row r="34" spans="1:23" ht="14.25" customHeight="1" x14ac:dyDescent="0.25">
      <c r="A34" s="1472"/>
      <c r="B34" s="84"/>
      <c r="E34" s="84"/>
      <c r="F34" s="84"/>
      <c r="R34" s="143" t="s">
        <v>269</v>
      </c>
      <c r="S34" s="136"/>
      <c r="T34" s="130"/>
      <c r="U34" s="136"/>
    </row>
    <row r="35" spans="1:23" ht="14.25" customHeight="1" x14ac:dyDescent="0.25">
      <c r="A35" s="1472"/>
      <c r="R35" s="144" t="s">
        <v>249</v>
      </c>
      <c r="S35" s="990">
        <f>$L$5</f>
        <v>35</v>
      </c>
      <c r="T35" s="990">
        <f>SUM(L6:L20)</f>
        <v>95.219700245008255</v>
      </c>
      <c r="U35" s="990">
        <f>S35+T35</f>
        <v>130.21970024500826</v>
      </c>
    </row>
    <row r="36" spans="1:23" x14ac:dyDescent="0.25">
      <c r="A36" s="1472"/>
    </row>
    <row r="37" spans="1:23" x14ac:dyDescent="0.25">
      <c r="A37" s="1472"/>
    </row>
    <row r="38" spans="1:23" x14ac:dyDescent="0.25">
      <c r="A38" s="1472"/>
    </row>
    <row r="39" spans="1:23" x14ac:dyDescent="0.25">
      <c r="A39" s="1472"/>
    </row>
    <row r="40" spans="1:23" ht="51.75" x14ac:dyDescent="0.25">
      <c r="A40" s="1472"/>
      <c r="R40" s="146" t="s">
        <v>270</v>
      </c>
      <c r="S40" s="147">
        <v>0.6</v>
      </c>
      <c r="T40" s="146" t="s">
        <v>271</v>
      </c>
      <c r="U40" s="148">
        <v>0.4</v>
      </c>
      <c r="V40" s="149">
        <f>S40+U40</f>
        <v>1</v>
      </c>
    </row>
    <row r="41" spans="1:23" x14ac:dyDescent="0.25">
      <c r="A41" s="1472"/>
      <c r="U41" s="150"/>
    </row>
    <row r="42" spans="1:23" x14ac:dyDescent="0.25">
      <c r="A42" s="1472"/>
    </row>
    <row r="43" spans="1:23" x14ac:dyDescent="0.25">
      <c r="A43" s="1472"/>
      <c r="Q43" s="151" t="s">
        <v>272</v>
      </c>
      <c r="R43" s="151" t="s">
        <v>273</v>
      </c>
      <c r="S43" s="151" t="s">
        <v>274</v>
      </c>
      <c r="T43" s="151" t="s">
        <v>275</v>
      </c>
      <c r="U43" s="151" t="s">
        <v>276</v>
      </c>
      <c r="V43" s="151" t="s">
        <v>277</v>
      </c>
      <c r="W43" s="235" t="s">
        <v>507</v>
      </c>
    </row>
    <row r="44" spans="1:23" ht="15" customHeight="1" x14ac:dyDescent="0.25">
      <c r="A44" s="1472"/>
      <c r="Q44" s="511">
        <v>25000</v>
      </c>
      <c r="R44" s="154">
        <f>D51</f>
        <v>10000</v>
      </c>
      <c r="S44" s="155">
        <v>1</v>
      </c>
      <c r="T44" s="155">
        <v>0</v>
      </c>
      <c r="U44" s="220">
        <f>R44*S44</f>
        <v>10000</v>
      </c>
      <c r="V44" s="157">
        <f>R44*T44</f>
        <v>0</v>
      </c>
      <c r="W44" s="583">
        <f>Q44-U44</f>
        <v>15000</v>
      </c>
    </row>
    <row r="45" spans="1:23" x14ac:dyDescent="0.25">
      <c r="A45" s="1472"/>
    </row>
    <row r="46" spans="1:23" x14ac:dyDescent="0.25">
      <c r="A46" s="1472"/>
    </row>
    <row r="47" spans="1:23" x14ac:dyDescent="0.25">
      <c r="A47" s="1472"/>
    </row>
    <row r="48" spans="1:23" x14ac:dyDescent="0.25">
      <c r="A48" s="1472"/>
    </row>
    <row r="49" spans="1:10" x14ac:dyDescent="0.25">
      <c r="A49" s="1472"/>
    </row>
    <row r="50" spans="1:10" ht="14.25" customHeight="1" x14ac:dyDescent="0.25">
      <c r="A50" s="1472"/>
      <c r="B50" s="126"/>
      <c r="C50" s="126" t="s">
        <v>233</v>
      </c>
      <c r="D50" s="126" t="s">
        <v>279</v>
      </c>
      <c r="E50" s="84"/>
      <c r="F50" s="84"/>
      <c r="G50" s="126" t="s">
        <v>280</v>
      </c>
      <c r="H50" s="126" t="s">
        <v>233</v>
      </c>
      <c r="I50" s="126" t="s">
        <v>506</v>
      </c>
      <c r="J50" s="126" t="s">
        <v>505</v>
      </c>
    </row>
    <row r="51" spans="1:10" x14ac:dyDescent="0.25">
      <c r="A51" s="1472"/>
      <c r="B51" s="161" t="s">
        <v>283</v>
      </c>
      <c r="C51" s="162">
        <f>10/$K$1</f>
        <v>10</v>
      </c>
      <c r="D51" s="163">
        <f>$C$1*10</f>
        <v>10000</v>
      </c>
      <c r="E51" s="84"/>
      <c r="F51" s="84"/>
      <c r="G51" s="161" t="s">
        <v>283</v>
      </c>
      <c r="H51" s="254">
        <v>10</v>
      </c>
      <c r="I51" s="162">
        <f>J51/$R$1</f>
        <v>6000</v>
      </c>
      <c r="J51" s="162">
        <f>$W$44</f>
        <v>15000</v>
      </c>
    </row>
    <row r="52" spans="1:10" x14ac:dyDescent="0.25">
      <c r="A52" s="1472"/>
      <c r="B52" s="126" t="s">
        <v>262</v>
      </c>
      <c r="C52" s="165">
        <f>I1</f>
        <v>7</v>
      </c>
      <c r="D52" s="166">
        <f>E1</f>
        <v>7000</v>
      </c>
      <c r="E52" s="84"/>
      <c r="F52" s="84"/>
      <c r="G52" s="129" t="s">
        <v>262</v>
      </c>
      <c r="H52" s="190">
        <f>I52/$D$5</f>
        <v>7</v>
      </c>
      <c r="I52" s="157">
        <f>J52/$R$1</f>
        <v>4200</v>
      </c>
      <c r="J52" s="165">
        <f>$S$32</f>
        <v>10500</v>
      </c>
    </row>
    <row r="53" spans="1:10" x14ac:dyDescent="0.25">
      <c r="A53" s="1472"/>
      <c r="B53" s="126" t="s">
        <v>284</v>
      </c>
      <c r="C53" s="395">
        <f>MIN($C$52, C51)</f>
        <v>7</v>
      </c>
      <c r="D53" s="166">
        <f>(C53*$K$1)*$C$1</f>
        <v>7000</v>
      </c>
      <c r="E53" s="84"/>
      <c r="F53" s="84"/>
      <c r="G53" s="129" t="s">
        <v>284</v>
      </c>
      <c r="H53" s="168">
        <f>MIN(H52,H51)</f>
        <v>7</v>
      </c>
      <c r="I53" s="157">
        <f>J53/$R$1</f>
        <v>4200</v>
      </c>
      <c r="J53" s="157">
        <f>MIN(J52,J51)</f>
        <v>10500</v>
      </c>
    </row>
    <row r="54" spans="1:10" ht="18" customHeight="1" x14ac:dyDescent="0.25">
      <c r="A54" s="1472"/>
      <c r="B54" s="126"/>
      <c r="C54" s="167">
        <f>MIN(MAX($C$52-C53,0),C51)</f>
        <v>0</v>
      </c>
      <c r="D54" s="166">
        <f>(C54*$K$1)*$C$1</f>
        <v>0</v>
      </c>
      <c r="E54" s="84"/>
      <c r="F54" s="84"/>
      <c r="G54" s="129" t="s">
        <v>285</v>
      </c>
      <c r="H54" s="168">
        <f>MIN(MAX(H52-H53),H51)</f>
        <v>0</v>
      </c>
      <c r="I54" s="157">
        <f>J54/$R$1</f>
        <v>0</v>
      </c>
      <c r="J54" s="157">
        <f>MIN(MAX(J52-J53),J51)</f>
        <v>0</v>
      </c>
    </row>
    <row r="55" spans="1:10" x14ac:dyDescent="0.25">
      <c r="A55" s="1472"/>
      <c r="B55" s="126"/>
      <c r="C55" s="167">
        <f>MIN(MAX($C$52-C53-C54,0),C51)</f>
        <v>0</v>
      </c>
      <c r="D55" s="166">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36" t="str">
        <f>"ستروغانوف باستا  1 / " &amp; COUNTIF($C$53:$C$55, "&gt;0")</f>
        <v>ستروغانوف باستا  1 / 1</v>
      </c>
      <c r="C62" s="1637"/>
      <c r="D62" s="1637"/>
      <c r="E62" s="1637"/>
      <c r="F62" s="1637"/>
      <c r="G62" s="1637"/>
      <c r="H62" s="1637"/>
    </row>
    <row r="63" spans="1:10" ht="18" customHeight="1" x14ac:dyDescent="0.25">
      <c r="A63" s="1473"/>
      <c r="B63" s="1634" t="str">
        <f>"Stroganoff sauce for pasta  1 / " &amp; COUNTIF($C$53:$C$55, "&gt;0")</f>
        <v>Stroganoff sauce for pasta  1 / 1</v>
      </c>
      <c r="C63" s="1635"/>
      <c r="D63" s="1635"/>
      <c r="E63" s="1635"/>
      <c r="F63" s="1635"/>
      <c r="G63" s="1635"/>
      <c r="H63" s="1635"/>
    </row>
    <row r="64" spans="1:10" ht="45" customHeight="1" x14ac:dyDescent="0.2">
      <c r="A64" s="1457"/>
      <c r="B64" s="221" t="s">
        <v>241</v>
      </c>
      <c r="C64" s="222" t="s">
        <v>242</v>
      </c>
      <c r="D64" s="223" t="s">
        <v>231</v>
      </c>
      <c r="E64" s="197" t="s">
        <v>234</v>
      </c>
      <c r="F64" s="197" t="s">
        <v>243</v>
      </c>
      <c r="G64" s="223" t="s">
        <v>244</v>
      </c>
      <c r="H64" s="197" t="s">
        <v>245</v>
      </c>
    </row>
    <row r="65" spans="1:8" ht="14.25" customHeight="1" x14ac:dyDescent="0.25">
      <c r="A65" s="1471"/>
      <c r="B65" s="299" t="str">
        <f t="shared" ref="B65:D80" si="5">B5</f>
        <v>Pasta fusilli - مكرونة مبرومة</v>
      </c>
      <c r="C65" s="299" t="str">
        <f t="shared" si="5"/>
        <v>gm</v>
      </c>
      <c r="D65" s="300">
        <f t="shared" si="5"/>
        <v>600</v>
      </c>
      <c r="E65" s="108">
        <f>H53</f>
        <v>7</v>
      </c>
      <c r="F65" s="109">
        <f t="shared" ref="F65:F80" si="6">F5</f>
        <v>1</v>
      </c>
      <c r="G65" s="101">
        <f>D65*E65</f>
        <v>4200</v>
      </c>
      <c r="H65" s="102">
        <f>G65*F65</f>
        <v>4200</v>
      </c>
    </row>
    <row r="66" spans="1:8" ht="14.25" customHeight="1" x14ac:dyDescent="0.25">
      <c r="A66" s="1471"/>
      <c r="B66" s="299" t="str">
        <f t="shared" si="5"/>
        <v>Onion - بصل</v>
      </c>
      <c r="C66" s="299" t="str">
        <f t="shared" si="5"/>
        <v>gm</v>
      </c>
      <c r="D66" s="300">
        <f t="shared" si="5"/>
        <v>202.12765957446808</v>
      </c>
      <c r="E66" s="108">
        <f t="shared" ref="E66:E80" si="7">$C$53</f>
        <v>7</v>
      </c>
      <c r="F66" s="109">
        <f t="shared" si="6"/>
        <v>0.95</v>
      </c>
      <c r="G66" s="101">
        <f t="shared" ref="G66:G80" si="8">D66*E66</f>
        <v>1414.8936170212767</v>
      </c>
      <c r="H66" s="102">
        <f t="shared" ref="H66:H80" si="9">G66*F66</f>
        <v>1344.1489361702127</v>
      </c>
    </row>
    <row r="67" spans="1:8" ht="14.25" customHeight="1" x14ac:dyDescent="0.25">
      <c r="A67" s="1471"/>
      <c r="B67" s="299" t="str">
        <f t="shared" si="5"/>
        <v>Garlic - ثوم مقشر</v>
      </c>
      <c r="C67" s="299" t="str">
        <f t="shared" si="5"/>
        <v>gm</v>
      </c>
      <c r="D67" s="300">
        <f t="shared" si="5"/>
        <v>30.319148936170212</v>
      </c>
      <c r="E67" s="108">
        <f t="shared" si="7"/>
        <v>7</v>
      </c>
      <c r="F67" s="109">
        <f t="shared" si="6"/>
        <v>0.95</v>
      </c>
      <c r="G67" s="101">
        <f t="shared" si="8"/>
        <v>212.23404255319147</v>
      </c>
      <c r="H67" s="102">
        <f t="shared" si="9"/>
        <v>201.62234042553189</v>
      </c>
    </row>
    <row r="68" spans="1:8" ht="14.25" customHeight="1" x14ac:dyDescent="0.25">
      <c r="A68" s="1471"/>
      <c r="B68" s="299" t="str">
        <f t="shared" si="5"/>
        <v>Mustard - خردل</v>
      </c>
      <c r="C68" s="299" t="str">
        <f t="shared" si="5"/>
        <v>gm</v>
      </c>
      <c r="D68" s="300">
        <f t="shared" si="5"/>
        <v>20.212765957446805</v>
      </c>
      <c r="E68" s="108">
        <f t="shared" si="7"/>
        <v>7</v>
      </c>
      <c r="F68" s="109">
        <f t="shared" si="6"/>
        <v>1</v>
      </c>
      <c r="G68" s="101">
        <f t="shared" si="8"/>
        <v>141.48936170212764</v>
      </c>
      <c r="H68" s="102">
        <f t="shared" si="9"/>
        <v>141.48936170212764</v>
      </c>
    </row>
    <row r="69" spans="1:8" ht="14.25" customHeight="1" x14ac:dyDescent="0.25">
      <c r="A69" s="1471"/>
      <c r="B69" s="299" t="str">
        <f t="shared" si="5"/>
        <v>Tomato Paste - صلصة طماطم</v>
      </c>
      <c r="C69" s="299" t="str">
        <f t="shared" si="5"/>
        <v>gm</v>
      </c>
      <c r="D69" s="300">
        <f t="shared" si="5"/>
        <v>101.06382978723404</v>
      </c>
      <c r="E69" s="108">
        <f t="shared" si="7"/>
        <v>7</v>
      </c>
      <c r="F69" s="109">
        <f t="shared" si="6"/>
        <v>1</v>
      </c>
      <c r="G69" s="101">
        <f t="shared" si="8"/>
        <v>707.44680851063833</v>
      </c>
      <c r="H69" s="102">
        <f t="shared" si="9"/>
        <v>707.44680851063833</v>
      </c>
    </row>
    <row r="70" spans="1:8" ht="14.25" customHeight="1" x14ac:dyDescent="0.25">
      <c r="A70" s="1471"/>
      <c r="B70" s="299" t="str">
        <f t="shared" si="5"/>
        <v>Saffron yellow color powder - لون صفار زعفران بودر</v>
      </c>
      <c r="C70" s="299" t="str">
        <f t="shared" si="5"/>
        <v>gm</v>
      </c>
      <c r="D70" s="300">
        <f t="shared" si="5"/>
        <v>3.0319148936170208</v>
      </c>
      <c r="E70" s="108">
        <f t="shared" si="7"/>
        <v>7</v>
      </c>
      <c r="F70" s="109">
        <f t="shared" si="6"/>
        <v>0.75</v>
      </c>
      <c r="G70" s="101">
        <f t="shared" si="8"/>
        <v>21.223404255319146</v>
      </c>
      <c r="H70" s="102">
        <f t="shared" si="9"/>
        <v>15.917553191489359</v>
      </c>
    </row>
    <row r="71" spans="1:8" ht="14.25" customHeight="1" x14ac:dyDescent="0.25">
      <c r="A71" s="1471"/>
      <c r="B71" s="299" t="str">
        <f t="shared" si="5"/>
        <v>Water - ماء</v>
      </c>
      <c r="C71" s="299" t="str">
        <f t="shared" si="5"/>
        <v>ml</v>
      </c>
      <c r="D71" s="300">
        <f t="shared" si="5"/>
        <v>200</v>
      </c>
      <c r="E71" s="108">
        <f t="shared" si="7"/>
        <v>7</v>
      </c>
      <c r="F71" s="109">
        <f t="shared" si="6"/>
        <v>1</v>
      </c>
      <c r="G71" s="101">
        <f t="shared" si="8"/>
        <v>1400</v>
      </c>
      <c r="H71" s="102">
        <f t="shared" si="9"/>
        <v>1400</v>
      </c>
    </row>
    <row r="72" spans="1:8" ht="14.25" customHeight="1" x14ac:dyDescent="0.25">
      <c r="A72" s="1471"/>
      <c r="B72" s="299" t="str">
        <f t="shared" si="5"/>
        <v>Black Pepper Powder - فلفل أسود مطحون</v>
      </c>
      <c r="C72" s="299" t="str">
        <f t="shared" si="5"/>
        <v>gm</v>
      </c>
      <c r="D72" s="300">
        <f t="shared" si="5"/>
        <v>2.0212765957446805</v>
      </c>
      <c r="E72" s="108">
        <f t="shared" si="7"/>
        <v>7</v>
      </c>
      <c r="F72" s="109">
        <f t="shared" si="6"/>
        <v>1</v>
      </c>
      <c r="G72" s="101">
        <f t="shared" si="8"/>
        <v>14.148936170212764</v>
      </c>
      <c r="H72" s="102">
        <f t="shared" si="9"/>
        <v>14.148936170212764</v>
      </c>
    </row>
    <row r="73" spans="1:8" ht="14.25" customHeight="1" x14ac:dyDescent="0.25">
      <c r="A73" s="1471"/>
      <c r="B73" s="299" t="str">
        <f t="shared" si="5"/>
        <v>Demi Glaze Sauce - صوص ديمي غلاز</v>
      </c>
      <c r="C73" s="299" t="str">
        <f t="shared" si="5"/>
        <v>gm</v>
      </c>
      <c r="D73" s="300">
        <f t="shared" si="5"/>
        <v>25.26595744680851</v>
      </c>
      <c r="E73" s="108">
        <f t="shared" si="7"/>
        <v>7</v>
      </c>
      <c r="F73" s="109">
        <f t="shared" si="6"/>
        <v>0.75</v>
      </c>
      <c r="G73" s="101">
        <f t="shared" si="8"/>
        <v>176.86170212765958</v>
      </c>
      <c r="H73" s="102">
        <f t="shared" si="9"/>
        <v>132.64627659574469</v>
      </c>
    </row>
    <row r="74" spans="1:8" ht="14.25" customHeight="1" x14ac:dyDescent="0.25">
      <c r="A74" s="1471"/>
      <c r="B74" s="299" t="str">
        <f t="shared" si="5"/>
        <v>Cooking Cream - كريمة طبخ</v>
      </c>
      <c r="C74" s="299" t="str">
        <f t="shared" si="5"/>
        <v>ml</v>
      </c>
      <c r="D74" s="300">
        <f t="shared" si="5"/>
        <v>505.31914893617017</v>
      </c>
      <c r="E74" s="108">
        <f t="shared" si="7"/>
        <v>7</v>
      </c>
      <c r="F74" s="109">
        <f t="shared" si="6"/>
        <v>1</v>
      </c>
      <c r="G74" s="101">
        <f t="shared" si="8"/>
        <v>3537.2340425531911</v>
      </c>
      <c r="H74" s="102">
        <f t="shared" si="9"/>
        <v>3537.2340425531911</v>
      </c>
    </row>
    <row r="75" spans="1:8" ht="14.25" customHeight="1" x14ac:dyDescent="0.25">
      <c r="A75" s="1471"/>
      <c r="B75" s="299" t="str">
        <f t="shared" si="5"/>
        <v>Maggi Cubes - مكعبات ماجي</v>
      </c>
      <c r="C75" s="299" t="str">
        <f t="shared" si="5"/>
        <v>gm</v>
      </c>
      <c r="D75" s="300">
        <f t="shared" si="5"/>
        <v>8.0851063829787222</v>
      </c>
      <c r="E75" s="108">
        <f t="shared" si="7"/>
        <v>7</v>
      </c>
      <c r="F75" s="109">
        <f t="shared" si="6"/>
        <v>1</v>
      </c>
      <c r="G75" s="101">
        <f t="shared" si="8"/>
        <v>56.595744680851055</v>
      </c>
      <c r="H75" s="102">
        <f t="shared" si="9"/>
        <v>56.595744680851055</v>
      </c>
    </row>
    <row r="76" spans="1:8" ht="14.25" customHeight="1" x14ac:dyDescent="0.25">
      <c r="A76" s="1471"/>
      <c r="B76" s="299" t="str">
        <f t="shared" si="5"/>
        <v>Salt - ملح</v>
      </c>
      <c r="C76" s="299" t="str">
        <f t="shared" si="5"/>
        <v>gm</v>
      </c>
      <c r="D76" s="300">
        <f t="shared" si="5"/>
        <v>5.0531914893617014</v>
      </c>
      <c r="E76" s="108">
        <f t="shared" si="7"/>
        <v>7</v>
      </c>
      <c r="F76" s="109">
        <f t="shared" si="6"/>
        <v>1</v>
      </c>
      <c r="G76" s="101">
        <f t="shared" si="8"/>
        <v>35.37234042553191</v>
      </c>
      <c r="H76" s="102">
        <f t="shared" si="9"/>
        <v>35.37234042553191</v>
      </c>
    </row>
    <row r="77" spans="1:8" ht="14.25" customHeight="1" x14ac:dyDescent="0.25">
      <c r="A77" s="1471"/>
      <c r="B77" s="299" t="str">
        <f t="shared" si="5"/>
        <v>Corn Starch - نشا ذرة</v>
      </c>
      <c r="C77" s="299" t="str">
        <f t="shared" si="5"/>
        <v>gm</v>
      </c>
      <c r="D77" s="300">
        <f t="shared" si="5"/>
        <v>70.744680851063819</v>
      </c>
      <c r="E77" s="108">
        <f t="shared" si="7"/>
        <v>7</v>
      </c>
      <c r="F77" s="109">
        <f t="shared" si="6"/>
        <v>0.75</v>
      </c>
      <c r="G77" s="101">
        <f t="shared" si="8"/>
        <v>495.21276595744672</v>
      </c>
      <c r="H77" s="102">
        <f t="shared" si="9"/>
        <v>371.40957446808505</v>
      </c>
    </row>
    <row r="78" spans="1:8" ht="14.25" customHeight="1" x14ac:dyDescent="0.25">
      <c r="A78" s="1471"/>
      <c r="B78" s="299" t="str">
        <f t="shared" si="5"/>
        <v>Mushroom - مشروم ابيض</v>
      </c>
      <c r="C78" s="299" t="str">
        <f t="shared" si="5"/>
        <v>gm</v>
      </c>
      <c r="D78" s="300">
        <f t="shared" si="5"/>
        <v>101.06382978723404</v>
      </c>
      <c r="E78" s="108">
        <f t="shared" si="7"/>
        <v>7</v>
      </c>
      <c r="F78" s="109">
        <f t="shared" si="6"/>
        <v>1</v>
      </c>
      <c r="G78" s="101">
        <f t="shared" si="8"/>
        <v>707.44680851063833</v>
      </c>
      <c r="H78" s="102">
        <f t="shared" si="9"/>
        <v>707.44680851063833</v>
      </c>
    </row>
    <row r="79" spans="1:8" ht="14.25" customHeight="1" x14ac:dyDescent="0.25">
      <c r="A79" s="1471"/>
      <c r="B79" s="299" t="str">
        <f t="shared" si="5"/>
        <v>Butter - زبدة</v>
      </c>
      <c r="C79" s="299" t="str">
        <f t="shared" si="5"/>
        <v>gm</v>
      </c>
      <c r="D79" s="300">
        <f t="shared" si="5"/>
        <v>20.212765957446805</v>
      </c>
      <c r="E79" s="108">
        <f t="shared" si="7"/>
        <v>7</v>
      </c>
      <c r="F79" s="109">
        <f t="shared" si="6"/>
        <v>1</v>
      </c>
      <c r="G79" s="101">
        <f t="shared" si="8"/>
        <v>141.48936170212764</v>
      </c>
      <c r="H79" s="102">
        <f t="shared" si="9"/>
        <v>141.48936170212764</v>
      </c>
    </row>
    <row r="80" spans="1:8" ht="20.25" customHeight="1" x14ac:dyDescent="0.25">
      <c r="A80" s="1471"/>
      <c r="B80" s="299" t="str">
        <f t="shared" si="5"/>
        <v>Sriracha Sauce - صوص سريراتشا</v>
      </c>
      <c r="C80" s="299" t="str">
        <f t="shared" si="5"/>
        <v>ml</v>
      </c>
      <c r="D80" s="300">
        <f t="shared" si="5"/>
        <v>15.159574468085106</v>
      </c>
      <c r="E80" s="108">
        <f t="shared" si="7"/>
        <v>7</v>
      </c>
      <c r="F80" s="109">
        <f t="shared" si="6"/>
        <v>0.9</v>
      </c>
      <c r="G80" s="101">
        <f t="shared" si="8"/>
        <v>106.11702127659574</v>
      </c>
      <c r="H80" s="102">
        <f t="shared" si="9"/>
        <v>95.505319148936167</v>
      </c>
    </row>
    <row r="81" spans="1:8" ht="14.25" customHeight="1" x14ac:dyDescent="0.25">
      <c r="A81" s="1472"/>
      <c r="B81" s="178" t="s">
        <v>352</v>
      </c>
      <c r="C81" s="180" t="s">
        <v>273</v>
      </c>
      <c r="E81" s="180" t="s">
        <v>288</v>
      </c>
      <c r="G81" s="804" t="s">
        <v>264</v>
      </c>
      <c r="H81" s="804" t="s">
        <v>684</v>
      </c>
    </row>
    <row r="82" spans="1:8" ht="28.5" customHeight="1" x14ac:dyDescent="0.3">
      <c r="A82" s="1472"/>
      <c r="B82" s="179">
        <f>$J$53</f>
        <v>10500</v>
      </c>
      <c r="C82" s="179">
        <f>E82+G82</f>
        <v>7000</v>
      </c>
      <c r="D82" s="839"/>
      <c r="E82" s="179">
        <f>$D$53*$S$44</f>
        <v>7000</v>
      </c>
      <c r="F82" s="843"/>
      <c r="G82" s="179">
        <f>$D$53*$T$44</f>
        <v>0</v>
      </c>
      <c r="H82" s="179">
        <f>B82+E82</f>
        <v>17500</v>
      </c>
    </row>
    <row r="83" spans="1:8" ht="14.25" customHeight="1" x14ac:dyDescent="0.25">
      <c r="A83" s="1472"/>
      <c r="B83" s="84"/>
      <c r="E83" s="84"/>
      <c r="F83" s="84"/>
    </row>
    <row r="84" spans="1:8" ht="14.25" customHeight="1" x14ac:dyDescent="0.25">
      <c r="A84" s="1472"/>
      <c r="B84" s="84"/>
      <c r="C84" s="84"/>
      <c r="D84" s="84"/>
      <c r="E84" s="84"/>
      <c r="F84" s="84"/>
      <c r="G84" s="84"/>
      <c r="H84" s="84"/>
    </row>
    <row r="85" spans="1:8" ht="14.25" customHeight="1" x14ac:dyDescent="0.25">
      <c r="A85" s="1472"/>
      <c r="B85" s="84"/>
      <c r="C85" s="84"/>
      <c r="D85" s="84"/>
      <c r="E85" s="84"/>
      <c r="F85" s="84"/>
      <c r="G85" s="84"/>
      <c r="H85" s="84"/>
    </row>
    <row r="86" spans="1:8" ht="18" customHeight="1" x14ac:dyDescent="0.25">
      <c r="A86" s="1472"/>
      <c r="B86" s="84"/>
      <c r="C86" s="84"/>
      <c r="D86" s="84"/>
      <c r="E86" s="84"/>
      <c r="F86" s="84"/>
      <c r="G86" s="84"/>
      <c r="H86" s="84"/>
    </row>
    <row r="87" spans="1:8" ht="18" customHeight="1" x14ac:dyDescent="0.25">
      <c r="A87" s="1473"/>
      <c r="B87" s="1636" t="str">
        <f>"ستروغانوف باستا  2 / " &amp; COUNTIF($C$53:$C$55, "&gt;0")</f>
        <v>ستروغانوف باستا  2 / 1</v>
      </c>
      <c r="C87" s="1637"/>
      <c r="D87" s="1637"/>
      <c r="E87" s="1637"/>
      <c r="F87" s="1637"/>
      <c r="G87" s="1637"/>
      <c r="H87" s="1637"/>
    </row>
    <row r="88" spans="1:8" ht="25.5" customHeight="1" x14ac:dyDescent="0.25">
      <c r="A88" s="1473"/>
      <c r="B88" s="1634" t="str">
        <f>"Stroganoff sauce for pasta  2 / " &amp; COUNTIF($C$53:$C$55, "&gt;0")</f>
        <v>Stroganoff sauce for pasta  2 / 1</v>
      </c>
      <c r="C88" s="1635"/>
      <c r="D88" s="1635"/>
      <c r="E88" s="1635"/>
      <c r="F88" s="1635"/>
      <c r="G88" s="1635"/>
      <c r="H88" s="1635"/>
    </row>
    <row r="89" spans="1:8" ht="43.5" customHeight="1" x14ac:dyDescent="0.2">
      <c r="A89" s="1457"/>
      <c r="B89" s="221" t="s">
        <v>241</v>
      </c>
      <c r="C89" s="222" t="s">
        <v>242</v>
      </c>
      <c r="D89" s="223" t="s">
        <v>231</v>
      </c>
      <c r="E89" s="197" t="s">
        <v>234</v>
      </c>
      <c r="F89" s="197" t="s">
        <v>243</v>
      </c>
      <c r="G89" s="223" t="s">
        <v>244</v>
      </c>
      <c r="H89" s="197" t="s">
        <v>245</v>
      </c>
    </row>
    <row r="90" spans="1:8" ht="14.25" customHeight="1" x14ac:dyDescent="0.25">
      <c r="A90" s="1471"/>
      <c r="B90" s="299" t="str">
        <f t="shared" ref="B90:D105" si="10">B5</f>
        <v>Pasta fusilli - مكرونة مبرومة</v>
      </c>
      <c r="C90" s="299" t="str">
        <f t="shared" si="10"/>
        <v>gm</v>
      </c>
      <c r="D90" s="300">
        <f t="shared" si="10"/>
        <v>600</v>
      </c>
      <c r="E90" s="108">
        <f>H54</f>
        <v>0</v>
      </c>
      <c r="F90" s="109">
        <f t="shared" ref="F90:F105" si="11">F5</f>
        <v>1</v>
      </c>
      <c r="G90" s="101">
        <f>D90*E90</f>
        <v>0</v>
      </c>
      <c r="H90" s="102">
        <f>G90*F90</f>
        <v>0</v>
      </c>
    </row>
    <row r="91" spans="1:8" ht="14.25" customHeight="1" x14ac:dyDescent="0.25">
      <c r="A91" s="1471"/>
      <c r="B91" s="299" t="str">
        <f t="shared" si="10"/>
        <v>Onion - بصل</v>
      </c>
      <c r="C91" s="299" t="str">
        <f t="shared" si="10"/>
        <v>gm</v>
      </c>
      <c r="D91" s="300">
        <f t="shared" si="10"/>
        <v>202.12765957446808</v>
      </c>
      <c r="E91" s="108">
        <f t="shared" ref="E91:E105" si="12">$C$54</f>
        <v>0</v>
      </c>
      <c r="F91" s="109">
        <f t="shared" si="11"/>
        <v>0.95</v>
      </c>
      <c r="G91" s="101">
        <f t="shared" ref="G91:G105" si="13">D91*E91</f>
        <v>0</v>
      </c>
      <c r="H91" s="102">
        <f t="shared" ref="H91:H105" si="14">G91*F91</f>
        <v>0</v>
      </c>
    </row>
    <row r="92" spans="1:8" ht="14.25" customHeight="1" x14ac:dyDescent="0.25">
      <c r="A92" s="1471"/>
      <c r="B92" s="299" t="str">
        <f t="shared" si="10"/>
        <v>Garlic - ثوم مقشر</v>
      </c>
      <c r="C92" s="299" t="str">
        <f t="shared" si="10"/>
        <v>gm</v>
      </c>
      <c r="D92" s="300">
        <f t="shared" si="10"/>
        <v>30.319148936170212</v>
      </c>
      <c r="E92" s="108">
        <f t="shared" si="12"/>
        <v>0</v>
      </c>
      <c r="F92" s="109">
        <f t="shared" si="11"/>
        <v>0.95</v>
      </c>
      <c r="G92" s="101">
        <f t="shared" si="13"/>
        <v>0</v>
      </c>
      <c r="H92" s="102">
        <f t="shared" si="14"/>
        <v>0</v>
      </c>
    </row>
    <row r="93" spans="1:8" ht="14.25" customHeight="1" x14ac:dyDescent="0.25">
      <c r="A93" s="1471"/>
      <c r="B93" s="299" t="str">
        <f t="shared" si="10"/>
        <v>Mustard - خردل</v>
      </c>
      <c r="C93" s="299" t="str">
        <f t="shared" si="10"/>
        <v>gm</v>
      </c>
      <c r="D93" s="300">
        <f t="shared" si="10"/>
        <v>20.212765957446805</v>
      </c>
      <c r="E93" s="108">
        <f t="shared" si="12"/>
        <v>0</v>
      </c>
      <c r="F93" s="109">
        <f t="shared" si="11"/>
        <v>1</v>
      </c>
      <c r="G93" s="101">
        <f t="shared" si="13"/>
        <v>0</v>
      </c>
      <c r="H93" s="102">
        <f t="shared" si="14"/>
        <v>0</v>
      </c>
    </row>
    <row r="94" spans="1:8" ht="14.25" customHeight="1" x14ac:dyDescent="0.25">
      <c r="A94" s="1471"/>
      <c r="B94" s="299" t="str">
        <f t="shared" si="10"/>
        <v>Tomato Paste - صلصة طماطم</v>
      </c>
      <c r="C94" s="299" t="str">
        <f t="shared" si="10"/>
        <v>gm</v>
      </c>
      <c r="D94" s="300">
        <f t="shared" si="10"/>
        <v>101.06382978723404</v>
      </c>
      <c r="E94" s="108">
        <f t="shared" si="12"/>
        <v>0</v>
      </c>
      <c r="F94" s="109">
        <f t="shared" si="11"/>
        <v>1</v>
      </c>
      <c r="G94" s="101">
        <f t="shared" si="13"/>
        <v>0</v>
      </c>
      <c r="H94" s="102">
        <f t="shared" si="14"/>
        <v>0</v>
      </c>
    </row>
    <row r="95" spans="1:8" ht="14.25" customHeight="1" x14ac:dyDescent="0.25">
      <c r="A95" s="1471"/>
      <c r="B95" s="299" t="str">
        <f t="shared" si="10"/>
        <v>Saffron yellow color powder - لون صفار زعفران بودر</v>
      </c>
      <c r="C95" s="299" t="str">
        <f t="shared" si="10"/>
        <v>gm</v>
      </c>
      <c r="D95" s="300">
        <f t="shared" si="10"/>
        <v>3.0319148936170208</v>
      </c>
      <c r="E95" s="108">
        <f t="shared" si="12"/>
        <v>0</v>
      </c>
      <c r="F95" s="109">
        <f t="shared" si="11"/>
        <v>0.75</v>
      </c>
      <c r="G95" s="101">
        <f t="shared" si="13"/>
        <v>0</v>
      </c>
      <c r="H95" s="102">
        <f t="shared" si="14"/>
        <v>0</v>
      </c>
    </row>
    <row r="96" spans="1:8" ht="14.25" customHeight="1" x14ac:dyDescent="0.25">
      <c r="A96" s="1471"/>
      <c r="B96" s="299" t="str">
        <f t="shared" si="10"/>
        <v>Water - ماء</v>
      </c>
      <c r="C96" s="299" t="str">
        <f t="shared" si="10"/>
        <v>ml</v>
      </c>
      <c r="D96" s="300">
        <f t="shared" si="10"/>
        <v>200</v>
      </c>
      <c r="E96" s="108">
        <f t="shared" si="12"/>
        <v>0</v>
      </c>
      <c r="F96" s="109">
        <f t="shared" si="11"/>
        <v>1</v>
      </c>
      <c r="G96" s="101">
        <f t="shared" si="13"/>
        <v>0</v>
      </c>
      <c r="H96" s="102">
        <f t="shared" si="14"/>
        <v>0</v>
      </c>
    </row>
    <row r="97" spans="1:8" ht="14.25" customHeight="1" x14ac:dyDescent="0.25">
      <c r="A97" s="1471"/>
      <c r="B97" s="299" t="str">
        <f t="shared" si="10"/>
        <v>Black Pepper Powder - فلفل أسود مطحون</v>
      </c>
      <c r="C97" s="299" t="str">
        <f t="shared" si="10"/>
        <v>gm</v>
      </c>
      <c r="D97" s="300">
        <f t="shared" si="10"/>
        <v>2.0212765957446805</v>
      </c>
      <c r="E97" s="108">
        <f t="shared" si="12"/>
        <v>0</v>
      </c>
      <c r="F97" s="109">
        <f t="shared" si="11"/>
        <v>1</v>
      </c>
      <c r="G97" s="101">
        <f t="shared" si="13"/>
        <v>0</v>
      </c>
      <c r="H97" s="102">
        <f t="shared" si="14"/>
        <v>0</v>
      </c>
    </row>
    <row r="98" spans="1:8" ht="14.25" customHeight="1" x14ac:dyDescent="0.25">
      <c r="A98" s="1471"/>
      <c r="B98" s="299" t="str">
        <f t="shared" si="10"/>
        <v>Demi Glaze Sauce - صوص ديمي غلاز</v>
      </c>
      <c r="C98" s="299" t="str">
        <f t="shared" si="10"/>
        <v>gm</v>
      </c>
      <c r="D98" s="300">
        <f t="shared" si="10"/>
        <v>25.26595744680851</v>
      </c>
      <c r="E98" s="108">
        <f t="shared" si="12"/>
        <v>0</v>
      </c>
      <c r="F98" s="109">
        <f t="shared" si="11"/>
        <v>0.75</v>
      </c>
      <c r="G98" s="101">
        <f t="shared" si="13"/>
        <v>0</v>
      </c>
      <c r="H98" s="102">
        <f t="shared" si="14"/>
        <v>0</v>
      </c>
    </row>
    <row r="99" spans="1:8" ht="14.25" customHeight="1" x14ac:dyDescent="0.25">
      <c r="A99" s="1471"/>
      <c r="B99" s="299" t="str">
        <f t="shared" si="10"/>
        <v>Cooking Cream - كريمة طبخ</v>
      </c>
      <c r="C99" s="299" t="str">
        <f t="shared" si="10"/>
        <v>ml</v>
      </c>
      <c r="D99" s="300">
        <f t="shared" si="10"/>
        <v>505.31914893617017</v>
      </c>
      <c r="E99" s="108">
        <f t="shared" si="12"/>
        <v>0</v>
      </c>
      <c r="F99" s="109">
        <f t="shared" si="11"/>
        <v>1</v>
      </c>
      <c r="G99" s="101">
        <f t="shared" si="13"/>
        <v>0</v>
      </c>
      <c r="H99" s="102">
        <f t="shared" si="14"/>
        <v>0</v>
      </c>
    </row>
    <row r="100" spans="1:8" ht="14.25" customHeight="1" x14ac:dyDescent="0.25">
      <c r="A100" s="1471"/>
      <c r="B100" s="299" t="str">
        <f t="shared" si="10"/>
        <v>Maggi Cubes - مكعبات ماجي</v>
      </c>
      <c r="C100" s="299" t="str">
        <f t="shared" si="10"/>
        <v>gm</v>
      </c>
      <c r="D100" s="300">
        <f t="shared" si="10"/>
        <v>8.0851063829787222</v>
      </c>
      <c r="E100" s="108">
        <f t="shared" si="12"/>
        <v>0</v>
      </c>
      <c r="F100" s="109">
        <f t="shared" si="11"/>
        <v>1</v>
      </c>
      <c r="G100" s="101">
        <f t="shared" si="13"/>
        <v>0</v>
      </c>
      <c r="H100" s="102">
        <f t="shared" si="14"/>
        <v>0</v>
      </c>
    </row>
    <row r="101" spans="1:8" ht="14.25" customHeight="1" x14ac:dyDescent="0.25">
      <c r="A101" s="1471"/>
      <c r="B101" s="299" t="str">
        <f t="shared" si="10"/>
        <v>Salt - ملح</v>
      </c>
      <c r="C101" s="299" t="str">
        <f t="shared" si="10"/>
        <v>gm</v>
      </c>
      <c r="D101" s="300">
        <f t="shared" si="10"/>
        <v>5.0531914893617014</v>
      </c>
      <c r="E101" s="108">
        <f t="shared" si="12"/>
        <v>0</v>
      </c>
      <c r="F101" s="109">
        <f t="shared" si="11"/>
        <v>1</v>
      </c>
      <c r="G101" s="101">
        <f t="shared" si="13"/>
        <v>0</v>
      </c>
      <c r="H101" s="102">
        <f t="shared" si="14"/>
        <v>0</v>
      </c>
    </row>
    <row r="102" spans="1:8" ht="14.25" customHeight="1" x14ac:dyDescent="0.25">
      <c r="A102" s="1471"/>
      <c r="B102" s="299" t="str">
        <f t="shared" si="10"/>
        <v>Corn Starch - نشا ذرة</v>
      </c>
      <c r="C102" s="299" t="str">
        <f t="shared" si="10"/>
        <v>gm</v>
      </c>
      <c r="D102" s="300">
        <f t="shared" si="10"/>
        <v>70.744680851063819</v>
      </c>
      <c r="E102" s="108">
        <f t="shared" si="12"/>
        <v>0</v>
      </c>
      <c r="F102" s="109">
        <f t="shared" si="11"/>
        <v>0.75</v>
      </c>
      <c r="G102" s="101">
        <f t="shared" si="13"/>
        <v>0</v>
      </c>
      <c r="H102" s="102">
        <f t="shared" si="14"/>
        <v>0</v>
      </c>
    </row>
    <row r="103" spans="1:8" ht="14.25" customHeight="1" x14ac:dyDescent="0.25">
      <c r="A103" s="1471"/>
      <c r="B103" s="299" t="str">
        <f t="shared" si="10"/>
        <v>Mushroom - مشروم ابيض</v>
      </c>
      <c r="C103" s="299" t="str">
        <f t="shared" si="10"/>
        <v>gm</v>
      </c>
      <c r="D103" s="300">
        <f t="shared" si="10"/>
        <v>101.06382978723404</v>
      </c>
      <c r="E103" s="108">
        <f t="shared" si="12"/>
        <v>0</v>
      </c>
      <c r="F103" s="109">
        <f t="shared" si="11"/>
        <v>1</v>
      </c>
      <c r="G103" s="101">
        <f t="shared" si="13"/>
        <v>0</v>
      </c>
      <c r="H103" s="102">
        <f t="shared" si="14"/>
        <v>0</v>
      </c>
    </row>
    <row r="104" spans="1:8" x14ac:dyDescent="0.25">
      <c r="A104" s="1471"/>
      <c r="B104" s="299" t="str">
        <f t="shared" si="10"/>
        <v>Butter - زبدة</v>
      </c>
      <c r="C104" s="299" t="str">
        <f t="shared" si="10"/>
        <v>gm</v>
      </c>
      <c r="D104" s="300">
        <f t="shared" si="10"/>
        <v>20.212765957446805</v>
      </c>
      <c r="E104" s="108">
        <f t="shared" si="12"/>
        <v>0</v>
      </c>
      <c r="F104" s="109">
        <f t="shared" si="11"/>
        <v>1</v>
      </c>
      <c r="G104" s="101">
        <f t="shared" si="13"/>
        <v>0</v>
      </c>
      <c r="H104" s="102">
        <f t="shared" si="14"/>
        <v>0</v>
      </c>
    </row>
    <row r="105" spans="1:8" x14ac:dyDescent="0.25">
      <c r="A105" s="1471"/>
      <c r="B105" s="299" t="str">
        <f t="shared" si="10"/>
        <v>Sriracha Sauce - صوص سريراتشا</v>
      </c>
      <c r="C105" s="299" t="str">
        <f t="shared" si="10"/>
        <v>ml</v>
      </c>
      <c r="D105" s="300">
        <f t="shared" si="10"/>
        <v>15.159574468085106</v>
      </c>
      <c r="E105" s="108">
        <f t="shared" si="12"/>
        <v>0</v>
      </c>
      <c r="F105" s="109">
        <f t="shared" si="11"/>
        <v>0.9</v>
      </c>
      <c r="G105" s="101">
        <f t="shared" si="13"/>
        <v>0</v>
      </c>
      <c r="H105" s="102">
        <f t="shared" si="14"/>
        <v>0</v>
      </c>
    </row>
    <row r="106" spans="1:8" ht="18" x14ac:dyDescent="0.25">
      <c r="A106" s="1472"/>
      <c r="B106" s="178" t="s">
        <v>352</v>
      </c>
      <c r="C106" s="180" t="s">
        <v>273</v>
      </c>
      <c r="E106" s="180" t="s">
        <v>288</v>
      </c>
      <c r="G106" s="804" t="s">
        <v>264</v>
      </c>
      <c r="H106" s="804" t="s">
        <v>684</v>
      </c>
    </row>
    <row r="107" spans="1:8" ht="20.25" x14ac:dyDescent="0.3">
      <c r="A107" s="1472"/>
      <c r="B107" s="179">
        <f>$J$54</f>
        <v>0</v>
      </c>
      <c r="C107" s="179">
        <f>E107+G107</f>
        <v>0</v>
      </c>
      <c r="D107" s="839"/>
      <c r="E107" s="179">
        <f>$D$54*$S$44</f>
        <v>0</v>
      </c>
      <c r="F107" s="843"/>
      <c r="G107" s="179">
        <f>$D$54*$T$44</f>
        <v>0</v>
      </c>
      <c r="H107" s="179">
        <f>B107+E107</f>
        <v>0</v>
      </c>
    </row>
    <row r="108" spans="1:8" x14ac:dyDescent="0.25">
      <c r="A108" s="1472"/>
    </row>
    <row r="109" spans="1:8" x14ac:dyDescent="0.25">
      <c r="A109" s="1486"/>
      <c r="B109" s="1636" t="str">
        <f>"ستروغانوف باستا  3 / " &amp; COUNTIF($C$53:$C$55, "&gt;0")</f>
        <v>ستروغانوف باستا  3 / 1</v>
      </c>
      <c r="C109" s="1633"/>
      <c r="D109" s="1633"/>
      <c r="E109" s="1633"/>
      <c r="F109" s="1633"/>
      <c r="G109" s="1633"/>
      <c r="H109" s="1633"/>
    </row>
    <row r="110" spans="1:8" x14ac:dyDescent="0.25">
      <c r="A110" s="1486"/>
      <c r="B110" s="1634" t="str">
        <f>"Stroganoff sauce for pasta  3 / " &amp; COUNTIF($C$53:$C$55, "&gt;0")</f>
        <v>Stroganoff sauce for pasta  3 / 1</v>
      </c>
      <c r="C110" s="1639"/>
      <c r="D110" s="1639"/>
      <c r="E110" s="1639"/>
      <c r="F110" s="1639"/>
      <c r="G110" s="1639"/>
      <c r="H110" s="1639"/>
    </row>
    <row r="111" spans="1:8" ht="25.5" x14ac:dyDescent="0.2">
      <c r="A111" s="1457"/>
      <c r="B111" s="221" t="s">
        <v>241</v>
      </c>
      <c r="C111" s="222" t="s">
        <v>242</v>
      </c>
      <c r="D111" s="223" t="s">
        <v>231</v>
      </c>
      <c r="E111" s="197" t="s">
        <v>234</v>
      </c>
      <c r="F111" s="197" t="s">
        <v>243</v>
      </c>
      <c r="G111" s="223" t="s">
        <v>244</v>
      </c>
      <c r="H111" s="197" t="s">
        <v>245</v>
      </c>
    </row>
    <row r="112" spans="1:8" x14ac:dyDescent="0.25">
      <c r="A112" s="1471"/>
      <c r="B112" s="299" t="str">
        <f t="shared" ref="B112:D127" si="15">B5</f>
        <v>Pasta fusilli - مكرونة مبرومة</v>
      </c>
      <c r="C112" s="299" t="str">
        <f t="shared" si="15"/>
        <v>gm</v>
      </c>
      <c r="D112" s="299">
        <f t="shared" si="15"/>
        <v>600</v>
      </c>
      <c r="E112" s="108">
        <f>H55</f>
        <v>0</v>
      </c>
      <c r="F112" s="109">
        <f>F5</f>
        <v>1</v>
      </c>
      <c r="G112" s="101">
        <f t="shared" ref="G112:G127" si="16">D112*E112</f>
        <v>0</v>
      </c>
      <c r="H112" s="102">
        <f t="shared" ref="H112:H127" si="17">G112*F112</f>
        <v>0</v>
      </c>
    </row>
    <row r="113" spans="1:8" x14ac:dyDescent="0.25">
      <c r="A113" s="1471"/>
      <c r="B113" s="299" t="str">
        <f t="shared" si="15"/>
        <v>Onion - بصل</v>
      </c>
      <c r="C113" s="299" t="str">
        <f t="shared" si="15"/>
        <v>gm</v>
      </c>
      <c r="D113" s="300">
        <f t="shared" si="15"/>
        <v>202.12765957446808</v>
      </c>
      <c r="E113" s="108">
        <f t="shared" ref="E113:E127" si="18">$C$55</f>
        <v>0</v>
      </c>
      <c r="F113" s="109">
        <f t="shared" ref="F113:F127" si="19">F6</f>
        <v>0.95</v>
      </c>
      <c r="G113" s="101">
        <f t="shared" si="16"/>
        <v>0</v>
      </c>
      <c r="H113" s="102">
        <f t="shared" si="17"/>
        <v>0</v>
      </c>
    </row>
    <row r="114" spans="1:8" x14ac:dyDescent="0.25">
      <c r="A114" s="1471"/>
      <c r="B114" s="299" t="str">
        <f t="shared" si="15"/>
        <v>Garlic - ثوم مقشر</v>
      </c>
      <c r="C114" s="299" t="str">
        <f t="shared" si="15"/>
        <v>gm</v>
      </c>
      <c r="D114" s="300">
        <f t="shared" si="15"/>
        <v>30.319148936170212</v>
      </c>
      <c r="E114" s="108">
        <f t="shared" si="18"/>
        <v>0</v>
      </c>
      <c r="F114" s="109">
        <f t="shared" si="19"/>
        <v>0.95</v>
      </c>
      <c r="G114" s="101">
        <f t="shared" si="16"/>
        <v>0</v>
      </c>
      <c r="H114" s="102">
        <f t="shared" si="17"/>
        <v>0</v>
      </c>
    </row>
    <row r="115" spans="1:8" x14ac:dyDescent="0.25">
      <c r="A115" s="1471"/>
      <c r="B115" s="299" t="str">
        <f t="shared" si="15"/>
        <v>Mustard - خردل</v>
      </c>
      <c r="C115" s="299" t="str">
        <f t="shared" si="15"/>
        <v>gm</v>
      </c>
      <c r="D115" s="300">
        <f t="shared" si="15"/>
        <v>20.212765957446805</v>
      </c>
      <c r="E115" s="108">
        <f t="shared" si="18"/>
        <v>0</v>
      </c>
      <c r="F115" s="109">
        <f t="shared" si="19"/>
        <v>1</v>
      </c>
      <c r="G115" s="101">
        <f t="shared" si="16"/>
        <v>0</v>
      </c>
      <c r="H115" s="102">
        <f t="shared" si="17"/>
        <v>0</v>
      </c>
    </row>
    <row r="116" spans="1:8" x14ac:dyDescent="0.25">
      <c r="A116" s="1471"/>
      <c r="B116" s="299" t="str">
        <f t="shared" si="15"/>
        <v>Tomato Paste - صلصة طماطم</v>
      </c>
      <c r="C116" s="299" t="str">
        <f t="shared" si="15"/>
        <v>gm</v>
      </c>
      <c r="D116" s="300">
        <f t="shared" si="15"/>
        <v>101.06382978723404</v>
      </c>
      <c r="E116" s="108">
        <f t="shared" si="18"/>
        <v>0</v>
      </c>
      <c r="F116" s="109">
        <f t="shared" si="19"/>
        <v>1</v>
      </c>
      <c r="G116" s="101">
        <f t="shared" si="16"/>
        <v>0</v>
      </c>
      <c r="H116" s="102">
        <f t="shared" si="17"/>
        <v>0</v>
      </c>
    </row>
    <row r="117" spans="1:8" x14ac:dyDescent="0.25">
      <c r="A117" s="1471"/>
      <c r="B117" s="299" t="str">
        <f t="shared" si="15"/>
        <v>Saffron yellow color powder - لون صفار زعفران بودر</v>
      </c>
      <c r="C117" s="299" t="str">
        <f t="shared" si="15"/>
        <v>gm</v>
      </c>
      <c r="D117" s="300">
        <f t="shared" si="15"/>
        <v>3.0319148936170208</v>
      </c>
      <c r="E117" s="108">
        <f t="shared" si="18"/>
        <v>0</v>
      </c>
      <c r="F117" s="109">
        <f t="shared" si="19"/>
        <v>0.75</v>
      </c>
      <c r="G117" s="101">
        <f t="shared" si="16"/>
        <v>0</v>
      </c>
      <c r="H117" s="102">
        <f t="shared" si="17"/>
        <v>0</v>
      </c>
    </row>
    <row r="118" spans="1:8" x14ac:dyDescent="0.25">
      <c r="A118" s="1471"/>
      <c r="B118" s="299" t="str">
        <f t="shared" si="15"/>
        <v>Water - ماء</v>
      </c>
      <c r="C118" s="299" t="str">
        <f t="shared" si="15"/>
        <v>ml</v>
      </c>
      <c r="D118" s="300">
        <f t="shared" si="15"/>
        <v>200</v>
      </c>
      <c r="E118" s="108">
        <f t="shared" si="18"/>
        <v>0</v>
      </c>
      <c r="F118" s="109">
        <f t="shared" si="19"/>
        <v>1</v>
      </c>
      <c r="G118" s="101">
        <f t="shared" si="16"/>
        <v>0</v>
      </c>
      <c r="H118" s="102">
        <f t="shared" si="17"/>
        <v>0</v>
      </c>
    </row>
    <row r="119" spans="1:8" x14ac:dyDescent="0.25">
      <c r="A119" s="1471"/>
      <c r="B119" s="299" t="str">
        <f t="shared" si="15"/>
        <v>Black Pepper Powder - فلفل أسود مطحون</v>
      </c>
      <c r="C119" s="299" t="str">
        <f t="shared" si="15"/>
        <v>gm</v>
      </c>
      <c r="D119" s="300">
        <f t="shared" si="15"/>
        <v>2.0212765957446805</v>
      </c>
      <c r="E119" s="108">
        <f t="shared" si="18"/>
        <v>0</v>
      </c>
      <c r="F119" s="109">
        <f t="shared" si="19"/>
        <v>1</v>
      </c>
      <c r="G119" s="101">
        <f t="shared" si="16"/>
        <v>0</v>
      </c>
      <c r="H119" s="102">
        <f t="shared" si="17"/>
        <v>0</v>
      </c>
    </row>
    <row r="120" spans="1:8" x14ac:dyDescent="0.25">
      <c r="A120" s="1471"/>
      <c r="B120" s="299" t="str">
        <f t="shared" si="15"/>
        <v>Demi Glaze Sauce - صوص ديمي غلاز</v>
      </c>
      <c r="C120" s="299" t="str">
        <f t="shared" si="15"/>
        <v>gm</v>
      </c>
      <c r="D120" s="300">
        <f t="shared" si="15"/>
        <v>25.26595744680851</v>
      </c>
      <c r="E120" s="108">
        <f t="shared" si="18"/>
        <v>0</v>
      </c>
      <c r="F120" s="109">
        <f t="shared" si="19"/>
        <v>0.75</v>
      </c>
      <c r="G120" s="101">
        <f t="shared" si="16"/>
        <v>0</v>
      </c>
      <c r="H120" s="102">
        <f t="shared" si="17"/>
        <v>0</v>
      </c>
    </row>
    <row r="121" spans="1:8" x14ac:dyDescent="0.25">
      <c r="A121" s="1471"/>
      <c r="B121" s="299" t="str">
        <f t="shared" si="15"/>
        <v>Cooking Cream - كريمة طبخ</v>
      </c>
      <c r="C121" s="299" t="str">
        <f t="shared" si="15"/>
        <v>ml</v>
      </c>
      <c r="D121" s="300">
        <f t="shared" si="15"/>
        <v>505.31914893617017</v>
      </c>
      <c r="E121" s="108">
        <f t="shared" si="18"/>
        <v>0</v>
      </c>
      <c r="F121" s="109">
        <f t="shared" si="19"/>
        <v>1</v>
      </c>
      <c r="G121" s="101">
        <f t="shared" si="16"/>
        <v>0</v>
      </c>
      <c r="H121" s="102">
        <f t="shared" si="17"/>
        <v>0</v>
      </c>
    </row>
    <row r="122" spans="1:8" x14ac:dyDescent="0.25">
      <c r="A122" s="1471"/>
      <c r="B122" s="299" t="str">
        <f t="shared" si="15"/>
        <v>Maggi Cubes - مكعبات ماجي</v>
      </c>
      <c r="C122" s="299" t="str">
        <f t="shared" si="15"/>
        <v>gm</v>
      </c>
      <c r="D122" s="300">
        <f t="shared" si="15"/>
        <v>8.0851063829787222</v>
      </c>
      <c r="E122" s="108">
        <f t="shared" si="18"/>
        <v>0</v>
      </c>
      <c r="F122" s="109">
        <f t="shared" si="19"/>
        <v>1</v>
      </c>
      <c r="G122" s="101">
        <f t="shared" si="16"/>
        <v>0</v>
      </c>
      <c r="H122" s="102">
        <f t="shared" si="17"/>
        <v>0</v>
      </c>
    </row>
    <row r="123" spans="1:8" x14ac:dyDescent="0.25">
      <c r="A123" s="1471"/>
      <c r="B123" s="299" t="str">
        <f t="shared" si="15"/>
        <v>Salt - ملح</v>
      </c>
      <c r="C123" s="299" t="str">
        <f t="shared" si="15"/>
        <v>gm</v>
      </c>
      <c r="D123" s="300">
        <f t="shared" si="15"/>
        <v>5.0531914893617014</v>
      </c>
      <c r="E123" s="108">
        <f t="shared" si="18"/>
        <v>0</v>
      </c>
      <c r="F123" s="109">
        <f t="shared" si="19"/>
        <v>1</v>
      </c>
      <c r="G123" s="101">
        <f t="shared" si="16"/>
        <v>0</v>
      </c>
      <c r="H123" s="102">
        <f t="shared" si="17"/>
        <v>0</v>
      </c>
    </row>
    <row r="124" spans="1:8" x14ac:dyDescent="0.25">
      <c r="A124" s="1471"/>
      <c r="B124" s="299" t="str">
        <f t="shared" si="15"/>
        <v>Corn Starch - نشا ذرة</v>
      </c>
      <c r="C124" s="299" t="str">
        <f t="shared" si="15"/>
        <v>gm</v>
      </c>
      <c r="D124" s="300">
        <f t="shared" si="15"/>
        <v>70.744680851063819</v>
      </c>
      <c r="E124" s="108">
        <f t="shared" si="18"/>
        <v>0</v>
      </c>
      <c r="F124" s="109">
        <f t="shared" si="19"/>
        <v>0.75</v>
      </c>
      <c r="G124" s="101">
        <f t="shared" si="16"/>
        <v>0</v>
      </c>
      <c r="H124" s="102">
        <f t="shared" si="17"/>
        <v>0</v>
      </c>
    </row>
    <row r="125" spans="1:8" x14ac:dyDescent="0.25">
      <c r="A125" s="1471"/>
      <c r="B125" s="299" t="str">
        <f t="shared" si="15"/>
        <v>Mushroom - مشروم ابيض</v>
      </c>
      <c r="C125" s="299" t="str">
        <f t="shared" si="15"/>
        <v>gm</v>
      </c>
      <c r="D125" s="300">
        <f t="shared" si="15"/>
        <v>101.06382978723404</v>
      </c>
      <c r="E125" s="108">
        <f t="shared" si="18"/>
        <v>0</v>
      </c>
      <c r="F125" s="109">
        <f t="shared" si="19"/>
        <v>1</v>
      </c>
      <c r="G125" s="101">
        <f t="shared" si="16"/>
        <v>0</v>
      </c>
      <c r="H125" s="102">
        <f t="shared" si="17"/>
        <v>0</v>
      </c>
    </row>
    <row r="126" spans="1:8" x14ac:dyDescent="0.25">
      <c r="A126" s="1471"/>
      <c r="B126" s="299" t="str">
        <f t="shared" si="15"/>
        <v>Butter - زبدة</v>
      </c>
      <c r="C126" s="299" t="str">
        <f t="shared" si="15"/>
        <v>gm</v>
      </c>
      <c r="D126" s="300">
        <f t="shared" si="15"/>
        <v>20.212765957446805</v>
      </c>
      <c r="E126" s="108">
        <f t="shared" si="18"/>
        <v>0</v>
      </c>
      <c r="F126" s="109">
        <f t="shared" si="19"/>
        <v>1</v>
      </c>
      <c r="G126" s="101">
        <f t="shared" si="16"/>
        <v>0</v>
      </c>
      <c r="H126" s="102">
        <f t="shared" si="17"/>
        <v>0</v>
      </c>
    </row>
    <row r="127" spans="1:8" x14ac:dyDescent="0.25">
      <c r="A127" s="1471"/>
      <c r="B127" s="299" t="str">
        <f t="shared" si="15"/>
        <v>Sriracha Sauce - صوص سريراتشا</v>
      </c>
      <c r="C127" s="299" t="str">
        <f t="shared" si="15"/>
        <v>ml</v>
      </c>
      <c r="D127" s="300">
        <f t="shared" si="15"/>
        <v>15.159574468085106</v>
      </c>
      <c r="E127" s="108">
        <f t="shared" si="18"/>
        <v>0</v>
      </c>
      <c r="F127" s="109">
        <f t="shared" si="19"/>
        <v>0.9</v>
      </c>
      <c r="G127" s="101">
        <f t="shared" si="16"/>
        <v>0</v>
      </c>
      <c r="H127" s="102">
        <f t="shared" si="17"/>
        <v>0</v>
      </c>
    </row>
    <row r="128" spans="1:8" ht="18" x14ac:dyDescent="0.25">
      <c r="A128" s="1472"/>
      <c r="B128" s="178" t="s">
        <v>352</v>
      </c>
      <c r="C128" s="180" t="s">
        <v>273</v>
      </c>
      <c r="E128" s="180" t="s">
        <v>288</v>
      </c>
      <c r="G128" s="804" t="s">
        <v>264</v>
      </c>
      <c r="H128" s="804" t="s">
        <v>684</v>
      </c>
    </row>
    <row r="129" spans="1:8" ht="20.25" x14ac:dyDescent="0.3">
      <c r="A129" s="1472"/>
      <c r="B129" s="179">
        <f>$J$55</f>
        <v>0</v>
      </c>
      <c r="C129" s="179">
        <f>E129+G129</f>
        <v>0</v>
      </c>
      <c r="D129" s="839"/>
      <c r="E129" s="179">
        <f>$D$55*$S$44</f>
        <v>0</v>
      </c>
      <c r="F129" s="843"/>
      <c r="G129" s="179">
        <f>$D$55*$T$44</f>
        <v>0</v>
      </c>
      <c r="H129" s="179">
        <f>B129+E129</f>
        <v>0</v>
      </c>
    </row>
    <row r="130" spans="1:8" x14ac:dyDescent="0.25">
      <c r="A130" s="1472"/>
    </row>
    <row r="131" spans="1:8" x14ac:dyDescent="0.25">
      <c r="A131" s="1472"/>
    </row>
    <row r="132" spans="1:8" x14ac:dyDescent="0.25">
      <c r="A132" s="1472"/>
    </row>
    <row r="133" spans="1:8" x14ac:dyDescent="0.25">
      <c r="A133" s="1472"/>
    </row>
    <row r="134" spans="1:8" x14ac:dyDescent="0.25">
      <c r="A134" s="1472"/>
    </row>
    <row r="135" spans="1:8" x14ac:dyDescent="0.25">
      <c r="A135" s="1472"/>
    </row>
    <row r="136" spans="1:8" x14ac:dyDescent="0.25">
      <c r="A136" s="1472"/>
    </row>
    <row r="137" spans="1:8" x14ac:dyDescent="0.25">
      <c r="A137" s="1472"/>
    </row>
    <row r="138" spans="1:8" x14ac:dyDescent="0.25">
      <c r="A138" s="1472"/>
    </row>
    <row r="139" spans="1:8" x14ac:dyDescent="0.25">
      <c r="A139" s="1472"/>
    </row>
    <row r="140" spans="1:8" x14ac:dyDescent="0.25">
      <c r="A140" s="1472"/>
    </row>
    <row r="141" spans="1:8" x14ac:dyDescent="0.25">
      <c r="A141" s="1472"/>
    </row>
    <row r="142" spans="1:8" x14ac:dyDescent="0.25">
      <c r="A142" s="1472"/>
    </row>
    <row r="143" spans="1:8" x14ac:dyDescent="0.25">
      <c r="A143" s="1472"/>
    </row>
    <row r="144" spans="1:8"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9">
    <mergeCell ref="B2:H3"/>
    <mergeCell ref="B63:H63"/>
    <mergeCell ref="B109:H109"/>
    <mergeCell ref="B110:H110"/>
    <mergeCell ref="R26:U26"/>
    <mergeCell ref="B88:H88"/>
    <mergeCell ref="B62:H62"/>
    <mergeCell ref="R25:U25"/>
    <mergeCell ref="B87:H87"/>
  </mergeCells>
  <printOptions horizontalCentered="1"/>
  <pageMargins left="0.5" right="0.5" top="1" bottom="0.5" header="0.3" footer="0.511811023622047"/>
  <pageSetup paperSize="9" scale="31" orientation="portrait"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7C7C7C"/>
    <pageSetUpPr fitToPage="1"/>
  </sheetPr>
  <dimension ref="A1:AG174"/>
  <sheetViews>
    <sheetView topLeftCell="L1" zoomScale="70" zoomScaleNormal="70" workbookViewId="0">
      <selection activeCell="W44" sqref="W44"/>
    </sheetView>
  </sheetViews>
  <sheetFormatPr defaultColWidth="12.5" defaultRowHeight="15" x14ac:dyDescent="0.25"/>
  <cols>
    <col min="1" max="1" width="12.5" style="63" customWidth="1"/>
    <col min="2" max="2" width="37"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875" style="14" customWidth="1"/>
    <col min="15" max="17" width="12.5" style="14" customWidth="1"/>
    <col min="18" max="18" width="30.5" style="14" customWidth="1"/>
    <col min="19" max="19" width="12.5" style="14" customWidth="1"/>
    <col min="20" max="27" width="12.5" style="14"/>
    <col min="28" max="28" width="11.875" style="14" bestFit="1" customWidth="1"/>
    <col min="29" max="29" width="13.375" style="14" bestFit="1" customWidth="1"/>
    <col min="30" max="16384" width="12.5" style="14"/>
  </cols>
  <sheetData>
    <row r="1" spans="1:33" ht="35.25" customHeight="1" x14ac:dyDescent="0.25">
      <c r="B1" s="64" t="s">
        <v>231</v>
      </c>
      <c r="C1" s="65">
        <v>1000</v>
      </c>
      <c r="D1" s="66" t="s">
        <v>232</v>
      </c>
      <c r="E1" s="99">
        <f>T32</f>
        <v>3177.6923076923108</v>
      </c>
      <c r="F1" s="64" t="s">
        <v>233</v>
      </c>
      <c r="G1" s="65">
        <f>E1/C1</f>
        <v>3.1776923076923107</v>
      </c>
      <c r="H1" s="64" t="s">
        <v>234</v>
      </c>
      <c r="I1" s="260">
        <f>G1/K1</f>
        <v>3.253095176010433</v>
      </c>
      <c r="J1" s="70" t="s">
        <v>235</v>
      </c>
      <c r="K1" s="303">
        <f>5.9/6.04</f>
        <v>0.97682119205298024</v>
      </c>
      <c r="L1" s="84"/>
      <c r="M1" s="73"/>
      <c r="N1" s="74"/>
      <c r="O1" s="75" t="s">
        <v>236</v>
      </c>
      <c r="P1" s="76" t="s">
        <v>289</v>
      </c>
      <c r="Q1" s="77" t="s">
        <v>238</v>
      </c>
      <c r="R1" s="76">
        <v>0.51</v>
      </c>
      <c r="Y1" s="75" t="s">
        <v>453</v>
      </c>
      <c r="Z1" s="766">
        <v>13770</v>
      </c>
      <c r="AA1" s="75" t="s">
        <v>556</v>
      </c>
      <c r="AB1" s="766">
        <v>0</v>
      </c>
      <c r="AC1" s="75" t="s">
        <v>546</v>
      </c>
      <c r="AD1" s="766">
        <v>92</v>
      </c>
      <c r="AE1" s="228"/>
      <c r="AF1" s="230"/>
      <c r="AG1" s="76"/>
    </row>
    <row r="2" spans="1:33" ht="12.75" customHeight="1" x14ac:dyDescent="0.25">
      <c r="A2" s="81"/>
      <c r="B2" s="1721" t="s">
        <v>102</v>
      </c>
      <c r="C2" s="1661"/>
      <c r="D2" s="1661"/>
      <c r="E2" s="1661"/>
      <c r="F2" s="1661"/>
      <c r="G2" s="1661"/>
      <c r="H2" s="1661"/>
      <c r="I2" s="1661"/>
      <c r="J2" s="1661"/>
      <c r="K2" s="1722"/>
      <c r="L2" s="270"/>
      <c r="M2" s="84"/>
      <c r="N2" s="84"/>
      <c r="O2" s="84"/>
      <c r="P2" s="84"/>
      <c r="Q2" s="84"/>
      <c r="R2" s="84"/>
      <c r="AE2" s="1652"/>
      <c r="AF2" s="1655"/>
      <c r="AG2" s="1655"/>
    </row>
    <row r="3" spans="1:33" ht="12.75" customHeight="1" x14ac:dyDescent="0.25">
      <c r="A3" s="81"/>
      <c r="B3" s="1633"/>
      <c r="C3" s="1633"/>
      <c r="D3" s="1633"/>
      <c r="E3" s="1633"/>
      <c r="F3" s="1633"/>
      <c r="G3" s="1633"/>
      <c r="H3" s="1633"/>
      <c r="I3" s="1633"/>
      <c r="J3" s="1633"/>
      <c r="K3" s="1686"/>
      <c r="L3" s="270"/>
      <c r="M3" s="84"/>
      <c r="N3" s="84"/>
      <c r="O3" s="84"/>
      <c r="P3" s="84"/>
      <c r="Q3" s="84"/>
      <c r="R3" s="84"/>
      <c r="AE3" s="1655"/>
      <c r="AF3" s="1655"/>
      <c r="AG3" s="1655"/>
    </row>
    <row r="4" spans="1:33" ht="35.25"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AA4" s="229"/>
      <c r="AB4" s="231"/>
      <c r="AE4" s="229"/>
    </row>
    <row r="5" spans="1:33" ht="14.25" customHeight="1" x14ac:dyDescent="0.2">
      <c r="A5" s="1454"/>
      <c r="B5" s="199" t="s">
        <v>223</v>
      </c>
      <c r="C5" s="97" t="s">
        <v>14</v>
      </c>
      <c r="D5" s="103">
        <f>I51/10</f>
        <v>6536.0784313725489</v>
      </c>
      <c r="E5" s="99">
        <f>H52</f>
        <v>3.1776287551172042</v>
      </c>
      <c r="F5" s="109">
        <v>1</v>
      </c>
      <c r="G5" s="101">
        <f t="shared" ref="G5:G15" si="0">D5*E5</f>
        <v>20769.230769230762</v>
      </c>
      <c r="H5" s="102">
        <f t="shared" ref="H5:H15" si="1">G5*F5</f>
        <v>20769.230769230762</v>
      </c>
      <c r="I5" s="65">
        <f>VLOOKUP(B5,All_Ingredients!$A$1:$F$156,6,FALSE())</f>
        <v>0.55000000000000004</v>
      </c>
      <c r="J5" s="101">
        <f>VLOOKUP(B5,All_Ingredients!$A$1:$J$156,10,FALSE())</f>
        <v>14.361111111111111</v>
      </c>
      <c r="K5" s="104">
        <f t="shared" ref="K5" si="2">(H5/I5)/1000</f>
        <v>37.762237762237746</v>
      </c>
      <c r="L5" s="104">
        <f t="shared" ref="L5" si="3">K5*J5</f>
        <v>542.30769230769204</v>
      </c>
      <c r="M5" s="84"/>
      <c r="N5" s="84"/>
      <c r="O5" s="84"/>
      <c r="P5" s="84"/>
      <c r="AA5" s="76"/>
      <c r="AB5" s="114"/>
      <c r="AE5" s="117"/>
    </row>
    <row r="6" spans="1:33" ht="14.25" customHeight="1" x14ac:dyDescent="0.25">
      <c r="A6" s="1471" t="s">
        <v>907</v>
      </c>
      <c r="B6" s="20" t="s">
        <v>727</v>
      </c>
      <c r="C6" s="106" t="s">
        <v>14</v>
      </c>
      <c r="D6" s="107">
        <v>25</v>
      </c>
      <c r="E6" s="177">
        <f t="shared" ref="E6:E15" si="4">$I$1</f>
        <v>3.253095176010433</v>
      </c>
      <c r="F6" s="109">
        <v>0.95</v>
      </c>
      <c r="G6" s="101">
        <f t="shared" si="0"/>
        <v>81.327379400260824</v>
      </c>
      <c r="H6" s="102">
        <f t="shared" si="1"/>
        <v>77.261010430247779</v>
      </c>
      <c r="I6" s="65">
        <f>VLOOKUP(B6,All_Ingredients!$A$1:$F$156,6,FALSE())</f>
        <v>1</v>
      </c>
      <c r="J6" s="101">
        <f>VLOOKUP(B6,All_Ingredients!$A$1:$J$156,10,FALSE())</f>
        <v>10.5</v>
      </c>
      <c r="K6" s="104">
        <f t="shared" ref="K6:K15" si="5">(H6/I6)/1000</f>
        <v>7.7261010430247773E-2</v>
      </c>
      <c r="L6" s="104">
        <f t="shared" ref="L6:L15" si="6">K6*J6</f>
        <v>0.81124060951760157</v>
      </c>
    </row>
    <row r="7" spans="1:33" ht="14.25" customHeight="1" x14ac:dyDescent="0.25">
      <c r="A7" s="1471" t="s">
        <v>920</v>
      </c>
      <c r="B7" s="20" t="s">
        <v>12</v>
      </c>
      <c r="C7" s="106" t="s">
        <v>14</v>
      </c>
      <c r="D7" s="107">
        <v>200</v>
      </c>
      <c r="E7" s="177">
        <f t="shared" si="4"/>
        <v>3.253095176010433</v>
      </c>
      <c r="F7" s="109">
        <v>0.95</v>
      </c>
      <c r="G7" s="101">
        <f t="shared" si="0"/>
        <v>650.61903520208659</v>
      </c>
      <c r="H7" s="102">
        <f t="shared" si="1"/>
        <v>618.08808344198223</v>
      </c>
      <c r="I7" s="65">
        <f>VLOOKUP(B7,All_Ingredients!$A$1:$F$156,6,FALSE())</f>
        <v>0.9</v>
      </c>
      <c r="J7" s="101">
        <f>VLOOKUP(B7,All_Ingredients!$A$1:$J$156,10,FALSE())</f>
        <v>3</v>
      </c>
      <c r="K7" s="104">
        <f t="shared" si="5"/>
        <v>0.68676453715775798</v>
      </c>
      <c r="L7" s="104">
        <f t="shared" si="6"/>
        <v>2.0602936114732739</v>
      </c>
    </row>
    <row r="8" spans="1:33" ht="14.25" customHeight="1" x14ac:dyDescent="0.25">
      <c r="A8" s="1471"/>
      <c r="B8" s="20" t="s">
        <v>200</v>
      </c>
      <c r="C8" s="106" t="s">
        <v>14</v>
      </c>
      <c r="D8" s="107">
        <v>50</v>
      </c>
      <c r="E8" s="177">
        <f t="shared" si="4"/>
        <v>3.253095176010433</v>
      </c>
      <c r="F8" s="109">
        <v>1</v>
      </c>
      <c r="G8" s="101">
        <f t="shared" si="0"/>
        <v>162.65475880052165</v>
      </c>
      <c r="H8" s="102">
        <f t="shared" si="1"/>
        <v>162.65475880052165</v>
      </c>
      <c r="I8" s="65">
        <f>VLOOKUP(B8,All_Ingredients!$A$1:$F$156,6,FALSE())</f>
        <v>1</v>
      </c>
      <c r="J8" s="101">
        <f>VLOOKUP(B8,All_Ingredients!$A$1:$J$156,10,FALSE())</f>
        <v>63.333333333333336</v>
      </c>
      <c r="K8" s="104">
        <f t="shared" si="5"/>
        <v>0.16265475880052166</v>
      </c>
      <c r="L8" s="104">
        <f t="shared" si="6"/>
        <v>10.301468057366373</v>
      </c>
    </row>
    <row r="9" spans="1:33" ht="14.25" customHeight="1" x14ac:dyDescent="0.25">
      <c r="A9" s="1471"/>
      <c r="B9" s="20" t="s">
        <v>99</v>
      </c>
      <c r="C9" s="106" t="s">
        <v>14</v>
      </c>
      <c r="D9" s="107">
        <v>5</v>
      </c>
      <c r="E9" s="177">
        <f t="shared" si="4"/>
        <v>3.253095176010433</v>
      </c>
      <c r="F9" s="109">
        <v>1</v>
      </c>
      <c r="G9" s="101">
        <f t="shared" si="0"/>
        <v>16.265475880052165</v>
      </c>
      <c r="H9" s="102">
        <f t="shared" si="1"/>
        <v>16.265475880052165</v>
      </c>
      <c r="I9" s="65">
        <f>VLOOKUP(B9,All_Ingredients!$A$1:$F$156,6,FALSE())</f>
        <v>1</v>
      </c>
      <c r="J9" s="101">
        <f>VLOOKUP(B9,All_Ingredients!$A$1:$J$156,10,FALSE())</f>
        <v>31</v>
      </c>
      <c r="K9" s="104">
        <f t="shared" si="5"/>
        <v>1.6265475880052165E-2</v>
      </c>
      <c r="L9" s="104">
        <f t="shared" si="6"/>
        <v>0.50422975228161715</v>
      </c>
    </row>
    <row r="10" spans="1:33" ht="14.25" customHeight="1" x14ac:dyDescent="0.25">
      <c r="A10" s="1471"/>
      <c r="B10" s="20" t="s">
        <v>139</v>
      </c>
      <c r="C10" s="106" t="s">
        <v>14</v>
      </c>
      <c r="D10" s="107">
        <v>8</v>
      </c>
      <c r="E10" s="177">
        <f t="shared" si="4"/>
        <v>3.253095176010433</v>
      </c>
      <c r="F10" s="109">
        <v>0.75</v>
      </c>
      <c r="G10" s="101">
        <f t="shared" si="0"/>
        <v>26.024761408083464</v>
      </c>
      <c r="H10" s="102">
        <f t="shared" si="1"/>
        <v>19.518571056062598</v>
      </c>
      <c r="I10" s="65">
        <f>VLOOKUP(B10,All_Ingredients!$A$1:$F$156,6,FALSE())</f>
        <v>1</v>
      </c>
      <c r="J10" s="101">
        <f>VLOOKUP(B10,All_Ingredients!$A$1:$J$156,10,FALSE())</f>
        <v>15.277777777777779</v>
      </c>
      <c r="K10" s="104">
        <f t="shared" si="5"/>
        <v>1.9518571056062597E-2</v>
      </c>
      <c r="L10" s="104">
        <f t="shared" si="6"/>
        <v>0.2982003911342897</v>
      </c>
    </row>
    <row r="11" spans="1:33" ht="14.25" customHeight="1" x14ac:dyDescent="0.25">
      <c r="A11" s="1471"/>
      <c r="B11" s="20" t="s">
        <v>93</v>
      </c>
      <c r="C11" s="106" t="s">
        <v>14</v>
      </c>
      <c r="D11" s="107">
        <v>5</v>
      </c>
      <c r="E11" s="177">
        <f t="shared" si="4"/>
        <v>3.253095176010433</v>
      </c>
      <c r="F11" s="109">
        <v>1</v>
      </c>
      <c r="G11" s="101">
        <f t="shared" si="0"/>
        <v>16.265475880052165</v>
      </c>
      <c r="H11" s="102">
        <f t="shared" si="1"/>
        <v>16.265475880052165</v>
      </c>
      <c r="I11" s="65">
        <f>VLOOKUP(B11,All_Ingredients!$A$1:$F$156,6,FALSE())</f>
        <v>1</v>
      </c>
      <c r="J11" s="101">
        <f>VLOOKUP(B11,All_Ingredients!$A$1:$J$156,10,FALSE())</f>
        <v>0.74</v>
      </c>
      <c r="K11" s="104">
        <f t="shared" si="5"/>
        <v>1.6265475880052165E-2</v>
      </c>
      <c r="L11" s="104">
        <f t="shared" si="6"/>
        <v>1.2036452151238601E-2</v>
      </c>
    </row>
    <row r="12" spans="1:33" ht="14.25" customHeight="1" x14ac:dyDescent="0.25">
      <c r="A12" s="1471" t="s">
        <v>927</v>
      </c>
      <c r="B12" s="20" t="s">
        <v>754</v>
      </c>
      <c r="C12" s="106" t="s">
        <v>14</v>
      </c>
      <c r="D12" s="107">
        <v>200</v>
      </c>
      <c r="E12" s="177">
        <f t="shared" si="4"/>
        <v>3.253095176010433</v>
      </c>
      <c r="F12" s="109">
        <v>1</v>
      </c>
      <c r="G12" s="101">
        <f t="shared" si="0"/>
        <v>650.61903520208659</v>
      </c>
      <c r="H12" s="102">
        <f t="shared" si="1"/>
        <v>650.61903520208659</v>
      </c>
      <c r="I12" s="65">
        <f>VLOOKUP(B12,All_Ingredients!$A$1:$F$156,6,FALSE())</f>
        <v>1</v>
      </c>
      <c r="J12" s="101">
        <f>VLOOKUP(B12,All_Ingredients!$A$1:$J$156,10,FALSE())</f>
        <v>22</v>
      </c>
      <c r="K12" s="104">
        <f t="shared" si="5"/>
        <v>0.65061903520208664</v>
      </c>
      <c r="L12" s="104">
        <f t="shared" si="6"/>
        <v>14.313618774445906</v>
      </c>
    </row>
    <row r="13" spans="1:33" ht="14.25" customHeight="1" x14ac:dyDescent="0.25">
      <c r="A13" s="1471" t="s">
        <v>925</v>
      </c>
      <c r="B13" s="20" t="s">
        <v>19</v>
      </c>
      <c r="C13" s="106" t="s">
        <v>14</v>
      </c>
      <c r="D13" s="107">
        <v>100</v>
      </c>
      <c r="E13" s="177">
        <f t="shared" si="4"/>
        <v>3.253095176010433</v>
      </c>
      <c r="F13" s="109">
        <v>0.75</v>
      </c>
      <c r="G13" s="101">
        <f t="shared" si="0"/>
        <v>325.3095176010433</v>
      </c>
      <c r="H13" s="102">
        <f t="shared" si="1"/>
        <v>243.98213820078246</v>
      </c>
      <c r="I13" s="65">
        <f>VLOOKUP(B13,All_Ingredients!$A$1:$F$156,6,FALSE())</f>
        <v>0.8</v>
      </c>
      <c r="J13" s="101">
        <f>VLOOKUP(B13,All_Ingredients!$A$1:$J$156,10,FALSE())</f>
        <v>2.6</v>
      </c>
      <c r="K13" s="104">
        <f t="shared" si="5"/>
        <v>0.30497767275097803</v>
      </c>
      <c r="L13" s="104">
        <f t="shared" si="6"/>
        <v>0.7929419491525429</v>
      </c>
    </row>
    <row r="14" spans="1:33" ht="14.25" customHeight="1" x14ac:dyDescent="0.25">
      <c r="A14" s="1471"/>
      <c r="B14" s="200" t="s">
        <v>166</v>
      </c>
      <c r="C14" s="106" t="s">
        <v>160</v>
      </c>
      <c r="D14" s="107">
        <v>700</v>
      </c>
      <c r="E14" s="177">
        <f t="shared" si="4"/>
        <v>3.253095176010433</v>
      </c>
      <c r="F14" s="109">
        <v>1</v>
      </c>
      <c r="G14" s="101">
        <f t="shared" si="0"/>
        <v>2277.166623207303</v>
      </c>
      <c r="H14" s="102">
        <f t="shared" si="1"/>
        <v>2277.166623207303</v>
      </c>
      <c r="I14" s="65">
        <f>VLOOKUP(B14,All_Ingredients!$A$1:$F$156,6,FALSE())</f>
        <v>1</v>
      </c>
      <c r="J14" s="101">
        <f>VLOOKUP(B14,All_Ingredients!$A$1:$J$156,10,FALSE())</f>
        <v>12.666666666666666</v>
      </c>
      <c r="K14" s="104">
        <f t="shared" si="5"/>
        <v>2.2771666232073029</v>
      </c>
      <c r="L14" s="104">
        <f t="shared" si="6"/>
        <v>28.844110560625836</v>
      </c>
    </row>
    <row r="15" spans="1:33" ht="14.25" customHeight="1" x14ac:dyDescent="0.25">
      <c r="A15" s="1471"/>
      <c r="B15" s="200" t="s">
        <v>152</v>
      </c>
      <c r="C15" s="106" t="s">
        <v>14</v>
      </c>
      <c r="D15" s="111">
        <v>40</v>
      </c>
      <c r="E15" s="177">
        <f t="shared" si="4"/>
        <v>3.253095176010433</v>
      </c>
      <c r="F15" s="109">
        <v>1</v>
      </c>
      <c r="G15" s="101">
        <f t="shared" si="0"/>
        <v>130.12380704041732</v>
      </c>
      <c r="H15" s="102">
        <f t="shared" si="1"/>
        <v>130.12380704041732</v>
      </c>
      <c r="I15" s="65">
        <f>VLOOKUP(B15,All_Ingredients!$A$1:$F$156,6,FALSE())</f>
        <v>1</v>
      </c>
      <c r="J15" s="101">
        <f>VLOOKUP(B15,All_Ingredients!$A$1:$J$156,10,FALSE())</f>
        <v>30</v>
      </c>
      <c r="K15" s="104">
        <f t="shared" si="5"/>
        <v>0.13012380704041732</v>
      </c>
      <c r="L15" s="104">
        <f t="shared" si="6"/>
        <v>3.9037142112125194</v>
      </c>
    </row>
    <row r="16" spans="1:33" x14ac:dyDescent="0.25">
      <c r="A16" s="1472"/>
    </row>
    <row r="17" spans="1:30" ht="14.25" customHeight="1" x14ac:dyDescent="0.25">
      <c r="A17" s="1472"/>
      <c r="L17" s="274"/>
    </row>
    <row r="18" spans="1:30" ht="14.25" customHeight="1" x14ac:dyDescent="0.25">
      <c r="A18" s="1472"/>
      <c r="L18" s="274"/>
    </row>
    <row r="19" spans="1:30" ht="14.25" customHeight="1" x14ac:dyDescent="0.25">
      <c r="A19" s="1472"/>
      <c r="L19" s="274"/>
    </row>
    <row r="20" spans="1:30" ht="14.25" customHeight="1" x14ac:dyDescent="0.25">
      <c r="A20" s="1472"/>
      <c r="L20" s="274"/>
    </row>
    <row r="21" spans="1:30" ht="14.25" customHeight="1" x14ac:dyDescent="0.25">
      <c r="A21" s="1472"/>
      <c r="L21" s="274"/>
    </row>
    <row r="22" spans="1:30" ht="14.25" customHeight="1" x14ac:dyDescent="0.25">
      <c r="A22" s="1472"/>
      <c r="L22" s="274"/>
    </row>
    <row r="23" spans="1:30" ht="24" customHeight="1" x14ac:dyDescent="0.25">
      <c r="A23" s="1472"/>
      <c r="B23" s="84"/>
      <c r="E23" s="84"/>
      <c r="F23" s="84"/>
      <c r="L23" s="274"/>
    </row>
    <row r="24" spans="1:30" ht="21.75" customHeight="1" x14ac:dyDescent="0.25">
      <c r="A24" s="1472"/>
      <c r="B24" s="84"/>
      <c r="E24" s="84"/>
      <c r="F24" s="84"/>
      <c r="L24" s="274"/>
      <c r="Z24" s="1073"/>
    </row>
    <row r="25" spans="1:30" ht="14.25" customHeight="1" x14ac:dyDescent="0.25">
      <c r="A25" s="1472"/>
      <c r="B25" s="84"/>
      <c r="E25" s="84"/>
      <c r="F25" s="84"/>
      <c r="L25" s="274"/>
      <c r="R25" s="1640" t="s">
        <v>411</v>
      </c>
      <c r="S25" s="1633"/>
      <c r="T25" s="1633"/>
      <c r="U25" s="1633"/>
      <c r="Z25" s="122" t="s">
        <v>252</v>
      </c>
      <c r="AA25" s="123">
        <v>1</v>
      </c>
      <c r="AB25" s="122" t="s">
        <v>249</v>
      </c>
      <c r="AC25" s="124">
        <f>AD30*AA25</f>
        <v>4.3906709719019561E-2</v>
      </c>
    </row>
    <row r="26" spans="1:30" ht="14.25" customHeight="1" x14ac:dyDescent="0.25">
      <c r="A26" s="1472"/>
      <c r="B26" s="84"/>
      <c r="E26" s="84"/>
      <c r="F26" s="84"/>
      <c r="L26" s="274"/>
      <c r="R26" s="1654" t="s">
        <v>297</v>
      </c>
      <c r="S26" s="1633"/>
      <c r="T26" s="1633"/>
      <c r="U26" s="1633"/>
    </row>
    <row r="27" spans="1:30" ht="14.25" customHeight="1" thickBot="1" x14ac:dyDescent="0.3">
      <c r="A27" s="1472"/>
      <c r="B27" s="790"/>
      <c r="C27" s="1720"/>
      <c r="D27" s="1720"/>
      <c r="E27" s="1720"/>
      <c r="F27" s="1720"/>
      <c r="G27" s="1720"/>
      <c r="H27" s="791"/>
      <c r="R27" s="126" t="s">
        <v>254</v>
      </c>
      <c r="S27" s="127" t="s">
        <v>298</v>
      </c>
      <c r="T27" s="127" t="s">
        <v>256</v>
      </c>
      <c r="U27" s="127" t="s">
        <v>257</v>
      </c>
      <c r="V27" s="127" t="s">
        <v>779</v>
      </c>
      <c r="Z27" s="122" t="s">
        <v>258</v>
      </c>
      <c r="AA27" s="128" t="s">
        <v>259</v>
      </c>
      <c r="AB27" s="128" t="s">
        <v>260</v>
      </c>
      <c r="AC27" s="1032" t="s">
        <v>779</v>
      </c>
      <c r="AD27" s="128" t="s">
        <v>262</v>
      </c>
    </row>
    <row r="28" spans="1:30" ht="14.25" customHeight="1" thickBot="1" x14ac:dyDescent="0.3">
      <c r="A28" s="1472"/>
      <c r="B28" s="792"/>
      <c r="C28" s="793"/>
      <c r="D28" s="794"/>
      <c r="E28" s="792"/>
      <c r="F28" s="792"/>
      <c r="G28" s="794"/>
      <c r="H28" s="795"/>
      <c r="R28" s="129" t="s">
        <v>263</v>
      </c>
      <c r="S28" s="690">
        <f>U28*S40</f>
        <v>10592.30769230769</v>
      </c>
      <c r="T28" s="690">
        <f>U28*U40</f>
        <v>3177.6923076923108</v>
      </c>
      <c r="U28" s="696">
        <f>$Z$1</f>
        <v>13770</v>
      </c>
      <c r="V28" s="130">
        <f>SUM(H37)</f>
        <v>6.44</v>
      </c>
      <c r="Z28" s="132"/>
      <c r="AA28" s="133">
        <f>AA25*$S$40</f>
        <v>0.76923076923076905</v>
      </c>
      <c r="AB28" s="133">
        <f>AA25*$U$40</f>
        <v>0.230769230769231</v>
      </c>
      <c r="AC28" s="1034"/>
      <c r="AD28" s="135">
        <f>SUM(AA28:AC28)</f>
        <v>1</v>
      </c>
    </row>
    <row r="29" spans="1:30" ht="14.25" customHeight="1" thickBot="1" x14ac:dyDescent="0.3">
      <c r="A29" s="1472"/>
      <c r="R29" s="129" t="s">
        <v>264</v>
      </c>
      <c r="S29" s="692"/>
      <c r="T29" s="690"/>
      <c r="U29" s="130" t="s">
        <v>310</v>
      </c>
      <c r="V29" s="130"/>
      <c r="Z29" s="132"/>
      <c r="AA29" s="137">
        <f>AA28/$AD$28</f>
        <v>0.76923076923076905</v>
      </c>
      <c r="AB29" s="137">
        <f>AB28/$AD$28</f>
        <v>0.230769230769231</v>
      </c>
      <c r="AC29" s="1038"/>
      <c r="AD29" s="137">
        <f>AD28/$AD$28</f>
        <v>1</v>
      </c>
    </row>
    <row r="30" spans="1:30" ht="14.25" customHeight="1" thickBot="1" x14ac:dyDescent="0.3">
      <c r="A30" s="1472"/>
      <c r="R30" s="129" t="s">
        <v>265</v>
      </c>
      <c r="S30" s="1162">
        <f>U30*S40</f>
        <v>0</v>
      </c>
      <c r="T30" s="690">
        <f>U30*U40</f>
        <v>0</v>
      </c>
      <c r="U30" s="696">
        <f>$AB$1</f>
        <v>0</v>
      </c>
      <c r="V30" s="989"/>
      <c r="Z30" s="122" t="s">
        <v>266</v>
      </c>
      <c r="AA30" s="138">
        <f>S35/(S28)</f>
        <v>5.1198257080610009E-2</v>
      </c>
      <c r="AB30" s="139">
        <f>T35/T32</f>
        <v>1.9461246836158189E-2</v>
      </c>
      <c r="AC30" s="1045">
        <f>V35/U32</f>
        <v>3.2378079436902972E-5</v>
      </c>
      <c r="AD30" s="1047">
        <f>SUMPRODUCT(AA30:AB30,AA29:AB29)+AC30</f>
        <v>4.3906709719019561E-2</v>
      </c>
    </row>
    <row r="31" spans="1:30" ht="14.25" customHeight="1" thickBot="1" x14ac:dyDescent="0.3">
      <c r="A31" s="1472"/>
      <c r="R31" s="129" t="s">
        <v>267</v>
      </c>
      <c r="S31" s="136"/>
      <c r="T31" s="130"/>
      <c r="U31" s="130"/>
      <c r="V31" s="130"/>
    </row>
    <row r="32" spans="1:30" ht="14.25" customHeight="1" thickBot="1" x14ac:dyDescent="0.3">
      <c r="A32" s="1472"/>
      <c r="R32" s="141" t="s">
        <v>257</v>
      </c>
      <c r="S32" s="130">
        <f>SUM(S28:S30)</f>
        <v>10592.30769230769</v>
      </c>
      <c r="T32" s="130">
        <f>SUM(T28:T30)</f>
        <v>3177.6923076923108</v>
      </c>
      <c r="U32" s="130">
        <f>SUM(U28:U30)</f>
        <v>13770</v>
      </c>
      <c r="V32" s="130">
        <f>SUM(V28:V30)</f>
        <v>6.44</v>
      </c>
    </row>
    <row r="33" spans="1:23" ht="14.25" customHeight="1" thickBot="1" x14ac:dyDescent="0.3">
      <c r="A33" s="1472"/>
      <c r="R33" s="142" t="s">
        <v>268</v>
      </c>
      <c r="S33" s="136"/>
      <c r="T33" s="136"/>
      <c r="U33" s="136"/>
      <c r="V33" s="136"/>
    </row>
    <row r="34" spans="1:23" ht="14.25" customHeight="1" thickBot="1" x14ac:dyDescent="0.3">
      <c r="A34" s="1472"/>
      <c r="R34" s="143" t="s">
        <v>269</v>
      </c>
      <c r="S34" s="136"/>
      <c r="T34" s="130"/>
      <c r="U34" s="136"/>
      <c r="V34" s="136"/>
    </row>
    <row r="35" spans="1:23" ht="14.25" customHeight="1" thickBot="1" x14ac:dyDescent="0.3">
      <c r="A35" s="1472"/>
      <c r="B35" s="1681" t="s">
        <v>661</v>
      </c>
      <c r="C35" s="1681"/>
      <c r="D35" s="1681"/>
      <c r="E35" s="1681"/>
      <c r="F35" s="1681"/>
      <c r="G35" s="797"/>
      <c r="H35" s="797"/>
      <c r="I35" s="803"/>
      <c r="J35" s="803"/>
      <c r="K35" s="803"/>
      <c r="L35" s="803"/>
      <c r="R35" s="144" t="s">
        <v>249</v>
      </c>
      <c r="S35" s="145">
        <f>$L$5</f>
        <v>542.30769230769204</v>
      </c>
      <c r="T35" s="145">
        <f>SUM(L6:L15)</f>
        <v>61.841854369361194</v>
      </c>
      <c r="U35" s="1076">
        <f>S35+T35+V35</f>
        <v>604.5953928308993</v>
      </c>
      <c r="V35" s="1049">
        <f>SUM(L37)</f>
        <v>0.44584615384615389</v>
      </c>
    </row>
    <row r="36" spans="1:23" ht="47.25"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1472"/>
      <c r="B37" s="772" t="s">
        <v>686</v>
      </c>
      <c r="C37" s="773" t="s">
        <v>14</v>
      </c>
      <c r="D37" s="774">
        <v>7.0000000000000007E-2</v>
      </c>
      <c r="E37" s="772">
        <f>$AD$1</f>
        <v>92</v>
      </c>
      <c r="F37" s="772">
        <f>D37*E37</f>
        <v>6.44</v>
      </c>
      <c r="G37" s="796"/>
      <c r="H37" s="772">
        <f>F37</f>
        <v>6.44</v>
      </c>
      <c r="I37" s="772">
        <f>VLOOKUP(B37,All_Ingredients!$A$1:$F$156,6,FALSE())</f>
        <v>0.65</v>
      </c>
      <c r="J37" s="772">
        <f>VLOOKUP(B37,All_Ingredients!$A$1:$J$156,10,FALSE())</f>
        <v>45</v>
      </c>
      <c r="K37" s="772">
        <f>(H37/I37)/1000</f>
        <v>9.9076923076923083E-3</v>
      </c>
      <c r="L37" s="772">
        <f>K37*J37</f>
        <v>0.44584615384615389</v>
      </c>
    </row>
    <row r="38" spans="1:23" x14ac:dyDescent="0.25">
      <c r="A38" s="1472"/>
    </row>
    <row r="39" spans="1:23" ht="14.25" customHeight="1" x14ac:dyDescent="0.25">
      <c r="A39" s="1472"/>
    </row>
    <row r="40" spans="1:23" ht="14.25" customHeight="1" x14ac:dyDescent="0.25">
      <c r="A40" s="1472"/>
      <c r="R40" s="146" t="s">
        <v>270</v>
      </c>
      <c r="S40" s="147">
        <v>0.76923076923076905</v>
      </c>
      <c r="T40" s="146" t="s">
        <v>271</v>
      </c>
      <c r="U40" s="148">
        <v>0.230769230769231</v>
      </c>
      <c r="V40" s="149">
        <f>S40+U40</f>
        <v>1</v>
      </c>
    </row>
    <row r="41" spans="1:23" ht="14.25" customHeight="1" x14ac:dyDescent="0.25">
      <c r="A41" s="1472"/>
      <c r="U41" s="150"/>
    </row>
    <row r="42" spans="1:23" ht="14.25" customHeight="1"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43334</v>
      </c>
      <c r="R44" s="154">
        <f>D51</f>
        <v>10000</v>
      </c>
      <c r="S44" s="155">
        <v>1</v>
      </c>
      <c r="T44" s="155">
        <v>0</v>
      </c>
      <c r="U44" s="220">
        <f>R44*S44</f>
        <v>10000</v>
      </c>
      <c r="V44" s="157">
        <f>R44*T44</f>
        <v>0</v>
      </c>
      <c r="W44" s="237">
        <f>Q44-U44</f>
        <v>33334</v>
      </c>
    </row>
    <row r="45" spans="1:23" x14ac:dyDescent="0.25">
      <c r="A45" s="1472"/>
    </row>
    <row r="46" spans="1:23" x14ac:dyDescent="0.25">
      <c r="A46" s="1472"/>
    </row>
    <row r="47" spans="1:23" x14ac:dyDescent="0.25">
      <c r="A47" s="1472"/>
    </row>
    <row r="48" spans="1:23" x14ac:dyDescent="0.25">
      <c r="A48" s="1472"/>
    </row>
    <row r="49" spans="1:10" x14ac:dyDescent="0.25">
      <c r="A49" s="1472"/>
    </row>
    <row r="50" spans="1:10" x14ac:dyDescent="0.25">
      <c r="A50" s="1472"/>
      <c r="B50" s="253"/>
      <c r="C50" s="126" t="s">
        <v>233</v>
      </c>
      <c r="D50" s="126" t="s">
        <v>279</v>
      </c>
      <c r="E50" s="84"/>
      <c r="F50" s="84"/>
      <c r="G50" s="126" t="s">
        <v>280</v>
      </c>
      <c r="H50" s="126" t="s">
        <v>233</v>
      </c>
      <c r="I50" s="126" t="s">
        <v>281</v>
      </c>
      <c r="J50" s="126" t="s">
        <v>282</v>
      </c>
    </row>
    <row r="51" spans="1:10" x14ac:dyDescent="0.25">
      <c r="A51" s="1472"/>
      <c r="B51" s="161" t="s">
        <v>283</v>
      </c>
      <c r="C51" s="162">
        <f>10/$K$1</f>
        <v>10.23728813559322</v>
      </c>
      <c r="D51" s="163">
        <f>$C$1*10</f>
        <v>10000</v>
      </c>
      <c r="E51" s="164"/>
      <c r="F51" s="84"/>
      <c r="G51" s="161" t="s">
        <v>283</v>
      </c>
      <c r="H51" s="254">
        <f>I51/$D$5</f>
        <v>10</v>
      </c>
      <c r="I51" s="162">
        <f>J51/$R$1</f>
        <v>65360.784313725489</v>
      </c>
      <c r="J51" s="162">
        <f>$W$44</f>
        <v>33334</v>
      </c>
    </row>
    <row r="52" spans="1:10" x14ac:dyDescent="0.25">
      <c r="A52" s="1472"/>
      <c r="B52" s="209" t="s">
        <v>262</v>
      </c>
      <c r="C52" s="210">
        <f>$I$1</f>
        <v>3.253095176010433</v>
      </c>
      <c r="D52" s="211">
        <f>$E$1</f>
        <v>3177.6923076923108</v>
      </c>
      <c r="E52" s="84"/>
      <c r="F52" s="84"/>
      <c r="G52" s="129" t="s">
        <v>262</v>
      </c>
      <c r="H52" s="190">
        <f>I52/$D$5</f>
        <v>3.1776287551172042</v>
      </c>
      <c r="I52" s="157">
        <f>J52/$R$1</f>
        <v>20769.230769230762</v>
      </c>
      <c r="J52" s="165">
        <f>$S$32</f>
        <v>10592.30769230769</v>
      </c>
    </row>
    <row r="53" spans="1:10" x14ac:dyDescent="0.25">
      <c r="A53" s="1472"/>
      <c r="B53" s="209" t="s">
        <v>284</v>
      </c>
      <c r="C53" s="212">
        <f>MIN(C52, C51)</f>
        <v>3.253095176010433</v>
      </c>
      <c r="D53" s="211">
        <f>(C53*$K$1)*$C$1</f>
        <v>3177.6923076923108</v>
      </c>
      <c r="E53" s="84"/>
      <c r="F53" s="84"/>
      <c r="G53" s="129" t="s">
        <v>284</v>
      </c>
      <c r="H53" s="168">
        <f>MIN(H52,H51)</f>
        <v>3.1776287551172042</v>
      </c>
      <c r="I53" s="157">
        <f>J53/$R$1</f>
        <v>20769.230769230762</v>
      </c>
      <c r="J53" s="157">
        <f>MIN(J52,J51)</f>
        <v>10592.30769230769</v>
      </c>
    </row>
    <row r="54" spans="1:10"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36" t="str">
        <f>"بيف امانسي   1 / " &amp; COUNTIF($C$53:$C$55, "&gt;0")</f>
        <v>بيف امانسي   1 / 1</v>
      </c>
      <c r="C62" s="1637"/>
      <c r="D62" s="1637"/>
      <c r="E62" s="1637"/>
      <c r="F62" s="1637"/>
      <c r="G62" s="1637"/>
      <c r="H62" s="1637"/>
    </row>
    <row r="63" spans="1:10" ht="18" customHeight="1" x14ac:dyDescent="0.25">
      <c r="A63" s="1473"/>
      <c r="B63" s="1634" t="str">
        <f>"Beef Amansi   1 / " &amp; COUNTIF($C$53:$C$55, "&gt;0")</f>
        <v>Beef Amansi   1 / 1</v>
      </c>
      <c r="C63" s="1635"/>
      <c r="D63" s="1635"/>
      <c r="E63" s="1635"/>
      <c r="F63" s="1635"/>
      <c r="G63" s="1635"/>
      <c r="H63" s="1635"/>
    </row>
    <row r="64" spans="1:10" ht="25.5" customHeight="1" x14ac:dyDescent="0.2">
      <c r="A64" s="1457"/>
      <c r="B64" s="221" t="s">
        <v>241</v>
      </c>
      <c r="C64" s="222" t="s">
        <v>242</v>
      </c>
      <c r="D64" s="223" t="s">
        <v>231</v>
      </c>
      <c r="E64" s="197" t="s">
        <v>234</v>
      </c>
      <c r="F64" s="197" t="s">
        <v>243</v>
      </c>
      <c r="G64" s="223" t="s">
        <v>244</v>
      </c>
      <c r="H64" s="197" t="s">
        <v>245</v>
      </c>
    </row>
    <row r="65" spans="1:8" ht="14.25" customHeight="1" x14ac:dyDescent="0.25">
      <c r="A65" s="1471"/>
      <c r="B65" s="299" t="str">
        <f t="shared" ref="B65:D75" si="7">B5</f>
        <v>Indian Meat Alana  - لحم هندى ألانا</v>
      </c>
      <c r="C65" s="106" t="str">
        <f t="shared" si="7"/>
        <v>gm</v>
      </c>
      <c r="D65" s="98">
        <f t="shared" si="7"/>
        <v>6536.0784313725489</v>
      </c>
      <c r="E65" s="108">
        <f>H53</f>
        <v>3.1776287551172042</v>
      </c>
      <c r="F65" s="109">
        <f t="shared" ref="F65:F75" si="8">F5</f>
        <v>1</v>
      </c>
      <c r="G65" s="101">
        <f t="shared" ref="G65:G75" si="9">D65*E65</f>
        <v>20769.230769230762</v>
      </c>
      <c r="H65" s="102">
        <f t="shared" ref="H65:H75" si="10">G65*F65</f>
        <v>20769.230769230762</v>
      </c>
    </row>
    <row r="66" spans="1:8" ht="14.25" customHeight="1" x14ac:dyDescent="0.25">
      <c r="A66" s="1471" t="s">
        <v>907</v>
      </c>
      <c r="B66" s="299" t="str">
        <f t="shared" si="7"/>
        <v>Garlic - ثوم مقشر</v>
      </c>
      <c r="C66" s="106" t="str">
        <f t="shared" si="7"/>
        <v>gm</v>
      </c>
      <c r="D66" s="107">
        <f t="shared" si="7"/>
        <v>25</v>
      </c>
      <c r="E66" s="108">
        <f>$C$53</f>
        <v>3.253095176010433</v>
      </c>
      <c r="F66" s="109">
        <f t="shared" si="8"/>
        <v>0.95</v>
      </c>
      <c r="G66" s="101">
        <f t="shared" si="9"/>
        <v>81.327379400260824</v>
      </c>
      <c r="H66" s="102">
        <f t="shared" si="10"/>
        <v>77.261010430247779</v>
      </c>
    </row>
    <row r="67" spans="1:8" ht="14.25" customHeight="1" x14ac:dyDescent="0.25">
      <c r="A67" s="1471" t="s">
        <v>920</v>
      </c>
      <c r="B67" s="299" t="str">
        <f t="shared" si="7"/>
        <v>Onion - بصل</v>
      </c>
      <c r="C67" s="106" t="str">
        <f t="shared" si="7"/>
        <v>gm</v>
      </c>
      <c r="D67" s="107">
        <f t="shared" si="7"/>
        <v>200</v>
      </c>
      <c r="E67" s="108">
        <f t="shared" ref="E67:E75" si="11">$C$53</f>
        <v>3.253095176010433</v>
      </c>
      <c r="F67" s="109">
        <f t="shared" si="8"/>
        <v>0.95</v>
      </c>
      <c r="G67" s="101">
        <f t="shared" si="9"/>
        <v>650.61903520208659</v>
      </c>
      <c r="H67" s="102">
        <f t="shared" si="10"/>
        <v>618.08808344198223</v>
      </c>
    </row>
    <row r="68" spans="1:8" ht="14.25" customHeight="1" x14ac:dyDescent="0.25">
      <c r="A68" s="1471"/>
      <c r="B68" s="299" t="str">
        <f t="shared" si="7"/>
        <v>Demi Glaze Sauce - صوص ديمي غلاز</v>
      </c>
      <c r="C68" s="106" t="str">
        <f t="shared" si="7"/>
        <v>gm</v>
      </c>
      <c r="D68" s="107">
        <f t="shared" si="7"/>
        <v>50</v>
      </c>
      <c r="E68" s="108">
        <f t="shared" si="11"/>
        <v>3.253095176010433</v>
      </c>
      <c r="F68" s="109">
        <f t="shared" si="8"/>
        <v>1</v>
      </c>
      <c r="G68" s="101">
        <f t="shared" si="9"/>
        <v>162.65475880052165</v>
      </c>
      <c r="H68" s="102">
        <f t="shared" si="10"/>
        <v>162.65475880052165</v>
      </c>
    </row>
    <row r="69" spans="1:8" ht="14.25" customHeight="1" x14ac:dyDescent="0.25">
      <c r="A69" s="1471"/>
      <c r="B69" s="299" t="str">
        <f t="shared" si="7"/>
        <v>Black Pepper Powder - فلفل أسود مطحون</v>
      </c>
      <c r="C69" s="106" t="str">
        <f t="shared" si="7"/>
        <v>gm</v>
      </c>
      <c r="D69" s="107">
        <f t="shared" si="7"/>
        <v>5</v>
      </c>
      <c r="E69" s="108">
        <f t="shared" si="11"/>
        <v>3.253095176010433</v>
      </c>
      <c r="F69" s="109">
        <f t="shared" si="8"/>
        <v>1</v>
      </c>
      <c r="G69" s="101">
        <f t="shared" si="9"/>
        <v>16.265475880052165</v>
      </c>
      <c r="H69" s="102">
        <f t="shared" si="10"/>
        <v>16.265475880052165</v>
      </c>
    </row>
    <row r="70" spans="1:8" ht="14.25" customHeight="1" x14ac:dyDescent="0.25">
      <c r="A70" s="1471"/>
      <c r="B70" s="299" t="str">
        <f t="shared" si="7"/>
        <v>Maggi Cubes - مكعبات ماجي</v>
      </c>
      <c r="C70" s="106" t="str">
        <f t="shared" si="7"/>
        <v>gm</v>
      </c>
      <c r="D70" s="107">
        <f t="shared" si="7"/>
        <v>8</v>
      </c>
      <c r="E70" s="108">
        <f t="shared" si="11"/>
        <v>3.253095176010433</v>
      </c>
      <c r="F70" s="109">
        <f t="shared" si="8"/>
        <v>0.75</v>
      </c>
      <c r="G70" s="101">
        <f t="shared" si="9"/>
        <v>26.024761408083464</v>
      </c>
      <c r="H70" s="102">
        <f t="shared" si="10"/>
        <v>19.518571056062598</v>
      </c>
    </row>
    <row r="71" spans="1:8" ht="14.25" customHeight="1" x14ac:dyDescent="0.25">
      <c r="A71" s="1471"/>
      <c r="B71" s="299" t="str">
        <f t="shared" si="7"/>
        <v>Salt - ملح</v>
      </c>
      <c r="C71" s="106" t="str">
        <f t="shared" si="7"/>
        <v>gm</v>
      </c>
      <c r="D71" s="107">
        <f t="shared" si="7"/>
        <v>5</v>
      </c>
      <c r="E71" s="108">
        <f t="shared" si="11"/>
        <v>3.253095176010433</v>
      </c>
      <c r="F71" s="109">
        <f t="shared" si="8"/>
        <v>1</v>
      </c>
      <c r="G71" s="101">
        <f t="shared" si="9"/>
        <v>16.265475880052165</v>
      </c>
      <c r="H71" s="102">
        <f t="shared" si="10"/>
        <v>16.265475880052165</v>
      </c>
    </row>
    <row r="72" spans="1:8" ht="14.25" customHeight="1" x14ac:dyDescent="0.25">
      <c r="A72" s="1471" t="s">
        <v>927</v>
      </c>
      <c r="B72" s="299" t="str">
        <f t="shared" si="7"/>
        <v>Mushroom - مشروم ابيض</v>
      </c>
      <c r="C72" s="106" t="str">
        <f t="shared" si="7"/>
        <v>gm</v>
      </c>
      <c r="D72" s="107">
        <f t="shared" si="7"/>
        <v>200</v>
      </c>
      <c r="E72" s="108">
        <f t="shared" si="11"/>
        <v>3.253095176010433</v>
      </c>
      <c r="F72" s="109">
        <f t="shared" si="8"/>
        <v>1</v>
      </c>
      <c r="G72" s="101">
        <f t="shared" si="9"/>
        <v>650.61903520208659</v>
      </c>
      <c r="H72" s="102">
        <f t="shared" si="10"/>
        <v>650.61903520208659</v>
      </c>
    </row>
    <row r="73" spans="1:8" ht="14.25" customHeight="1" x14ac:dyDescent="0.25">
      <c r="A73" s="1471" t="s">
        <v>925</v>
      </c>
      <c r="B73" s="299" t="str">
        <f t="shared" si="7"/>
        <v>Carrot - جزر</v>
      </c>
      <c r="C73" s="106" t="str">
        <f t="shared" si="7"/>
        <v>gm</v>
      </c>
      <c r="D73" s="107">
        <f t="shared" si="7"/>
        <v>100</v>
      </c>
      <c r="E73" s="108">
        <f t="shared" si="11"/>
        <v>3.253095176010433</v>
      </c>
      <c r="F73" s="109">
        <f t="shared" si="8"/>
        <v>0.75</v>
      </c>
      <c r="G73" s="101">
        <f t="shared" si="9"/>
        <v>325.3095176010433</v>
      </c>
      <c r="H73" s="102">
        <f t="shared" si="10"/>
        <v>243.98213820078246</v>
      </c>
    </row>
    <row r="74" spans="1:8" ht="14.25" customHeight="1" x14ac:dyDescent="0.25">
      <c r="A74" s="1471"/>
      <c r="B74" s="299" t="str">
        <f t="shared" si="7"/>
        <v>Cooking Cream - كريمة طبخ</v>
      </c>
      <c r="C74" s="106" t="str">
        <f t="shared" si="7"/>
        <v>ml</v>
      </c>
      <c r="D74" s="107">
        <f t="shared" si="7"/>
        <v>700</v>
      </c>
      <c r="E74" s="108">
        <f t="shared" si="11"/>
        <v>3.253095176010433</v>
      </c>
      <c r="F74" s="109">
        <f t="shared" si="8"/>
        <v>1</v>
      </c>
      <c r="G74" s="101">
        <f t="shared" si="9"/>
        <v>2277.166623207303</v>
      </c>
      <c r="H74" s="102">
        <f t="shared" si="10"/>
        <v>2277.166623207303</v>
      </c>
    </row>
    <row r="75" spans="1:8" ht="14.25" customHeight="1" x14ac:dyDescent="0.25">
      <c r="A75" s="1471"/>
      <c r="B75" s="299" t="str">
        <f t="shared" si="7"/>
        <v>Butter - زبدة</v>
      </c>
      <c r="C75" s="106" t="str">
        <f t="shared" si="7"/>
        <v>gm</v>
      </c>
      <c r="D75" s="107">
        <f t="shared" si="7"/>
        <v>40</v>
      </c>
      <c r="E75" s="108">
        <f t="shared" si="11"/>
        <v>3.253095176010433</v>
      </c>
      <c r="F75" s="109">
        <f t="shared" si="8"/>
        <v>1</v>
      </c>
      <c r="G75" s="101">
        <f t="shared" si="9"/>
        <v>130.12380704041732</v>
      </c>
      <c r="H75" s="102">
        <f t="shared" si="10"/>
        <v>130.12380704041732</v>
      </c>
    </row>
    <row r="76" spans="1:8" ht="20.25" customHeight="1" x14ac:dyDescent="0.25">
      <c r="A76" s="1458"/>
      <c r="B76" s="178" t="s">
        <v>287</v>
      </c>
      <c r="C76" s="180" t="s">
        <v>273</v>
      </c>
      <c r="E76" s="180" t="s">
        <v>288</v>
      </c>
      <c r="G76" s="804" t="s">
        <v>264</v>
      </c>
      <c r="H76" s="804" t="s">
        <v>673</v>
      </c>
    </row>
    <row r="77" spans="1:8" ht="20.25" x14ac:dyDescent="0.3">
      <c r="A77" s="1458"/>
      <c r="B77" s="179">
        <f>$J$53</f>
        <v>10592.30769230769</v>
      </c>
      <c r="C77" s="179">
        <f>E77+G77</f>
        <v>3177.6923076923108</v>
      </c>
      <c r="D77" s="839"/>
      <c r="E77" s="179">
        <f>$D$53*$S$44</f>
        <v>3177.6923076923108</v>
      </c>
      <c r="F77" s="843"/>
      <c r="G77" s="179">
        <f>$D$53*$T$44</f>
        <v>0</v>
      </c>
      <c r="H77" s="179">
        <f>B77+E77</f>
        <v>13770</v>
      </c>
    </row>
    <row r="78" spans="1:8" x14ac:dyDescent="0.25">
      <c r="A78" s="1472"/>
    </row>
    <row r="79" spans="1:8" x14ac:dyDescent="0.25">
      <c r="A79" s="1472"/>
    </row>
    <row r="80" spans="1:8" x14ac:dyDescent="0.25">
      <c r="A80" s="1472"/>
    </row>
    <row r="81" spans="1:1" x14ac:dyDescent="0.25">
      <c r="A81" s="1472"/>
    </row>
    <row r="82" spans="1:1" x14ac:dyDescent="0.25">
      <c r="A82" s="1472"/>
    </row>
    <row r="83" spans="1:1" x14ac:dyDescent="0.25">
      <c r="A83" s="1472"/>
    </row>
    <row r="84" spans="1:1" x14ac:dyDescent="0.25">
      <c r="A84" s="1472"/>
    </row>
    <row r="85" spans="1:1" x14ac:dyDescent="0.25">
      <c r="A85" s="1472"/>
    </row>
    <row r="86" spans="1:1" x14ac:dyDescent="0.25">
      <c r="A86" s="1472"/>
    </row>
    <row r="87" spans="1:1" x14ac:dyDescent="0.25">
      <c r="A87" s="1472"/>
    </row>
    <row r="88" spans="1:1" x14ac:dyDescent="0.25">
      <c r="A88" s="1472"/>
    </row>
    <row r="89" spans="1:1" x14ac:dyDescent="0.25">
      <c r="A89" s="1472"/>
    </row>
    <row r="90" spans="1:1" x14ac:dyDescent="0.25">
      <c r="A90" s="1472"/>
    </row>
    <row r="91" spans="1:1" x14ac:dyDescent="0.25">
      <c r="A91" s="1472"/>
    </row>
    <row r="92" spans="1:1" x14ac:dyDescent="0.25">
      <c r="A92" s="1472"/>
    </row>
    <row r="93" spans="1:1" x14ac:dyDescent="0.25">
      <c r="A93" s="1472"/>
    </row>
    <row r="94" spans="1:1" x14ac:dyDescent="0.25">
      <c r="A94" s="1472"/>
    </row>
    <row r="95" spans="1:1" x14ac:dyDescent="0.25">
      <c r="A95" s="1472"/>
    </row>
    <row r="96" spans="1:1" x14ac:dyDescent="0.25">
      <c r="A96" s="1472"/>
    </row>
    <row r="97" spans="1:1" x14ac:dyDescent="0.25">
      <c r="A97" s="1472"/>
    </row>
    <row r="98" spans="1:1" x14ac:dyDescent="0.25">
      <c r="A98" s="1472"/>
    </row>
    <row r="99" spans="1:1" x14ac:dyDescent="0.25">
      <c r="A99" s="1472"/>
    </row>
    <row r="100" spans="1:1" x14ac:dyDescent="0.25">
      <c r="A100" s="1472"/>
    </row>
    <row r="101" spans="1:1" x14ac:dyDescent="0.25">
      <c r="A101" s="1472"/>
    </row>
    <row r="102" spans="1:1" x14ac:dyDescent="0.25">
      <c r="A102" s="1472"/>
    </row>
    <row r="103" spans="1:1" x14ac:dyDescent="0.25">
      <c r="A103" s="1472"/>
    </row>
    <row r="104" spans="1:1" x14ac:dyDescent="0.25">
      <c r="A104" s="1472"/>
    </row>
    <row r="105" spans="1:1" x14ac:dyDescent="0.25">
      <c r="A105" s="1472"/>
    </row>
    <row r="106" spans="1:1" x14ac:dyDescent="0.25">
      <c r="A106" s="1472"/>
    </row>
    <row r="107" spans="1:1" x14ac:dyDescent="0.25">
      <c r="A107" s="1472"/>
    </row>
    <row r="108" spans="1:1" x14ac:dyDescent="0.25">
      <c r="A108" s="1472"/>
    </row>
    <row r="109" spans="1:1" x14ac:dyDescent="0.25">
      <c r="A109" s="1472"/>
    </row>
    <row r="110" spans="1:1" x14ac:dyDescent="0.25">
      <c r="A110" s="1472"/>
    </row>
    <row r="111" spans="1:1" x14ac:dyDescent="0.25">
      <c r="A111" s="1472"/>
    </row>
    <row r="112" spans="1:1"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8">
    <mergeCell ref="B63:H63"/>
    <mergeCell ref="AE2:AG3"/>
    <mergeCell ref="R26:U26"/>
    <mergeCell ref="B62:H62"/>
    <mergeCell ref="R25:U25"/>
    <mergeCell ref="B2:K3"/>
    <mergeCell ref="C27:G27"/>
    <mergeCell ref="B35:F35"/>
  </mergeCells>
  <printOptions horizontalCentered="1"/>
  <pageMargins left="0.5" right="0.5" top="1" bottom="0.5" header="0.3" footer="0.511811023622047"/>
  <pageSetup paperSize="9" scale="31" orientation="portrait" r:id="rId1"/>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7C7C7C"/>
    <pageSetUpPr fitToPage="1"/>
  </sheetPr>
  <dimension ref="A1:AT174"/>
  <sheetViews>
    <sheetView topLeftCell="W1" zoomScale="70" zoomScaleNormal="70" workbookViewId="0">
      <selection activeCell="W38" sqref="W38"/>
    </sheetView>
  </sheetViews>
  <sheetFormatPr defaultColWidth="12.5" defaultRowHeight="15" x14ac:dyDescent="0.25"/>
  <cols>
    <col min="1" max="1" width="12.5" style="63" customWidth="1"/>
    <col min="2" max="2" width="33.5" style="14" customWidth="1"/>
    <col min="3" max="3" width="18.625" style="14" customWidth="1"/>
    <col min="4" max="4" width="19" style="14" customWidth="1"/>
    <col min="5" max="5" width="18.875" style="14" customWidth="1"/>
    <col min="6" max="6" width="23.125" style="14" customWidth="1"/>
    <col min="7" max="7" width="25.125" style="14" customWidth="1"/>
    <col min="8" max="8" width="36.125" style="14" customWidth="1"/>
    <col min="9" max="9" width="17.875" style="14" customWidth="1"/>
    <col min="10" max="11" width="12.5" style="14" customWidth="1"/>
    <col min="12" max="12" width="8.375" style="14" customWidth="1"/>
    <col min="13" max="14" width="4" style="14" customWidth="1"/>
    <col min="15" max="17" width="12.5" style="14" customWidth="1"/>
    <col min="18" max="18" width="32.875" style="14" customWidth="1"/>
    <col min="19" max="19" width="16.625" style="14" customWidth="1"/>
    <col min="20" max="27" width="12.5" style="14" customWidth="1"/>
    <col min="28" max="28" width="11.875" style="14" bestFit="1" customWidth="1"/>
    <col min="29" max="29" width="13.375" style="14" bestFit="1" customWidth="1"/>
    <col min="30" max="30" width="11.625" style="14" bestFit="1" customWidth="1"/>
    <col min="31" max="35" width="4.75" style="14" customWidth="1"/>
    <col min="36" max="36" width="33.875" style="14" customWidth="1"/>
    <col min="37" max="41" width="12.5" style="14"/>
    <col min="42" max="42" width="15.75" style="14" customWidth="1"/>
    <col min="43" max="16384" width="12.5" style="14"/>
  </cols>
  <sheetData>
    <row r="1" spans="1:46" ht="35.25" customHeight="1" x14ac:dyDescent="0.25">
      <c r="B1" s="64" t="s">
        <v>231</v>
      </c>
      <c r="C1" s="65">
        <v>1000</v>
      </c>
      <c r="D1" s="66" t="s">
        <v>232</v>
      </c>
      <c r="E1" s="67">
        <f>T32</f>
        <v>7040.7692307692378</v>
      </c>
      <c r="F1" s="64" t="s">
        <v>233</v>
      </c>
      <c r="G1" s="65">
        <f>E1/C1</f>
        <v>7.0407692307692376</v>
      </c>
      <c r="H1" s="64" t="s">
        <v>234</v>
      </c>
      <c r="I1" s="259">
        <f>(G1/K1)</f>
        <v>7.1118881118881188</v>
      </c>
      <c r="J1" s="70" t="s">
        <v>235</v>
      </c>
      <c r="K1" s="260">
        <v>0.99</v>
      </c>
      <c r="L1" s="84"/>
      <c r="M1" s="73"/>
      <c r="N1" s="74"/>
      <c r="O1" s="75" t="s">
        <v>236</v>
      </c>
      <c r="P1" s="76" t="s">
        <v>332</v>
      </c>
      <c r="Q1" s="77" t="s">
        <v>238</v>
      </c>
      <c r="R1" s="76">
        <v>0.57999999999999996</v>
      </c>
      <c r="S1" s="84"/>
      <c r="Y1" s="75" t="s">
        <v>453</v>
      </c>
      <c r="Z1" s="766">
        <v>30010</v>
      </c>
      <c r="AA1" s="75" t="s">
        <v>556</v>
      </c>
      <c r="AB1" s="766">
        <v>500</v>
      </c>
      <c r="AC1" s="75" t="s">
        <v>546</v>
      </c>
      <c r="AD1" s="766">
        <v>211</v>
      </c>
      <c r="AE1" s="229"/>
      <c r="AF1" s="230"/>
      <c r="AG1" s="76"/>
      <c r="AJ1" s="78" t="s">
        <v>250</v>
      </c>
      <c r="AK1" s="78">
        <v>10000</v>
      </c>
      <c r="AL1" s="561" t="s">
        <v>483</v>
      </c>
      <c r="AM1" s="562">
        <f>$S$32</f>
        <v>23469.230769230762</v>
      </c>
      <c r="AN1" s="78" t="s">
        <v>239</v>
      </c>
      <c r="AO1" s="80">
        <f>($S$32/$R$1)/$AK$1</f>
        <v>4.0464190981432351</v>
      </c>
      <c r="AP1" s="79"/>
    </row>
    <row r="2" spans="1:46" ht="12.75" customHeight="1" x14ac:dyDescent="0.25">
      <c r="A2" s="81"/>
      <c r="B2" s="1645" t="s">
        <v>104</v>
      </c>
      <c r="C2" s="1655"/>
      <c r="D2" s="1655"/>
      <c r="E2" s="1655"/>
      <c r="F2" s="1655"/>
      <c r="G2" s="1655"/>
      <c r="H2" s="1655"/>
      <c r="I2" s="1655"/>
      <c r="J2" s="1655"/>
      <c r="K2" s="1657"/>
      <c r="L2" s="270"/>
      <c r="M2" s="84"/>
      <c r="N2" s="84"/>
      <c r="O2" s="84"/>
      <c r="P2" s="84"/>
      <c r="Q2" s="84"/>
      <c r="R2" s="84"/>
      <c r="S2" s="84"/>
      <c r="AC2" s="83"/>
      <c r="AD2" s="83"/>
      <c r="AE2" s="1652"/>
      <c r="AF2" s="1655"/>
      <c r="AG2" s="1655"/>
      <c r="AJ2" s="85"/>
      <c r="AK2" s="85"/>
      <c r="AL2" s="1631" t="s">
        <v>412</v>
      </c>
      <c r="AM2" s="1631"/>
      <c r="AN2" s="86"/>
      <c r="AO2" s="85"/>
      <c r="AP2" s="85"/>
    </row>
    <row r="3" spans="1:46" ht="12.75" customHeight="1" x14ac:dyDescent="0.25">
      <c r="A3" s="81"/>
      <c r="B3" s="1633"/>
      <c r="C3" s="1633"/>
      <c r="D3" s="1633"/>
      <c r="E3" s="1633"/>
      <c r="F3" s="1633"/>
      <c r="G3" s="1633"/>
      <c r="H3" s="1633"/>
      <c r="I3" s="1633"/>
      <c r="J3" s="1633"/>
      <c r="K3" s="1658"/>
      <c r="L3" s="270"/>
      <c r="M3" s="84"/>
      <c r="N3" s="84"/>
      <c r="O3" s="84"/>
      <c r="P3" s="84"/>
      <c r="Q3" s="84"/>
      <c r="R3" s="84"/>
      <c r="S3" s="84"/>
      <c r="AC3" s="83"/>
      <c r="AD3" s="83"/>
      <c r="AE3" s="1655"/>
      <c r="AF3" s="1655"/>
      <c r="AG3" s="1655"/>
      <c r="AJ3" s="349"/>
      <c r="AK3" s="88"/>
      <c r="AL3" s="89"/>
      <c r="AM3" s="89"/>
      <c r="AN3" s="89"/>
      <c r="AO3" s="88"/>
      <c r="AP3" s="88"/>
    </row>
    <row r="4" spans="1:46" ht="69" customHeight="1" x14ac:dyDescent="0.2">
      <c r="A4" s="75" t="s">
        <v>903</v>
      </c>
      <c r="B4" s="75" t="s">
        <v>241</v>
      </c>
      <c r="C4" s="90" t="s">
        <v>242</v>
      </c>
      <c r="D4" s="75" t="s">
        <v>231</v>
      </c>
      <c r="E4" s="91" t="s">
        <v>234</v>
      </c>
      <c r="F4" s="91" t="s">
        <v>243</v>
      </c>
      <c r="G4" s="75" t="s">
        <v>244</v>
      </c>
      <c r="H4" s="197" t="s">
        <v>245</v>
      </c>
      <c r="I4" s="75" t="s">
        <v>246</v>
      </c>
      <c r="J4" s="75" t="s">
        <v>247</v>
      </c>
      <c r="K4" s="75" t="s">
        <v>248</v>
      </c>
      <c r="L4" s="75" t="s">
        <v>249</v>
      </c>
      <c r="M4" s="84"/>
      <c r="N4" s="84"/>
      <c r="O4" s="84"/>
      <c r="P4" s="84"/>
      <c r="Q4" s="84"/>
      <c r="AA4" s="229"/>
      <c r="AB4" s="231"/>
      <c r="AC4" s="229"/>
      <c r="AD4" s="229"/>
      <c r="AE4" s="229"/>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454"/>
      <c r="B5" s="459" t="s">
        <v>220</v>
      </c>
      <c r="C5" s="97" t="s">
        <v>14</v>
      </c>
      <c r="D5" s="103">
        <f>I51/H51</f>
        <v>5747.2413793103451</v>
      </c>
      <c r="E5" s="99">
        <f>H52</f>
        <v>7.0406284182008649</v>
      </c>
      <c r="F5" s="109">
        <v>1</v>
      </c>
      <c r="G5" s="101">
        <f t="shared" ref="G5:G21" si="0">D5*E5</f>
        <v>40464.190981432352</v>
      </c>
      <c r="H5" s="102">
        <f t="shared" ref="H5:H21" si="1">G5*F5</f>
        <v>40464.190981432352</v>
      </c>
      <c r="I5" s="65">
        <f>VLOOKUP(B5,All_Ingredients!$A$1:$F$156,6,FALSE())</f>
        <v>0.86</v>
      </c>
      <c r="J5" s="101">
        <f>VLOOKUP(B5,All_Ingredients!$A$1:$J$156,10,FALSE())</f>
        <v>17.100000000000001</v>
      </c>
      <c r="K5" s="104">
        <f t="shared" ref="K5" si="2">(H5/I5)/1000</f>
        <v>47.051384862130639</v>
      </c>
      <c r="L5" s="104">
        <f t="shared" ref="L5" si="3">K5*J5</f>
        <v>804.57868114243399</v>
      </c>
      <c r="M5" s="84"/>
      <c r="N5" s="84"/>
      <c r="O5" s="84"/>
      <c r="P5" s="84"/>
      <c r="Q5" s="84"/>
      <c r="AA5" s="76"/>
      <c r="AB5" s="114"/>
      <c r="AC5" s="232"/>
      <c r="AD5" s="116"/>
      <c r="AE5" s="117"/>
      <c r="AJ5" s="350" t="s">
        <v>220</v>
      </c>
      <c r="AK5" s="106" t="s">
        <v>227</v>
      </c>
      <c r="AL5" s="351">
        <v>10</v>
      </c>
      <c r="AM5" s="352">
        <f t="shared" ref="AM5:AM17" si="4">$AO$1</f>
        <v>4.0464190981432351</v>
      </c>
      <c r="AN5" s="353">
        <v>1</v>
      </c>
      <c r="AO5" s="354">
        <f t="shared" ref="AO5:AO17" si="5">AL5*AM5</f>
        <v>40.464190981432353</v>
      </c>
      <c r="AP5" s="355">
        <f t="shared" ref="AP5:AP17" si="6">AO5*AN5</f>
        <v>40.464190981432353</v>
      </c>
      <c r="AQ5" s="272"/>
      <c r="AR5" s="1017"/>
      <c r="AS5" s="156"/>
      <c r="AT5" s="1018"/>
    </row>
    <row r="6" spans="1:46" ht="14.25" customHeight="1" x14ac:dyDescent="0.25">
      <c r="A6" s="1471" t="s">
        <v>920</v>
      </c>
      <c r="B6" s="200" t="s">
        <v>12</v>
      </c>
      <c r="C6" s="106" t="s">
        <v>14</v>
      </c>
      <c r="D6" s="107">
        <v>200</v>
      </c>
      <c r="E6" s="177">
        <f t="shared" ref="E6:E21" si="7">$I$1</f>
        <v>7.1118881118881188</v>
      </c>
      <c r="F6" s="109">
        <v>0.95</v>
      </c>
      <c r="G6" s="101">
        <f t="shared" si="0"/>
        <v>1422.3776223776238</v>
      </c>
      <c r="H6" s="102">
        <f t="shared" si="1"/>
        <v>1351.2587412587425</v>
      </c>
      <c r="I6" s="65">
        <f>VLOOKUP(B6,All_Ingredients!$A$1:$F$156,6,FALSE())</f>
        <v>0.9</v>
      </c>
      <c r="J6" s="101">
        <f>VLOOKUP(B6,All_Ingredients!$A$1:$J$156,10,FALSE())</f>
        <v>3</v>
      </c>
      <c r="K6" s="104">
        <f t="shared" ref="K6:K21" si="8">(H6/I6)/1000</f>
        <v>1.5013986013986027</v>
      </c>
      <c r="L6" s="104">
        <f t="shared" ref="L6:L21" si="9">K6*J6</f>
        <v>4.5041958041958079</v>
      </c>
      <c r="AJ6" s="350" t="s">
        <v>54</v>
      </c>
      <c r="AK6" s="106" t="s">
        <v>14</v>
      </c>
      <c r="AL6" s="351">
        <v>500</v>
      </c>
      <c r="AM6" s="352">
        <f t="shared" si="4"/>
        <v>4.0464190981432351</v>
      </c>
      <c r="AN6" s="353">
        <v>1</v>
      </c>
      <c r="AO6" s="354">
        <f t="shared" si="5"/>
        <v>2023.2095490716176</v>
      </c>
      <c r="AP6" s="355">
        <f t="shared" si="6"/>
        <v>2023.2095490716176</v>
      </c>
      <c r="AQ6" s="1018">
        <f>VLOOKUP(AJ6,Marination_Ordering!$A:$J,6,FALSE)</f>
        <v>0.87</v>
      </c>
      <c r="AR6" s="1018">
        <f>VLOOKUP(AJ6,Marination_Ordering!$A:$J,10,FALSE)</f>
        <v>7</v>
      </c>
      <c r="AS6" s="156">
        <f>AP6/AQ6</f>
        <v>2325.5282173236983</v>
      </c>
      <c r="AT6" s="1018">
        <f>AR6*(AS6/1000)</f>
        <v>16.27869752126589</v>
      </c>
    </row>
    <row r="7" spans="1:46" ht="14.25" customHeight="1" x14ac:dyDescent="0.25">
      <c r="A7" s="1471" t="s">
        <v>909</v>
      </c>
      <c r="B7" s="200" t="s">
        <v>17</v>
      </c>
      <c r="C7" s="106" t="s">
        <v>14</v>
      </c>
      <c r="D7" s="107">
        <v>500</v>
      </c>
      <c r="E7" s="177">
        <f t="shared" si="7"/>
        <v>7.1118881118881188</v>
      </c>
      <c r="F7" s="109">
        <v>0.95</v>
      </c>
      <c r="G7" s="101">
        <f t="shared" si="0"/>
        <v>3555.9440559440595</v>
      </c>
      <c r="H7" s="102">
        <f t="shared" si="1"/>
        <v>3378.1468531468563</v>
      </c>
      <c r="I7" s="65">
        <f>VLOOKUP(B7,All_Ingredients!$A$1:$F$156,6,FALSE())</f>
        <v>0.98</v>
      </c>
      <c r="J7" s="101">
        <f>VLOOKUP(B7,All_Ingredients!$A$1:$J$156,10,FALSE())</f>
        <v>3.5</v>
      </c>
      <c r="K7" s="104">
        <f t="shared" si="8"/>
        <v>3.4470886256600575</v>
      </c>
      <c r="L7" s="104">
        <f t="shared" si="9"/>
        <v>12.064810189810201</v>
      </c>
      <c r="AJ7" s="350" t="s">
        <v>727</v>
      </c>
      <c r="AK7" s="106" t="s">
        <v>14</v>
      </c>
      <c r="AL7" s="351">
        <v>300</v>
      </c>
      <c r="AM7" s="352">
        <f t="shared" si="4"/>
        <v>4.0464190981432351</v>
      </c>
      <c r="AN7" s="353">
        <v>1</v>
      </c>
      <c r="AO7" s="354">
        <f t="shared" si="5"/>
        <v>1213.9257294429706</v>
      </c>
      <c r="AP7" s="355">
        <f t="shared" si="6"/>
        <v>1213.9257294429706</v>
      </c>
      <c r="AQ7" s="1018">
        <f>VLOOKUP(AJ7,Marination_Ordering!$A:$J,6,FALSE)</f>
        <v>1</v>
      </c>
      <c r="AR7" s="1018">
        <f>VLOOKUP(AJ7,Marination_Ordering!$A:$J,10,FALSE)</f>
        <v>10.5</v>
      </c>
      <c r="AS7" s="156">
        <f t="shared" ref="AS7:AS9" si="10">AP7/AQ7</f>
        <v>1213.9257294429706</v>
      </c>
      <c r="AT7" s="1018">
        <f t="shared" ref="AT7:AT9" si="11">AR7*(AS7/1000)</f>
        <v>12.746220159151191</v>
      </c>
    </row>
    <row r="8" spans="1:46" ht="14.25" customHeight="1" x14ac:dyDescent="0.25">
      <c r="A8" s="1471" t="s">
        <v>906</v>
      </c>
      <c r="B8" s="200" t="s">
        <v>54</v>
      </c>
      <c r="C8" s="106" t="s">
        <v>14</v>
      </c>
      <c r="D8" s="107">
        <v>25</v>
      </c>
      <c r="E8" s="177">
        <f t="shared" si="7"/>
        <v>7.1118881118881188</v>
      </c>
      <c r="F8" s="109">
        <v>1</v>
      </c>
      <c r="G8" s="101">
        <f t="shared" si="0"/>
        <v>177.79720279720297</v>
      </c>
      <c r="H8" s="102">
        <f t="shared" si="1"/>
        <v>177.79720279720297</v>
      </c>
      <c r="I8" s="65">
        <f>VLOOKUP(B8,All_Ingredients!$A$1:$F$156,6,FALSE())</f>
        <v>0.87</v>
      </c>
      <c r="J8" s="101">
        <f>VLOOKUP(B8,All_Ingredients!$A$1:$J$156,10,FALSE())</f>
        <v>7</v>
      </c>
      <c r="K8" s="104">
        <f t="shared" si="8"/>
        <v>0.20436460091632525</v>
      </c>
      <c r="L8" s="104">
        <f t="shared" si="9"/>
        <v>1.4305522064142768</v>
      </c>
      <c r="AJ8" s="350" t="s">
        <v>105</v>
      </c>
      <c r="AK8" s="106" t="s">
        <v>14</v>
      </c>
      <c r="AL8" s="351">
        <v>10</v>
      </c>
      <c r="AM8" s="352">
        <f t="shared" si="4"/>
        <v>4.0464190981432351</v>
      </c>
      <c r="AN8" s="353">
        <v>1</v>
      </c>
      <c r="AO8" s="354">
        <f t="shared" si="5"/>
        <v>40.464190981432353</v>
      </c>
      <c r="AP8" s="355">
        <f t="shared" si="6"/>
        <v>40.464190981432353</v>
      </c>
      <c r="AQ8" s="1018">
        <f>VLOOKUP(AJ8,Marination_Ordering!$A:$J,6,FALSE)</f>
        <v>1</v>
      </c>
      <c r="AR8" s="1018">
        <f>VLOOKUP(AJ8,Marination_Ordering!$A:$J,10,FALSE)</f>
        <v>15</v>
      </c>
      <c r="AS8" s="156">
        <f t="shared" si="10"/>
        <v>40.464190981432353</v>
      </c>
      <c r="AT8" s="1018">
        <f t="shared" si="11"/>
        <v>0.6069628647214852</v>
      </c>
    </row>
    <row r="9" spans="1:46" ht="14.25" customHeight="1" x14ac:dyDescent="0.25">
      <c r="A9" s="1471" t="s">
        <v>907</v>
      </c>
      <c r="B9" s="200" t="s">
        <v>727</v>
      </c>
      <c r="C9" s="106" t="s">
        <v>14</v>
      </c>
      <c r="D9" s="107">
        <v>40</v>
      </c>
      <c r="E9" s="177">
        <f t="shared" si="7"/>
        <v>7.1118881118881188</v>
      </c>
      <c r="F9" s="109">
        <v>1</v>
      </c>
      <c r="G9" s="101">
        <f t="shared" si="0"/>
        <v>284.47552447552476</v>
      </c>
      <c r="H9" s="102">
        <f t="shared" si="1"/>
        <v>284.47552447552476</v>
      </c>
      <c r="I9" s="65">
        <f>VLOOKUP(B9,All_Ingredients!$A$1:$F$156,6,FALSE())</f>
        <v>1</v>
      </c>
      <c r="J9" s="101">
        <f>VLOOKUP(B9,All_Ingredients!$A$1:$J$156,10,FALSE())</f>
        <v>10.5</v>
      </c>
      <c r="K9" s="104">
        <f t="shared" si="8"/>
        <v>0.28447552447552477</v>
      </c>
      <c r="L9" s="104">
        <f t="shared" si="9"/>
        <v>2.9869930069930102</v>
      </c>
      <c r="AJ9" s="350" t="s">
        <v>107</v>
      </c>
      <c r="AK9" s="106" t="s">
        <v>14</v>
      </c>
      <c r="AL9" s="351">
        <v>150</v>
      </c>
      <c r="AM9" s="352">
        <f t="shared" si="4"/>
        <v>4.0464190981432351</v>
      </c>
      <c r="AN9" s="353">
        <v>1</v>
      </c>
      <c r="AO9" s="354">
        <f t="shared" si="5"/>
        <v>606.96286472148529</v>
      </c>
      <c r="AP9" s="355">
        <f t="shared" si="6"/>
        <v>606.96286472148529</v>
      </c>
      <c r="AQ9" s="1018">
        <f>VLOOKUP(AJ9,Marination_Ordering!$A:$J,6,FALSE)</f>
        <v>1</v>
      </c>
      <c r="AR9" s="1018">
        <f>VLOOKUP(AJ9,Marination_Ordering!$A:$J,10,FALSE)</f>
        <v>8</v>
      </c>
      <c r="AS9" s="156">
        <f t="shared" si="10"/>
        <v>606.96286472148529</v>
      </c>
      <c r="AT9" s="1018">
        <f t="shared" si="11"/>
        <v>4.8557029177718825</v>
      </c>
    </row>
    <row r="10" spans="1:46" ht="14.25" customHeight="1" x14ac:dyDescent="0.25">
      <c r="A10" s="1471"/>
      <c r="B10" s="200" t="s">
        <v>118</v>
      </c>
      <c r="C10" s="106" t="s">
        <v>14</v>
      </c>
      <c r="D10" s="107">
        <v>5</v>
      </c>
      <c r="E10" s="177">
        <f t="shared" si="7"/>
        <v>7.1118881118881188</v>
      </c>
      <c r="F10" s="109">
        <v>0.75</v>
      </c>
      <c r="G10" s="101">
        <f t="shared" si="0"/>
        <v>35.559440559440596</v>
      </c>
      <c r="H10" s="102">
        <f t="shared" si="1"/>
        <v>26.669580419580448</v>
      </c>
      <c r="I10" s="65">
        <f>VLOOKUP(B10,All_Ingredients!$A$1:$F$156,6,FALSE())</f>
        <v>1</v>
      </c>
      <c r="J10" s="101">
        <f>VLOOKUP(B10,All_Ingredients!$A$1:$J$156,10,FALSE())</f>
        <v>15</v>
      </c>
      <c r="K10" s="104">
        <f t="shared" si="8"/>
        <v>2.6669580419580449E-2</v>
      </c>
      <c r="L10" s="104">
        <f t="shared" si="9"/>
        <v>0.40004370629370672</v>
      </c>
      <c r="AJ10" s="350" t="s">
        <v>93</v>
      </c>
      <c r="AK10" s="106" t="s">
        <v>14</v>
      </c>
      <c r="AL10" s="351">
        <v>30</v>
      </c>
      <c r="AM10" s="352">
        <f t="shared" si="4"/>
        <v>4.0464190981432351</v>
      </c>
      <c r="AN10" s="353">
        <v>1</v>
      </c>
      <c r="AO10" s="354">
        <f t="shared" si="5"/>
        <v>121.39257294429706</v>
      </c>
      <c r="AP10" s="355">
        <f t="shared" si="6"/>
        <v>121.39257294429706</v>
      </c>
      <c r="AQ10" s="1018">
        <f>VLOOKUP(AJ10,Marination_Ordering!$A:$J,6,FALSE)</f>
        <v>1</v>
      </c>
      <c r="AR10" s="1018">
        <f>VLOOKUP(AJ10,Marination_Ordering!$A:$J,10,FALSE)</f>
        <v>0.74</v>
      </c>
      <c r="AS10" s="156">
        <f t="shared" ref="AS10:AS17" si="12">AP10/AQ10</f>
        <v>121.39257294429706</v>
      </c>
      <c r="AT10" s="1018">
        <f t="shared" ref="AT10:AT17" si="13">AR10*(AS10/1000)</f>
        <v>8.9830503978779827E-2</v>
      </c>
    </row>
    <row r="11" spans="1:46" ht="14.25" customHeight="1" x14ac:dyDescent="0.25">
      <c r="A11" s="1471"/>
      <c r="B11" s="200" t="s">
        <v>105</v>
      </c>
      <c r="C11" s="106" t="s">
        <v>14</v>
      </c>
      <c r="D11" s="107">
        <v>15</v>
      </c>
      <c r="E11" s="177">
        <f t="shared" si="7"/>
        <v>7.1118881118881188</v>
      </c>
      <c r="F11" s="109">
        <v>1</v>
      </c>
      <c r="G11" s="101">
        <f t="shared" si="0"/>
        <v>106.67832167832178</v>
      </c>
      <c r="H11" s="102">
        <f t="shared" si="1"/>
        <v>106.67832167832178</v>
      </c>
      <c r="I11" s="65">
        <f>VLOOKUP(B11,All_Ingredients!$A$1:$F$156,6,FALSE())</f>
        <v>1</v>
      </c>
      <c r="J11" s="101">
        <f>VLOOKUP(B11,All_Ingredients!$A$1:$J$156,10,FALSE())</f>
        <v>15</v>
      </c>
      <c r="K11" s="104">
        <f t="shared" si="8"/>
        <v>0.10667832167832178</v>
      </c>
      <c r="L11" s="104">
        <f t="shared" si="9"/>
        <v>1.6001748251748267</v>
      </c>
      <c r="AJ11" s="350" t="s">
        <v>99</v>
      </c>
      <c r="AK11" s="106" t="s">
        <v>14</v>
      </c>
      <c r="AL11" s="351">
        <v>10</v>
      </c>
      <c r="AM11" s="352">
        <f t="shared" si="4"/>
        <v>4.0464190981432351</v>
      </c>
      <c r="AN11" s="353">
        <v>1</v>
      </c>
      <c r="AO11" s="354">
        <f t="shared" si="5"/>
        <v>40.464190981432353</v>
      </c>
      <c r="AP11" s="355">
        <f t="shared" si="6"/>
        <v>40.464190981432353</v>
      </c>
      <c r="AQ11" s="1018">
        <f>VLOOKUP(AJ11,Marination_Ordering!$A:$J,6,FALSE)</f>
        <v>1</v>
      </c>
      <c r="AR11" s="1018">
        <f>VLOOKUP(AJ11,Marination_Ordering!$A:$J,10,FALSE)</f>
        <v>31</v>
      </c>
      <c r="AS11" s="156">
        <f t="shared" si="12"/>
        <v>40.464190981432353</v>
      </c>
      <c r="AT11" s="1018">
        <f t="shared" si="13"/>
        <v>1.2543899204244029</v>
      </c>
    </row>
    <row r="12" spans="1:46" ht="14.25" customHeight="1" x14ac:dyDescent="0.25">
      <c r="A12" s="1471"/>
      <c r="B12" s="200" t="s">
        <v>135</v>
      </c>
      <c r="C12" s="106" t="s">
        <v>14</v>
      </c>
      <c r="D12" s="107">
        <v>25</v>
      </c>
      <c r="E12" s="177">
        <f t="shared" si="7"/>
        <v>7.1118881118881188</v>
      </c>
      <c r="F12" s="109">
        <v>0.75</v>
      </c>
      <c r="G12" s="101">
        <f t="shared" si="0"/>
        <v>177.79720279720297</v>
      </c>
      <c r="H12" s="102">
        <f t="shared" si="1"/>
        <v>133.34790209790222</v>
      </c>
      <c r="I12" s="65">
        <f>VLOOKUP(B12,All_Ingredients!$A$1:$F$156,6,FALSE())</f>
        <v>1</v>
      </c>
      <c r="J12" s="101">
        <f>VLOOKUP(B12,All_Ingredients!$A$1:$J$156,10,FALSE())</f>
        <v>43</v>
      </c>
      <c r="K12" s="104">
        <f t="shared" si="8"/>
        <v>0.13334790209790223</v>
      </c>
      <c r="L12" s="104">
        <f t="shared" si="9"/>
        <v>5.7339597902097958</v>
      </c>
      <c r="AJ12" s="350" t="s">
        <v>113</v>
      </c>
      <c r="AK12" s="106" t="s">
        <v>14</v>
      </c>
      <c r="AL12" s="351">
        <v>25</v>
      </c>
      <c r="AM12" s="352">
        <f t="shared" si="4"/>
        <v>4.0464190981432351</v>
      </c>
      <c r="AN12" s="353">
        <v>1</v>
      </c>
      <c r="AO12" s="354">
        <f t="shared" si="5"/>
        <v>101.16047745358088</v>
      </c>
      <c r="AP12" s="355">
        <f t="shared" si="6"/>
        <v>101.16047745358088</v>
      </c>
      <c r="AQ12" s="1018">
        <f>VLOOKUP(AJ12,Marination_Ordering!$A:$J,6,FALSE)</f>
        <v>1</v>
      </c>
      <c r="AR12" s="1018">
        <f>VLOOKUP(AJ12,Marination_Ordering!$A:$J,10,FALSE)</f>
        <v>20</v>
      </c>
      <c r="AS12" s="156">
        <f t="shared" si="12"/>
        <v>101.16047745358088</v>
      </c>
      <c r="AT12" s="1018">
        <f t="shared" si="13"/>
        <v>2.0232095490716175</v>
      </c>
    </row>
    <row r="13" spans="1:46" ht="14.25" customHeight="1" x14ac:dyDescent="0.25">
      <c r="A13" s="1471"/>
      <c r="B13" s="200" t="s">
        <v>168</v>
      </c>
      <c r="C13" s="106" t="s">
        <v>14</v>
      </c>
      <c r="D13" s="107">
        <v>300</v>
      </c>
      <c r="E13" s="177">
        <f t="shared" si="7"/>
        <v>7.1118881118881188</v>
      </c>
      <c r="F13" s="109">
        <v>1</v>
      </c>
      <c r="G13" s="101">
        <f t="shared" si="0"/>
        <v>2133.5664335664355</v>
      </c>
      <c r="H13" s="102">
        <f t="shared" si="1"/>
        <v>2133.5664335664355</v>
      </c>
      <c r="I13" s="65">
        <f>VLOOKUP(B13,All_Ingredients!$A$1:$F$156,6,FALSE())</f>
        <v>1</v>
      </c>
      <c r="J13" s="101">
        <f>VLOOKUP(B13,All_Ingredients!$A$1:$J$156,10,FALSE())</f>
        <v>13.545454545454545</v>
      </c>
      <c r="K13" s="104">
        <f t="shared" si="8"/>
        <v>2.1335664335664357</v>
      </c>
      <c r="L13" s="104">
        <f t="shared" si="9"/>
        <v>28.90012714558172</v>
      </c>
      <c r="AJ13" s="350" t="s">
        <v>212</v>
      </c>
      <c r="AK13" s="106" t="s">
        <v>160</v>
      </c>
      <c r="AL13" s="351">
        <v>500</v>
      </c>
      <c r="AM13" s="352">
        <f t="shared" si="4"/>
        <v>4.0464190981432351</v>
      </c>
      <c r="AN13" s="353">
        <v>1</v>
      </c>
      <c r="AO13" s="354">
        <f t="shared" si="5"/>
        <v>2023.2095490716176</v>
      </c>
      <c r="AP13" s="355">
        <f t="shared" si="6"/>
        <v>2023.2095490716176</v>
      </c>
      <c r="AQ13" s="1018">
        <f>VLOOKUP(AJ13,Marination_Ordering!$A:$J,6,FALSE)</f>
        <v>1</v>
      </c>
      <c r="AR13" s="1018">
        <f>VLOOKUP(AJ13,Marination_Ordering!$A:$J,10,FALSE)</f>
        <v>5</v>
      </c>
      <c r="AS13" s="156">
        <f t="shared" si="12"/>
        <v>2023.2095490716176</v>
      </c>
      <c r="AT13" s="1018">
        <f t="shared" si="13"/>
        <v>10.116047745358088</v>
      </c>
    </row>
    <row r="14" spans="1:46" ht="14.25" customHeight="1" x14ac:dyDescent="0.25">
      <c r="A14" s="1471"/>
      <c r="B14" s="200" t="s">
        <v>166</v>
      </c>
      <c r="C14" s="106" t="s">
        <v>160</v>
      </c>
      <c r="D14" s="107">
        <v>300</v>
      </c>
      <c r="E14" s="177">
        <f t="shared" si="7"/>
        <v>7.1118881118881188</v>
      </c>
      <c r="F14" s="109">
        <v>1</v>
      </c>
      <c r="G14" s="101">
        <f t="shared" si="0"/>
        <v>2133.5664335664355</v>
      </c>
      <c r="H14" s="102">
        <f t="shared" si="1"/>
        <v>2133.5664335664355</v>
      </c>
      <c r="I14" s="65">
        <f>VLOOKUP(B14,All_Ingredients!$A$1:$F$156,6,FALSE())</f>
        <v>1</v>
      </c>
      <c r="J14" s="101">
        <f>VLOOKUP(B14,All_Ingredients!$A$1:$J$156,10,FALSE())</f>
        <v>12.666666666666666</v>
      </c>
      <c r="K14" s="104">
        <f t="shared" si="8"/>
        <v>2.1335664335664357</v>
      </c>
      <c r="L14" s="104">
        <f t="shared" si="9"/>
        <v>27.025174825174851</v>
      </c>
      <c r="AJ14" s="350" t="s">
        <v>163</v>
      </c>
      <c r="AK14" s="106" t="s">
        <v>14</v>
      </c>
      <c r="AL14" s="351">
        <v>50</v>
      </c>
      <c r="AM14" s="352">
        <f t="shared" si="4"/>
        <v>4.0464190981432351</v>
      </c>
      <c r="AN14" s="353">
        <v>1</v>
      </c>
      <c r="AO14" s="354">
        <f t="shared" si="5"/>
        <v>202.32095490716176</v>
      </c>
      <c r="AP14" s="355">
        <f t="shared" si="6"/>
        <v>202.32095490716176</v>
      </c>
      <c r="AQ14" s="1018">
        <f>VLOOKUP(AJ14,Marination_Ordering!$A:$J,6,FALSE)</f>
        <v>1</v>
      </c>
      <c r="AR14" s="1018">
        <f>VLOOKUP(AJ14,Marination_Ordering!$A:$J,10,FALSE)</f>
        <v>6.6959999999999997</v>
      </c>
      <c r="AS14" s="156">
        <f t="shared" si="12"/>
        <v>202.32095490716176</v>
      </c>
      <c r="AT14" s="1018">
        <f t="shared" si="13"/>
        <v>1.3547411140583552</v>
      </c>
    </row>
    <row r="15" spans="1:46" ht="14.25" customHeight="1" x14ac:dyDescent="0.25">
      <c r="A15" s="1471"/>
      <c r="B15" s="200" t="s">
        <v>60</v>
      </c>
      <c r="C15" s="106" t="s">
        <v>14</v>
      </c>
      <c r="D15" s="107">
        <v>30</v>
      </c>
      <c r="E15" s="177">
        <f t="shared" si="7"/>
        <v>7.1118881118881188</v>
      </c>
      <c r="F15" s="109">
        <v>1</v>
      </c>
      <c r="G15" s="101">
        <f t="shared" si="0"/>
        <v>213.35664335664356</v>
      </c>
      <c r="H15" s="102">
        <f t="shared" si="1"/>
        <v>213.35664335664356</v>
      </c>
      <c r="I15" s="65">
        <f>VLOOKUP(B15,All_Ingredients!$A$1:$F$156,6,FALSE())</f>
        <v>0.94</v>
      </c>
      <c r="J15" s="101">
        <f>VLOOKUP(B15,All_Ingredients!$A$1:$J$156,10,FALSE())</f>
        <v>3.6363636363636367</v>
      </c>
      <c r="K15" s="104">
        <f t="shared" si="8"/>
        <v>0.22697515250706762</v>
      </c>
      <c r="L15" s="104">
        <f t="shared" si="9"/>
        <v>0.82536419093479141</v>
      </c>
      <c r="AJ15" s="350" t="s">
        <v>152</v>
      </c>
      <c r="AK15" s="106" t="s">
        <v>14</v>
      </c>
      <c r="AL15" s="351">
        <v>100</v>
      </c>
      <c r="AM15" s="352">
        <f t="shared" si="4"/>
        <v>4.0464190981432351</v>
      </c>
      <c r="AN15" s="353">
        <v>1</v>
      </c>
      <c r="AO15" s="354">
        <f t="shared" si="5"/>
        <v>404.64190981432353</v>
      </c>
      <c r="AP15" s="355">
        <f t="shared" si="6"/>
        <v>404.64190981432353</v>
      </c>
      <c r="AQ15" s="1018">
        <f>VLOOKUP(AJ15,Marination_Ordering!$A:$J,6,FALSE)</f>
        <v>1</v>
      </c>
      <c r="AR15" s="1018">
        <f>VLOOKUP(AJ15,Marination_Ordering!$A:$J,10,FALSE)</f>
        <v>30</v>
      </c>
      <c r="AS15" s="156">
        <f t="shared" si="12"/>
        <v>404.64190981432353</v>
      </c>
      <c r="AT15" s="1018">
        <f t="shared" si="13"/>
        <v>12.139257294429706</v>
      </c>
    </row>
    <row r="16" spans="1:46" ht="14.25" customHeight="1" x14ac:dyDescent="0.25">
      <c r="A16" s="1471"/>
      <c r="B16" s="200" t="s">
        <v>68</v>
      </c>
      <c r="C16" s="106" t="s">
        <v>14</v>
      </c>
      <c r="D16" s="107">
        <v>25</v>
      </c>
      <c r="E16" s="177">
        <f t="shared" si="7"/>
        <v>7.1118881118881188</v>
      </c>
      <c r="F16" s="109">
        <v>1</v>
      </c>
      <c r="G16" s="101">
        <f t="shared" si="0"/>
        <v>177.79720279720297</v>
      </c>
      <c r="H16" s="102">
        <f t="shared" si="1"/>
        <v>177.79720279720297</v>
      </c>
      <c r="I16" s="65">
        <f>VLOOKUP(B16,All_Ingredients!$A$1:$F$156,6,FALSE())</f>
        <v>0.43</v>
      </c>
      <c r="J16" s="101">
        <f>VLOOKUP(B16,All_Ingredients!$A$1:$J$156,10,FALSE())</f>
        <v>3.333333333333333</v>
      </c>
      <c r="K16" s="104">
        <f t="shared" si="8"/>
        <v>0.41348186697023948</v>
      </c>
      <c r="L16" s="104">
        <f t="shared" si="9"/>
        <v>1.3782728899007981</v>
      </c>
      <c r="AJ16" s="350" t="s">
        <v>214</v>
      </c>
      <c r="AK16" s="106" t="s">
        <v>14</v>
      </c>
      <c r="AL16" s="351">
        <v>2</v>
      </c>
      <c r="AM16" s="352">
        <f t="shared" si="4"/>
        <v>4.0464190981432351</v>
      </c>
      <c r="AN16" s="353">
        <v>1</v>
      </c>
      <c r="AO16" s="354">
        <f t="shared" si="5"/>
        <v>8.0928381962864702</v>
      </c>
      <c r="AP16" s="355">
        <f t="shared" si="6"/>
        <v>8.0928381962864702</v>
      </c>
      <c r="AQ16" s="1018">
        <f>VLOOKUP(AJ16,Marination_Ordering!$A:$J,6,FALSE)</f>
        <v>1</v>
      </c>
      <c r="AR16" s="1018">
        <f>VLOOKUP(AJ16,Marination_Ordering!$A:$J,10,FALSE)</f>
        <v>35</v>
      </c>
      <c r="AS16" s="156">
        <f t="shared" si="12"/>
        <v>8.0928381962864702</v>
      </c>
      <c r="AT16" s="1018">
        <f t="shared" si="13"/>
        <v>0.28324933687002646</v>
      </c>
    </row>
    <row r="17" spans="1:46" ht="14.25" customHeight="1" x14ac:dyDescent="0.25">
      <c r="A17" s="1471"/>
      <c r="B17" s="200" t="s">
        <v>93</v>
      </c>
      <c r="C17" s="106" t="s">
        <v>14</v>
      </c>
      <c r="D17" s="107">
        <v>11</v>
      </c>
      <c r="E17" s="177">
        <f t="shared" si="7"/>
        <v>7.1118881118881188</v>
      </c>
      <c r="F17" s="109">
        <v>0.75</v>
      </c>
      <c r="G17" s="101">
        <f t="shared" si="0"/>
        <v>78.230769230769312</v>
      </c>
      <c r="H17" s="102">
        <f t="shared" si="1"/>
        <v>58.673076923076984</v>
      </c>
      <c r="I17" s="65">
        <f>VLOOKUP(B17,All_Ingredients!$A$1:$F$156,6,FALSE())</f>
        <v>1</v>
      </c>
      <c r="J17" s="101">
        <f>VLOOKUP(B17,All_Ingredients!$A$1:$J$156,10,FALSE())</f>
        <v>0.74</v>
      </c>
      <c r="K17" s="104">
        <f t="shared" si="8"/>
        <v>5.8673076923076981E-2</v>
      </c>
      <c r="L17" s="104">
        <f t="shared" si="9"/>
        <v>4.3418076923076962E-2</v>
      </c>
      <c r="AJ17" s="350" t="s">
        <v>208</v>
      </c>
      <c r="AK17" s="106" t="s">
        <v>160</v>
      </c>
      <c r="AL17" s="351">
        <v>100</v>
      </c>
      <c r="AM17" s="352">
        <f t="shared" si="4"/>
        <v>4.0464190981432351</v>
      </c>
      <c r="AN17" s="353">
        <v>1</v>
      </c>
      <c r="AO17" s="354">
        <f t="shared" si="5"/>
        <v>404.64190981432353</v>
      </c>
      <c r="AP17" s="355">
        <f t="shared" si="6"/>
        <v>404.64190981432353</v>
      </c>
      <c r="AQ17" s="1018">
        <f>VLOOKUP(AJ17,Marination_Ordering!$A:$J,6,FALSE)</f>
        <v>1</v>
      </c>
      <c r="AR17" s="1018">
        <f>VLOOKUP(AJ17,Marination_Ordering!$A:$J,10,FALSE)</f>
        <v>2.1621621621621623</v>
      </c>
      <c r="AS17" s="156">
        <f t="shared" si="12"/>
        <v>404.64190981432353</v>
      </c>
      <c r="AT17" s="1018">
        <f t="shared" si="13"/>
        <v>0.87490142662556436</v>
      </c>
    </row>
    <row r="18" spans="1:46" ht="14.25" customHeight="1" x14ac:dyDescent="0.25">
      <c r="A18" s="1471"/>
      <c r="B18" s="200" t="s">
        <v>113</v>
      </c>
      <c r="C18" s="106" t="s">
        <v>14</v>
      </c>
      <c r="D18" s="107">
        <v>5</v>
      </c>
      <c r="E18" s="177">
        <f t="shared" si="7"/>
        <v>7.1118881118881188</v>
      </c>
      <c r="F18" s="109">
        <v>0.75</v>
      </c>
      <c r="G18" s="101">
        <f t="shared" si="0"/>
        <v>35.559440559440596</v>
      </c>
      <c r="H18" s="102">
        <f t="shared" si="1"/>
        <v>26.669580419580448</v>
      </c>
      <c r="I18" s="65">
        <f>VLOOKUP(B18,All_Ingredients!$A$1:$F$156,6,FALSE())</f>
        <v>1</v>
      </c>
      <c r="J18" s="101">
        <f>VLOOKUP(B18,All_Ingredients!$A$1:$J$156,10,FALSE())</f>
        <v>20</v>
      </c>
      <c r="K18" s="104">
        <f t="shared" si="8"/>
        <v>2.6669580419580449E-2</v>
      </c>
      <c r="L18" s="104">
        <f t="shared" si="9"/>
        <v>0.53339160839160893</v>
      </c>
      <c r="Q18"/>
    </row>
    <row r="19" spans="1:46" ht="14.25" customHeight="1" x14ac:dyDescent="0.25">
      <c r="A19" s="1471"/>
      <c r="B19" s="200" t="s">
        <v>107</v>
      </c>
      <c r="C19" s="106" t="s">
        <v>14</v>
      </c>
      <c r="D19" s="107">
        <v>15</v>
      </c>
      <c r="E19" s="177">
        <f t="shared" si="7"/>
        <v>7.1118881118881188</v>
      </c>
      <c r="F19" s="109">
        <v>1</v>
      </c>
      <c r="G19" s="101">
        <f t="shared" si="0"/>
        <v>106.67832167832178</v>
      </c>
      <c r="H19" s="102">
        <f t="shared" si="1"/>
        <v>106.67832167832178</v>
      </c>
      <c r="I19" s="65">
        <f>VLOOKUP(B19,All_Ingredients!$A$1:$F$156,6,FALSE())</f>
        <v>1</v>
      </c>
      <c r="J19" s="101">
        <f>VLOOKUP(B19,All_Ingredients!$A$1:$J$156,10,FALSE())</f>
        <v>8</v>
      </c>
      <c r="K19" s="104">
        <f t="shared" si="8"/>
        <v>0.10667832167832178</v>
      </c>
      <c r="L19" s="104">
        <f t="shared" si="9"/>
        <v>0.85342657342657424</v>
      </c>
    </row>
    <row r="20" spans="1:46" ht="14.25" customHeight="1" x14ac:dyDescent="0.25">
      <c r="A20" s="1471"/>
      <c r="B20" s="200" t="s">
        <v>214</v>
      </c>
      <c r="C20" s="106" t="s">
        <v>14</v>
      </c>
      <c r="D20" s="107">
        <v>3</v>
      </c>
      <c r="E20" s="177">
        <f t="shared" si="7"/>
        <v>7.1118881118881188</v>
      </c>
      <c r="F20" s="109">
        <v>0.75</v>
      </c>
      <c r="G20" s="101">
        <f t="shared" si="0"/>
        <v>21.335664335664354</v>
      </c>
      <c r="H20" s="102">
        <f t="shared" si="1"/>
        <v>16.001748251748268</v>
      </c>
      <c r="I20" s="65">
        <f>VLOOKUP(B20,All_Ingredients!$A$1:$F$156,6,FALSE())</f>
        <v>1</v>
      </c>
      <c r="J20" s="101">
        <f>VLOOKUP(B20,All_Ingredients!$A$1:$J$156,10,FALSE())</f>
        <v>35</v>
      </c>
      <c r="K20" s="104">
        <f t="shared" si="8"/>
        <v>1.6001748251748268E-2</v>
      </c>
      <c r="L20" s="104">
        <f t="shared" si="9"/>
        <v>0.56006118881118938</v>
      </c>
    </row>
    <row r="21" spans="1:46" ht="14.25" customHeight="1" x14ac:dyDescent="0.25">
      <c r="A21" s="1471"/>
      <c r="B21" s="200" t="s">
        <v>152</v>
      </c>
      <c r="C21" s="106" t="s">
        <v>14</v>
      </c>
      <c r="D21" s="107">
        <v>60</v>
      </c>
      <c r="E21" s="177">
        <f t="shared" si="7"/>
        <v>7.1118881118881188</v>
      </c>
      <c r="F21" s="109">
        <v>1</v>
      </c>
      <c r="G21" s="101">
        <f t="shared" si="0"/>
        <v>426.71328671328712</v>
      </c>
      <c r="H21" s="102">
        <f t="shared" si="1"/>
        <v>426.71328671328712</v>
      </c>
      <c r="I21" s="65">
        <f>VLOOKUP(B21,All_Ingredients!$A$1:$F$156,6,FALSE())</f>
        <v>1</v>
      </c>
      <c r="J21" s="101">
        <f>VLOOKUP(B21,All_Ingredients!$A$1:$J$156,10,FALSE())</f>
        <v>30</v>
      </c>
      <c r="K21" s="104">
        <f t="shared" si="8"/>
        <v>0.42671328671328712</v>
      </c>
      <c r="L21" s="104">
        <f t="shared" si="9"/>
        <v>12.801398601398613</v>
      </c>
    </row>
    <row r="22" spans="1:46" ht="14.25" customHeight="1" x14ac:dyDescent="0.25">
      <c r="A22" s="1472"/>
      <c r="B22" s="84"/>
      <c r="C22" s="152"/>
      <c r="D22" s="152"/>
      <c r="E22" s="84"/>
      <c r="F22" s="84"/>
      <c r="G22" s="152"/>
      <c r="L22" s="274"/>
    </row>
    <row r="23" spans="1:46" ht="14.25" customHeight="1" x14ac:dyDescent="0.25">
      <c r="A23" s="1472"/>
      <c r="L23" s="274"/>
      <c r="Q23" s="384"/>
    </row>
    <row r="24" spans="1:46" ht="14.25" customHeight="1" x14ac:dyDescent="0.25">
      <c r="A24" s="1472"/>
      <c r="L24" s="274"/>
      <c r="Z24" s="1073"/>
    </row>
    <row r="25" spans="1:46" ht="14.25" customHeight="1" x14ac:dyDescent="0.25">
      <c r="A25" s="1472"/>
      <c r="L25" s="274"/>
      <c r="R25" s="1640" t="s">
        <v>412</v>
      </c>
      <c r="S25" s="1633"/>
      <c r="T25" s="1633"/>
      <c r="U25" s="1633"/>
      <c r="V25" s="997"/>
      <c r="Z25" s="122" t="s">
        <v>252</v>
      </c>
      <c r="AA25" s="123">
        <v>1</v>
      </c>
      <c r="AB25" s="122" t="s">
        <v>249</v>
      </c>
      <c r="AC25" s="1139">
        <f>(AA25*AD30)+(Z30*(AA28/R1))</f>
        <v>3.1788456066448194E-2</v>
      </c>
    </row>
    <row r="26" spans="1:46" ht="14.25" customHeight="1" x14ac:dyDescent="0.25">
      <c r="A26" s="1472"/>
      <c r="L26" s="274"/>
      <c r="R26" s="1654" t="s">
        <v>297</v>
      </c>
      <c r="S26" s="1633"/>
      <c r="T26" s="1633"/>
      <c r="U26" s="1633"/>
      <c r="V26" s="997"/>
    </row>
    <row r="27" spans="1:46" ht="14.25" customHeight="1" thickBot="1" x14ac:dyDescent="0.3">
      <c r="A27" s="1472"/>
      <c r="R27" s="126" t="s">
        <v>254</v>
      </c>
      <c r="S27" s="127" t="s">
        <v>255</v>
      </c>
      <c r="T27" s="127" t="s">
        <v>256</v>
      </c>
      <c r="U27" s="127" t="s">
        <v>257</v>
      </c>
      <c r="V27" s="127" t="s">
        <v>772</v>
      </c>
      <c r="W27" s="127" t="s">
        <v>779</v>
      </c>
      <c r="Y27" s="122" t="s">
        <v>258</v>
      </c>
      <c r="Z27" s="128" t="s">
        <v>772</v>
      </c>
      <c r="AA27" s="128" t="s">
        <v>259</v>
      </c>
      <c r="AB27" s="128" t="s">
        <v>260</v>
      </c>
      <c r="AC27" s="1032" t="s">
        <v>779</v>
      </c>
      <c r="AD27" s="128" t="s">
        <v>262</v>
      </c>
    </row>
    <row r="28" spans="1:46" ht="14.25" customHeight="1" thickBot="1" x14ac:dyDescent="0.3">
      <c r="A28" s="1472"/>
      <c r="R28" s="129" t="s">
        <v>263</v>
      </c>
      <c r="S28" s="690">
        <f>U28*S40</f>
        <v>23084.615384615379</v>
      </c>
      <c r="T28" s="690">
        <f>U28*U40</f>
        <v>6925.3846153846225</v>
      </c>
      <c r="U28" s="696">
        <f>$Z$1</f>
        <v>30010</v>
      </c>
      <c r="V28" s="130">
        <f>SUM(AP6:AP17)</f>
        <v>7190.4867374005289</v>
      </c>
      <c r="W28" s="130">
        <f>H37</f>
        <v>14.770000000000001</v>
      </c>
      <c r="Y28" s="132"/>
      <c r="Z28" s="1051"/>
      <c r="AA28" s="133">
        <f>AA25*$S$40</f>
        <v>0.76923076923076905</v>
      </c>
      <c r="AB28" s="133">
        <f>AA25-AA28</f>
        <v>0.23076923076923095</v>
      </c>
      <c r="AC28" s="1034"/>
      <c r="AD28" s="135">
        <f>SUM(AA28:AC28)</f>
        <v>1</v>
      </c>
    </row>
    <row r="29" spans="1:46" ht="22.5" customHeight="1" thickBot="1" x14ac:dyDescent="0.3">
      <c r="A29" s="1472"/>
      <c r="B29" s="84"/>
      <c r="E29" s="84"/>
      <c r="F29" s="84"/>
      <c r="R29" s="129" t="s">
        <v>264</v>
      </c>
      <c r="S29" s="692"/>
      <c r="T29" s="690"/>
      <c r="U29" s="130">
        <f>T29</f>
        <v>0</v>
      </c>
      <c r="V29" s="130"/>
      <c r="W29" s="130"/>
      <c r="Y29" s="132"/>
      <c r="Z29" s="1051"/>
      <c r="AA29" s="137">
        <f>AA28/$AD$28</f>
        <v>0.76923076923076905</v>
      </c>
      <c r="AB29" s="137">
        <f>AB28/$AD$28</f>
        <v>0.23076923076923095</v>
      </c>
      <c r="AC29" s="1038"/>
      <c r="AD29" s="137">
        <f>AD28/$AD$28</f>
        <v>1</v>
      </c>
    </row>
    <row r="30" spans="1:46" ht="17.25" customHeight="1" thickBot="1" x14ac:dyDescent="0.3">
      <c r="A30" s="1472"/>
      <c r="R30" s="129" t="s">
        <v>413</v>
      </c>
      <c r="S30" s="1162">
        <f>U30*S40</f>
        <v>384.61538461538453</v>
      </c>
      <c r="T30" s="690">
        <f>U30*U40</f>
        <v>115.3846153846155</v>
      </c>
      <c r="U30" s="696">
        <f>$AB$1</f>
        <v>500</v>
      </c>
      <c r="V30" s="989"/>
      <c r="W30" s="989"/>
      <c r="Y30" s="122" t="s">
        <v>266</v>
      </c>
      <c r="Z30" s="1138">
        <f>V35/(S32/R1)</f>
        <v>1.5476204721963343E-3</v>
      </c>
      <c r="AA30" s="138">
        <f>S35/(S32)</f>
        <v>3.4282277465918207E-2</v>
      </c>
      <c r="AB30" s="139">
        <f>T35/T32</f>
        <v>1.4436116466571088E-2</v>
      </c>
      <c r="AC30" s="1045">
        <f>W35/U32</f>
        <v>3.3514862718402547E-5</v>
      </c>
      <c r="AD30" s="1047">
        <f>SUMPRODUCT(AA30:AB30,AA29:AB29)+AC30</f>
        <v>2.9735909021094964E-2</v>
      </c>
    </row>
    <row r="31" spans="1:46" ht="14.25" customHeight="1" thickBot="1" x14ac:dyDescent="0.3">
      <c r="A31" s="1472"/>
      <c r="R31" s="129" t="s">
        <v>414</v>
      </c>
      <c r="S31" s="136"/>
      <c r="T31" s="130"/>
      <c r="U31" s="130"/>
      <c r="V31" s="130"/>
      <c r="W31" s="130"/>
    </row>
    <row r="32" spans="1:46" ht="14.25" customHeight="1" thickBot="1" x14ac:dyDescent="0.3">
      <c r="A32" s="1472"/>
      <c r="R32" s="141" t="s">
        <v>257</v>
      </c>
      <c r="S32" s="130">
        <f>SUM(S28:S30)</f>
        <v>23469.230769230762</v>
      </c>
      <c r="T32" s="130">
        <f>SUM(T28:T30)</f>
        <v>7040.7692307692378</v>
      </c>
      <c r="U32" s="130">
        <f>SUM(U28:U30)</f>
        <v>30510</v>
      </c>
      <c r="V32" s="130"/>
      <c r="W32" s="130">
        <f>SUM(W28:W30)</f>
        <v>14.770000000000001</v>
      </c>
    </row>
    <row r="33" spans="1:24" ht="14.25" customHeight="1" thickBot="1" x14ac:dyDescent="0.3">
      <c r="A33" s="1472"/>
      <c r="B33" s="84"/>
      <c r="E33" s="84"/>
      <c r="F33" s="84"/>
      <c r="G33" s="796"/>
      <c r="R33" s="142" t="s">
        <v>268</v>
      </c>
      <c r="S33" s="136"/>
      <c r="T33" s="136"/>
      <c r="U33" s="136"/>
      <c r="V33" s="136"/>
      <c r="W33" s="136"/>
    </row>
    <row r="34" spans="1:24" ht="14.25" customHeight="1" thickBot="1" x14ac:dyDescent="0.3">
      <c r="A34" s="1472"/>
      <c r="B34" s="84"/>
      <c r="E34" s="84"/>
      <c r="F34" s="84"/>
      <c r="R34" s="143" t="s">
        <v>269</v>
      </c>
      <c r="S34" s="136"/>
      <c r="T34" s="130"/>
      <c r="U34" s="136"/>
      <c r="V34" s="136"/>
      <c r="W34" s="136"/>
    </row>
    <row r="35" spans="1:24" ht="14.25" customHeight="1" thickBot="1" x14ac:dyDescent="0.3">
      <c r="A35" s="1472"/>
      <c r="B35" s="1681" t="s">
        <v>662</v>
      </c>
      <c r="C35" s="1681"/>
      <c r="D35" s="1681"/>
      <c r="E35" s="1681"/>
      <c r="F35" s="1681"/>
      <c r="G35" s="797"/>
      <c r="H35" s="797"/>
      <c r="I35" s="803"/>
      <c r="J35" s="803"/>
      <c r="K35" s="803"/>
      <c r="L35" s="803"/>
      <c r="R35" s="144" t="s">
        <v>249</v>
      </c>
      <c r="S35" s="990">
        <f>$L$5</f>
        <v>804.57868114243399</v>
      </c>
      <c r="T35" s="990">
        <f>SUM(L6:L21)</f>
        <v>101.64136462963485</v>
      </c>
      <c r="U35" s="990">
        <f>S35+T35+V35+W35</f>
        <v>969.86579458733434</v>
      </c>
      <c r="V35" s="990">
        <f>SUM(AT6:AT17)</f>
        <v>62.623210353726989</v>
      </c>
      <c r="W35" s="1049">
        <f>L37</f>
        <v>1.0225384615384616</v>
      </c>
    </row>
    <row r="36" spans="1:24" ht="14.2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4" ht="14.25" customHeight="1" x14ac:dyDescent="0.25">
      <c r="A37" s="1472"/>
      <c r="B37" s="772" t="s">
        <v>686</v>
      </c>
      <c r="C37" s="773" t="s">
        <v>14</v>
      </c>
      <c r="D37" s="774">
        <v>7.0000000000000007E-2</v>
      </c>
      <c r="E37" s="772">
        <f>$AD$1</f>
        <v>211</v>
      </c>
      <c r="F37" s="772">
        <f>D37*E37</f>
        <v>14.770000000000001</v>
      </c>
      <c r="G37" s="796"/>
      <c r="H37" s="772">
        <f>F37</f>
        <v>14.770000000000001</v>
      </c>
      <c r="I37" s="772">
        <f>VLOOKUP(B37,All_Ingredients!$A$1:$F$156,6,FALSE())</f>
        <v>0.65</v>
      </c>
      <c r="J37" s="772">
        <f>VLOOKUP(B37,All_Ingredients!$A$1:$J$156,10,FALSE())</f>
        <v>45</v>
      </c>
      <c r="K37" s="772">
        <f>(H37/I37)/1000</f>
        <v>2.2723076923076926E-2</v>
      </c>
      <c r="L37" s="772">
        <f>K37*J37</f>
        <v>1.0225384615384616</v>
      </c>
    </row>
    <row r="38" spans="1:24" ht="14.25" customHeight="1" x14ac:dyDescent="0.25">
      <c r="A38" s="1472"/>
      <c r="F38"/>
      <c r="G38"/>
    </row>
    <row r="39" spans="1:24" ht="14.25" customHeight="1" x14ac:dyDescent="0.25">
      <c r="A39" s="1472"/>
      <c r="F39"/>
      <c r="G39"/>
      <c r="S39" s="14">
        <v>150</v>
      </c>
    </row>
    <row r="40" spans="1:24" ht="18.75" customHeight="1" x14ac:dyDescent="0.25">
      <c r="A40" s="1472"/>
      <c r="G40"/>
      <c r="R40" s="146" t="s">
        <v>270</v>
      </c>
      <c r="S40" s="147">
        <v>0.76923076923076905</v>
      </c>
      <c r="T40" s="146" t="s">
        <v>271</v>
      </c>
      <c r="U40" s="148">
        <v>0.230769230769231</v>
      </c>
      <c r="V40" s="149">
        <f>S40+U40</f>
        <v>1</v>
      </c>
    </row>
    <row r="41" spans="1:24" ht="14.25" customHeight="1" x14ac:dyDescent="0.25">
      <c r="A41" s="1472"/>
      <c r="G41"/>
      <c r="U41" s="150"/>
    </row>
    <row r="42" spans="1:24" x14ac:dyDescent="0.25">
      <c r="A42" s="1472"/>
    </row>
    <row r="43" spans="1:24" ht="14.25" customHeight="1" x14ac:dyDescent="0.25">
      <c r="A43" s="1472"/>
      <c r="Q43" s="151" t="s">
        <v>272</v>
      </c>
      <c r="R43" s="151" t="s">
        <v>273</v>
      </c>
      <c r="S43" s="151" t="s">
        <v>274</v>
      </c>
      <c r="T43" s="151" t="s">
        <v>275</v>
      </c>
      <c r="U43" s="151" t="s">
        <v>276</v>
      </c>
      <c r="V43" s="151" t="s">
        <v>277</v>
      </c>
      <c r="W43" s="151" t="s">
        <v>278</v>
      </c>
      <c r="X43" s="151" t="s">
        <v>307</v>
      </c>
    </row>
    <row r="44" spans="1:24" ht="14.25" customHeight="1" x14ac:dyDescent="0.25">
      <c r="A44" s="1472"/>
      <c r="Q44" s="153">
        <v>43334</v>
      </c>
      <c r="R44" s="154">
        <f>D51</f>
        <v>10000</v>
      </c>
      <c r="S44" s="155">
        <v>1</v>
      </c>
      <c r="T44" s="155">
        <v>0</v>
      </c>
      <c r="U44" s="220">
        <f>R44*S44</f>
        <v>10000</v>
      </c>
      <c r="V44" s="157">
        <f>R44*T44</f>
        <v>0</v>
      </c>
      <c r="W44" s="157">
        <f>Q44-U44</f>
        <v>33334</v>
      </c>
      <c r="X44" s="157">
        <f>W44/$R$1</f>
        <v>57472.413793103449</v>
      </c>
    </row>
    <row r="45" spans="1:24" x14ac:dyDescent="0.25">
      <c r="A45" s="1472"/>
    </row>
    <row r="46" spans="1:24" x14ac:dyDescent="0.25">
      <c r="A46" s="1472"/>
    </row>
    <row r="47" spans="1:24" x14ac:dyDescent="0.25">
      <c r="A47" s="1472"/>
    </row>
    <row r="48" spans="1:24" x14ac:dyDescent="0.25">
      <c r="A48" s="1472"/>
    </row>
    <row r="49" spans="1:10" x14ac:dyDescent="0.25">
      <c r="A49" s="1472"/>
    </row>
    <row r="50" spans="1:10" x14ac:dyDescent="0.25">
      <c r="A50" s="1472"/>
      <c r="B50" s="126"/>
      <c r="C50" s="126" t="s">
        <v>233</v>
      </c>
      <c r="D50" s="126" t="s">
        <v>279</v>
      </c>
      <c r="E50" s="84"/>
      <c r="F50" s="84"/>
      <c r="G50" s="126" t="s">
        <v>280</v>
      </c>
      <c r="H50" s="126" t="s">
        <v>233</v>
      </c>
      <c r="I50" s="126" t="s">
        <v>281</v>
      </c>
      <c r="J50" s="126" t="s">
        <v>282</v>
      </c>
    </row>
    <row r="51" spans="1:10" ht="14.25" customHeight="1" x14ac:dyDescent="0.25">
      <c r="A51" s="1472"/>
      <c r="B51" s="161" t="s">
        <v>283</v>
      </c>
      <c r="C51" s="162">
        <f>10/$K$1</f>
        <v>10.1010101010101</v>
      </c>
      <c r="D51" s="163">
        <f>$C$1*10</f>
        <v>10000</v>
      </c>
      <c r="E51" s="164"/>
      <c r="F51" s="84"/>
      <c r="G51" s="161" t="s">
        <v>283</v>
      </c>
      <c r="H51" s="254">
        <v>10</v>
      </c>
      <c r="I51" s="162">
        <f>J51/$R$1</f>
        <v>57472.413793103449</v>
      </c>
      <c r="J51" s="162">
        <f>$W$44</f>
        <v>33334</v>
      </c>
    </row>
    <row r="52" spans="1:10" ht="14.25" customHeight="1" x14ac:dyDescent="0.25">
      <c r="A52" s="1472"/>
      <c r="B52" s="209" t="s">
        <v>262</v>
      </c>
      <c r="C52" s="210">
        <f>$I$1</f>
        <v>7.1118881118881188</v>
      </c>
      <c r="D52" s="211">
        <f>$E$1</f>
        <v>7040.7692307692378</v>
      </c>
      <c r="E52" s="84"/>
      <c r="F52" s="84"/>
      <c r="G52" s="129" t="s">
        <v>262</v>
      </c>
      <c r="H52" s="190">
        <f>I52/$D$5</f>
        <v>7.0406284182008649</v>
      </c>
      <c r="I52" s="157">
        <f>J52/$R$1</f>
        <v>40464.190981432352</v>
      </c>
      <c r="J52" s="165">
        <f>$S$32</f>
        <v>23469.230769230762</v>
      </c>
    </row>
    <row r="53" spans="1:10" x14ac:dyDescent="0.25">
      <c r="A53" s="1472"/>
      <c r="B53" s="209" t="s">
        <v>284</v>
      </c>
      <c r="C53" s="212">
        <f>MIN(C52, C51)</f>
        <v>7.1118881118881188</v>
      </c>
      <c r="D53" s="211">
        <f>(C53*$K$1)*$C$1</f>
        <v>7040.7692307692378</v>
      </c>
      <c r="E53" s="84"/>
      <c r="F53" s="84"/>
      <c r="G53" s="129" t="s">
        <v>284</v>
      </c>
      <c r="H53" s="168">
        <f>MIN(H52,H51)</f>
        <v>7.0406284182008649</v>
      </c>
      <c r="I53" s="157">
        <f>J53/$R$1</f>
        <v>40464.190981432352</v>
      </c>
      <c r="J53" s="157">
        <f>MIN(J52,J51)</f>
        <v>23469.230769230762</v>
      </c>
    </row>
    <row r="54" spans="1:10"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0"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8" customHeight="1" x14ac:dyDescent="0.25">
      <c r="A62" s="1473"/>
      <c r="B62" s="1636" t="str">
        <f>"دجاج تكا  1 / " &amp; COUNTIF($C$53:$C$55, "&gt;0")</f>
        <v>دجاج تكا  1 / 1</v>
      </c>
      <c r="C62" s="1637"/>
      <c r="D62" s="1637"/>
      <c r="E62" s="1637"/>
      <c r="F62" s="1637"/>
      <c r="G62" s="1637"/>
      <c r="H62" s="1637"/>
    </row>
    <row r="63" spans="1:10" ht="18" customHeight="1" x14ac:dyDescent="0.25">
      <c r="A63" s="1473"/>
      <c r="B63" s="1634" t="str">
        <f>"Chicken Tikka  1 / " &amp; COUNTIF($C$53:$C$55, "&gt;0")</f>
        <v>Chicken Tikka  1 / 1</v>
      </c>
      <c r="C63" s="1635"/>
      <c r="D63" s="1635"/>
      <c r="E63" s="1635"/>
      <c r="F63" s="1635"/>
      <c r="G63" s="1635"/>
      <c r="H63" s="1635"/>
    </row>
    <row r="64" spans="1:10" ht="25.5" customHeight="1" x14ac:dyDescent="0.2">
      <c r="A64" s="1457"/>
      <c r="B64" s="221" t="s">
        <v>241</v>
      </c>
      <c r="C64" s="222" t="s">
        <v>242</v>
      </c>
      <c r="D64" s="223" t="s">
        <v>231</v>
      </c>
      <c r="E64" s="197" t="s">
        <v>234</v>
      </c>
      <c r="F64" s="197" t="s">
        <v>243</v>
      </c>
      <c r="G64" s="223" t="s">
        <v>244</v>
      </c>
      <c r="H64" s="197" t="s">
        <v>245</v>
      </c>
    </row>
    <row r="65" spans="1:8" ht="14.25" customHeight="1" x14ac:dyDescent="0.25">
      <c r="A65" s="1471"/>
      <c r="B65" s="271" t="str">
        <f t="shared" ref="B65:D81" si="14">B5</f>
        <v>Chicken - دجاج</v>
      </c>
      <c r="C65" s="271" t="str">
        <f t="shared" si="14"/>
        <v>gm</v>
      </c>
      <c r="D65" s="387">
        <f t="shared" si="14"/>
        <v>5747.2413793103451</v>
      </c>
      <c r="E65" s="108">
        <f>H53</f>
        <v>7.0406284182008649</v>
      </c>
      <c r="F65" s="109">
        <f t="shared" ref="F65:F81" si="15">F5</f>
        <v>1</v>
      </c>
      <c r="G65" s="101">
        <f t="shared" ref="G65:G81" si="16">D65*E65</f>
        <v>40464.190981432352</v>
      </c>
      <c r="H65" s="102">
        <f t="shared" ref="H65:H81" si="17">G65*F65</f>
        <v>40464.190981432352</v>
      </c>
    </row>
    <row r="66" spans="1:8" ht="14.25" customHeight="1" x14ac:dyDescent="0.25">
      <c r="A66" s="1471" t="s">
        <v>920</v>
      </c>
      <c r="B66" s="271" t="str">
        <f t="shared" si="14"/>
        <v>Onion - بصل</v>
      </c>
      <c r="C66" s="271" t="str">
        <f t="shared" si="14"/>
        <v>gm</v>
      </c>
      <c r="D66" s="271">
        <f t="shared" si="14"/>
        <v>200</v>
      </c>
      <c r="E66" s="108">
        <f>$C$53</f>
        <v>7.1118881118881188</v>
      </c>
      <c r="F66" s="109">
        <f t="shared" si="15"/>
        <v>0.95</v>
      </c>
      <c r="G66" s="101">
        <f t="shared" si="16"/>
        <v>1422.3776223776238</v>
      </c>
      <c r="H66" s="102">
        <f t="shared" si="17"/>
        <v>1351.2587412587425</v>
      </c>
    </row>
    <row r="67" spans="1:8" ht="14.25" customHeight="1" x14ac:dyDescent="0.25">
      <c r="A67" s="1471" t="s">
        <v>909</v>
      </c>
      <c r="B67" s="271" t="str">
        <f t="shared" si="14"/>
        <v>Tomato - طماطم</v>
      </c>
      <c r="C67" s="271" t="str">
        <f t="shared" si="14"/>
        <v>gm</v>
      </c>
      <c r="D67" s="271">
        <f t="shared" si="14"/>
        <v>500</v>
      </c>
      <c r="E67" s="108">
        <f t="shared" ref="E67:E81" si="18">$C$53</f>
        <v>7.1118881118881188</v>
      </c>
      <c r="F67" s="109">
        <f t="shared" si="15"/>
        <v>0.95</v>
      </c>
      <c r="G67" s="101">
        <f t="shared" si="16"/>
        <v>3555.9440559440595</v>
      </c>
      <c r="H67" s="102">
        <f t="shared" si="17"/>
        <v>3378.1468531468563</v>
      </c>
    </row>
    <row r="68" spans="1:8" ht="14.25" customHeight="1" x14ac:dyDescent="0.25">
      <c r="A68" s="1471" t="s">
        <v>906</v>
      </c>
      <c r="B68" s="271" t="str">
        <f t="shared" si="14"/>
        <v>Ginger - زنجبيل</v>
      </c>
      <c r="C68" s="271" t="str">
        <f t="shared" si="14"/>
        <v>gm</v>
      </c>
      <c r="D68" s="271">
        <f t="shared" si="14"/>
        <v>25</v>
      </c>
      <c r="E68" s="108">
        <f t="shared" si="18"/>
        <v>7.1118881118881188</v>
      </c>
      <c r="F68" s="109">
        <f t="shared" si="15"/>
        <v>1</v>
      </c>
      <c r="G68" s="101">
        <f t="shared" si="16"/>
        <v>177.79720279720297</v>
      </c>
      <c r="H68" s="102">
        <f t="shared" si="17"/>
        <v>177.79720279720297</v>
      </c>
    </row>
    <row r="69" spans="1:8" ht="14.25" customHeight="1" x14ac:dyDescent="0.25">
      <c r="A69" s="1471" t="s">
        <v>907</v>
      </c>
      <c r="B69" s="271" t="str">
        <f t="shared" si="14"/>
        <v>Garlic - ثوم مقشر</v>
      </c>
      <c r="C69" s="271" t="str">
        <f t="shared" si="14"/>
        <v>gm</v>
      </c>
      <c r="D69" s="271">
        <f t="shared" si="14"/>
        <v>40</v>
      </c>
      <c r="E69" s="108">
        <f t="shared" si="18"/>
        <v>7.1118881118881188</v>
      </c>
      <c r="F69" s="109">
        <f t="shared" si="15"/>
        <v>1</v>
      </c>
      <c r="G69" s="101">
        <f t="shared" si="16"/>
        <v>284.47552447552476</v>
      </c>
      <c r="H69" s="102">
        <f t="shared" si="17"/>
        <v>284.47552447552476</v>
      </c>
    </row>
    <row r="70" spans="1:8" ht="14.25" customHeight="1" x14ac:dyDescent="0.25">
      <c r="A70" s="1471"/>
      <c r="B70" s="271" t="str">
        <f t="shared" si="14"/>
        <v>Turmeric - كركم</v>
      </c>
      <c r="C70" s="271" t="str">
        <f t="shared" si="14"/>
        <v>gm</v>
      </c>
      <c r="D70" s="271">
        <f t="shared" si="14"/>
        <v>5</v>
      </c>
      <c r="E70" s="108">
        <f t="shared" si="18"/>
        <v>7.1118881118881188</v>
      </c>
      <c r="F70" s="109">
        <f t="shared" si="15"/>
        <v>0.75</v>
      </c>
      <c r="G70" s="101">
        <f t="shared" si="16"/>
        <v>35.559440559440596</v>
      </c>
      <c r="H70" s="102">
        <f t="shared" si="17"/>
        <v>26.669580419580448</v>
      </c>
    </row>
    <row r="71" spans="1:8" ht="14.25" customHeight="1" x14ac:dyDescent="0.25">
      <c r="A71" s="1471"/>
      <c r="B71" s="271" t="str">
        <f t="shared" si="14"/>
        <v>Cumin Powder - كمون مطحون</v>
      </c>
      <c r="C71" s="271" t="str">
        <f t="shared" si="14"/>
        <v>gm</v>
      </c>
      <c r="D71" s="271">
        <f t="shared" si="14"/>
        <v>15</v>
      </c>
      <c r="E71" s="108">
        <f t="shared" si="18"/>
        <v>7.1118881118881188</v>
      </c>
      <c r="F71" s="109">
        <f t="shared" si="15"/>
        <v>1</v>
      </c>
      <c r="G71" s="101">
        <f t="shared" si="16"/>
        <v>106.67832167832178</v>
      </c>
      <c r="H71" s="102">
        <f t="shared" si="17"/>
        <v>106.67832167832178</v>
      </c>
    </row>
    <row r="72" spans="1:8" ht="14.25" customHeight="1" x14ac:dyDescent="0.25">
      <c r="A72" s="1471"/>
      <c r="B72" s="271" t="str">
        <f t="shared" si="14"/>
        <v>Biryani Masala - بهارات برياني</v>
      </c>
      <c r="C72" s="271" t="str">
        <f t="shared" si="14"/>
        <v>gm</v>
      </c>
      <c r="D72" s="271">
        <f t="shared" si="14"/>
        <v>25</v>
      </c>
      <c r="E72" s="108">
        <f t="shared" si="18"/>
        <v>7.1118881118881188</v>
      </c>
      <c r="F72" s="109">
        <f t="shared" si="15"/>
        <v>0.75</v>
      </c>
      <c r="G72" s="101">
        <f t="shared" si="16"/>
        <v>177.79720279720297</v>
      </c>
      <c r="H72" s="102">
        <f t="shared" si="17"/>
        <v>133.34790209790222</v>
      </c>
    </row>
    <row r="73" spans="1:8" ht="14.25" customHeight="1" x14ac:dyDescent="0.25">
      <c r="A73" s="1471"/>
      <c r="B73" s="271" t="str">
        <f t="shared" si="14"/>
        <v>Labneh - لبنة</v>
      </c>
      <c r="C73" s="271" t="str">
        <f t="shared" si="14"/>
        <v>gm</v>
      </c>
      <c r="D73" s="271">
        <f t="shared" si="14"/>
        <v>300</v>
      </c>
      <c r="E73" s="108">
        <f t="shared" si="18"/>
        <v>7.1118881118881188</v>
      </c>
      <c r="F73" s="109">
        <f t="shared" si="15"/>
        <v>1</v>
      </c>
      <c r="G73" s="101">
        <f t="shared" si="16"/>
        <v>2133.5664335664355</v>
      </c>
      <c r="H73" s="102">
        <f t="shared" si="17"/>
        <v>2133.5664335664355</v>
      </c>
    </row>
    <row r="74" spans="1:8" ht="14.25" customHeight="1" x14ac:dyDescent="0.25">
      <c r="A74" s="1471"/>
      <c r="B74" s="271" t="str">
        <f t="shared" si="14"/>
        <v>Cooking Cream - كريمة طبخ</v>
      </c>
      <c r="C74" s="271" t="str">
        <f t="shared" si="14"/>
        <v>ml</v>
      </c>
      <c r="D74" s="271">
        <f t="shared" si="14"/>
        <v>300</v>
      </c>
      <c r="E74" s="108">
        <f t="shared" si="18"/>
        <v>7.1118881118881188</v>
      </c>
      <c r="F74" s="109">
        <f t="shared" si="15"/>
        <v>1</v>
      </c>
      <c r="G74" s="101">
        <f t="shared" si="16"/>
        <v>2133.5664335664355</v>
      </c>
      <c r="H74" s="102">
        <f t="shared" si="17"/>
        <v>2133.5664335664355</v>
      </c>
    </row>
    <row r="75" spans="1:8" ht="14.25" customHeight="1" x14ac:dyDescent="0.25">
      <c r="A75" s="1471"/>
      <c r="B75" s="271" t="str">
        <f t="shared" si="14"/>
        <v>Coriander Leaves - كزبرة خضراء</v>
      </c>
      <c r="C75" s="271" t="str">
        <f t="shared" si="14"/>
        <v>gm</v>
      </c>
      <c r="D75" s="271">
        <f t="shared" si="14"/>
        <v>30</v>
      </c>
      <c r="E75" s="108">
        <f t="shared" si="18"/>
        <v>7.1118881118881188</v>
      </c>
      <c r="F75" s="109">
        <f t="shared" si="15"/>
        <v>1</v>
      </c>
      <c r="G75" s="101">
        <f t="shared" si="16"/>
        <v>213.35664335664356</v>
      </c>
      <c r="H75" s="102">
        <f t="shared" si="17"/>
        <v>213.35664335664356</v>
      </c>
    </row>
    <row r="76" spans="1:8" ht="14.25" customHeight="1" x14ac:dyDescent="0.25">
      <c r="A76" s="1471"/>
      <c r="B76" s="271" t="str">
        <f t="shared" si="14"/>
        <v>Mint Leaves - نعناع طازج</v>
      </c>
      <c r="C76" s="271" t="str">
        <f t="shared" si="14"/>
        <v>gm</v>
      </c>
      <c r="D76" s="271">
        <f t="shared" si="14"/>
        <v>25</v>
      </c>
      <c r="E76" s="108">
        <f t="shared" si="18"/>
        <v>7.1118881118881188</v>
      </c>
      <c r="F76" s="109">
        <f t="shared" si="15"/>
        <v>1</v>
      </c>
      <c r="G76" s="101">
        <f t="shared" si="16"/>
        <v>177.79720279720297</v>
      </c>
      <c r="H76" s="102">
        <f t="shared" si="17"/>
        <v>177.79720279720297</v>
      </c>
    </row>
    <row r="77" spans="1:8" ht="14.25" customHeight="1" x14ac:dyDescent="0.25">
      <c r="A77" s="1471"/>
      <c r="B77" s="271" t="str">
        <f t="shared" si="14"/>
        <v>Salt - ملح</v>
      </c>
      <c r="C77" s="271" t="str">
        <f t="shared" si="14"/>
        <v>gm</v>
      </c>
      <c r="D77" s="271">
        <f t="shared" si="14"/>
        <v>11</v>
      </c>
      <c r="E77" s="108">
        <f t="shared" si="18"/>
        <v>7.1118881118881188</v>
      </c>
      <c r="F77" s="109">
        <f t="shared" si="15"/>
        <v>0.75</v>
      </c>
      <c r="G77" s="101">
        <f t="shared" si="16"/>
        <v>78.230769230769312</v>
      </c>
      <c r="H77" s="102">
        <f t="shared" si="17"/>
        <v>58.673076923076984</v>
      </c>
    </row>
    <row r="78" spans="1:8" ht="14.25" customHeight="1" x14ac:dyDescent="0.25">
      <c r="A78" s="1471"/>
      <c r="B78" s="271" t="str">
        <f t="shared" si="14"/>
        <v>Red Chilli Powder - شطة حمراء مطحونة</v>
      </c>
      <c r="C78" s="271" t="str">
        <f t="shared" si="14"/>
        <v>gm</v>
      </c>
      <c r="D78" s="271">
        <f t="shared" si="14"/>
        <v>5</v>
      </c>
      <c r="E78" s="108">
        <f t="shared" si="18"/>
        <v>7.1118881118881188</v>
      </c>
      <c r="F78" s="109">
        <f t="shared" si="15"/>
        <v>0.75</v>
      </c>
      <c r="G78" s="101">
        <f t="shared" si="16"/>
        <v>35.559440559440596</v>
      </c>
      <c r="H78" s="102">
        <f t="shared" si="17"/>
        <v>26.669580419580448</v>
      </c>
    </row>
    <row r="79" spans="1:8" ht="14.25" customHeight="1" x14ac:dyDescent="0.25">
      <c r="A79" s="1471"/>
      <c r="B79" s="271" t="str">
        <f t="shared" si="14"/>
        <v>Coriander Powder - كزبرة مطحونة</v>
      </c>
      <c r="C79" s="271" t="str">
        <f t="shared" si="14"/>
        <v>gm</v>
      </c>
      <c r="D79" s="271">
        <f t="shared" si="14"/>
        <v>15</v>
      </c>
      <c r="E79" s="108">
        <f t="shared" si="18"/>
        <v>7.1118881118881188</v>
      </c>
      <c r="F79" s="109">
        <f t="shared" si="15"/>
        <v>1</v>
      </c>
      <c r="G79" s="101">
        <f t="shared" si="16"/>
        <v>106.67832167832178</v>
      </c>
      <c r="H79" s="102">
        <f t="shared" si="17"/>
        <v>106.67832167832178</v>
      </c>
    </row>
    <row r="80" spans="1:8" ht="14.25" customHeight="1" x14ac:dyDescent="0.25">
      <c r="A80" s="1471"/>
      <c r="B80" s="271" t="str">
        <f t="shared" si="14"/>
        <v>Orange Color - لون برتقالي</v>
      </c>
      <c r="C80" s="271" t="str">
        <f t="shared" si="14"/>
        <v>gm</v>
      </c>
      <c r="D80" s="271">
        <f t="shared" si="14"/>
        <v>3</v>
      </c>
      <c r="E80" s="108">
        <f t="shared" si="18"/>
        <v>7.1118881118881188</v>
      </c>
      <c r="F80" s="109">
        <f t="shared" si="15"/>
        <v>0.75</v>
      </c>
      <c r="G80" s="101">
        <f t="shared" si="16"/>
        <v>21.335664335664354</v>
      </c>
      <c r="H80" s="102">
        <f t="shared" si="17"/>
        <v>16.001748251748268</v>
      </c>
    </row>
    <row r="81" spans="1:8" ht="14.25" customHeight="1" x14ac:dyDescent="0.25">
      <c r="A81" s="1471"/>
      <c r="B81" s="271" t="str">
        <f t="shared" si="14"/>
        <v>Butter - زبدة</v>
      </c>
      <c r="C81" s="271" t="str">
        <f t="shared" si="14"/>
        <v>gm</v>
      </c>
      <c r="D81" s="271">
        <f t="shared" si="14"/>
        <v>60</v>
      </c>
      <c r="E81" s="108">
        <f t="shared" si="18"/>
        <v>7.1118881118881188</v>
      </c>
      <c r="F81" s="109">
        <f t="shared" si="15"/>
        <v>1</v>
      </c>
      <c r="G81" s="101">
        <f t="shared" si="16"/>
        <v>426.71328671328712</v>
      </c>
      <c r="H81" s="102">
        <f t="shared" si="17"/>
        <v>426.71328671328712</v>
      </c>
    </row>
    <row r="82" spans="1:8" ht="20.25" customHeight="1" x14ac:dyDescent="0.25">
      <c r="A82" s="1458"/>
      <c r="B82" s="178" t="s">
        <v>287</v>
      </c>
      <c r="C82" s="180" t="s">
        <v>273</v>
      </c>
      <c r="E82" s="180" t="s">
        <v>288</v>
      </c>
      <c r="G82" s="804" t="s">
        <v>264</v>
      </c>
      <c r="H82" s="804" t="s">
        <v>673</v>
      </c>
    </row>
    <row r="83" spans="1:8" ht="21.75" customHeight="1" x14ac:dyDescent="0.3">
      <c r="A83" s="1458"/>
      <c r="B83" s="179">
        <f>$J$53</f>
        <v>23469.230769230762</v>
      </c>
      <c r="C83" s="179">
        <f>E83+G83</f>
        <v>7040.7692307692378</v>
      </c>
      <c r="D83" s="189"/>
      <c r="E83" s="179">
        <f>$D$53*$S$44</f>
        <v>7040.7692307692378</v>
      </c>
      <c r="F83" s="84"/>
      <c r="G83" s="182">
        <f>$D$53*$T$44</f>
        <v>0</v>
      </c>
      <c r="H83" s="840">
        <f>B83+E83</f>
        <v>30510</v>
      </c>
    </row>
    <row r="84" spans="1:8" ht="14.25" customHeight="1" x14ac:dyDescent="0.25">
      <c r="A84" s="1472"/>
      <c r="B84" s="84"/>
      <c r="E84" s="84"/>
      <c r="F84" s="84"/>
    </row>
    <row r="85" spans="1:8" ht="14.25" customHeight="1" x14ac:dyDescent="0.25">
      <c r="A85" s="1472"/>
      <c r="B85" s="84"/>
      <c r="C85" s="84"/>
      <c r="D85" s="84"/>
      <c r="E85" s="84"/>
      <c r="F85" s="84"/>
      <c r="G85" s="84"/>
      <c r="H85" s="84"/>
    </row>
    <row r="86" spans="1:8" ht="18" customHeight="1" x14ac:dyDescent="0.25">
      <c r="A86" s="1473"/>
      <c r="B86" s="1636" t="str">
        <f>"دجاج تكا  2 / " &amp; COUNTIF($C$53:$C$55, "&gt;0")</f>
        <v>دجاج تكا  2 / 1</v>
      </c>
      <c r="C86" s="1637"/>
      <c r="D86" s="1637"/>
      <c r="E86" s="1637"/>
      <c r="F86" s="1637"/>
      <c r="G86" s="1637"/>
      <c r="H86" s="1637"/>
    </row>
    <row r="87" spans="1:8" ht="18" customHeight="1" x14ac:dyDescent="0.25">
      <c r="A87" s="1473"/>
      <c r="B87" s="1634" t="str">
        <f>"Chicken Tikka  2 / " &amp; COUNTIF($C$53:$C$55, "&gt;0")</f>
        <v>Chicken Tikka  2 / 1</v>
      </c>
      <c r="C87" s="1635"/>
      <c r="D87" s="1635"/>
      <c r="E87" s="1635"/>
      <c r="F87" s="1635"/>
      <c r="G87" s="1635"/>
      <c r="H87" s="1635"/>
    </row>
    <row r="88" spans="1:8" ht="25.5" customHeight="1" x14ac:dyDescent="0.2">
      <c r="A88" s="1457"/>
      <c r="B88" s="221" t="s">
        <v>241</v>
      </c>
      <c r="C88" s="222" t="s">
        <v>242</v>
      </c>
      <c r="D88" s="223" t="s">
        <v>231</v>
      </c>
      <c r="E88" s="197" t="s">
        <v>234</v>
      </c>
      <c r="F88" s="197" t="s">
        <v>243</v>
      </c>
      <c r="G88" s="223" t="s">
        <v>244</v>
      </c>
      <c r="H88" s="197" t="s">
        <v>245</v>
      </c>
    </row>
    <row r="89" spans="1:8" ht="14.25" customHeight="1" x14ac:dyDescent="0.25">
      <c r="A89" s="1471"/>
      <c r="B89" s="271" t="str">
        <f t="shared" ref="B89:D105" si="19">B5</f>
        <v>Chicken - دجاج</v>
      </c>
      <c r="C89" s="271" t="str">
        <f t="shared" si="19"/>
        <v>gm</v>
      </c>
      <c r="D89" s="387">
        <f t="shared" si="19"/>
        <v>5747.2413793103451</v>
      </c>
      <c r="E89" s="108">
        <f>H54</f>
        <v>0</v>
      </c>
      <c r="F89" s="109">
        <f t="shared" ref="F89:F105" si="20">F5</f>
        <v>1</v>
      </c>
      <c r="G89" s="101">
        <f t="shared" ref="G89:G105" si="21">D89*E89</f>
        <v>0</v>
      </c>
      <c r="H89" s="102">
        <f t="shared" ref="H89:H105" si="22">G89*F89</f>
        <v>0</v>
      </c>
    </row>
    <row r="90" spans="1:8" ht="14.25" customHeight="1" x14ac:dyDescent="0.25">
      <c r="A90" s="1471" t="s">
        <v>920</v>
      </c>
      <c r="B90" s="271" t="str">
        <f t="shared" si="19"/>
        <v>Onion - بصل</v>
      </c>
      <c r="C90" s="271" t="str">
        <f t="shared" si="19"/>
        <v>gm</v>
      </c>
      <c r="D90" s="271">
        <f t="shared" si="19"/>
        <v>200</v>
      </c>
      <c r="E90" s="108">
        <f t="shared" ref="E90:E105" si="23">$C$54</f>
        <v>0</v>
      </c>
      <c r="F90" s="109">
        <f t="shared" si="20"/>
        <v>0.95</v>
      </c>
      <c r="G90" s="101">
        <f t="shared" si="21"/>
        <v>0</v>
      </c>
      <c r="H90" s="102">
        <f t="shared" si="22"/>
        <v>0</v>
      </c>
    </row>
    <row r="91" spans="1:8" ht="14.25" customHeight="1" x14ac:dyDescent="0.25">
      <c r="A91" s="1471" t="s">
        <v>909</v>
      </c>
      <c r="B91" s="271" t="str">
        <f t="shared" si="19"/>
        <v>Tomato - طماطم</v>
      </c>
      <c r="C91" s="271" t="str">
        <f t="shared" si="19"/>
        <v>gm</v>
      </c>
      <c r="D91" s="271">
        <f t="shared" si="19"/>
        <v>500</v>
      </c>
      <c r="E91" s="108">
        <f t="shared" si="23"/>
        <v>0</v>
      </c>
      <c r="F91" s="109">
        <f t="shared" si="20"/>
        <v>0.95</v>
      </c>
      <c r="G91" s="101">
        <f t="shared" si="21"/>
        <v>0</v>
      </c>
      <c r="H91" s="102">
        <f t="shared" si="22"/>
        <v>0</v>
      </c>
    </row>
    <row r="92" spans="1:8" ht="14.25" customHeight="1" x14ac:dyDescent="0.25">
      <c r="A92" s="1471" t="s">
        <v>906</v>
      </c>
      <c r="B92" s="271" t="str">
        <f t="shared" si="19"/>
        <v>Ginger - زنجبيل</v>
      </c>
      <c r="C92" s="271" t="str">
        <f t="shared" si="19"/>
        <v>gm</v>
      </c>
      <c r="D92" s="271">
        <f t="shared" si="19"/>
        <v>25</v>
      </c>
      <c r="E92" s="108">
        <f t="shared" si="23"/>
        <v>0</v>
      </c>
      <c r="F92" s="109">
        <f t="shared" si="20"/>
        <v>1</v>
      </c>
      <c r="G92" s="101">
        <f t="shared" si="21"/>
        <v>0</v>
      </c>
      <c r="H92" s="102">
        <f t="shared" si="22"/>
        <v>0</v>
      </c>
    </row>
    <row r="93" spans="1:8" ht="14.25" customHeight="1" x14ac:dyDescent="0.25">
      <c r="A93" s="1471" t="s">
        <v>907</v>
      </c>
      <c r="B93" s="271" t="str">
        <f t="shared" si="19"/>
        <v>Garlic - ثوم مقشر</v>
      </c>
      <c r="C93" s="271" t="str">
        <f t="shared" si="19"/>
        <v>gm</v>
      </c>
      <c r="D93" s="271">
        <f t="shared" si="19"/>
        <v>40</v>
      </c>
      <c r="E93" s="108">
        <f t="shared" si="23"/>
        <v>0</v>
      </c>
      <c r="F93" s="109">
        <f t="shared" si="20"/>
        <v>1</v>
      </c>
      <c r="G93" s="101">
        <f t="shared" si="21"/>
        <v>0</v>
      </c>
      <c r="H93" s="102">
        <f t="shared" si="22"/>
        <v>0</v>
      </c>
    </row>
    <row r="94" spans="1:8" ht="14.25" customHeight="1" x14ac:dyDescent="0.25">
      <c r="A94" s="1471"/>
      <c r="B94" s="271" t="str">
        <f t="shared" si="19"/>
        <v>Turmeric - كركم</v>
      </c>
      <c r="C94" s="271" t="str">
        <f t="shared" si="19"/>
        <v>gm</v>
      </c>
      <c r="D94" s="271">
        <f t="shared" si="19"/>
        <v>5</v>
      </c>
      <c r="E94" s="108">
        <f t="shared" si="23"/>
        <v>0</v>
      </c>
      <c r="F94" s="109">
        <f t="shared" si="20"/>
        <v>0.75</v>
      </c>
      <c r="G94" s="101">
        <f t="shared" si="21"/>
        <v>0</v>
      </c>
      <c r="H94" s="102">
        <f t="shared" si="22"/>
        <v>0</v>
      </c>
    </row>
    <row r="95" spans="1:8" ht="14.25" customHeight="1" x14ac:dyDescent="0.25">
      <c r="A95" s="1471"/>
      <c r="B95" s="271" t="str">
        <f t="shared" si="19"/>
        <v>Cumin Powder - كمون مطحون</v>
      </c>
      <c r="C95" s="271" t="str">
        <f t="shared" si="19"/>
        <v>gm</v>
      </c>
      <c r="D95" s="271">
        <f t="shared" si="19"/>
        <v>15</v>
      </c>
      <c r="E95" s="108">
        <f t="shared" si="23"/>
        <v>0</v>
      </c>
      <c r="F95" s="109">
        <f t="shared" si="20"/>
        <v>1</v>
      </c>
      <c r="G95" s="101">
        <f t="shared" si="21"/>
        <v>0</v>
      </c>
      <c r="H95" s="102">
        <f t="shared" si="22"/>
        <v>0</v>
      </c>
    </row>
    <row r="96" spans="1:8" ht="14.25" customHeight="1" x14ac:dyDescent="0.25">
      <c r="A96" s="1471"/>
      <c r="B96" s="271" t="str">
        <f t="shared" si="19"/>
        <v>Biryani Masala - بهارات برياني</v>
      </c>
      <c r="C96" s="271" t="str">
        <f t="shared" si="19"/>
        <v>gm</v>
      </c>
      <c r="D96" s="271">
        <f t="shared" si="19"/>
        <v>25</v>
      </c>
      <c r="E96" s="108">
        <f t="shared" si="23"/>
        <v>0</v>
      </c>
      <c r="F96" s="109">
        <f t="shared" si="20"/>
        <v>0.75</v>
      </c>
      <c r="G96" s="101">
        <f t="shared" si="21"/>
        <v>0</v>
      </c>
      <c r="H96" s="102">
        <f t="shared" si="22"/>
        <v>0</v>
      </c>
    </row>
    <row r="97" spans="1:10" ht="14.25" customHeight="1" x14ac:dyDescent="0.25">
      <c r="A97" s="1471"/>
      <c r="B97" s="271" t="str">
        <f t="shared" si="19"/>
        <v>Labneh - لبنة</v>
      </c>
      <c r="C97" s="271" t="str">
        <f t="shared" si="19"/>
        <v>gm</v>
      </c>
      <c r="D97" s="271">
        <f t="shared" si="19"/>
        <v>300</v>
      </c>
      <c r="E97" s="108">
        <f t="shared" si="23"/>
        <v>0</v>
      </c>
      <c r="F97" s="109">
        <f t="shared" si="20"/>
        <v>1</v>
      </c>
      <c r="G97" s="101">
        <f t="shared" si="21"/>
        <v>0</v>
      </c>
      <c r="H97" s="102">
        <f t="shared" si="22"/>
        <v>0</v>
      </c>
    </row>
    <row r="98" spans="1:10" ht="14.25" customHeight="1" x14ac:dyDescent="0.25">
      <c r="A98" s="1471"/>
      <c r="B98" s="271" t="str">
        <f t="shared" si="19"/>
        <v>Cooking Cream - كريمة طبخ</v>
      </c>
      <c r="C98" s="271" t="str">
        <f t="shared" si="19"/>
        <v>ml</v>
      </c>
      <c r="D98" s="271">
        <f t="shared" si="19"/>
        <v>300</v>
      </c>
      <c r="E98" s="108">
        <f t="shared" si="23"/>
        <v>0</v>
      </c>
      <c r="F98" s="109">
        <f t="shared" si="20"/>
        <v>1</v>
      </c>
      <c r="G98" s="101">
        <f t="shared" si="21"/>
        <v>0</v>
      </c>
      <c r="H98" s="102">
        <f t="shared" si="22"/>
        <v>0</v>
      </c>
    </row>
    <row r="99" spans="1:10" ht="14.25" customHeight="1" x14ac:dyDescent="0.25">
      <c r="A99" s="1471"/>
      <c r="B99" s="271" t="str">
        <f t="shared" si="19"/>
        <v>Coriander Leaves - كزبرة خضراء</v>
      </c>
      <c r="C99" s="271" t="str">
        <f t="shared" si="19"/>
        <v>gm</v>
      </c>
      <c r="D99" s="271">
        <f t="shared" si="19"/>
        <v>30</v>
      </c>
      <c r="E99" s="108">
        <f t="shared" si="23"/>
        <v>0</v>
      </c>
      <c r="F99" s="109">
        <f t="shared" si="20"/>
        <v>1</v>
      </c>
      <c r="G99" s="101">
        <f t="shared" si="21"/>
        <v>0</v>
      </c>
      <c r="H99" s="102">
        <f t="shared" si="22"/>
        <v>0</v>
      </c>
    </row>
    <row r="100" spans="1:10" ht="14.25" customHeight="1" x14ac:dyDescent="0.25">
      <c r="A100" s="1471"/>
      <c r="B100" s="271" t="str">
        <f t="shared" si="19"/>
        <v>Mint Leaves - نعناع طازج</v>
      </c>
      <c r="C100" s="271" t="str">
        <f t="shared" si="19"/>
        <v>gm</v>
      </c>
      <c r="D100" s="271">
        <f t="shared" si="19"/>
        <v>25</v>
      </c>
      <c r="E100" s="108">
        <f t="shared" si="23"/>
        <v>0</v>
      </c>
      <c r="F100" s="109">
        <f t="shared" si="20"/>
        <v>1</v>
      </c>
      <c r="G100" s="101">
        <f t="shared" si="21"/>
        <v>0</v>
      </c>
      <c r="H100" s="102">
        <f t="shared" si="22"/>
        <v>0</v>
      </c>
    </row>
    <row r="101" spans="1:10" ht="14.25" customHeight="1" x14ac:dyDescent="0.25">
      <c r="A101" s="1471"/>
      <c r="B101" s="271" t="str">
        <f t="shared" si="19"/>
        <v>Salt - ملح</v>
      </c>
      <c r="C101" s="271" t="str">
        <f t="shared" si="19"/>
        <v>gm</v>
      </c>
      <c r="D101" s="271">
        <f t="shared" si="19"/>
        <v>11</v>
      </c>
      <c r="E101" s="108">
        <f t="shared" si="23"/>
        <v>0</v>
      </c>
      <c r="F101" s="109">
        <f t="shared" si="20"/>
        <v>0.75</v>
      </c>
      <c r="G101" s="101">
        <f t="shared" si="21"/>
        <v>0</v>
      </c>
      <c r="H101" s="102">
        <f t="shared" si="22"/>
        <v>0</v>
      </c>
    </row>
    <row r="102" spans="1:10" ht="14.25" customHeight="1" x14ac:dyDescent="0.25">
      <c r="A102" s="1471"/>
      <c r="B102" s="271" t="str">
        <f t="shared" si="19"/>
        <v>Red Chilli Powder - شطة حمراء مطحونة</v>
      </c>
      <c r="C102" s="271" t="str">
        <f t="shared" si="19"/>
        <v>gm</v>
      </c>
      <c r="D102" s="271">
        <f t="shared" si="19"/>
        <v>5</v>
      </c>
      <c r="E102" s="108">
        <f t="shared" si="23"/>
        <v>0</v>
      </c>
      <c r="F102" s="109">
        <f t="shared" si="20"/>
        <v>0.75</v>
      </c>
      <c r="G102" s="101">
        <f t="shared" si="21"/>
        <v>0</v>
      </c>
      <c r="H102" s="102">
        <f t="shared" si="22"/>
        <v>0</v>
      </c>
    </row>
    <row r="103" spans="1:10" ht="14.25" customHeight="1" x14ac:dyDescent="0.25">
      <c r="A103" s="1471"/>
      <c r="B103" s="271" t="str">
        <f t="shared" si="19"/>
        <v>Coriander Powder - كزبرة مطحونة</v>
      </c>
      <c r="C103" s="271" t="str">
        <f t="shared" si="19"/>
        <v>gm</v>
      </c>
      <c r="D103" s="271">
        <f t="shared" si="19"/>
        <v>15</v>
      </c>
      <c r="E103" s="108">
        <f t="shared" si="23"/>
        <v>0</v>
      </c>
      <c r="F103" s="109">
        <f t="shared" si="20"/>
        <v>1</v>
      </c>
      <c r="G103" s="101">
        <f t="shared" si="21"/>
        <v>0</v>
      </c>
      <c r="H103" s="102">
        <f t="shared" si="22"/>
        <v>0</v>
      </c>
    </row>
    <row r="104" spans="1:10" ht="14.25" customHeight="1" x14ac:dyDescent="0.25">
      <c r="A104" s="1471"/>
      <c r="B104" s="271" t="str">
        <f t="shared" si="19"/>
        <v>Orange Color - لون برتقالي</v>
      </c>
      <c r="C104" s="271" t="str">
        <f t="shared" si="19"/>
        <v>gm</v>
      </c>
      <c r="D104" s="271">
        <f t="shared" si="19"/>
        <v>3</v>
      </c>
      <c r="E104" s="108">
        <f t="shared" si="23"/>
        <v>0</v>
      </c>
      <c r="F104" s="109">
        <f t="shared" si="20"/>
        <v>0.75</v>
      </c>
      <c r="G104" s="101">
        <f t="shared" si="21"/>
        <v>0</v>
      </c>
      <c r="H104" s="102">
        <f t="shared" si="22"/>
        <v>0</v>
      </c>
    </row>
    <row r="105" spans="1:10" ht="14.25" customHeight="1" x14ac:dyDescent="0.25">
      <c r="A105" s="1471"/>
      <c r="B105" s="271" t="str">
        <f t="shared" si="19"/>
        <v>Butter - زبدة</v>
      </c>
      <c r="C105" s="271" t="str">
        <f t="shared" si="19"/>
        <v>gm</v>
      </c>
      <c r="D105" s="271">
        <f t="shared" si="19"/>
        <v>60</v>
      </c>
      <c r="E105" s="108">
        <f t="shared" si="23"/>
        <v>0</v>
      </c>
      <c r="F105" s="109">
        <f t="shared" si="20"/>
        <v>1</v>
      </c>
      <c r="G105" s="101">
        <f t="shared" si="21"/>
        <v>0</v>
      </c>
      <c r="H105" s="102">
        <f t="shared" si="22"/>
        <v>0</v>
      </c>
    </row>
    <row r="106" spans="1:10" ht="20.25" customHeight="1" x14ac:dyDescent="0.3">
      <c r="A106" s="1458"/>
      <c r="B106" s="178" t="s">
        <v>287</v>
      </c>
      <c r="C106" s="180" t="s">
        <v>273</v>
      </c>
      <c r="E106" s="180" t="s">
        <v>288</v>
      </c>
      <c r="G106" s="804" t="s">
        <v>264</v>
      </c>
      <c r="H106" s="804" t="s">
        <v>673</v>
      </c>
      <c r="I106" s="184"/>
      <c r="J106" s="183"/>
    </row>
    <row r="107" spans="1:10" ht="20.25" x14ac:dyDescent="0.3">
      <c r="A107" s="1458"/>
      <c r="B107" s="179">
        <f>$J$54</f>
        <v>0</v>
      </c>
      <c r="C107" s="179">
        <f>E107+G107</f>
        <v>0</v>
      </c>
      <c r="D107" s="839"/>
      <c r="E107" s="179">
        <f>$D$54*$S$44</f>
        <v>0</v>
      </c>
      <c r="F107" s="84"/>
      <c r="G107" s="182">
        <f>$D$54*$T$44</f>
        <v>0</v>
      </c>
      <c r="H107" s="840">
        <f>B107+E107</f>
        <v>0</v>
      </c>
    </row>
    <row r="108" spans="1:10" x14ac:dyDescent="0.25">
      <c r="A108" s="1472"/>
    </row>
    <row r="109" spans="1:10" x14ac:dyDescent="0.25">
      <c r="A109" s="1472"/>
    </row>
    <row r="110" spans="1:10" x14ac:dyDescent="0.25">
      <c r="A110" s="1472"/>
    </row>
    <row r="111" spans="1:10" x14ac:dyDescent="0.25">
      <c r="A111" s="1472"/>
    </row>
    <row r="112" spans="1:10"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1">
    <mergeCell ref="AL2:AM2"/>
    <mergeCell ref="B2:J3"/>
    <mergeCell ref="AE2:AG3"/>
    <mergeCell ref="R26:U26"/>
    <mergeCell ref="B87:H87"/>
    <mergeCell ref="R25:U25"/>
    <mergeCell ref="B62:H62"/>
    <mergeCell ref="B86:H86"/>
    <mergeCell ref="K2:K3"/>
    <mergeCell ref="B63:H63"/>
    <mergeCell ref="B35:F35"/>
  </mergeCells>
  <printOptions horizontalCentered="1"/>
  <pageMargins left="0.4" right="0.4" top="1" bottom="0.5" header="0.3" footer="0.511811023622047"/>
  <pageSetup paperSize="9" scale="47" orientation="landscape"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rgb="FF7C7C7C"/>
    <pageSetUpPr fitToPage="1"/>
  </sheetPr>
  <dimension ref="A1:AE174"/>
  <sheetViews>
    <sheetView topLeftCell="P1" zoomScale="85" zoomScaleNormal="85" workbookViewId="0">
      <selection activeCell="W44" sqref="W44"/>
    </sheetView>
  </sheetViews>
  <sheetFormatPr defaultColWidth="12.5" defaultRowHeight="15" x14ac:dyDescent="0.25"/>
  <cols>
    <col min="1" max="1" width="12.5" style="1" customWidth="1"/>
    <col min="2" max="2" width="33.75" customWidth="1"/>
    <col min="3" max="3" width="23.875" customWidth="1"/>
    <col min="4" max="4" width="19" customWidth="1"/>
    <col min="5" max="5" width="16.125" customWidth="1"/>
    <col min="6" max="6" width="23.125" customWidth="1"/>
    <col min="7" max="7" width="25.125" customWidth="1"/>
    <col min="8" max="8" width="36.125" customWidth="1"/>
    <col min="12" max="12" width="8.375" customWidth="1"/>
    <col min="13" max="14" width="3.25" customWidth="1"/>
    <col min="18" max="18" width="30.5" customWidth="1"/>
  </cols>
  <sheetData>
    <row r="1" spans="1:31" ht="35.25" customHeight="1" x14ac:dyDescent="0.25">
      <c r="B1" s="64" t="s">
        <v>231</v>
      </c>
      <c r="C1" s="65">
        <v>1000</v>
      </c>
      <c r="D1" s="66" t="s">
        <v>232</v>
      </c>
      <c r="E1" s="99">
        <f>T32</f>
        <v>12044.153846153849</v>
      </c>
      <c r="F1" s="64" t="s">
        <v>233</v>
      </c>
      <c r="G1" s="103">
        <f>E1/C1</f>
        <v>12.044153846153849</v>
      </c>
      <c r="H1" s="64" t="s">
        <v>234</v>
      </c>
      <c r="I1" s="260">
        <f>G1/K1</f>
        <v>12.28995290423862</v>
      </c>
      <c r="J1" s="70" t="s">
        <v>235</v>
      </c>
      <c r="K1" s="303">
        <f>9.8/10</f>
        <v>0.98000000000000009</v>
      </c>
      <c r="L1" s="84"/>
      <c r="M1" s="73"/>
      <c r="N1" s="74"/>
      <c r="O1" s="75" t="s">
        <v>236</v>
      </c>
      <c r="P1" s="76" t="s">
        <v>289</v>
      </c>
      <c r="Q1" s="77" t="s">
        <v>238</v>
      </c>
      <c r="R1" s="76">
        <v>0.51</v>
      </c>
      <c r="Y1" s="75" t="s">
        <v>453</v>
      </c>
      <c r="Z1" s="766">
        <v>12940</v>
      </c>
      <c r="AA1" s="75" t="s">
        <v>556</v>
      </c>
      <c r="AB1" s="766">
        <v>0</v>
      </c>
      <c r="AC1" s="75" t="s">
        <v>546</v>
      </c>
      <c r="AD1" s="766">
        <v>86</v>
      </c>
      <c r="AE1" s="228"/>
    </row>
    <row r="2" spans="1:31" ht="12.75" customHeight="1" x14ac:dyDescent="0.25">
      <c r="A2" s="242"/>
      <c r="B2" s="1684" t="s">
        <v>106</v>
      </c>
      <c r="C2" s="1653"/>
      <c r="D2" s="1653"/>
      <c r="E2" s="1653"/>
      <c r="F2" s="1653"/>
      <c r="G2" s="1653"/>
      <c r="H2" s="1653"/>
      <c r="I2" s="1653"/>
      <c r="J2" s="1653"/>
      <c r="K2" s="1685"/>
      <c r="L2" s="270"/>
      <c r="M2" s="84"/>
      <c r="N2" s="84"/>
      <c r="O2" s="84"/>
      <c r="P2" s="84"/>
      <c r="Q2" s="84"/>
      <c r="R2" s="84"/>
      <c r="AE2" s="1652"/>
    </row>
    <row r="3" spans="1:31" ht="12.75" customHeight="1" x14ac:dyDescent="0.25">
      <c r="A3" s="242"/>
      <c r="B3" s="1633"/>
      <c r="C3" s="1633"/>
      <c r="D3" s="1633"/>
      <c r="E3" s="1633"/>
      <c r="F3" s="1633"/>
      <c r="G3" s="1633"/>
      <c r="H3" s="1633"/>
      <c r="I3" s="1633"/>
      <c r="J3" s="1633"/>
      <c r="K3" s="1686"/>
      <c r="L3" s="270"/>
      <c r="M3" s="84"/>
      <c r="N3" s="84"/>
      <c r="O3" s="84"/>
      <c r="P3" s="84"/>
      <c r="Q3" s="84"/>
      <c r="R3" s="84"/>
      <c r="AE3" s="1653"/>
    </row>
    <row r="4" spans="1:31" ht="35.25"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AA4" s="229"/>
      <c r="AB4" s="231"/>
      <c r="AE4" s="229"/>
    </row>
    <row r="5" spans="1:31" ht="14.25" customHeight="1" x14ac:dyDescent="0.2">
      <c r="A5" s="1454"/>
      <c r="B5" s="199" t="s">
        <v>223</v>
      </c>
      <c r="C5" s="97" t="s">
        <v>14</v>
      </c>
      <c r="D5" s="103">
        <f>I51/10</f>
        <v>1620.7254901960785</v>
      </c>
      <c r="E5" s="99">
        <f>H52</f>
        <v>12.042351106193244</v>
      </c>
      <c r="F5" s="109">
        <v>1</v>
      </c>
      <c r="G5" s="103">
        <f t="shared" ref="G5:G17" si="0">D5*E5</f>
        <v>19517.345399698333</v>
      </c>
      <c r="H5" s="102">
        <f t="shared" ref="H5:H17" si="1">G5*F5</f>
        <v>19517.345399698333</v>
      </c>
      <c r="I5" s="65">
        <f>VLOOKUP(B5,All_Ingredients!$A$1:$F$156,6,FALSE())</f>
        <v>0.55000000000000004</v>
      </c>
      <c r="J5" s="101">
        <f>VLOOKUP(B5,All_Ingredients!$A$1:$J$156,10,FALSE())</f>
        <v>14.361111111111111</v>
      </c>
      <c r="K5" s="104">
        <f t="shared" ref="K5" si="2">(H5/I5)/1000</f>
        <v>35.486082544906054</v>
      </c>
      <c r="L5" s="104">
        <f t="shared" ref="L5" si="3">K5*J5</f>
        <v>509.61957432545637</v>
      </c>
      <c r="M5" s="84"/>
      <c r="N5" s="84"/>
      <c r="O5" s="84"/>
      <c r="P5" s="84"/>
      <c r="AA5" s="76"/>
      <c r="AB5" s="114"/>
      <c r="AE5" s="117"/>
    </row>
    <row r="6" spans="1:31" ht="14.25" customHeight="1" x14ac:dyDescent="0.25">
      <c r="A6" s="1455" t="s">
        <v>920</v>
      </c>
      <c r="B6" s="20" t="s">
        <v>12</v>
      </c>
      <c r="C6" s="106" t="s">
        <v>14</v>
      </c>
      <c r="D6" s="107">
        <v>300</v>
      </c>
      <c r="E6" s="201">
        <f t="shared" ref="E6:E17" si="4">$I$1</f>
        <v>12.28995290423862</v>
      </c>
      <c r="F6" s="109">
        <v>1</v>
      </c>
      <c r="G6" s="103">
        <f t="shared" si="0"/>
        <v>3686.9858712715859</v>
      </c>
      <c r="H6" s="102">
        <f t="shared" si="1"/>
        <v>3686.9858712715859</v>
      </c>
      <c r="I6" s="65">
        <f>VLOOKUP(B6,All_Ingredients!$A$1:$F$156,6,FALSE())</f>
        <v>0.9</v>
      </c>
      <c r="J6" s="101">
        <f>VLOOKUP(B6,All_Ingredients!$A$1:$J$156,10,FALSE())</f>
        <v>3</v>
      </c>
      <c r="K6" s="104">
        <f t="shared" ref="K6:K17" si="5">(H6/I6)/1000</f>
        <v>4.0966509680795395</v>
      </c>
      <c r="L6" s="104">
        <f t="shared" ref="L6:L17" si="6">K6*J6</f>
        <v>12.289952904238618</v>
      </c>
    </row>
    <row r="7" spans="1:31" ht="14.25" customHeight="1" x14ac:dyDescent="0.25">
      <c r="A7" s="1455" t="s">
        <v>907</v>
      </c>
      <c r="B7" s="20" t="s">
        <v>727</v>
      </c>
      <c r="C7" s="106" t="s">
        <v>14</v>
      </c>
      <c r="D7" s="107">
        <v>25</v>
      </c>
      <c r="E7" s="201">
        <f t="shared" si="4"/>
        <v>12.28995290423862</v>
      </c>
      <c r="F7" s="109">
        <v>1</v>
      </c>
      <c r="G7" s="103">
        <f t="shared" si="0"/>
        <v>307.24882260596547</v>
      </c>
      <c r="H7" s="102">
        <f t="shared" si="1"/>
        <v>307.24882260596547</v>
      </c>
      <c r="I7" s="65">
        <f>VLOOKUP(B7,All_Ingredients!$A$1:$F$156,6,FALSE())</f>
        <v>1</v>
      </c>
      <c r="J7" s="101">
        <f>VLOOKUP(B7,All_Ingredients!$A$1:$J$156,10,FALSE())</f>
        <v>10.5</v>
      </c>
      <c r="K7" s="104">
        <f t="shared" si="5"/>
        <v>0.30724882260596548</v>
      </c>
      <c r="L7" s="104">
        <f t="shared" si="6"/>
        <v>3.2261126373626374</v>
      </c>
    </row>
    <row r="8" spans="1:31" ht="14.25" customHeight="1" x14ac:dyDescent="0.25">
      <c r="A8" s="1455" t="s">
        <v>909</v>
      </c>
      <c r="B8" s="20" t="s">
        <v>17</v>
      </c>
      <c r="C8" s="106" t="s">
        <v>14</v>
      </c>
      <c r="D8" s="107">
        <v>400</v>
      </c>
      <c r="E8" s="201">
        <f t="shared" si="4"/>
        <v>12.28995290423862</v>
      </c>
      <c r="F8" s="109">
        <v>1</v>
      </c>
      <c r="G8" s="103">
        <f t="shared" si="0"/>
        <v>4915.9811616954476</v>
      </c>
      <c r="H8" s="102">
        <f t="shared" si="1"/>
        <v>4915.9811616954476</v>
      </c>
      <c r="I8" s="65">
        <f>VLOOKUP(B8,All_Ingredients!$A$1:$F$156,6,FALSE())</f>
        <v>0.98</v>
      </c>
      <c r="J8" s="101">
        <f>VLOOKUP(B8,All_Ingredients!$A$1:$J$156,10,FALSE())</f>
        <v>3.5</v>
      </c>
      <c r="K8" s="104">
        <f t="shared" si="5"/>
        <v>5.0163073078524976</v>
      </c>
      <c r="L8" s="104">
        <f t="shared" si="6"/>
        <v>17.55707557748374</v>
      </c>
    </row>
    <row r="9" spans="1:31" ht="14.25" customHeight="1" x14ac:dyDescent="0.25">
      <c r="A9" s="1455"/>
      <c r="B9" s="20" t="s">
        <v>698</v>
      </c>
      <c r="C9" s="106" t="s">
        <v>14</v>
      </c>
      <c r="D9" s="107">
        <v>250</v>
      </c>
      <c r="E9" s="201">
        <f t="shared" si="4"/>
        <v>12.28995290423862</v>
      </c>
      <c r="F9" s="109">
        <v>1</v>
      </c>
      <c r="G9" s="103">
        <f t="shared" si="0"/>
        <v>3072.4882260596551</v>
      </c>
      <c r="H9" s="102">
        <f t="shared" si="1"/>
        <v>3072.4882260596551</v>
      </c>
      <c r="I9" s="65">
        <f>VLOOKUP(B9,All_Ingredients!$A$1:$F$156,6,FALSE())</f>
        <v>1</v>
      </c>
      <c r="J9" s="101">
        <f>VLOOKUP(B9,All_Ingredients!$A$1:$J$156,10,FALSE())</f>
        <v>8.1520833333333336</v>
      </c>
      <c r="K9" s="104">
        <f t="shared" si="5"/>
        <v>3.0724882260596549</v>
      </c>
      <c r="L9" s="104">
        <f t="shared" si="6"/>
        <v>25.047180059523811</v>
      </c>
    </row>
    <row r="10" spans="1:31" ht="14.25" customHeight="1" x14ac:dyDescent="0.25">
      <c r="A10" s="1455"/>
      <c r="B10" s="20" t="s">
        <v>99</v>
      </c>
      <c r="C10" s="106" t="s">
        <v>14</v>
      </c>
      <c r="D10" s="107">
        <v>6</v>
      </c>
      <c r="E10" s="201">
        <f t="shared" si="4"/>
        <v>12.28995290423862</v>
      </c>
      <c r="F10" s="109">
        <v>0.75</v>
      </c>
      <c r="G10" s="103">
        <f t="shared" si="0"/>
        <v>73.739717425431721</v>
      </c>
      <c r="H10" s="102">
        <f t="shared" si="1"/>
        <v>55.304788069073794</v>
      </c>
      <c r="I10" s="65">
        <f>VLOOKUP(B10,All_Ingredients!$A$1:$F$156,6,FALSE())</f>
        <v>1</v>
      </c>
      <c r="J10" s="101">
        <f>VLOOKUP(B10,All_Ingredients!$A$1:$J$156,10,FALSE())</f>
        <v>31</v>
      </c>
      <c r="K10" s="104">
        <f t="shared" si="5"/>
        <v>5.5304788069073796E-2</v>
      </c>
      <c r="L10" s="104">
        <f t="shared" si="6"/>
        <v>1.7144484301412877</v>
      </c>
    </row>
    <row r="11" spans="1:31" ht="14.25" customHeight="1" x14ac:dyDescent="0.25">
      <c r="A11" s="1455"/>
      <c r="B11" s="20" t="s">
        <v>105</v>
      </c>
      <c r="C11" s="106" t="s">
        <v>14</v>
      </c>
      <c r="D11" s="107">
        <v>10</v>
      </c>
      <c r="E11" s="201">
        <f t="shared" si="4"/>
        <v>12.28995290423862</v>
      </c>
      <c r="F11" s="109">
        <v>0.75</v>
      </c>
      <c r="G11" s="103">
        <f t="shared" si="0"/>
        <v>122.89952904238619</v>
      </c>
      <c r="H11" s="102">
        <f t="shared" si="1"/>
        <v>92.174646781789647</v>
      </c>
      <c r="I11" s="65">
        <f>VLOOKUP(B11,All_Ingredients!$A$1:$F$156,6,FALSE())</f>
        <v>1</v>
      </c>
      <c r="J11" s="101">
        <f>VLOOKUP(B11,All_Ingredients!$A$1:$J$156,10,FALSE())</f>
        <v>15</v>
      </c>
      <c r="K11" s="104">
        <f t="shared" si="5"/>
        <v>9.2174646781789646E-2</v>
      </c>
      <c r="L11" s="104">
        <f t="shared" si="6"/>
        <v>1.3826197017268447</v>
      </c>
    </row>
    <row r="12" spans="1:31" ht="14.25" customHeight="1" x14ac:dyDescent="0.25">
      <c r="A12" s="1455"/>
      <c r="B12" s="20" t="s">
        <v>107</v>
      </c>
      <c r="C12" s="106" t="s">
        <v>14</v>
      </c>
      <c r="D12" s="107">
        <v>15</v>
      </c>
      <c r="E12" s="201">
        <f t="shared" si="4"/>
        <v>12.28995290423862</v>
      </c>
      <c r="F12" s="109">
        <v>0.75</v>
      </c>
      <c r="G12" s="103">
        <f t="shared" si="0"/>
        <v>184.34929356357929</v>
      </c>
      <c r="H12" s="102">
        <f t="shared" si="1"/>
        <v>138.26197017268447</v>
      </c>
      <c r="I12" s="65">
        <f>VLOOKUP(B12,All_Ingredients!$A$1:$F$156,6,FALSE())</f>
        <v>1</v>
      </c>
      <c r="J12" s="101">
        <f>VLOOKUP(B12,All_Ingredients!$A$1:$J$156,10,FALSE())</f>
        <v>8</v>
      </c>
      <c r="K12" s="104">
        <f t="shared" si="5"/>
        <v>0.13826197017268446</v>
      </c>
      <c r="L12" s="104">
        <f t="shared" si="6"/>
        <v>1.1060957613814757</v>
      </c>
    </row>
    <row r="13" spans="1:31" ht="14.25" customHeight="1" x14ac:dyDescent="0.25">
      <c r="A13" s="1455"/>
      <c r="B13" s="20" t="s">
        <v>122</v>
      </c>
      <c r="C13" s="106" t="s">
        <v>14</v>
      </c>
      <c r="D13" s="107">
        <v>10</v>
      </c>
      <c r="E13" s="201">
        <f t="shared" si="4"/>
        <v>12.28995290423862</v>
      </c>
      <c r="F13" s="109">
        <v>0.75</v>
      </c>
      <c r="G13" s="103">
        <f t="shared" si="0"/>
        <v>122.89952904238619</v>
      </c>
      <c r="H13" s="102">
        <f t="shared" si="1"/>
        <v>92.174646781789647</v>
      </c>
      <c r="I13" s="65">
        <f>VLOOKUP(B13,All_Ingredients!$A$1:$F$156,6,FALSE())</f>
        <v>1</v>
      </c>
      <c r="J13" s="101">
        <f>VLOOKUP(B13,All_Ingredients!$A$1:$J$156,10,FALSE())</f>
        <v>14</v>
      </c>
      <c r="K13" s="104">
        <f t="shared" si="5"/>
        <v>9.2174646781789646E-2</v>
      </c>
      <c r="L13" s="104">
        <f t="shared" si="6"/>
        <v>1.290445054945055</v>
      </c>
    </row>
    <row r="14" spans="1:31" ht="14.25" customHeight="1" x14ac:dyDescent="0.25">
      <c r="A14" s="1455"/>
      <c r="B14" s="20" t="s">
        <v>139</v>
      </c>
      <c r="C14" s="106" t="s">
        <v>14</v>
      </c>
      <c r="D14" s="107">
        <v>6</v>
      </c>
      <c r="E14" s="201">
        <f t="shared" si="4"/>
        <v>12.28995290423862</v>
      </c>
      <c r="F14" s="109">
        <v>1</v>
      </c>
      <c r="G14" s="103">
        <f t="shared" si="0"/>
        <v>73.739717425431721</v>
      </c>
      <c r="H14" s="102">
        <f t="shared" si="1"/>
        <v>73.739717425431721</v>
      </c>
      <c r="I14" s="65">
        <f>VLOOKUP(B14,All_Ingredients!$A$1:$F$156,6,FALSE())</f>
        <v>1</v>
      </c>
      <c r="J14" s="101">
        <f>VLOOKUP(B14,All_Ingredients!$A$1:$J$156,10,FALSE())</f>
        <v>15.277777777777779</v>
      </c>
      <c r="K14" s="104">
        <f t="shared" si="5"/>
        <v>7.3739717425431714E-2</v>
      </c>
      <c r="L14" s="104">
        <f t="shared" si="6"/>
        <v>1.1265790162218734</v>
      </c>
    </row>
    <row r="15" spans="1:31" ht="14.25" customHeight="1" x14ac:dyDescent="0.25">
      <c r="A15" s="1455"/>
      <c r="B15" s="20" t="s">
        <v>93</v>
      </c>
      <c r="C15" s="106" t="s">
        <v>14</v>
      </c>
      <c r="D15" s="107">
        <v>5</v>
      </c>
      <c r="E15" s="201">
        <f t="shared" si="4"/>
        <v>12.28995290423862</v>
      </c>
      <c r="F15" s="109">
        <v>1</v>
      </c>
      <c r="G15" s="103">
        <f t="shared" si="0"/>
        <v>61.449764521193096</v>
      </c>
      <c r="H15" s="102">
        <f t="shared" si="1"/>
        <v>61.449764521193096</v>
      </c>
      <c r="I15" s="65">
        <f>VLOOKUP(B15,All_Ingredients!$A$1:$F$156,6,FALSE())</f>
        <v>1</v>
      </c>
      <c r="J15" s="101">
        <f>VLOOKUP(B15,All_Ingredients!$A$1:$J$156,10,FALSE())</f>
        <v>0.74</v>
      </c>
      <c r="K15" s="104">
        <f t="shared" si="5"/>
        <v>6.1449764521193093E-2</v>
      </c>
      <c r="L15" s="104">
        <f t="shared" si="6"/>
        <v>4.5472825745682885E-2</v>
      </c>
    </row>
    <row r="16" spans="1:31" ht="14.25" customHeight="1" x14ac:dyDescent="0.25">
      <c r="A16" s="1455"/>
      <c r="B16" s="200" t="s">
        <v>152</v>
      </c>
      <c r="C16" s="106" t="s">
        <v>14</v>
      </c>
      <c r="D16" s="107">
        <v>40</v>
      </c>
      <c r="E16" s="201">
        <f t="shared" si="4"/>
        <v>12.28995290423862</v>
      </c>
      <c r="F16" s="109">
        <v>1</v>
      </c>
      <c r="G16" s="103">
        <f t="shared" si="0"/>
        <v>491.59811616954477</v>
      </c>
      <c r="H16" s="102">
        <f t="shared" si="1"/>
        <v>491.59811616954477</v>
      </c>
      <c r="I16" s="65">
        <f>VLOOKUP(B16,All_Ingredients!$A$1:$F$156,6,FALSE())</f>
        <v>1</v>
      </c>
      <c r="J16" s="101">
        <f>VLOOKUP(B16,All_Ingredients!$A$1:$J$156,10,FALSE())</f>
        <v>30</v>
      </c>
      <c r="K16" s="104">
        <f t="shared" si="5"/>
        <v>0.49159811616954474</v>
      </c>
      <c r="L16" s="104">
        <f t="shared" si="6"/>
        <v>14.747943485086342</v>
      </c>
    </row>
    <row r="17" spans="1:31" ht="14.25" customHeight="1" x14ac:dyDescent="0.25">
      <c r="A17" s="1455"/>
      <c r="B17" s="200" t="s">
        <v>219</v>
      </c>
      <c r="C17" s="106" t="s">
        <v>14</v>
      </c>
      <c r="D17" s="107">
        <v>400</v>
      </c>
      <c r="E17" s="201">
        <f t="shared" si="4"/>
        <v>12.28995290423862</v>
      </c>
      <c r="F17" s="109">
        <v>1</v>
      </c>
      <c r="G17" s="103">
        <f t="shared" si="0"/>
        <v>4915.9811616954476</v>
      </c>
      <c r="H17" s="102">
        <f t="shared" si="1"/>
        <v>4915.9811616954476</v>
      </c>
      <c r="I17" s="65">
        <f>VLOOKUP(B17,All_Ingredients!$A$1:$F$156,6,FALSE())</f>
        <v>1</v>
      </c>
      <c r="J17" s="101">
        <f>VLOOKUP(B17,All_Ingredients!$A$1:$J$156,10,FALSE())</f>
        <v>7.1875</v>
      </c>
      <c r="K17" s="104">
        <f t="shared" si="5"/>
        <v>4.9159811616954476</v>
      </c>
      <c r="L17" s="104">
        <f t="shared" si="6"/>
        <v>35.33361459968603</v>
      </c>
    </row>
    <row r="18" spans="1:31" ht="14.25" customHeight="1" x14ac:dyDescent="0.25">
      <c r="A18" s="62"/>
      <c r="B18" s="84"/>
      <c r="E18" s="84"/>
      <c r="F18" s="84"/>
      <c r="L18" s="189"/>
    </row>
    <row r="19" spans="1:31" ht="14.25" customHeight="1" x14ac:dyDescent="0.25">
      <c r="A19" s="62"/>
      <c r="L19" s="189"/>
      <c r="S19" t="s">
        <v>415</v>
      </c>
    </row>
    <row r="20" spans="1:31" ht="14.25" customHeight="1" x14ac:dyDescent="0.25">
      <c r="A20" s="62"/>
      <c r="L20" s="189"/>
      <c r="R20" s="5"/>
    </row>
    <row r="21" spans="1:31" ht="14.25" customHeight="1" x14ac:dyDescent="0.25">
      <c r="A21" s="62"/>
      <c r="L21" s="189"/>
    </row>
    <row r="22" spans="1:31" ht="14.25" customHeight="1" x14ac:dyDescent="0.25">
      <c r="A22" s="62"/>
      <c r="L22" s="189"/>
    </row>
    <row r="23" spans="1:31" ht="14.25" customHeight="1" x14ac:dyDescent="0.25">
      <c r="A23" s="62"/>
      <c r="L23" s="189"/>
    </row>
    <row r="24" spans="1:31" ht="14.25" customHeight="1" x14ac:dyDescent="0.25">
      <c r="A24" s="62"/>
      <c r="L24" s="189"/>
      <c r="Z24" s="1124"/>
    </row>
    <row r="25" spans="1:31" ht="14.25" customHeight="1" x14ac:dyDescent="0.25">
      <c r="A25" s="62"/>
      <c r="B25" s="84"/>
      <c r="E25" s="84"/>
      <c r="F25" s="84"/>
      <c r="L25" s="189"/>
      <c r="R25" s="1724" t="s">
        <v>416</v>
      </c>
      <c r="S25" s="1633"/>
      <c r="T25" s="1633"/>
      <c r="U25" s="1633"/>
      <c r="Z25" s="122" t="s">
        <v>252</v>
      </c>
      <c r="AA25" s="123">
        <v>1</v>
      </c>
      <c r="AB25" s="122" t="s">
        <v>249</v>
      </c>
      <c r="AC25" s="124">
        <f>(AA25*(17/10))*AE30</f>
        <v>4.8314017280507653E-2</v>
      </c>
      <c r="AD25" s="14"/>
    </row>
    <row r="26" spans="1:31" ht="15" customHeight="1" x14ac:dyDescent="0.25">
      <c r="A26" s="62"/>
      <c r="B26" s="84"/>
      <c r="E26" s="84"/>
      <c r="F26" s="84"/>
      <c r="L26" s="189"/>
      <c r="R26" s="1723" t="s">
        <v>417</v>
      </c>
      <c r="S26" s="1639"/>
      <c r="T26" s="1639"/>
      <c r="U26" s="1639"/>
      <c r="Z26" s="14"/>
      <c r="AA26" s="14"/>
      <c r="AB26" s="14"/>
      <c r="AC26" s="14"/>
      <c r="AD26" s="14"/>
    </row>
    <row r="27" spans="1:31" ht="21" customHeight="1" thickBot="1" x14ac:dyDescent="0.3">
      <c r="A27" s="62"/>
      <c r="R27" s="126" t="s">
        <v>254</v>
      </c>
      <c r="S27" s="127" t="s">
        <v>292</v>
      </c>
      <c r="T27" s="127" t="s">
        <v>256</v>
      </c>
      <c r="U27" s="127" t="s">
        <v>257</v>
      </c>
      <c r="V27" s="127" t="s">
        <v>779</v>
      </c>
      <c r="Z27" s="122" t="s">
        <v>258</v>
      </c>
      <c r="AA27" s="128" t="s">
        <v>259</v>
      </c>
      <c r="AB27" s="128" t="s">
        <v>260</v>
      </c>
      <c r="AC27" s="128" t="s">
        <v>261</v>
      </c>
      <c r="AD27" s="1032" t="s">
        <v>779</v>
      </c>
      <c r="AE27" s="128" t="s">
        <v>262</v>
      </c>
    </row>
    <row r="28" spans="1:31" ht="14.25" customHeight="1" thickBot="1" x14ac:dyDescent="0.3">
      <c r="A28" s="62"/>
      <c r="R28" s="129" t="s">
        <v>263</v>
      </c>
      <c r="S28" s="690">
        <f>U28*S40</f>
        <v>9953.8461538461506</v>
      </c>
      <c r="T28" s="690">
        <f>U28*U40</f>
        <v>2986.1538461538494</v>
      </c>
      <c r="U28" s="696">
        <f>$Z$1</f>
        <v>12940</v>
      </c>
      <c r="V28" s="130">
        <f>SUM(F37:F38)</f>
        <v>92.02</v>
      </c>
      <c r="Z28" s="132"/>
      <c r="AA28" s="133">
        <f>AA25*$S$40</f>
        <v>0.76923076923076905</v>
      </c>
      <c r="AB28" s="133">
        <f>AA25*$U$40</f>
        <v>0.230769230769231</v>
      </c>
      <c r="AC28" s="134">
        <f>AA25*0.7</f>
        <v>0.7</v>
      </c>
      <c r="AD28" s="1034"/>
      <c r="AE28" s="135">
        <f>SUM(AA28:AC28)</f>
        <v>1.7</v>
      </c>
    </row>
    <row r="29" spans="1:31" ht="14.25" customHeight="1" thickBot="1" x14ac:dyDescent="0.3">
      <c r="A29" s="62"/>
      <c r="R29" s="129" t="s">
        <v>264</v>
      </c>
      <c r="S29" s="136"/>
      <c r="T29" s="130">
        <f>U28*0.7</f>
        <v>9058</v>
      </c>
      <c r="U29" s="130"/>
      <c r="V29" s="130"/>
      <c r="Z29" s="132"/>
      <c r="AA29" s="137">
        <f>AA28/$AE$28</f>
        <v>0.45248868778280532</v>
      </c>
      <c r="AB29" s="137">
        <f>AB28/$AE$28</f>
        <v>0.13574660633484176</v>
      </c>
      <c r="AC29" s="137">
        <f>AC28/$AE$28</f>
        <v>0.41176470588235292</v>
      </c>
      <c r="AD29" s="1038"/>
      <c r="AE29" s="137">
        <f>AE28/$AE$28</f>
        <v>1</v>
      </c>
    </row>
    <row r="30" spans="1:31" ht="14.25" customHeight="1" thickBot="1" x14ac:dyDescent="0.3">
      <c r="A30" s="62"/>
      <c r="R30" s="129" t="s">
        <v>265</v>
      </c>
      <c r="S30" s="1187">
        <f>U30*S40</f>
        <v>0</v>
      </c>
      <c r="T30" s="1187">
        <f>(U30*U40)+(U30*0.7)</f>
        <v>0</v>
      </c>
      <c r="U30" s="1173">
        <f>$AB$1</f>
        <v>0</v>
      </c>
      <c r="V30" s="989"/>
      <c r="Z30" s="122" t="s">
        <v>266</v>
      </c>
      <c r="AA30" s="138">
        <f>S35/(S32)</f>
        <v>5.1198257080610009E-2</v>
      </c>
      <c r="AB30" s="139">
        <f>T35/T32</f>
        <v>9.5372029883381889E-3</v>
      </c>
      <c r="AC30" s="139">
        <f>T35/T32</f>
        <v>9.5372029883381889E-3</v>
      </c>
      <c r="AD30" s="1045">
        <f>V35/U32</f>
        <v>3.1651478805765563E-5</v>
      </c>
      <c r="AE30" s="1047">
        <f>SUMPRODUCT(AA30:AC30,AA29:AC29)+AD30</f>
        <v>2.8420010165004502E-2</v>
      </c>
    </row>
    <row r="31" spans="1:31" ht="14.25" customHeight="1" thickBot="1" x14ac:dyDescent="0.3">
      <c r="A31" s="62"/>
      <c r="B31" s="84"/>
      <c r="E31" s="84"/>
      <c r="F31" s="84"/>
      <c r="R31" s="129" t="s">
        <v>267</v>
      </c>
      <c r="S31" s="136"/>
      <c r="T31" s="130"/>
      <c r="U31" s="130"/>
      <c r="V31" s="130"/>
    </row>
    <row r="32" spans="1:31" ht="14.25" customHeight="1" thickBot="1" x14ac:dyDescent="0.3">
      <c r="A32" s="62"/>
      <c r="B32" s="84"/>
      <c r="E32" s="84"/>
      <c r="F32" s="84"/>
      <c r="R32" s="141" t="s">
        <v>257</v>
      </c>
      <c r="S32" s="130">
        <f>SUM(S28:S30)</f>
        <v>9953.8461538461506</v>
      </c>
      <c r="T32" s="130">
        <f>SUM(T28:T30)</f>
        <v>12044.153846153849</v>
      </c>
      <c r="U32" s="130">
        <f>SUM(S32:T32)</f>
        <v>21998</v>
      </c>
      <c r="V32" s="130">
        <f>SUM(V28:V30)</f>
        <v>92.02</v>
      </c>
    </row>
    <row r="33" spans="1:23" ht="14.25" customHeight="1" thickBot="1" x14ac:dyDescent="0.3">
      <c r="A33" s="62"/>
      <c r="B33" s="84"/>
      <c r="E33" s="84"/>
      <c r="F33" s="84"/>
      <c r="R33" s="142" t="s">
        <v>268</v>
      </c>
      <c r="S33" s="136"/>
      <c r="T33" s="136"/>
      <c r="U33" s="136"/>
      <c r="V33" s="136"/>
    </row>
    <row r="34" spans="1:23" ht="14.25" customHeight="1" thickBot="1" x14ac:dyDescent="0.3">
      <c r="A34" s="62"/>
      <c r="B34" s="84"/>
      <c r="E34" s="84"/>
      <c r="F34" s="84"/>
      <c r="R34" s="143" t="s">
        <v>269</v>
      </c>
      <c r="S34" s="136"/>
      <c r="T34" s="130"/>
      <c r="U34" s="136"/>
      <c r="V34" s="136"/>
    </row>
    <row r="35" spans="1:23" ht="14.25" customHeight="1" thickBot="1" x14ac:dyDescent="0.3">
      <c r="A35" s="62"/>
      <c r="B35" s="1681" t="s">
        <v>663</v>
      </c>
      <c r="C35" s="1681"/>
      <c r="D35" s="1681"/>
      <c r="E35" s="1681"/>
      <c r="F35" s="1681"/>
      <c r="G35" s="798"/>
      <c r="H35" s="799"/>
      <c r="I35" s="803"/>
      <c r="J35" s="803"/>
      <c r="K35" s="803"/>
      <c r="L35" s="803"/>
      <c r="R35" s="144" t="s">
        <v>249</v>
      </c>
      <c r="S35" s="990">
        <f>$L$5</f>
        <v>509.61957432545637</v>
      </c>
      <c r="T35" s="990">
        <f>SUM(L6:L17)</f>
        <v>114.86754005354338</v>
      </c>
      <c r="U35" s="1049">
        <f>S35+T35+V35</f>
        <v>625.18338360976895</v>
      </c>
      <c r="V35" s="1049">
        <f>SUM(L37:L38)</f>
        <v>0.69626923076923086</v>
      </c>
    </row>
    <row r="36" spans="1:23" ht="47.25" x14ac:dyDescent="0.25">
      <c r="A36" s="62"/>
      <c r="B36" s="776" t="s">
        <v>241</v>
      </c>
      <c r="C36" s="776" t="s">
        <v>317</v>
      </c>
      <c r="D36" s="778" t="s">
        <v>622</v>
      </c>
      <c r="E36" s="775" t="s">
        <v>623</v>
      </c>
      <c r="F36" s="778" t="s">
        <v>624</v>
      </c>
      <c r="G36" s="800"/>
      <c r="H36" s="778" t="s">
        <v>624</v>
      </c>
      <c r="I36" s="778" t="s">
        <v>246</v>
      </c>
      <c r="J36" s="778" t="s">
        <v>247</v>
      </c>
      <c r="K36" s="778" t="s">
        <v>248</v>
      </c>
      <c r="L36" s="778" t="s">
        <v>249</v>
      </c>
    </row>
    <row r="37" spans="1:23" x14ac:dyDescent="0.25">
      <c r="A37" s="62"/>
      <c r="B37" s="772" t="s">
        <v>686</v>
      </c>
      <c r="C37" s="773" t="s">
        <v>14</v>
      </c>
      <c r="D37" s="774">
        <v>7.0000000000000007E-2</v>
      </c>
      <c r="E37" s="772">
        <f>$AD$1</f>
        <v>86</v>
      </c>
      <c r="F37" s="772">
        <f>D37*E37</f>
        <v>6.0200000000000005</v>
      </c>
      <c r="G37" s="794"/>
      <c r="H37" s="772">
        <f>F37</f>
        <v>6.0200000000000005</v>
      </c>
      <c r="I37" s="772">
        <f>VLOOKUP(B37,All_Ingredients!$A$1:$F$156,6,FALSE())</f>
        <v>0.65</v>
      </c>
      <c r="J37" s="772">
        <f>VLOOKUP(B37,All_Ingredients!$A$1:$J$156,10,FALSE())</f>
        <v>45</v>
      </c>
      <c r="K37" s="772">
        <f>(H37/I37)/1000</f>
        <v>9.2615384615384617E-3</v>
      </c>
      <c r="L37" s="772">
        <f>K37*J37</f>
        <v>0.41676923076923078</v>
      </c>
    </row>
    <row r="38" spans="1:23" x14ac:dyDescent="0.25">
      <c r="A38" s="62"/>
      <c r="B38" s="772" t="s">
        <v>19</v>
      </c>
      <c r="C38" s="773" t="s">
        <v>14</v>
      </c>
      <c r="D38" s="774">
        <v>1</v>
      </c>
      <c r="E38" s="772">
        <f>$AD$1</f>
        <v>86</v>
      </c>
      <c r="F38" s="772">
        <f>D38*E38</f>
        <v>86</v>
      </c>
      <c r="H38" s="772">
        <f>F38</f>
        <v>86</v>
      </c>
      <c r="I38" s="772">
        <f>VLOOKUP(B38,All_Ingredients!$A$1:$F$156,6,FALSE())</f>
        <v>0.8</v>
      </c>
      <c r="J38" s="772">
        <f>VLOOKUP(B38,All_Ingredients!$A$1:$J$156,10,FALSE())</f>
        <v>2.6</v>
      </c>
      <c r="K38" s="772">
        <f>(H38/I38)/1000</f>
        <v>0.1075</v>
      </c>
      <c r="L38" s="772">
        <f>K38*J38</f>
        <v>0.27950000000000003</v>
      </c>
    </row>
    <row r="39" spans="1:23" x14ac:dyDescent="0.25">
      <c r="A39" s="62"/>
    </row>
    <row r="40" spans="1:23" ht="20.25" customHeight="1" x14ac:dyDescent="0.25">
      <c r="A40" s="62"/>
      <c r="Q40" s="14"/>
      <c r="R40" s="146" t="s">
        <v>270</v>
      </c>
      <c r="S40" s="469">
        <v>0.76923076923076905</v>
      </c>
      <c r="T40" s="146" t="s">
        <v>271</v>
      </c>
      <c r="U40" s="470">
        <v>0.230769230769231</v>
      </c>
      <c r="V40" s="149">
        <f>S40+U40</f>
        <v>1</v>
      </c>
      <c r="W40" s="14"/>
    </row>
    <row r="41" spans="1:23" ht="14.25" customHeight="1" x14ac:dyDescent="0.25">
      <c r="A41" s="62"/>
      <c r="Q41" s="14"/>
      <c r="R41" s="14"/>
      <c r="S41" s="14"/>
      <c r="T41" s="14"/>
      <c r="U41" s="150"/>
      <c r="V41" s="14"/>
      <c r="W41" s="14"/>
    </row>
    <row r="42" spans="1:23" ht="14.25" customHeight="1" x14ac:dyDescent="0.25">
      <c r="A42" s="62"/>
      <c r="Q42" s="14"/>
      <c r="R42" s="14"/>
      <c r="S42" s="14"/>
      <c r="T42" s="14"/>
      <c r="U42" s="14"/>
      <c r="V42" s="14"/>
      <c r="W42" s="14"/>
    </row>
    <row r="43" spans="1:23" ht="14.25" customHeight="1" x14ac:dyDescent="0.25">
      <c r="A43" s="62"/>
      <c r="Q43" s="151" t="s">
        <v>272</v>
      </c>
      <c r="R43" s="151" t="s">
        <v>273</v>
      </c>
      <c r="S43" s="151" t="s">
        <v>274</v>
      </c>
      <c r="T43" s="151" t="s">
        <v>275</v>
      </c>
      <c r="U43" s="151" t="s">
        <v>276</v>
      </c>
      <c r="V43" s="151" t="s">
        <v>277</v>
      </c>
      <c r="W43" s="235" t="s">
        <v>278</v>
      </c>
    </row>
    <row r="44" spans="1:23" ht="14.25" customHeight="1" x14ac:dyDescent="0.25">
      <c r="A44" s="62"/>
      <c r="Q44" s="153">
        <v>10745</v>
      </c>
      <c r="R44" s="154">
        <f>D51</f>
        <v>10000</v>
      </c>
      <c r="S44" s="155">
        <v>0.24793000000000001</v>
      </c>
      <c r="T44" s="155">
        <v>0.75207000000000002</v>
      </c>
      <c r="U44" s="220">
        <f>R44*S44</f>
        <v>2479.3000000000002</v>
      </c>
      <c r="V44" s="157">
        <f>R44*T44</f>
        <v>7520.7</v>
      </c>
      <c r="W44" s="237">
        <f>Q44-U44</f>
        <v>8265.7000000000007</v>
      </c>
    </row>
    <row r="45" spans="1:23" x14ac:dyDescent="0.25">
      <c r="A45" s="62"/>
    </row>
    <row r="46" spans="1:23" x14ac:dyDescent="0.25">
      <c r="A46" s="62"/>
    </row>
    <row r="47" spans="1:23" x14ac:dyDescent="0.25">
      <c r="A47" s="62"/>
    </row>
    <row r="48" spans="1:23" x14ac:dyDescent="0.25">
      <c r="A48" s="62"/>
    </row>
    <row r="49" spans="1:10" x14ac:dyDescent="0.25">
      <c r="A49" s="62"/>
    </row>
    <row r="50" spans="1:10" x14ac:dyDescent="0.25">
      <c r="A50" s="62"/>
      <c r="B50" s="253"/>
      <c r="C50" s="126" t="s">
        <v>233</v>
      </c>
      <c r="D50" s="126" t="s">
        <v>279</v>
      </c>
      <c r="E50" s="84"/>
      <c r="F50" s="84"/>
      <c r="G50" s="126" t="s">
        <v>280</v>
      </c>
      <c r="H50" s="126" t="s">
        <v>233</v>
      </c>
      <c r="I50" s="126" t="s">
        <v>281</v>
      </c>
      <c r="J50" s="126" t="s">
        <v>282</v>
      </c>
    </row>
    <row r="51" spans="1:10" x14ac:dyDescent="0.25">
      <c r="A51" s="62"/>
      <c r="B51" s="161" t="s">
        <v>283</v>
      </c>
      <c r="C51" s="162">
        <f>10/$K$1</f>
        <v>10.204081632653061</v>
      </c>
      <c r="D51" s="163">
        <f>$C$1*10</f>
        <v>10000</v>
      </c>
      <c r="E51" s="164"/>
      <c r="F51" s="84"/>
      <c r="G51" s="161" t="s">
        <v>283</v>
      </c>
      <c r="H51" s="254">
        <f>I51/$D$5</f>
        <v>10</v>
      </c>
      <c r="I51" s="162">
        <f>J51/$R$1</f>
        <v>16207.254901960785</v>
      </c>
      <c r="J51" s="162">
        <f>$W$44</f>
        <v>8265.7000000000007</v>
      </c>
    </row>
    <row r="52" spans="1:10" x14ac:dyDescent="0.25">
      <c r="A52" s="62"/>
      <c r="B52" s="209" t="s">
        <v>262</v>
      </c>
      <c r="C52" s="210">
        <f>$I$1</f>
        <v>12.28995290423862</v>
      </c>
      <c r="D52" s="211">
        <f>$E$1</f>
        <v>12044.153846153849</v>
      </c>
      <c r="E52" s="84"/>
      <c r="F52" s="84"/>
      <c r="G52" s="129" t="s">
        <v>262</v>
      </c>
      <c r="H52" s="190">
        <f>I52/$D$5</f>
        <v>12.042351106193244</v>
      </c>
      <c r="I52" s="157">
        <f>J52/$R$1</f>
        <v>19517.345399698333</v>
      </c>
      <c r="J52" s="165">
        <f>$S$32</f>
        <v>9953.8461538461506</v>
      </c>
    </row>
    <row r="53" spans="1:10" x14ac:dyDescent="0.25">
      <c r="A53" s="62"/>
      <c r="B53" s="209" t="s">
        <v>284</v>
      </c>
      <c r="C53" s="212">
        <f>MIN(C52, C51)</f>
        <v>10.204081632653061</v>
      </c>
      <c r="D53" s="211">
        <f>(C53*$K$1)*$C$1</f>
        <v>10000</v>
      </c>
      <c r="E53" s="84"/>
      <c r="F53" s="84"/>
      <c r="G53" s="129" t="s">
        <v>284</v>
      </c>
      <c r="H53" s="168">
        <f>MIN(H52,H51)</f>
        <v>10</v>
      </c>
      <c r="I53" s="157">
        <f>J53/$R$1</f>
        <v>16207.254901960785</v>
      </c>
      <c r="J53" s="157">
        <f>MIN(J52,J51)</f>
        <v>8265.7000000000007</v>
      </c>
    </row>
    <row r="54" spans="1:10" x14ac:dyDescent="0.25">
      <c r="A54" s="62"/>
      <c r="B54" s="209" t="s">
        <v>285</v>
      </c>
      <c r="C54" s="212">
        <f>MIN(MAX(C52-C53,0),C51)</f>
        <v>2.0858712715855585</v>
      </c>
      <c r="D54" s="211">
        <f>(C54*$K$1)*$C$1</f>
        <v>2044.1538461538476</v>
      </c>
      <c r="E54" s="84"/>
      <c r="F54" s="84"/>
      <c r="G54" s="129" t="s">
        <v>285</v>
      </c>
      <c r="H54" s="168">
        <f>MIN(MAX(H52-H53),H51)</f>
        <v>2.0423511061932444</v>
      </c>
      <c r="I54" s="157">
        <f>J54/$R$1</f>
        <v>3310.090497737549</v>
      </c>
      <c r="J54" s="157">
        <f>MIN(MAX(J52-J53),J51)</f>
        <v>1688.1461538461499</v>
      </c>
    </row>
    <row r="55" spans="1:10"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62"/>
    </row>
    <row r="57" spans="1:10" x14ac:dyDescent="0.25">
      <c r="A57" s="62"/>
    </row>
    <row r="58" spans="1:10" x14ac:dyDescent="0.25">
      <c r="A58" s="62"/>
    </row>
    <row r="59" spans="1:10" x14ac:dyDescent="0.25">
      <c r="A59" s="62"/>
    </row>
    <row r="60" spans="1:10" x14ac:dyDescent="0.25">
      <c r="A60" s="62"/>
    </row>
    <row r="61" spans="1:10" x14ac:dyDescent="0.25">
      <c r="A61" s="62"/>
    </row>
    <row r="62" spans="1:10" ht="18" customHeight="1" x14ac:dyDescent="0.25">
      <c r="A62" s="1456"/>
      <c r="B62" s="1634" t="str">
        <f>"فاصوليا لحم 1 / " &amp; COUNTIF($C$53:$C$55, "&gt;0")</f>
        <v>فاصوليا لحم 1 / 2</v>
      </c>
      <c r="C62" s="1635"/>
      <c r="D62" s="1635"/>
      <c r="E62" s="1635"/>
      <c r="F62" s="1635"/>
      <c r="G62" s="1635"/>
      <c r="H62" s="1635"/>
    </row>
    <row r="63" spans="1:10" ht="18" customHeight="1" x14ac:dyDescent="0.25">
      <c r="A63" s="1456"/>
      <c r="B63" s="1634" t="str">
        <f>"Lahm Fasooliya 1 / " &amp; COUNTIF($C$53:$C$55, "&gt;0")</f>
        <v>Lahm Fasooliya 1 / 2</v>
      </c>
      <c r="C63" s="1635"/>
      <c r="D63" s="1635"/>
      <c r="E63" s="1635"/>
      <c r="F63" s="1635"/>
      <c r="G63" s="1635"/>
      <c r="H63" s="1635"/>
    </row>
    <row r="64" spans="1:10" ht="25.5" customHeight="1" x14ac:dyDescent="0.2">
      <c r="A64" s="1457"/>
      <c r="B64" s="221" t="s">
        <v>241</v>
      </c>
      <c r="C64" s="222" t="s">
        <v>242</v>
      </c>
      <c r="D64" s="223" t="s">
        <v>231</v>
      </c>
      <c r="E64" s="197" t="s">
        <v>234</v>
      </c>
      <c r="F64" s="197" t="s">
        <v>243</v>
      </c>
      <c r="G64" s="223" t="s">
        <v>244</v>
      </c>
      <c r="H64" s="197" t="s">
        <v>245</v>
      </c>
    </row>
    <row r="65" spans="1:8" ht="14.25" customHeight="1" x14ac:dyDescent="0.25">
      <c r="A65" s="1455"/>
      <c r="B65" s="20" t="str">
        <f t="shared" ref="B65:D77" si="7">B5</f>
        <v>Indian Meat Alana  - لحم هندى ألانا</v>
      </c>
      <c r="C65" s="299" t="str">
        <f t="shared" si="7"/>
        <v>gm</v>
      </c>
      <c r="D65" s="454">
        <f t="shared" si="7"/>
        <v>1620.7254901960785</v>
      </c>
      <c r="E65" s="177">
        <f>H53</f>
        <v>10</v>
      </c>
      <c r="F65" s="109">
        <f t="shared" ref="F65:F77" si="8">F5</f>
        <v>1</v>
      </c>
      <c r="G65" s="101">
        <f t="shared" ref="G65:G77" si="9">D65*E65</f>
        <v>16207.254901960785</v>
      </c>
      <c r="H65" s="102">
        <f t="shared" ref="H65:H77" si="10">G65*F65</f>
        <v>16207.254901960785</v>
      </c>
    </row>
    <row r="66" spans="1:8" ht="14.25" customHeight="1" x14ac:dyDescent="0.25">
      <c r="A66" s="1455" t="s">
        <v>920</v>
      </c>
      <c r="B66" s="20" t="str">
        <f t="shared" si="7"/>
        <v>Onion - بصل</v>
      </c>
      <c r="C66" s="299" t="str">
        <f t="shared" si="7"/>
        <v>gm</v>
      </c>
      <c r="D66" s="299">
        <f t="shared" si="7"/>
        <v>300</v>
      </c>
      <c r="E66" s="177">
        <f t="shared" ref="E66:E77" si="11">$C$53</f>
        <v>10.204081632653061</v>
      </c>
      <c r="F66" s="109">
        <f t="shared" si="8"/>
        <v>1</v>
      </c>
      <c r="G66" s="101">
        <f t="shared" si="9"/>
        <v>3061.2244897959181</v>
      </c>
      <c r="H66" s="102">
        <f t="shared" si="10"/>
        <v>3061.2244897959181</v>
      </c>
    </row>
    <row r="67" spans="1:8" ht="14.25" customHeight="1" x14ac:dyDescent="0.25">
      <c r="A67" s="1455" t="s">
        <v>907</v>
      </c>
      <c r="B67" s="20" t="str">
        <f t="shared" si="7"/>
        <v>Garlic - ثوم مقشر</v>
      </c>
      <c r="C67" s="299" t="str">
        <f t="shared" si="7"/>
        <v>gm</v>
      </c>
      <c r="D67" s="299">
        <f t="shared" si="7"/>
        <v>25</v>
      </c>
      <c r="E67" s="177">
        <f t="shared" si="11"/>
        <v>10.204081632653061</v>
      </c>
      <c r="F67" s="109">
        <f t="shared" si="8"/>
        <v>1</v>
      </c>
      <c r="G67" s="101">
        <f t="shared" si="9"/>
        <v>255.10204081632654</v>
      </c>
      <c r="H67" s="102">
        <f t="shared" si="10"/>
        <v>255.10204081632654</v>
      </c>
    </row>
    <row r="68" spans="1:8" ht="14.25" customHeight="1" x14ac:dyDescent="0.25">
      <c r="A68" s="1455" t="s">
        <v>909</v>
      </c>
      <c r="B68" s="20" t="str">
        <f t="shared" si="7"/>
        <v>Tomato - طماطم</v>
      </c>
      <c r="C68" s="299" t="str">
        <f t="shared" si="7"/>
        <v>gm</v>
      </c>
      <c r="D68" s="299">
        <f t="shared" si="7"/>
        <v>400</v>
      </c>
      <c r="E68" s="177">
        <f t="shared" si="11"/>
        <v>10.204081632653061</v>
      </c>
      <c r="F68" s="109">
        <f t="shared" si="8"/>
        <v>1</v>
      </c>
      <c r="G68" s="101">
        <f t="shared" si="9"/>
        <v>4081.6326530612246</v>
      </c>
      <c r="H68" s="102">
        <f t="shared" si="10"/>
        <v>4081.6326530612246</v>
      </c>
    </row>
    <row r="69" spans="1:8" ht="14.25" customHeight="1" x14ac:dyDescent="0.25">
      <c r="A69" s="1455"/>
      <c r="B69" s="20" t="str">
        <f t="shared" si="7"/>
        <v>Tomato Paste - صلصة طماطم</v>
      </c>
      <c r="C69" s="299" t="str">
        <f t="shared" si="7"/>
        <v>gm</v>
      </c>
      <c r="D69" s="299">
        <f t="shared" si="7"/>
        <v>250</v>
      </c>
      <c r="E69" s="177">
        <f t="shared" si="11"/>
        <v>10.204081632653061</v>
      </c>
      <c r="F69" s="109">
        <f t="shared" si="8"/>
        <v>1</v>
      </c>
      <c r="G69" s="101">
        <f t="shared" si="9"/>
        <v>2551.0204081632651</v>
      </c>
      <c r="H69" s="102">
        <f t="shared" si="10"/>
        <v>2551.0204081632651</v>
      </c>
    </row>
    <row r="70" spans="1:8" ht="14.25" customHeight="1" x14ac:dyDescent="0.25">
      <c r="A70" s="1455"/>
      <c r="B70" s="20" t="str">
        <f t="shared" si="7"/>
        <v>Black Pepper Powder - فلفل أسود مطحون</v>
      </c>
      <c r="C70" s="299" t="str">
        <f t="shared" si="7"/>
        <v>gm</v>
      </c>
      <c r="D70" s="299">
        <f t="shared" si="7"/>
        <v>6</v>
      </c>
      <c r="E70" s="177">
        <f t="shared" si="11"/>
        <v>10.204081632653061</v>
      </c>
      <c r="F70" s="109">
        <f t="shared" si="8"/>
        <v>0.75</v>
      </c>
      <c r="G70" s="101">
        <f t="shared" si="9"/>
        <v>61.224489795918366</v>
      </c>
      <c r="H70" s="102">
        <f t="shared" si="10"/>
        <v>45.918367346938773</v>
      </c>
    </row>
    <row r="71" spans="1:8" ht="14.25" customHeight="1" x14ac:dyDescent="0.25">
      <c r="A71" s="1455"/>
      <c r="B71" s="20" t="str">
        <f t="shared" si="7"/>
        <v>Cumin Powder - كمون مطحون</v>
      </c>
      <c r="C71" s="299" t="str">
        <f t="shared" si="7"/>
        <v>gm</v>
      </c>
      <c r="D71" s="299">
        <f t="shared" si="7"/>
        <v>10</v>
      </c>
      <c r="E71" s="177">
        <f t="shared" si="11"/>
        <v>10.204081632653061</v>
      </c>
      <c r="F71" s="109">
        <f t="shared" si="8"/>
        <v>0.75</v>
      </c>
      <c r="G71" s="101">
        <f t="shared" si="9"/>
        <v>102.0408163265306</v>
      </c>
      <c r="H71" s="102">
        <f t="shared" si="10"/>
        <v>76.530612244897952</v>
      </c>
    </row>
    <row r="72" spans="1:8" ht="14.25" customHeight="1" x14ac:dyDescent="0.25">
      <c r="A72" s="1455"/>
      <c r="B72" s="20" t="str">
        <f t="shared" si="7"/>
        <v>Coriander Powder - كزبرة مطحونة</v>
      </c>
      <c r="C72" s="299" t="str">
        <f t="shared" si="7"/>
        <v>gm</v>
      </c>
      <c r="D72" s="299">
        <f t="shared" si="7"/>
        <v>15</v>
      </c>
      <c r="E72" s="177">
        <f t="shared" si="11"/>
        <v>10.204081632653061</v>
      </c>
      <c r="F72" s="109">
        <f t="shared" si="8"/>
        <v>0.75</v>
      </c>
      <c r="G72" s="101">
        <f t="shared" si="9"/>
        <v>153.0612244897959</v>
      </c>
      <c r="H72" s="102">
        <f t="shared" si="10"/>
        <v>114.79591836734693</v>
      </c>
    </row>
    <row r="73" spans="1:8" ht="14.25" customHeight="1" x14ac:dyDescent="0.25">
      <c r="A73" s="1455"/>
      <c r="B73" s="20" t="str">
        <f t="shared" si="7"/>
        <v>Cinnamon Powder - قرفة مطحونة</v>
      </c>
      <c r="C73" s="299" t="str">
        <f t="shared" si="7"/>
        <v>gm</v>
      </c>
      <c r="D73" s="299">
        <f t="shared" si="7"/>
        <v>10</v>
      </c>
      <c r="E73" s="177">
        <f t="shared" si="11"/>
        <v>10.204081632653061</v>
      </c>
      <c r="F73" s="109">
        <f t="shared" si="8"/>
        <v>0.75</v>
      </c>
      <c r="G73" s="101">
        <f t="shared" si="9"/>
        <v>102.0408163265306</v>
      </c>
      <c r="H73" s="102">
        <f t="shared" si="10"/>
        <v>76.530612244897952</v>
      </c>
    </row>
    <row r="74" spans="1:8" ht="14.25" customHeight="1" x14ac:dyDescent="0.25">
      <c r="A74" s="1455"/>
      <c r="B74" s="20" t="str">
        <f t="shared" si="7"/>
        <v>Maggi Cubes - مكعبات ماجي</v>
      </c>
      <c r="C74" s="299" t="str">
        <f t="shared" si="7"/>
        <v>gm</v>
      </c>
      <c r="D74" s="299">
        <f t="shared" si="7"/>
        <v>6</v>
      </c>
      <c r="E74" s="177">
        <f t="shared" si="11"/>
        <v>10.204081632653061</v>
      </c>
      <c r="F74" s="109">
        <f t="shared" si="8"/>
        <v>1</v>
      </c>
      <c r="G74" s="101">
        <f t="shared" si="9"/>
        <v>61.224489795918366</v>
      </c>
      <c r="H74" s="102">
        <f t="shared" si="10"/>
        <v>61.224489795918366</v>
      </c>
    </row>
    <row r="75" spans="1:8" ht="14.25" customHeight="1" x14ac:dyDescent="0.25">
      <c r="A75" s="1455"/>
      <c r="B75" s="20" t="str">
        <f t="shared" si="7"/>
        <v>Salt - ملح</v>
      </c>
      <c r="C75" s="299" t="str">
        <f t="shared" si="7"/>
        <v>gm</v>
      </c>
      <c r="D75" s="299">
        <f t="shared" si="7"/>
        <v>5</v>
      </c>
      <c r="E75" s="177">
        <f t="shared" si="11"/>
        <v>10.204081632653061</v>
      </c>
      <c r="F75" s="109">
        <f t="shared" si="8"/>
        <v>1</v>
      </c>
      <c r="G75" s="101">
        <f t="shared" si="9"/>
        <v>51.020408163265301</v>
      </c>
      <c r="H75" s="102">
        <f t="shared" si="10"/>
        <v>51.020408163265301</v>
      </c>
    </row>
    <row r="76" spans="1:8" ht="14.25" customHeight="1" x14ac:dyDescent="0.25">
      <c r="A76" s="1455"/>
      <c r="B76" s="20" t="str">
        <f t="shared" si="7"/>
        <v>Butter - زبدة</v>
      </c>
      <c r="C76" s="299" t="str">
        <f t="shared" si="7"/>
        <v>gm</v>
      </c>
      <c r="D76" s="299">
        <f t="shared" si="7"/>
        <v>40</v>
      </c>
      <c r="E76" s="177">
        <f t="shared" si="11"/>
        <v>10.204081632653061</v>
      </c>
      <c r="F76" s="109">
        <f t="shared" si="8"/>
        <v>1</v>
      </c>
      <c r="G76" s="101">
        <f t="shared" si="9"/>
        <v>408.16326530612241</v>
      </c>
      <c r="H76" s="102">
        <f t="shared" si="10"/>
        <v>408.16326530612241</v>
      </c>
    </row>
    <row r="77" spans="1:8" ht="14.25" customHeight="1" x14ac:dyDescent="0.25">
      <c r="A77" s="1455"/>
      <c r="B77" s="20" t="str">
        <f t="shared" si="7"/>
        <v>White Beans - فاصوليا بيضاء</v>
      </c>
      <c r="C77" s="299" t="str">
        <f t="shared" si="7"/>
        <v>gm</v>
      </c>
      <c r="D77" s="299">
        <f t="shared" si="7"/>
        <v>400</v>
      </c>
      <c r="E77" s="177">
        <f t="shared" si="11"/>
        <v>10.204081632653061</v>
      </c>
      <c r="F77" s="109">
        <f t="shared" si="8"/>
        <v>1</v>
      </c>
      <c r="G77" s="101">
        <f t="shared" si="9"/>
        <v>4081.6326530612246</v>
      </c>
      <c r="H77" s="102">
        <f t="shared" si="10"/>
        <v>4081.6326530612246</v>
      </c>
    </row>
    <row r="78" spans="1:8" ht="20.25" customHeight="1" x14ac:dyDescent="0.25">
      <c r="A78" s="1458"/>
      <c r="B78" s="178" t="s">
        <v>287</v>
      </c>
      <c r="C78" s="180" t="s">
        <v>273</v>
      </c>
      <c r="D78" s="14"/>
      <c r="E78" s="180" t="s">
        <v>288</v>
      </c>
      <c r="F78" s="14"/>
      <c r="G78" s="804" t="s">
        <v>264</v>
      </c>
      <c r="H78" s="804" t="s">
        <v>673</v>
      </c>
    </row>
    <row r="79" spans="1:8" ht="23.25" customHeight="1" x14ac:dyDescent="0.3">
      <c r="A79" s="1458"/>
      <c r="B79" s="179">
        <f>$J$53</f>
        <v>8265.7000000000007</v>
      </c>
      <c r="C79" s="179">
        <f>E79+G79</f>
        <v>10000</v>
      </c>
      <c r="D79" s="839"/>
      <c r="E79" s="179">
        <f>$D$53*$S$44</f>
        <v>2479.3000000000002</v>
      </c>
      <c r="F79" s="843"/>
      <c r="G79" s="179">
        <f>$D$53*$T$44</f>
        <v>7520.7</v>
      </c>
      <c r="H79" s="179">
        <f>B79+E79</f>
        <v>10745</v>
      </c>
    </row>
    <row r="80" spans="1:8" ht="14.25" customHeight="1" x14ac:dyDescent="0.25">
      <c r="A80" s="62"/>
      <c r="B80" s="84"/>
      <c r="C80" s="84"/>
      <c r="D80" s="84"/>
      <c r="E80" s="84"/>
      <c r="F80" s="84"/>
      <c r="G80" s="84"/>
      <c r="H80" s="84"/>
    </row>
    <row r="81" spans="1:8" ht="14.25" customHeight="1" x14ac:dyDescent="0.25">
      <c r="A81" s="62"/>
      <c r="B81" s="84"/>
      <c r="C81" s="84"/>
      <c r="D81" s="84"/>
      <c r="E81" s="84"/>
      <c r="F81" s="84"/>
      <c r="G81" s="84"/>
      <c r="H81" s="84"/>
    </row>
    <row r="82" spans="1:8" ht="14.25" customHeight="1" x14ac:dyDescent="0.25">
      <c r="A82" s="62"/>
      <c r="B82" s="84"/>
      <c r="C82" s="84"/>
      <c r="D82" s="84"/>
      <c r="E82" s="84"/>
      <c r="F82" s="84"/>
      <c r="G82" s="84"/>
      <c r="H82" s="84"/>
    </row>
    <row r="83" spans="1:8" ht="14.25" customHeight="1" x14ac:dyDescent="0.25">
      <c r="A83" s="62"/>
      <c r="B83" s="84"/>
      <c r="C83" s="84"/>
      <c r="D83" s="84"/>
      <c r="E83" s="84"/>
      <c r="F83" s="84"/>
      <c r="G83" s="84"/>
      <c r="H83" s="84"/>
    </row>
    <row r="84" spans="1:8" ht="18" customHeight="1" x14ac:dyDescent="0.25">
      <c r="A84" s="1490"/>
      <c r="B84" s="1706" t="str">
        <f>"فاصوليا لحم 2 / " &amp; COUNTIF($C$53:$C$55, "&gt;0")</f>
        <v>فاصوليا لحم 2 / 2</v>
      </c>
      <c r="C84" s="1635"/>
      <c r="D84" s="1635"/>
      <c r="E84" s="1635"/>
      <c r="F84" s="1635"/>
      <c r="G84" s="1635"/>
      <c r="H84" s="1635"/>
    </row>
    <row r="85" spans="1:8" ht="18" customHeight="1" x14ac:dyDescent="0.25">
      <c r="A85" s="1490"/>
      <c r="B85" s="1706" t="str">
        <f>"Lahm Fasooliya 2 / " &amp; COUNTIF($C$53:$C$55, "&gt;0")</f>
        <v>Lahm Fasooliya 2 / 2</v>
      </c>
      <c r="C85" s="1635"/>
      <c r="D85" s="1635"/>
      <c r="E85" s="1635"/>
      <c r="F85" s="1635"/>
      <c r="G85" s="1635"/>
      <c r="H85" s="1635"/>
    </row>
    <row r="86" spans="1:8" ht="25.5" customHeight="1" x14ac:dyDescent="0.2">
      <c r="A86" s="1457"/>
      <c r="B86" s="223" t="s">
        <v>241</v>
      </c>
      <c r="C86" s="222" t="s">
        <v>242</v>
      </c>
      <c r="D86" s="223" t="s">
        <v>231</v>
      </c>
      <c r="E86" s="197" t="s">
        <v>234</v>
      </c>
      <c r="F86" s="197" t="s">
        <v>243</v>
      </c>
      <c r="G86" s="223" t="s">
        <v>244</v>
      </c>
      <c r="H86" s="197" t="s">
        <v>245</v>
      </c>
    </row>
    <row r="87" spans="1:8" ht="14.25" customHeight="1" x14ac:dyDescent="0.25">
      <c r="A87" s="1455"/>
      <c r="B87" s="20" t="str">
        <f t="shared" ref="B87:D99" si="12">B5</f>
        <v>Indian Meat Alana  - لحم هندى ألانا</v>
      </c>
      <c r="C87" s="299" t="str">
        <f t="shared" si="12"/>
        <v>gm</v>
      </c>
      <c r="D87" s="454">
        <f t="shared" si="12"/>
        <v>1620.7254901960785</v>
      </c>
      <c r="E87" s="177">
        <f>H54</f>
        <v>2.0423511061932444</v>
      </c>
      <c r="F87" s="109">
        <f t="shared" ref="F87:F99" si="13">F5</f>
        <v>1</v>
      </c>
      <c r="G87" s="101">
        <f t="shared" ref="G87:G99" si="14">D87*E87</f>
        <v>3310.0904977375494</v>
      </c>
      <c r="H87" s="102">
        <f t="shared" ref="H87:H99" si="15">G87*F87</f>
        <v>3310.0904977375494</v>
      </c>
    </row>
    <row r="88" spans="1:8" ht="14.25" customHeight="1" x14ac:dyDescent="0.25">
      <c r="A88" s="1455" t="s">
        <v>920</v>
      </c>
      <c r="B88" s="20" t="str">
        <f t="shared" si="12"/>
        <v>Onion - بصل</v>
      </c>
      <c r="C88" s="299" t="str">
        <f t="shared" si="12"/>
        <v>gm</v>
      </c>
      <c r="D88" s="299">
        <f t="shared" si="12"/>
        <v>300</v>
      </c>
      <c r="E88" s="177">
        <f t="shared" ref="E88:E99" si="16">$C$54</f>
        <v>2.0858712715855585</v>
      </c>
      <c r="F88" s="109">
        <f t="shared" si="13"/>
        <v>1</v>
      </c>
      <c r="G88" s="101">
        <f t="shared" si="14"/>
        <v>625.76138147566758</v>
      </c>
      <c r="H88" s="102">
        <f t="shared" si="15"/>
        <v>625.76138147566758</v>
      </c>
    </row>
    <row r="89" spans="1:8" ht="14.25" customHeight="1" x14ac:dyDescent="0.25">
      <c r="A89" s="1455" t="s">
        <v>907</v>
      </c>
      <c r="B89" s="20" t="str">
        <f t="shared" si="12"/>
        <v>Garlic - ثوم مقشر</v>
      </c>
      <c r="C89" s="299" t="str">
        <f t="shared" si="12"/>
        <v>gm</v>
      </c>
      <c r="D89" s="299">
        <f t="shared" si="12"/>
        <v>25</v>
      </c>
      <c r="E89" s="177">
        <f t="shared" si="16"/>
        <v>2.0858712715855585</v>
      </c>
      <c r="F89" s="109">
        <f t="shared" si="13"/>
        <v>1</v>
      </c>
      <c r="G89" s="101">
        <f t="shared" si="14"/>
        <v>52.146781789638965</v>
      </c>
      <c r="H89" s="102">
        <f t="shared" si="15"/>
        <v>52.146781789638965</v>
      </c>
    </row>
    <row r="90" spans="1:8" ht="14.25" customHeight="1" x14ac:dyDescent="0.25">
      <c r="A90" s="1455" t="s">
        <v>909</v>
      </c>
      <c r="B90" s="20" t="str">
        <f t="shared" si="12"/>
        <v>Tomato - طماطم</v>
      </c>
      <c r="C90" s="299" t="str">
        <f t="shared" si="12"/>
        <v>gm</v>
      </c>
      <c r="D90" s="299">
        <f t="shared" si="12"/>
        <v>400</v>
      </c>
      <c r="E90" s="177">
        <f t="shared" si="16"/>
        <v>2.0858712715855585</v>
      </c>
      <c r="F90" s="109">
        <f t="shared" si="13"/>
        <v>1</v>
      </c>
      <c r="G90" s="101">
        <f t="shared" si="14"/>
        <v>834.34850863422344</v>
      </c>
      <c r="H90" s="102">
        <f t="shared" si="15"/>
        <v>834.34850863422344</v>
      </c>
    </row>
    <row r="91" spans="1:8" ht="14.25" customHeight="1" x14ac:dyDescent="0.25">
      <c r="A91" s="1455"/>
      <c r="B91" s="20" t="str">
        <f t="shared" si="12"/>
        <v>Tomato Paste - صلصة طماطم</v>
      </c>
      <c r="C91" s="299" t="str">
        <f t="shared" si="12"/>
        <v>gm</v>
      </c>
      <c r="D91" s="299">
        <f t="shared" si="12"/>
        <v>250</v>
      </c>
      <c r="E91" s="177">
        <f t="shared" si="16"/>
        <v>2.0858712715855585</v>
      </c>
      <c r="F91" s="109">
        <f t="shared" si="13"/>
        <v>1</v>
      </c>
      <c r="G91" s="101">
        <f t="shared" si="14"/>
        <v>521.46781789638965</v>
      </c>
      <c r="H91" s="102">
        <f t="shared" si="15"/>
        <v>521.46781789638965</v>
      </c>
    </row>
    <row r="92" spans="1:8" ht="14.25" customHeight="1" x14ac:dyDescent="0.25">
      <c r="A92" s="1455"/>
      <c r="B92" s="20" t="str">
        <f t="shared" si="12"/>
        <v>Black Pepper Powder - فلفل أسود مطحون</v>
      </c>
      <c r="C92" s="299" t="str">
        <f t="shared" si="12"/>
        <v>gm</v>
      </c>
      <c r="D92" s="299">
        <f t="shared" si="12"/>
        <v>6</v>
      </c>
      <c r="E92" s="177">
        <f t="shared" si="16"/>
        <v>2.0858712715855585</v>
      </c>
      <c r="F92" s="109">
        <f t="shared" si="13"/>
        <v>0.75</v>
      </c>
      <c r="G92" s="101">
        <f t="shared" si="14"/>
        <v>12.515227629513351</v>
      </c>
      <c r="H92" s="102">
        <f t="shared" si="15"/>
        <v>9.3864207221350142</v>
      </c>
    </row>
    <row r="93" spans="1:8" ht="14.25" customHeight="1" x14ac:dyDescent="0.25">
      <c r="A93" s="1455"/>
      <c r="B93" s="20" t="str">
        <f t="shared" si="12"/>
        <v>Cumin Powder - كمون مطحون</v>
      </c>
      <c r="C93" s="299" t="str">
        <f t="shared" si="12"/>
        <v>gm</v>
      </c>
      <c r="D93" s="299">
        <f t="shared" si="12"/>
        <v>10</v>
      </c>
      <c r="E93" s="177">
        <f t="shared" si="16"/>
        <v>2.0858712715855585</v>
      </c>
      <c r="F93" s="109">
        <f t="shared" si="13"/>
        <v>0.75</v>
      </c>
      <c r="G93" s="101">
        <f t="shared" si="14"/>
        <v>20.858712715855585</v>
      </c>
      <c r="H93" s="102">
        <f t="shared" si="15"/>
        <v>15.644034536891688</v>
      </c>
    </row>
    <row r="94" spans="1:8" ht="14.25" customHeight="1" x14ac:dyDescent="0.25">
      <c r="A94" s="1455"/>
      <c r="B94" s="20" t="str">
        <f t="shared" si="12"/>
        <v>Coriander Powder - كزبرة مطحونة</v>
      </c>
      <c r="C94" s="299" t="str">
        <f t="shared" si="12"/>
        <v>gm</v>
      </c>
      <c r="D94" s="299">
        <f t="shared" si="12"/>
        <v>15</v>
      </c>
      <c r="E94" s="177">
        <f t="shared" si="16"/>
        <v>2.0858712715855585</v>
      </c>
      <c r="F94" s="109">
        <f t="shared" si="13"/>
        <v>0.75</v>
      </c>
      <c r="G94" s="101">
        <f t="shared" si="14"/>
        <v>31.288069073783376</v>
      </c>
      <c r="H94" s="102">
        <f t="shared" si="15"/>
        <v>23.466051805337532</v>
      </c>
    </row>
    <row r="95" spans="1:8" ht="14.25" customHeight="1" x14ac:dyDescent="0.25">
      <c r="A95" s="1455"/>
      <c r="B95" s="20" t="str">
        <f t="shared" si="12"/>
        <v>Cinnamon Powder - قرفة مطحونة</v>
      </c>
      <c r="C95" s="299" t="str">
        <f t="shared" si="12"/>
        <v>gm</v>
      </c>
      <c r="D95" s="299">
        <f t="shared" si="12"/>
        <v>10</v>
      </c>
      <c r="E95" s="177">
        <f t="shared" si="16"/>
        <v>2.0858712715855585</v>
      </c>
      <c r="F95" s="109">
        <f t="shared" si="13"/>
        <v>0.75</v>
      </c>
      <c r="G95" s="101">
        <f t="shared" si="14"/>
        <v>20.858712715855585</v>
      </c>
      <c r="H95" s="102">
        <f t="shared" si="15"/>
        <v>15.644034536891688</v>
      </c>
    </row>
    <row r="96" spans="1:8" ht="14.25" customHeight="1" x14ac:dyDescent="0.25">
      <c r="A96" s="1455"/>
      <c r="B96" s="20" t="str">
        <f t="shared" si="12"/>
        <v>Maggi Cubes - مكعبات ماجي</v>
      </c>
      <c r="C96" s="299" t="str">
        <f t="shared" si="12"/>
        <v>gm</v>
      </c>
      <c r="D96" s="299">
        <f t="shared" si="12"/>
        <v>6</v>
      </c>
      <c r="E96" s="177">
        <f t="shared" si="16"/>
        <v>2.0858712715855585</v>
      </c>
      <c r="F96" s="109">
        <f t="shared" si="13"/>
        <v>1</v>
      </c>
      <c r="G96" s="101">
        <f t="shared" si="14"/>
        <v>12.515227629513351</v>
      </c>
      <c r="H96" s="102">
        <f t="shared" si="15"/>
        <v>12.515227629513351</v>
      </c>
    </row>
    <row r="97" spans="1:8" ht="14.25" customHeight="1" x14ac:dyDescent="0.25">
      <c r="A97" s="1455"/>
      <c r="B97" s="20" t="str">
        <f t="shared" si="12"/>
        <v>Salt - ملح</v>
      </c>
      <c r="C97" s="299" t="str">
        <f t="shared" si="12"/>
        <v>gm</v>
      </c>
      <c r="D97" s="299">
        <f t="shared" si="12"/>
        <v>5</v>
      </c>
      <c r="E97" s="177">
        <f t="shared" si="16"/>
        <v>2.0858712715855585</v>
      </c>
      <c r="F97" s="109">
        <f t="shared" si="13"/>
        <v>1</v>
      </c>
      <c r="G97" s="101">
        <f t="shared" si="14"/>
        <v>10.429356357927793</v>
      </c>
      <c r="H97" s="102">
        <f t="shared" si="15"/>
        <v>10.429356357927793</v>
      </c>
    </row>
    <row r="98" spans="1:8" ht="14.25" customHeight="1" x14ac:dyDescent="0.25">
      <c r="A98" s="1455"/>
      <c r="B98" s="20" t="str">
        <f t="shared" si="12"/>
        <v>Butter - زبدة</v>
      </c>
      <c r="C98" s="299" t="str">
        <f t="shared" si="12"/>
        <v>gm</v>
      </c>
      <c r="D98" s="299">
        <f t="shared" si="12"/>
        <v>40</v>
      </c>
      <c r="E98" s="177">
        <f t="shared" si="16"/>
        <v>2.0858712715855585</v>
      </c>
      <c r="F98" s="109">
        <f t="shared" si="13"/>
        <v>1</v>
      </c>
      <c r="G98" s="101">
        <f t="shared" si="14"/>
        <v>83.434850863422341</v>
      </c>
      <c r="H98" s="102">
        <f t="shared" si="15"/>
        <v>83.434850863422341</v>
      </c>
    </row>
    <row r="99" spans="1:8" ht="14.25" customHeight="1" x14ac:dyDescent="0.25">
      <c r="A99" s="1455"/>
      <c r="B99" s="20" t="str">
        <f t="shared" si="12"/>
        <v>White Beans - فاصوليا بيضاء</v>
      </c>
      <c r="C99" s="299" t="str">
        <f t="shared" si="12"/>
        <v>gm</v>
      </c>
      <c r="D99" s="299">
        <f t="shared" si="12"/>
        <v>400</v>
      </c>
      <c r="E99" s="177">
        <f t="shared" si="16"/>
        <v>2.0858712715855585</v>
      </c>
      <c r="F99" s="109">
        <f t="shared" si="13"/>
        <v>1</v>
      </c>
      <c r="G99" s="101">
        <f t="shared" si="14"/>
        <v>834.34850863422344</v>
      </c>
      <c r="H99" s="102">
        <f t="shared" si="15"/>
        <v>834.34850863422344</v>
      </c>
    </row>
    <row r="100" spans="1:8" ht="20.25" customHeight="1" x14ac:dyDescent="0.25">
      <c r="A100" s="1458"/>
      <c r="B100" s="178" t="s">
        <v>287</v>
      </c>
      <c r="C100" s="180" t="s">
        <v>273</v>
      </c>
      <c r="D100" s="14"/>
      <c r="E100" s="180" t="s">
        <v>288</v>
      </c>
      <c r="F100" s="14"/>
      <c r="G100" s="804" t="s">
        <v>264</v>
      </c>
      <c r="H100" s="804" t="s">
        <v>673</v>
      </c>
    </row>
    <row r="101" spans="1:8" ht="20.25" x14ac:dyDescent="0.3">
      <c r="A101" s="1458"/>
      <c r="B101" s="179">
        <f>$J$54</f>
        <v>1688.1461538461499</v>
      </c>
      <c r="C101" s="179">
        <f>E101+G101</f>
        <v>2044.1538461538476</v>
      </c>
      <c r="D101" s="839"/>
      <c r="E101" s="179">
        <f>$D$54*$S$44</f>
        <v>506.80706307692344</v>
      </c>
      <c r="F101" s="843"/>
      <c r="G101" s="179">
        <f>$D$54*$T$44</f>
        <v>1537.3467830769241</v>
      </c>
      <c r="H101" s="179">
        <f>B101+E101</f>
        <v>2194.9532169230733</v>
      </c>
    </row>
    <row r="102" spans="1:8" x14ac:dyDescent="0.25">
      <c r="A102" s="62"/>
    </row>
    <row r="103" spans="1:8" x14ac:dyDescent="0.25">
      <c r="A103" s="1490"/>
      <c r="B103" s="1706" t="str">
        <f>"فاصوليا لحم 3 / " &amp; COUNTIF($C$53:$C$55, "&gt;0")</f>
        <v>فاصوليا لحم 3 / 2</v>
      </c>
      <c r="C103" s="1635"/>
      <c r="D103" s="1635"/>
      <c r="E103" s="1635"/>
      <c r="F103" s="1635"/>
      <c r="G103" s="1635"/>
      <c r="H103" s="1635"/>
    </row>
    <row r="104" spans="1:8" x14ac:dyDescent="0.25">
      <c r="A104" s="1490"/>
      <c r="B104" s="1706" t="str">
        <f>"Lahm Fasooliya 3 / " &amp; COUNTIF($C$53:$C$55, "&gt;0")</f>
        <v>Lahm Fasooliya 3 / 2</v>
      </c>
      <c r="C104" s="1635"/>
      <c r="D104" s="1635"/>
      <c r="E104" s="1635"/>
      <c r="F104" s="1635"/>
      <c r="G104" s="1635"/>
      <c r="H104" s="1635"/>
    </row>
    <row r="105" spans="1:8" ht="46.5" customHeight="1" x14ac:dyDescent="0.2">
      <c r="A105" s="1457"/>
      <c r="B105" s="223" t="s">
        <v>241</v>
      </c>
      <c r="C105" s="222" t="s">
        <v>242</v>
      </c>
      <c r="D105" s="223" t="s">
        <v>231</v>
      </c>
      <c r="E105" s="197" t="s">
        <v>234</v>
      </c>
      <c r="F105" s="197" t="s">
        <v>243</v>
      </c>
      <c r="G105" s="223" t="s">
        <v>244</v>
      </c>
      <c r="H105" s="197" t="s">
        <v>245</v>
      </c>
    </row>
    <row r="106" spans="1:8" x14ac:dyDescent="0.25">
      <c r="A106" s="1455"/>
      <c r="B106" s="20" t="str">
        <f t="shared" ref="B106:D118" si="17">B5</f>
        <v>Indian Meat Alana  - لحم هندى ألانا</v>
      </c>
      <c r="C106" s="20" t="str">
        <f t="shared" si="17"/>
        <v>gm</v>
      </c>
      <c r="D106" s="20">
        <f t="shared" si="17"/>
        <v>1620.7254901960785</v>
      </c>
      <c r="E106" s="177">
        <f>H55</f>
        <v>0</v>
      </c>
      <c r="F106" s="109">
        <f>F5</f>
        <v>1</v>
      </c>
      <c r="G106" s="101">
        <f t="shared" ref="G106:G118" si="18">D106*E106</f>
        <v>0</v>
      </c>
      <c r="H106" s="102">
        <f t="shared" ref="H106:H118" si="19">G106*F106</f>
        <v>0</v>
      </c>
    </row>
    <row r="107" spans="1:8" x14ac:dyDescent="0.25">
      <c r="A107" s="1455" t="s">
        <v>920</v>
      </c>
      <c r="B107" s="20" t="str">
        <f t="shared" si="17"/>
        <v>Onion - بصل</v>
      </c>
      <c r="C107" s="20" t="str">
        <f t="shared" si="17"/>
        <v>gm</v>
      </c>
      <c r="D107" s="20">
        <f t="shared" si="17"/>
        <v>300</v>
      </c>
      <c r="E107" s="177">
        <f t="shared" ref="E107:E118" si="20">$C$55</f>
        <v>0</v>
      </c>
      <c r="F107" s="109">
        <f t="shared" ref="F107:F118" si="21">F6</f>
        <v>1</v>
      </c>
      <c r="G107" s="101">
        <f t="shared" si="18"/>
        <v>0</v>
      </c>
      <c r="H107" s="102">
        <f t="shared" si="19"/>
        <v>0</v>
      </c>
    </row>
    <row r="108" spans="1:8" x14ac:dyDescent="0.25">
      <c r="A108" s="1455" t="s">
        <v>907</v>
      </c>
      <c r="B108" s="20" t="str">
        <f t="shared" si="17"/>
        <v>Garlic - ثوم مقشر</v>
      </c>
      <c r="C108" s="20" t="str">
        <f t="shared" si="17"/>
        <v>gm</v>
      </c>
      <c r="D108" s="20">
        <f t="shared" si="17"/>
        <v>25</v>
      </c>
      <c r="E108" s="177">
        <f t="shared" si="20"/>
        <v>0</v>
      </c>
      <c r="F108" s="109">
        <f t="shared" si="21"/>
        <v>1</v>
      </c>
      <c r="G108" s="101">
        <f t="shared" si="18"/>
        <v>0</v>
      </c>
      <c r="H108" s="102">
        <f t="shared" si="19"/>
        <v>0</v>
      </c>
    </row>
    <row r="109" spans="1:8" x14ac:dyDescent="0.25">
      <c r="A109" s="1455" t="s">
        <v>909</v>
      </c>
      <c r="B109" s="20" t="str">
        <f t="shared" si="17"/>
        <v>Tomato - طماطم</v>
      </c>
      <c r="C109" s="20" t="str">
        <f t="shared" si="17"/>
        <v>gm</v>
      </c>
      <c r="D109" s="20">
        <f t="shared" si="17"/>
        <v>400</v>
      </c>
      <c r="E109" s="177">
        <f t="shared" si="20"/>
        <v>0</v>
      </c>
      <c r="F109" s="109">
        <f t="shared" si="21"/>
        <v>1</v>
      </c>
      <c r="G109" s="101">
        <f t="shared" si="18"/>
        <v>0</v>
      </c>
      <c r="H109" s="102">
        <f t="shared" si="19"/>
        <v>0</v>
      </c>
    </row>
    <row r="110" spans="1:8" x14ac:dyDescent="0.25">
      <c r="A110" s="1455"/>
      <c r="B110" s="20" t="str">
        <f t="shared" si="17"/>
        <v>Tomato Paste - صلصة طماطم</v>
      </c>
      <c r="C110" s="20" t="str">
        <f t="shared" si="17"/>
        <v>gm</v>
      </c>
      <c r="D110" s="20">
        <f t="shared" si="17"/>
        <v>250</v>
      </c>
      <c r="E110" s="177">
        <f t="shared" si="20"/>
        <v>0</v>
      </c>
      <c r="F110" s="109">
        <f t="shared" si="21"/>
        <v>1</v>
      </c>
      <c r="G110" s="101">
        <f t="shared" si="18"/>
        <v>0</v>
      </c>
      <c r="H110" s="102">
        <f t="shared" si="19"/>
        <v>0</v>
      </c>
    </row>
    <row r="111" spans="1:8" x14ac:dyDescent="0.25">
      <c r="A111" s="1455"/>
      <c r="B111" s="20" t="str">
        <f t="shared" si="17"/>
        <v>Black Pepper Powder - فلفل أسود مطحون</v>
      </c>
      <c r="C111" s="20" t="str">
        <f t="shared" si="17"/>
        <v>gm</v>
      </c>
      <c r="D111" s="20">
        <f t="shared" si="17"/>
        <v>6</v>
      </c>
      <c r="E111" s="177">
        <f t="shared" si="20"/>
        <v>0</v>
      </c>
      <c r="F111" s="109">
        <f t="shared" si="21"/>
        <v>0.75</v>
      </c>
      <c r="G111" s="101">
        <f t="shared" si="18"/>
        <v>0</v>
      </c>
      <c r="H111" s="102">
        <f t="shared" si="19"/>
        <v>0</v>
      </c>
    </row>
    <row r="112" spans="1:8" x14ac:dyDescent="0.25">
      <c r="A112" s="1455"/>
      <c r="B112" s="20" t="str">
        <f t="shared" si="17"/>
        <v>Cumin Powder - كمون مطحون</v>
      </c>
      <c r="C112" s="20" t="str">
        <f t="shared" si="17"/>
        <v>gm</v>
      </c>
      <c r="D112" s="20">
        <f t="shared" si="17"/>
        <v>10</v>
      </c>
      <c r="E112" s="177">
        <f t="shared" si="20"/>
        <v>0</v>
      </c>
      <c r="F112" s="109">
        <f t="shared" si="21"/>
        <v>0.75</v>
      </c>
      <c r="G112" s="101">
        <f t="shared" si="18"/>
        <v>0</v>
      </c>
      <c r="H112" s="102">
        <f t="shared" si="19"/>
        <v>0</v>
      </c>
    </row>
    <row r="113" spans="1:8" x14ac:dyDescent="0.25">
      <c r="A113" s="1455"/>
      <c r="B113" s="20" t="str">
        <f t="shared" si="17"/>
        <v>Coriander Powder - كزبرة مطحونة</v>
      </c>
      <c r="C113" s="20" t="str">
        <f t="shared" si="17"/>
        <v>gm</v>
      </c>
      <c r="D113" s="20">
        <f t="shared" si="17"/>
        <v>15</v>
      </c>
      <c r="E113" s="177">
        <f t="shared" si="20"/>
        <v>0</v>
      </c>
      <c r="F113" s="109">
        <f t="shared" si="21"/>
        <v>0.75</v>
      </c>
      <c r="G113" s="101">
        <f t="shared" si="18"/>
        <v>0</v>
      </c>
      <c r="H113" s="102">
        <f t="shared" si="19"/>
        <v>0</v>
      </c>
    </row>
    <row r="114" spans="1:8" x14ac:dyDescent="0.25">
      <c r="A114" s="1455"/>
      <c r="B114" s="20" t="str">
        <f t="shared" si="17"/>
        <v>Cinnamon Powder - قرفة مطحونة</v>
      </c>
      <c r="C114" s="20" t="str">
        <f t="shared" si="17"/>
        <v>gm</v>
      </c>
      <c r="D114" s="20">
        <f t="shared" si="17"/>
        <v>10</v>
      </c>
      <c r="E114" s="177">
        <f t="shared" si="20"/>
        <v>0</v>
      </c>
      <c r="F114" s="109">
        <f t="shared" si="21"/>
        <v>0.75</v>
      </c>
      <c r="G114" s="101">
        <f t="shared" si="18"/>
        <v>0</v>
      </c>
      <c r="H114" s="102">
        <f t="shared" si="19"/>
        <v>0</v>
      </c>
    </row>
    <row r="115" spans="1:8" x14ac:dyDescent="0.25">
      <c r="A115" s="1455"/>
      <c r="B115" s="20" t="str">
        <f t="shared" si="17"/>
        <v>Maggi Cubes - مكعبات ماجي</v>
      </c>
      <c r="C115" s="20" t="str">
        <f t="shared" si="17"/>
        <v>gm</v>
      </c>
      <c r="D115" s="20">
        <f t="shared" si="17"/>
        <v>6</v>
      </c>
      <c r="E115" s="177">
        <f t="shared" si="20"/>
        <v>0</v>
      </c>
      <c r="F115" s="109">
        <f t="shared" si="21"/>
        <v>1</v>
      </c>
      <c r="G115" s="101">
        <f t="shared" si="18"/>
        <v>0</v>
      </c>
      <c r="H115" s="102">
        <f t="shared" si="19"/>
        <v>0</v>
      </c>
    </row>
    <row r="116" spans="1:8" x14ac:dyDescent="0.25">
      <c r="A116" s="1455"/>
      <c r="B116" s="20" t="str">
        <f t="shared" si="17"/>
        <v>Salt - ملح</v>
      </c>
      <c r="C116" s="20" t="str">
        <f t="shared" si="17"/>
        <v>gm</v>
      </c>
      <c r="D116" s="20">
        <f t="shared" si="17"/>
        <v>5</v>
      </c>
      <c r="E116" s="177">
        <f t="shared" si="20"/>
        <v>0</v>
      </c>
      <c r="F116" s="109">
        <f t="shared" si="21"/>
        <v>1</v>
      </c>
      <c r="G116" s="101">
        <f t="shared" si="18"/>
        <v>0</v>
      </c>
      <c r="H116" s="102">
        <f t="shared" si="19"/>
        <v>0</v>
      </c>
    </row>
    <row r="117" spans="1:8" x14ac:dyDescent="0.25">
      <c r="A117" s="1455"/>
      <c r="B117" s="20" t="str">
        <f t="shared" si="17"/>
        <v>Butter - زبدة</v>
      </c>
      <c r="C117" s="20" t="str">
        <f t="shared" si="17"/>
        <v>gm</v>
      </c>
      <c r="D117" s="20">
        <f t="shared" si="17"/>
        <v>40</v>
      </c>
      <c r="E117" s="177">
        <f t="shared" si="20"/>
        <v>0</v>
      </c>
      <c r="F117" s="109">
        <f t="shared" si="21"/>
        <v>1</v>
      </c>
      <c r="G117" s="101">
        <f t="shared" si="18"/>
        <v>0</v>
      </c>
      <c r="H117" s="102">
        <f t="shared" si="19"/>
        <v>0</v>
      </c>
    </row>
    <row r="118" spans="1:8" x14ac:dyDescent="0.25">
      <c r="A118" s="1455"/>
      <c r="B118" s="20" t="str">
        <f t="shared" si="17"/>
        <v>White Beans - فاصوليا بيضاء</v>
      </c>
      <c r="C118" s="20" t="str">
        <f t="shared" si="17"/>
        <v>gm</v>
      </c>
      <c r="D118" s="20">
        <f t="shared" si="17"/>
        <v>400</v>
      </c>
      <c r="E118" s="177">
        <f t="shared" si="20"/>
        <v>0</v>
      </c>
      <c r="F118" s="109">
        <f t="shared" si="21"/>
        <v>1</v>
      </c>
      <c r="G118" s="101">
        <f t="shared" si="18"/>
        <v>0</v>
      </c>
      <c r="H118" s="102">
        <f t="shared" si="19"/>
        <v>0</v>
      </c>
    </row>
    <row r="119" spans="1:8" ht="18" x14ac:dyDescent="0.25">
      <c r="A119" s="1458"/>
      <c r="B119" s="178" t="s">
        <v>287</v>
      </c>
      <c r="C119" s="180" t="s">
        <v>273</v>
      </c>
      <c r="D119" s="14"/>
      <c r="E119" s="180" t="s">
        <v>288</v>
      </c>
      <c r="F119" s="14"/>
      <c r="G119" s="804" t="s">
        <v>264</v>
      </c>
      <c r="H119" s="804" t="s">
        <v>673</v>
      </c>
    </row>
    <row r="120" spans="1:8" ht="20.25" x14ac:dyDescent="0.3">
      <c r="A120" s="1458"/>
      <c r="B120" s="179">
        <f>$J$55</f>
        <v>0</v>
      </c>
      <c r="C120" s="179">
        <f>E120+G120</f>
        <v>0</v>
      </c>
      <c r="D120" s="839"/>
      <c r="E120" s="179">
        <f>$D$55*$S$44</f>
        <v>0</v>
      </c>
      <c r="F120" s="843"/>
      <c r="G120" s="179">
        <f>$D$55*$T$44</f>
        <v>0</v>
      </c>
      <c r="H120" s="179">
        <f>B120+E120</f>
        <v>0</v>
      </c>
    </row>
    <row r="121" spans="1:8" x14ac:dyDescent="0.25">
      <c r="A121" s="62"/>
    </row>
    <row r="122" spans="1:8" x14ac:dyDescent="0.25">
      <c r="A122" s="62"/>
    </row>
    <row r="123" spans="1:8" x14ac:dyDescent="0.25">
      <c r="A123" s="62"/>
    </row>
    <row r="124" spans="1:8" x14ac:dyDescent="0.25">
      <c r="A124" s="62"/>
    </row>
    <row r="125" spans="1:8" x14ac:dyDescent="0.25">
      <c r="A125" s="62"/>
    </row>
    <row r="126" spans="1:8" x14ac:dyDescent="0.25">
      <c r="A126" s="62"/>
    </row>
    <row r="127" spans="1:8" x14ac:dyDescent="0.25">
      <c r="A127" s="62"/>
    </row>
    <row r="128" spans="1:8"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1">
    <mergeCell ref="B103:H103"/>
    <mergeCell ref="B104:H104"/>
    <mergeCell ref="B85:H85"/>
    <mergeCell ref="AE2:AE3"/>
    <mergeCell ref="B84:H84"/>
    <mergeCell ref="R26:U26"/>
    <mergeCell ref="R25:U25"/>
    <mergeCell ref="B62:H62"/>
    <mergeCell ref="B2:K3"/>
    <mergeCell ref="B63:H63"/>
    <mergeCell ref="B35:F35"/>
  </mergeCells>
  <printOptions horizontalCentered="1"/>
  <pageMargins left="0.5" right="0.5" top="1" bottom="0.5" header="0.3" footer="0.511811023622047"/>
  <pageSetup paperSize="9" scale="31"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6" tint="-0.249977111117893"/>
    <pageSetUpPr fitToPage="1"/>
  </sheetPr>
  <dimension ref="A1:AT174"/>
  <sheetViews>
    <sheetView topLeftCell="P1" zoomScale="70" zoomScaleNormal="70" workbookViewId="0">
      <selection activeCell="W44" sqref="W44"/>
    </sheetView>
  </sheetViews>
  <sheetFormatPr defaultColWidth="12.5" defaultRowHeight="15" x14ac:dyDescent="0.25"/>
  <cols>
    <col min="1" max="1" width="12.5" style="1" customWidth="1"/>
    <col min="2" max="2" width="33.5" customWidth="1"/>
    <col min="3" max="3" width="23.875" customWidth="1"/>
    <col min="4" max="4" width="19" customWidth="1"/>
    <col min="5" max="5" width="16.125" customWidth="1"/>
    <col min="6" max="6" width="23.125" customWidth="1"/>
    <col min="7" max="7" width="25.125" customWidth="1"/>
    <col min="8" max="8" width="36.125" customWidth="1"/>
    <col min="12" max="12" width="8.375" customWidth="1"/>
    <col min="13" max="14" width="4.75" customWidth="1"/>
    <col min="18" max="18" width="38.875" bestFit="1" customWidth="1"/>
    <col min="36" max="36" width="39.125" customWidth="1"/>
  </cols>
  <sheetData>
    <row r="1" spans="1:46" ht="35.25" customHeight="1" x14ac:dyDescent="0.25">
      <c r="B1" s="64" t="s">
        <v>231</v>
      </c>
      <c r="C1" s="65">
        <v>1000</v>
      </c>
      <c r="D1" s="66" t="s">
        <v>232</v>
      </c>
      <c r="E1" s="99">
        <f>T32</f>
        <v>13012</v>
      </c>
      <c r="F1" s="64" t="s">
        <v>233</v>
      </c>
      <c r="G1" s="65">
        <f>(E1/C1)</f>
        <v>13.012</v>
      </c>
      <c r="H1" s="64" t="s">
        <v>234</v>
      </c>
      <c r="I1" s="227">
        <f>(G1/K1)</f>
        <v>13.277551020408165</v>
      </c>
      <c r="J1" s="70" t="s">
        <v>235</v>
      </c>
      <c r="K1" s="65">
        <v>0.98</v>
      </c>
      <c r="L1" s="84"/>
      <c r="M1" s="73"/>
      <c r="N1" s="74"/>
      <c r="O1" s="75" t="s">
        <v>236</v>
      </c>
      <c r="P1" s="76" t="s">
        <v>299</v>
      </c>
      <c r="Q1" s="77" t="s">
        <v>238</v>
      </c>
      <c r="R1" s="76">
        <v>0.54</v>
      </c>
      <c r="Y1" s="75" t="s">
        <v>453</v>
      </c>
      <c r="Z1" s="766">
        <v>32030</v>
      </c>
      <c r="AA1" s="75" t="s">
        <v>556</v>
      </c>
      <c r="AB1" s="766">
        <v>500</v>
      </c>
      <c r="AC1" s="75" t="s">
        <v>546</v>
      </c>
      <c r="AD1" s="766">
        <v>229</v>
      </c>
      <c r="AE1" s="228"/>
      <c r="AF1" s="230"/>
      <c r="AG1" s="76"/>
      <c r="AI1" s="1"/>
      <c r="AJ1" s="78" t="s">
        <v>250</v>
      </c>
      <c r="AK1" s="78">
        <v>10000</v>
      </c>
      <c r="AL1" s="561" t="s">
        <v>503</v>
      </c>
      <c r="AM1" s="562">
        <f>$S$32</f>
        <v>32530</v>
      </c>
      <c r="AN1" s="78" t="s">
        <v>239</v>
      </c>
      <c r="AO1" s="305">
        <f>(($S$32)/$R$1)/$AK$1</f>
        <v>6.0240740740740737</v>
      </c>
      <c r="AP1" s="79"/>
      <c r="AQ1" s="114"/>
      <c r="AR1" s="114"/>
      <c r="AS1" s="114"/>
      <c r="AT1" s="114"/>
    </row>
    <row r="2" spans="1:46" ht="15.75" customHeight="1" x14ac:dyDescent="0.25">
      <c r="A2" s="242"/>
      <c r="B2" s="82"/>
      <c r="C2" s="82"/>
      <c r="D2" s="82"/>
      <c r="E2" s="82"/>
      <c r="F2" s="1688" t="s">
        <v>825</v>
      </c>
      <c r="G2" s="1661"/>
      <c r="H2" s="82"/>
      <c r="I2" s="82"/>
      <c r="J2" s="82"/>
      <c r="K2" s="82"/>
      <c r="L2" s="270"/>
      <c r="M2" s="84"/>
      <c r="N2" s="84"/>
      <c r="O2" s="84"/>
      <c r="P2" s="84"/>
      <c r="Q2" s="84"/>
      <c r="R2" s="84"/>
      <c r="AC2" s="83"/>
      <c r="AD2" s="83"/>
      <c r="AE2" s="1652"/>
      <c r="AF2" s="1653"/>
      <c r="AG2" s="1653"/>
      <c r="AI2" s="1"/>
      <c r="AJ2" s="85"/>
      <c r="AK2" s="1631" t="s">
        <v>828</v>
      </c>
      <c r="AL2" s="1631"/>
      <c r="AM2" s="1631"/>
      <c r="AN2" s="86"/>
      <c r="AO2" s="85"/>
      <c r="AP2" s="85"/>
    </row>
    <row r="3" spans="1:46" ht="15.75" customHeight="1" x14ac:dyDescent="0.25">
      <c r="A3" s="242"/>
      <c r="B3" s="87"/>
      <c r="C3" s="87"/>
      <c r="D3" s="87"/>
      <c r="E3" s="87"/>
      <c r="F3" s="1633"/>
      <c r="G3" s="1633"/>
      <c r="H3" s="87"/>
      <c r="I3" s="87"/>
      <c r="J3" s="87"/>
      <c r="K3" s="87"/>
      <c r="L3" s="270"/>
      <c r="M3" s="84"/>
      <c r="N3" s="84"/>
      <c r="O3" s="84"/>
      <c r="P3" s="84"/>
      <c r="Q3" s="84"/>
      <c r="R3" s="84"/>
      <c r="AC3" s="83"/>
      <c r="AD3" s="83"/>
      <c r="AE3" s="1653"/>
      <c r="AF3" s="1653"/>
      <c r="AG3" s="1653"/>
      <c r="AI3" s="1"/>
      <c r="AJ3" s="88"/>
      <c r="AK3" s="88"/>
      <c r="AL3" s="89"/>
      <c r="AM3" s="89"/>
      <c r="AN3" s="89"/>
      <c r="AO3" s="88"/>
      <c r="AP3" s="88"/>
    </row>
    <row r="4" spans="1:46" ht="35.25" customHeight="1" x14ac:dyDescent="0.25">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c r="P4" s="84"/>
      <c r="AA4" s="229"/>
      <c r="AB4" s="231"/>
      <c r="AC4" s="229"/>
      <c r="AD4" s="229"/>
      <c r="AE4" s="229"/>
      <c r="AI4" s="1"/>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5">
      <c r="A5" s="1454"/>
      <c r="B5" s="244" t="s">
        <v>225</v>
      </c>
      <c r="C5" s="97" t="s">
        <v>14</v>
      </c>
      <c r="D5" s="103">
        <f>I51/10</f>
        <v>4629.6296296296296</v>
      </c>
      <c r="E5" s="99">
        <f>H52</f>
        <v>13.011999999999999</v>
      </c>
      <c r="F5" s="109">
        <v>1</v>
      </c>
      <c r="G5" s="101">
        <f t="shared" ref="G5:G17" si="0">D5*E5</f>
        <v>60240.740740740737</v>
      </c>
      <c r="H5" s="102">
        <f t="shared" ref="H5:H17" si="1">G5*F5</f>
        <v>60240.740740740737</v>
      </c>
      <c r="I5" s="65">
        <f>VLOOKUP(B5,All_Ingredients!$A$1:$F$156,6,FALSE())</f>
        <v>0.47</v>
      </c>
      <c r="J5" s="101">
        <f>VLOOKUP(B5,All_Ingredients!$A$1:$J$156,10,FALSE())</f>
        <v>12</v>
      </c>
      <c r="K5" s="104">
        <f t="shared" ref="K5" si="2">(H5/I5)/1000</f>
        <v>128.1717888100867</v>
      </c>
      <c r="L5" s="104">
        <f t="shared" ref="L5" si="3">K5*J5</f>
        <v>1538.0614657210403</v>
      </c>
      <c r="M5" s="84"/>
      <c r="N5" s="84"/>
      <c r="O5" s="84"/>
      <c r="P5" s="84"/>
      <c r="AA5" s="76"/>
      <c r="AB5" s="114"/>
      <c r="AC5" s="232"/>
      <c r="AD5" s="116"/>
      <c r="AE5" s="117"/>
      <c r="AI5" s="1"/>
      <c r="AJ5" s="246" t="s">
        <v>225</v>
      </c>
      <c r="AK5" s="106" t="s">
        <v>227</v>
      </c>
      <c r="AL5" s="106">
        <v>10</v>
      </c>
      <c r="AM5" s="69">
        <f>$AO$1</f>
        <v>6.0240740740740737</v>
      </c>
      <c r="AN5" s="109">
        <v>1</v>
      </c>
      <c r="AO5" s="101">
        <f>AL5*AM5</f>
        <v>60.240740740740733</v>
      </c>
      <c r="AP5" s="102">
        <f>AN5*AO5</f>
        <v>60.240740740740733</v>
      </c>
      <c r="AQ5" s="272"/>
      <c r="AR5" s="1017"/>
      <c r="AS5" s="156"/>
      <c r="AT5" s="1018"/>
    </row>
    <row r="6" spans="1:46" ht="14.25" customHeight="1" x14ac:dyDescent="0.25">
      <c r="A6" s="1455" t="s">
        <v>920</v>
      </c>
      <c r="B6" s="244" t="s">
        <v>12</v>
      </c>
      <c r="C6" s="106" t="s">
        <v>14</v>
      </c>
      <c r="D6" s="107">
        <v>250</v>
      </c>
      <c r="E6" s="177">
        <f t="shared" ref="E6:E17" si="4">$I$1</f>
        <v>13.277551020408165</v>
      </c>
      <c r="F6" s="109">
        <v>1</v>
      </c>
      <c r="G6" s="101">
        <f t="shared" si="0"/>
        <v>3319.3877551020414</v>
      </c>
      <c r="H6" s="102">
        <f t="shared" si="1"/>
        <v>3319.3877551020414</v>
      </c>
      <c r="I6" s="65">
        <f>VLOOKUP(B6,All_Ingredients!$A$1:$F$156,6,FALSE())</f>
        <v>0.9</v>
      </c>
      <c r="J6" s="101">
        <f>VLOOKUP(B6,All_Ingredients!$A$1:$J$156,10,FALSE())</f>
        <v>3</v>
      </c>
      <c r="K6" s="104">
        <f t="shared" ref="K6:K17" si="5">(H6/I6)/1000</f>
        <v>3.6882086167800456</v>
      </c>
      <c r="L6" s="104">
        <f t="shared" ref="L6:L17" si="6">K6*J6</f>
        <v>11.064625850340137</v>
      </c>
      <c r="AI6" s="1" t="s">
        <v>55</v>
      </c>
      <c r="AJ6" s="246" t="s">
        <v>54</v>
      </c>
      <c r="AK6" s="106" t="s">
        <v>14</v>
      </c>
      <c r="AL6" s="106">
        <v>200</v>
      </c>
      <c r="AM6" s="69">
        <f t="shared" ref="AM6:AM13" si="7">$AO$1</f>
        <v>6.0240740740740737</v>
      </c>
      <c r="AN6" s="109">
        <v>1</v>
      </c>
      <c r="AO6" s="101">
        <f t="shared" ref="AO6:AO13" si="8">AL6*AM6</f>
        <v>1204.8148148148148</v>
      </c>
      <c r="AP6" s="102">
        <f t="shared" ref="AP6:AP13" si="9">AN6*AO6</f>
        <v>1204.8148148148148</v>
      </c>
      <c r="AQ6" s="1018">
        <f>VLOOKUP(AJ6,Marination_Ordering!$A:$J,6,FALSE)</f>
        <v>0.87</v>
      </c>
      <c r="AR6" s="1018">
        <f>VLOOKUP(AJ6,Marination_Ordering!$A:$J,10,FALSE)</f>
        <v>7</v>
      </c>
      <c r="AS6" s="156">
        <f>AP6/AQ6</f>
        <v>1384.8446147296722</v>
      </c>
      <c r="AT6" s="1018">
        <f>AR6*(AS6/1000)</f>
        <v>9.6939123031077052</v>
      </c>
    </row>
    <row r="7" spans="1:46" ht="14.25" customHeight="1" x14ac:dyDescent="0.25">
      <c r="A7" s="1455" t="s">
        <v>907</v>
      </c>
      <c r="B7" s="244" t="s">
        <v>727</v>
      </c>
      <c r="C7" s="106" t="s">
        <v>14</v>
      </c>
      <c r="D7" s="107">
        <v>20</v>
      </c>
      <c r="E7" s="177">
        <f t="shared" si="4"/>
        <v>13.277551020408165</v>
      </c>
      <c r="F7" s="109">
        <v>1</v>
      </c>
      <c r="G7" s="101">
        <f t="shared" si="0"/>
        <v>265.55102040816331</v>
      </c>
      <c r="H7" s="102">
        <f t="shared" si="1"/>
        <v>265.55102040816331</v>
      </c>
      <c r="I7" s="65">
        <f>VLOOKUP(B7,All_Ingredients!$A$1:$F$156,6,FALSE())</f>
        <v>1</v>
      </c>
      <c r="J7" s="101">
        <f>VLOOKUP(B7,All_Ingredients!$A$1:$J$156,10,FALSE())</f>
        <v>10.5</v>
      </c>
      <c r="K7" s="104">
        <f t="shared" si="5"/>
        <v>0.26555102040816331</v>
      </c>
      <c r="L7" s="104">
        <f t="shared" si="6"/>
        <v>2.7882857142857147</v>
      </c>
      <c r="AI7" s="1" t="s">
        <v>13</v>
      </c>
      <c r="AJ7" s="249" t="s">
        <v>727</v>
      </c>
      <c r="AK7" s="106" t="s">
        <v>14</v>
      </c>
      <c r="AL7" s="106">
        <v>150</v>
      </c>
      <c r="AM7" s="69">
        <f t="shared" si="7"/>
        <v>6.0240740740740737</v>
      </c>
      <c r="AN7" s="109">
        <v>1</v>
      </c>
      <c r="AO7" s="101">
        <f t="shared" si="8"/>
        <v>903.61111111111109</v>
      </c>
      <c r="AP7" s="102">
        <f t="shared" si="9"/>
        <v>903.61111111111109</v>
      </c>
      <c r="AQ7" s="1018">
        <f>VLOOKUP(AJ7,Marination_Ordering!$A:$J,6,FALSE)</f>
        <v>1</v>
      </c>
      <c r="AR7" s="1018">
        <f>VLOOKUP(AJ7,Marination_Ordering!$A:$J,10,FALSE)</f>
        <v>10.5</v>
      </c>
      <c r="AS7" s="156">
        <f t="shared" ref="AS7:AS13" si="10">AP7/AQ7</f>
        <v>903.61111111111109</v>
      </c>
      <c r="AT7" s="1018">
        <f t="shared" ref="AT7:AT13" si="11">AR7*(AS7/1000)</f>
        <v>9.4879166666666652</v>
      </c>
    </row>
    <row r="8" spans="1:46" ht="14.25" customHeight="1" x14ac:dyDescent="0.25">
      <c r="A8" s="1455"/>
      <c r="B8" s="244" t="s">
        <v>110</v>
      </c>
      <c r="C8" s="106" t="s">
        <v>14</v>
      </c>
      <c r="D8" s="107">
        <v>5</v>
      </c>
      <c r="E8" s="177">
        <f t="shared" si="4"/>
        <v>13.277551020408165</v>
      </c>
      <c r="F8" s="109">
        <v>0.75</v>
      </c>
      <c r="G8" s="101">
        <f t="shared" si="0"/>
        <v>66.387755102040828</v>
      </c>
      <c r="H8" s="102">
        <f t="shared" si="1"/>
        <v>49.790816326530617</v>
      </c>
      <c r="I8" s="65">
        <f>VLOOKUP(B8,All_Ingredients!$A$1:$F$156,6,FALSE())</f>
        <v>1</v>
      </c>
      <c r="J8" s="101">
        <f>VLOOKUP(B8,All_Ingredients!$A$1:$J$156,10,FALSE())</f>
        <v>64.243759177679877</v>
      </c>
      <c r="K8" s="104">
        <f t="shared" si="5"/>
        <v>4.9790816326530617E-2</v>
      </c>
      <c r="L8" s="104">
        <f t="shared" si="6"/>
        <v>3.1987492133417246</v>
      </c>
      <c r="AI8" s="1" t="s">
        <v>204</v>
      </c>
      <c r="AJ8" s="246" t="s">
        <v>212</v>
      </c>
      <c r="AK8" s="106" t="s">
        <v>160</v>
      </c>
      <c r="AL8" s="106">
        <v>450</v>
      </c>
      <c r="AM8" s="69">
        <f t="shared" si="7"/>
        <v>6.0240740740740737</v>
      </c>
      <c r="AN8" s="109">
        <v>1</v>
      </c>
      <c r="AO8" s="101">
        <f t="shared" si="8"/>
        <v>2710.833333333333</v>
      </c>
      <c r="AP8" s="102">
        <f t="shared" si="9"/>
        <v>2710.833333333333</v>
      </c>
      <c r="AQ8" s="1018">
        <f>VLOOKUP(AJ8,Marination_Ordering!$A:$J,6,FALSE)</f>
        <v>1</v>
      </c>
      <c r="AR8" s="1018">
        <f>VLOOKUP(AJ8,Marination_Ordering!$A:$J,10,FALSE)</f>
        <v>5</v>
      </c>
      <c r="AS8" s="156">
        <f t="shared" si="10"/>
        <v>2710.833333333333</v>
      </c>
      <c r="AT8" s="1018">
        <f t="shared" si="11"/>
        <v>13.554166666666665</v>
      </c>
    </row>
    <row r="9" spans="1:46" ht="14.25" customHeight="1" x14ac:dyDescent="0.25">
      <c r="A9" s="1455"/>
      <c r="B9" s="244" t="s">
        <v>166</v>
      </c>
      <c r="C9" s="106" t="s">
        <v>160</v>
      </c>
      <c r="D9" s="107">
        <v>600</v>
      </c>
      <c r="E9" s="177">
        <f t="shared" si="4"/>
        <v>13.277551020408165</v>
      </c>
      <c r="F9" s="109">
        <v>1</v>
      </c>
      <c r="G9" s="101">
        <f t="shared" si="0"/>
        <v>7966.5306122448992</v>
      </c>
      <c r="H9" s="102">
        <f t="shared" si="1"/>
        <v>7966.5306122448992</v>
      </c>
      <c r="I9" s="65">
        <f>VLOOKUP(B9,All_Ingredients!$A$1:$F$156,6,FALSE())</f>
        <v>1</v>
      </c>
      <c r="J9" s="101">
        <f>VLOOKUP(B9,All_Ingredients!$A$1:$J$156,10,FALSE())</f>
        <v>12.666666666666666</v>
      </c>
      <c r="K9" s="104">
        <f t="shared" si="5"/>
        <v>7.9665306122448989</v>
      </c>
      <c r="L9" s="104">
        <f t="shared" si="6"/>
        <v>100.90938775510205</v>
      </c>
      <c r="AI9" s="1" t="s">
        <v>204</v>
      </c>
      <c r="AJ9" s="246" t="s">
        <v>208</v>
      </c>
      <c r="AK9" s="106" t="s">
        <v>160</v>
      </c>
      <c r="AL9" s="106">
        <v>100</v>
      </c>
      <c r="AM9" s="69">
        <f t="shared" si="7"/>
        <v>6.0240740740740737</v>
      </c>
      <c r="AN9" s="109">
        <v>1</v>
      </c>
      <c r="AO9" s="101">
        <f t="shared" si="8"/>
        <v>602.40740740740739</v>
      </c>
      <c r="AP9" s="102">
        <f t="shared" si="9"/>
        <v>602.40740740740739</v>
      </c>
      <c r="AQ9" s="1018">
        <f>VLOOKUP(AJ9,Marination_Ordering!$A:$J,6,FALSE)</f>
        <v>1</v>
      </c>
      <c r="AR9" s="1018">
        <f>VLOOKUP(AJ9,Marination_Ordering!$A:$J,10,FALSE)</f>
        <v>2.1621621621621623</v>
      </c>
      <c r="AS9" s="156">
        <f t="shared" si="10"/>
        <v>602.40740740740739</v>
      </c>
      <c r="AT9" s="1018">
        <f t="shared" si="11"/>
        <v>1.3025025025025025</v>
      </c>
    </row>
    <row r="10" spans="1:46" ht="14.25" customHeight="1" x14ac:dyDescent="0.25">
      <c r="A10" s="1455"/>
      <c r="B10" s="244" t="s">
        <v>93</v>
      </c>
      <c r="C10" s="106" t="s">
        <v>14</v>
      </c>
      <c r="D10" s="107">
        <v>11</v>
      </c>
      <c r="E10" s="177">
        <f t="shared" si="4"/>
        <v>13.277551020408165</v>
      </c>
      <c r="F10" s="109">
        <v>1</v>
      </c>
      <c r="G10" s="101">
        <f t="shared" si="0"/>
        <v>146.05306122448982</v>
      </c>
      <c r="H10" s="102">
        <f t="shared" si="1"/>
        <v>146.05306122448982</v>
      </c>
      <c r="I10" s="65">
        <f>VLOOKUP(B10,All_Ingredients!$A$1:$F$156,6,FALSE())</f>
        <v>1</v>
      </c>
      <c r="J10" s="101">
        <f>VLOOKUP(B10,All_Ingredients!$A$1:$J$156,10,FALSE())</f>
        <v>0.74</v>
      </c>
      <c r="K10" s="104">
        <f t="shared" si="5"/>
        <v>0.14605306122448983</v>
      </c>
      <c r="L10" s="104">
        <f t="shared" si="6"/>
        <v>0.10807926530612247</v>
      </c>
      <c r="AI10" s="1" t="s">
        <v>94</v>
      </c>
      <c r="AJ10" s="246" t="s">
        <v>93</v>
      </c>
      <c r="AK10" s="106" t="s">
        <v>14</v>
      </c>
      <c r="AL10" s="106">
        <v>2</v>
      </c>
      <c r="AM10" s="69">
        <f t="shared" si="7"/>
        <v>6.0240740740740737</v>
      </c>
      <c r="AN10" s="109">
        <v>1</v>
      </c>
      <c r="AO10" s="101">
        <f t="shared" si="8"/>
        <v>12.048148148148147</v>
      </c>
      <c r="AP10" s="102">
        <f t="shared" si="9"/>
        <v>12.048148148148147</v>
      </c>
      <c r="AQ10" s="1018">
        <f>VLOOKUP(AJ10,Marination_Ordering!$A:$J,6,FALSE)</f>
        <v>1</v>
      </c>
      <c r="AR10" s="1018">
        <f>VLOOKUP(AJ10,Marination_Ordering!$A:$J,10,FALSE)</f>
        <v>0.74</v>
      </c>
      <c r="AS10" s="156">
        <f t="shared" si="10"/>
        <v>12.048148148148147</v>
      </c>
      <c r="AT10" s="1018">
        <f t="shared" si="11"/>
        <v>8.9156296296296293E-3</v>
      </c>
    </row>
    <row r="11" spans="1:46" ht="14.25" customHeight="1" x14ac:dyDescent="0.25">
      <c r="A11" s="1455"/>
      <c r="B11" s="244" t="s">
        <v>99</v>
      </c>
      <c r="C11" s="106" t="s">
        <v>14</v>
      </c>
      <c r="D11" s="107">
        <v>5</v>
      </c>
      <c r="E11" s="177">
        <f t="shared" si="4"/>
        <v>13.277551020408165</v>
      </c>
      <c r="F11" s="109">
        <v>1</v>
      </c>
      <c r="G11" s="101">
        <f t="shared" si="0"/>
        <v>66.387755102040828</v>
      </c>
      <c r="H11" s="102">
        <f t="shared" si="1"/>
        <v>66.387755102040828</v>
      </c>
      <c r="I11" s="65">
        <f>VLOOKUP(B11,All_Ingredients!$A$1:$F$156,6,FALSE())</f>
        <v>1</v>
      </c>
      <c r="J11" s="101">
        <f>VLOOKUP(B11,All_Ingredients!$A$1:$J$156,10,FALSE())</f>
        <v>31</v>
      </c>
      <c r="K11" s="104">
        <f t="shared" si="5"/>
        <v>6.6387755102040827E-2</v>
      </c>
      <c r="L11" s="104">
        <f t="shared" si="6"/>
        <v>2.0580204081632658</v>
      </c>
      <c r="AI11" s="1" t="s">
        <v>94</v>
      </c>
      <c r="AJ11" s="246" t="s">
        <v>99</v>
      </c>
      <c r="AK11" s="106" t="s">
        <v>14</v>
      </c>
      <c r="AL11" s="106">
        <v>4</v>
      </c>
      <c r="AM11" s="69">
        <f t="shared" si="7"/>
        <v>6.0240740740740737</v>
      </c>
      <c r="AN11" s="109">
        <v>1</v>
      </c>
      <c r="AO11" s="101">
        <f t="shared" si="8"/>
        <v>24.096296296296295</v>
      </c>
      <c r="AP11" s="102">
        <f t="shared" si="9"/>
        <v>24.096296296296295</v>
      </c>
      <c r="AQ11" s="1018">
        <f>VLOOKUP(AJ11,Marination_Ordering!$A:$J,6,FALSE)</f>
        <v>1</v>
      </c>
      <c r="AR11" s="1018">
        <f>VLOOKUP(AJ11,Marination_Ordering!$A:$J,10,FALSE)</f>
        <v>31</v>
      </c>
      <c r="AS11" s="156">
        <f t="shared" si="10"/>
        <v>24.096296296296295</v>
      </c>
      <c r="AT11" s="1018">
        <f t="shared" si="11"/>
        <v>0.7469851851851852</v>
      </c>
    </row>
    <row r="12" spans="1:46" ht="14.25" customHeight="1" x14ac:dyDescent="0.25">
      <c r="A12" s="1455"/>
      <c r="B12" s="244" t="s">
        <v>187</v>
      </c>
      <c r="C12" s="106" t="s">
        <v>14</v>
      </c>
      <c r="D12" s="107">
        <v>100</v>
      </c>
      <c r="E12" s="177">
        <f t="shared" si="4"/>
        <v>13.277551020408165</v>
      </c>
      <c r="F12" s="109">
        <v>0.75</v>
      </c>
      <c r="G12" s="101">
        <f t="shared" si="0"/>
        <v>1327.7551020408164</v>
      </c>
      <c r="H12" s="102">
        <f t="shared" si="1"/>
        <v>995.81632653061229</v>
      </c>
      <c r="I12" s="65">
        <f>VLOOKUP(B12,All_Ingredients!$A$1:$F$156,6,FALSE())</f>
        <v>0.9</v>
      </c>
      <c r="J12" s="101">
        <f>VLOOKUP(B12,All_Ingredients!$A$1:$J$156,10,FALSE())</f>
        <v>2.3199999999999998</v>
      </c>
      <c r="K12" s="104">
        <f t="shared" si="5"/>
        <v>1.1064625850340137</v>
      </c>
      <c r="L12" s="104">
        <f t="shared" si="6"/>
        <v>2.5669931972789115</v>
      </c>
      <c r="AI12" s="1" t="s">
        <v>94</v>
      </c>
      <c r="AJ12" s="246" t="s">
        <v>105</v>
      </c>
      <c r="AK12" s="106" t="s">
        <v>14</v>
      </c>
      <c r="AL12" s="106">
        <v>35</v>
      </c>
      <c r="AM12" s="69">
        <f t="shared" si="7"/>
        <v>6.0240740740740737</v>
      </c>
      <c r="AN12" s="109">
        <v>1</v>
      </c>
      <c r="AO12" s="101">
        <f t="shared" si="8"/>
        <v>210.84259259259258</v>
      </c>
      <c r="AP12" s="102">
        <f t="shared" si="9"/>
        <v>210.84259259259258</v>
      </c>
      <c r="AQ12" s="1018">
        <f>VLOOKUP(AJ12,Marination_Ordering!$A:$J,6,FALSE)</f>
        <v>1</v>
      </c>
      <c r="AR12" s="1018">
        <f>VLOOKUP(AJ12,Marination_Ordering!$A:$J,10,FALSE)</f>
        <v>15</v>
      </c>
      <c r="AS12" s="156">
        <f t="shared" si="10"/>
        <v>210.84259259259258</v>
      </c>
      <c r="AT12" s="1018">
        <f t="shared" si="11"/>
        <v>3.1626388888888886</v>
      </c>
    </row>
    <row r="13" spans="1:46" ht="14.25" customHeight="1" x14ac:dyDescent="0.25">
      <c r="A13" s="1455"/>
      <c r="B13" s="244" t="s">
        <v>152</v>
      </c>
      <c r="C13" s="106" t="s">
        <v>14</v>
      </c>
      <c r="D13" s="107">
        <v>50</v>
      </c>
      <c r="E13" s="177">
        <f t="shared" si="4"/>
        <v>13.277551020408165</v>
      </c>
      <c r="F13" s="109">
        <v>0.75</v>
      </c>
      <c r="G13" s="101">
        <f t="shared" si="0"/>
        <v>663.87755102040819</v>
      </c>
      <c r="H13" s="102">
        <f t="shared" si="1"/>
        <v>497.90816326530614</v>
      </c>
      <c r="I13" s="65">
        <f>VLOOKUP(B13,All_Ingredients!$A$1:$F$156,6,FALSE())</f>
        <v>1</v>
      </c>
      <c r="J13" s="101">
        <f>VLOOKUP(B13,All_Ingredients!$A$1:$J$156,10,FALSE())</f>
        <v>30</v>
      </c>
      <c r="K13" s="104">
        <f t="shared" si="5"/>
        <v>0.49790816326530613</v>
      </c>
      <c r="L13" s="104">
        <f t="shared" si="6"/>
        <v>14.937244897959184</v>
      </c>
      <c r="AI13" s="1" t="s">
        <v>190</v>
      </c>
      <c r="AJ13" s="246" t="s">
        <v>202</v>
      </c>
      <c r="AK13" s="106" t="s">
        <v>14</v>
      </c>
      <c r="AL13" s="106">
        <v>250</v>
      </c>
      <c r="AM13" s="69">
        <f t="shared" si="7"/>
        <v>6.0240740740740737</v>
      </c>
      <c r="AN13" s="109">
        <v>1</v>
      </c>
      <c r="AO13" s="101">
        <f t="shared" si="8"/>
        <v>1506.0185185185185</v>
      </c>
      <c r="AP13" s="102">
        <f t="shared" si="9"/>
        <v>1506.0185185185185</v>
      </c>
      <c r="AQ13" s="1018">
        <f>VLOOKUP(AJ13,Marination_Ordering!$A:$J,6,FALSE)</f>
        <v>1</v>
      </c>
      <c r="AR13" s="1018">
        <f>VLOOKUP(AJ13,Marination_Ordering!$A:$J,10,FALSE)</f>
        <v>11.243386243386244</v>
      </c>
      <c r="AS13" s="156">
        <f t="shared" si="10"/>
        <v>1506.0185185185185</v>
      </c>
      <c r="AT13" s="1018">
        <f t="shared" si="11"/>
        <v>16.932747893396041</v>
      </c>
    </row>
    <row r="14" spans="1:46" ht="14.25" customHeight="1" x14ac:dyDescent="0.25">
      <c r="A14" s="1455"/>
      <c r="B14" s="244" t="s">
        <v>214</v>
      </c>
      <c r="C14" s="106" t="s">
        <v>14</v>
      </c>
      <c r="D14" s="107">
        <v>2</v>
      </c>
      <c r="E14" s="177">
        <f t="shared" si="4"/>
        <v>13.277551020408165</v>
      </c>
      <c r="F14" s="109">
        <v>0.75</v>
      </c>
      <c r="G14" s="101">
        <f t="shared" si="0"/>
        <v>26.55510204081633</v>
      </c>
      <c r="H14" s="102">
        <f t="shared" si="1"/>
        <v>19.916326530612245</v>
      </c>
      <c r="I14" s="65">
        <f>VLOOKUP(B14,All_Ingredients!$A$1:$F$156,6,FALSE())</f>
        <v>1</v>
      </c>
      <c r="J14" s="101">
        <f>VLOOKUP(B14,All_Ingredients!$A$1:$J$156,10,FALSE())</f>
        <v>35</v>
      </c>
      <c r="K14" s="104">
        <f t="shared" si="5"/>
        <v>1.9916326530612247E-2</v>
      </c>
      <c r="L14" s="104">
        <f t="shared" si="6"/>
        <v>0.69707142857142868</v>
      </c>
    </row>
    <row r="15" spans="1:46" ht="14.25" customHeight="1" x14ac:dyDescent="0.25">
      <c r="A15" s="1455"/>
      <c r="B15" s="358" t="s">
        <v>139</v>
      </c>
      <c r="C15" s="106" t="s">
        <v>14</v>
      </c>
      <c r="D15" s="107">
        <v>10</v>
      </c>
      <c r="E15" s="177">
        <f t="shared" si="4"/>
        <v>13.277551020408165</v>
      </c>
      <c r="F15" s="109">
        <v>0.9</v>
      </c>
      <c r="G15" s="101">
        <f t="shared" si="0"/>
        <v>132.77551020408166</v>
      </c>
      <c r="H15" s="102">
        <f t="shared" si="1"/>
        <v>119.49795918367349</v>
      </c>
      <c r="I15" s="65">
        <f>VLOOKUP(B15,All_Ingredients!$A$1:$F$156,6,FALSE())</f>
        <v>1</v>
      </c>
      <c r="J15" s="101">
        <f>VLOOKUP(B15,All_Ingredients!$A$1:$J$156,10,FALSE())</f>
        <v>15.277777777777779</v>
      </c>
      <c r="K15" s="104">
        <f t="shared" si="5"/>
        <v>0.11949795918367348</v>
      </c>
      <c r="L15" s="104">
        <f t="shared" si="6"/>
        <v>1.8256632653061227</v>
      </c>
    </row>
    <row r="16" spans="1:46" ht="14.25" customHeight="1" x14ac:dyDescent="0.25">
      <c r="A16" s="1455"/>
      <c r="B16" s="244" t="s">
        <v>183</v>
      </c>
      <c r="C16" s="106" t="s">
        <v>14</v>
      </c>
      <c r="D16" s="107">
        <v>35</v>
      </c>
      <c r="E16" s="177">
        <f t="shared" si="4"/>
        <v>13.277551020408165</v>
      </c>
      <c r="F16" s="109">
        <v>1</v>
      </c>
      <c r="G16" s="101">
        <f t="shared" si="0"/>
        <v>464.71428571428578</v>
      </c>
      <c r="H16" s="102">
        <f t="shared" si="1"/>
        <v>464.71428571428578</v>
      </c>
      <c r="I16" s="65">
        <f>VLOOKUP(B16,All_Ingredients!$A$1:$F$156,6,FALSE())</f>
        <v>1</v>
      </c>
      <c r="J16" s="101">
        <f>VLOOKUP(B16,All_Ingredients!$A$1:$J$156,10,FALSE())</f>
        <v>17</v>
      </c>
      <c r="K16" s="104">
        <f t="shared" si="5"/>
        <v>0.4647142857142858</v>
      </c>
      <c r="L16" s="104">
        <f t="shared" si="6"/>
        <v>7.9001428571428587</v>
      </c>
    </row>
    <row r="17" spans="1:30" ht="14.25" customHeight="1" x14ac:dyDescent="0.25">
      <c r="A17" s="1455"/>
      <c r="B17" s="199" t="s">
        <v>837</v>
      </c>
      <c r="C17" s="106" t="s">
        <v>14</v>
      </c>
      <c r="D17" s="107">
        <v>1</v>
      </c>
      <c r="E17" s="177">
        <f t="shared" si="4"/>
        <v>13.277551020408165</v>
      </c>
      <c r="F17" s="109">
        <v>1</v>
      </c>
      <c r="G17" s="101">
        <f t="shared" si="0"/>
        <v>13.277551020408165</v>
      </c>
      <c r="H17" s="102">
        <f t="shared" si="1"/>
        <v>13.277551020408165</v>
      </c>
      <c r="I17" s="65">
        <f>VLOOKUP(B17,All_Ingredients!$A$1:$F$156,6,FALSE())</f>
        <v>1</v>
      </c>
      <c r="J17" s="101">
        <f>VLOOKUP(B17,All_Ingredients!$A$1:$J$156,10,FALSE())</f>
        <v>22.5</v>
      </c>
      <c r="K17" s="104">
        <f t="shared" si="5"/>
        <v>1.3277551020408165E-2</v>
      </c>
      <c r="L17" s="104">
        <f t="shared" si="6"/>
        <v>0.29874489795918369</v>
      </c>
    </row>
    <row r="18" spans="1:30" ht="14.25" customHeight="1" x14ac:dyDescent="0.25">
      <c r="A18" s="62"/>
      <c r="B18" s="113"/>
      <c r="E18" s="114"/>
      <c r="F18" s="84"/>
      <c r="L18" s="189"/>
    </row>
    <row r="19" spans="1:30" ht="14.25" customHeight="1" x14ac:dyDescent="0.25">
      <c r="A19" s="62"/>
      <c r="L19" s="189"/>
    </row>
    <row r="20" spans="1:30" ht="14.25" customHeight="1" x14ac:dyDescent="0.25">
      <c r="A20" s="62"/>
      <c r="L20" s="189"/>
    </row>
    <row r="21" spans="1:30" ht="14.25" customHeight="1" x14ac:dyDescent="0.25">
      <c r="A21" s="62"/>
      <c r="L21" s="189"/>
    </row>
    <row r="22" spans="1:30" ht="14.25" customHeight="1" x14ac:dyDescent="0.25">
      <c r="A22" s="62"/>
      <c r="L22" s="189"/>
    </row>
    <row r="23" spans="1:30" ht="14.25" customHeight="1" x14ac:dyDescent="0.25">
      <c r="A23" s="62"/>
      <c r="L23" s="189"/>
    </row>
    <row r="24" spans="1:30" ht="14.25" customHeight="1" x14ac:dyDescent="0.25">
      <c r="A24" s="62"/>
      <c r="L24" s="189"/>
      <c r="Z24" s="1124"/>
    </row>
    <row r="25" spans="1:30" ht="14.25" customHeight="1" x14ac:dyDescent="0.25">
      <c r="A25" s="62"/>
      <c r="B25" s="84"/>
      <c r="E25" s="84"/>
      <c r="F25" s="84"/>
      <c r="L25" s="189"/>
      <c r="R25" s="1725" t="s">
        <v>828</v>
      </c>
      <c r="S25" s="1714"/>
      <c r="T25" s="1714"/>
      <c r="U25" s="1714"/>
      <c r="V25" s="1059"/>
      <c r="Z25" s="122" t="s">
        <v>252</v>
      </c>
      <c r="AA25" s="123">
        <v>1</v>
      </c>
      <c r="AB25" s="122" t="s">
        <v>249</v>
      </c>
      <c r="AC25" s="124">
        <f>AD30*AA25</f>
        <v>4.8063336844648939E-2</v>
      </c>
      <c r="AD25" s="14"/>
    </row>
    <row r="26" spans="1:30" ht="14.25" customHeight="1" x14ac:dyDescent="0.25">
      <c r="A26" s="62"/>
      <c r="B26" s="84"/>
      <c r="E26" s="84"/>
      <c r="F26" s="84"/>
      <c r="L26" s="189"/>
      <c r="R26" s="1654" t="s">
        <v>297</v>
      </c>
      <c r="S26" s="1633"/>
      <c r="T26" s="1633"/>
      <c r="U26" s="1633"/>
      <c r="V26" s="1059"/>
      <c r="Z26" s="14"/>
      <c r="AA26" s="14"/>
      <c r="AB26" s="14"/>
      <c r="AC26" s="14"/>
      <c r="AD26" s="14"/>
    </row>
    <row r="27" spans="1:30" ht="14.25" customHeight="1" thickBot="1" x14ac:dyDescent="0.3">
      <c r="A27" s="62"/>
      <c r="R27" s="126" t="s">
        <v>254</v>
      </c>
      <c r="S27" s="127" t="s">
        <v>469</v>
      </c>
      <c r="T27" s="127" t="s">
        <v>256</v>
      </c>
      <c r="U27" s="127" t="s">
        <v>257</v>
      </c>
      <c r="V27" s="127" t="s">
        <v>779</v>
      </c>
      <c r="Z27" s="122" t="s">
        <v>258</v>
      </c>
      <c r="AA27" s="128" t="s">
        <v>259</v>
      </c>
      <c r="AB27" s="128" t="s">
        <v>260</v>
      </c>
      <c r="AC27" s="1032" t="s">
        <v>779</v>
      </c>
      <c r="AD27" s="128" t="s">
        <v>262</v>
      </c>
    </row>
    <row r="28" spans="1:30" ht="34.5" customHeight="1" thickBot="1" x14ac:dyDescent="0.3">
      <c r="A28" s="62"/>
      <c r="R28" s="129" t="s">
        <v>263</v>
      </c>
      <c r="S28" s="696">
        <f>$Z$1</f>
        <v>32030</v>
      </c>
      <c r="T28" s="281"/>
      <c r="U28" s="690">
        <f>S28/S40</f>
        <v>32030</v>
      </c>
      <c r="V28" s="130">
        <f>SUM(H37:H38)</f>
        <v>595.4</v>
      </c>
      <c r="Z28" s="132"/>
      <c r="AA28" s="133">
        <f>AA25*$S$40</f>
        <v>1</v>
      </c>
      <c r="AB28" s="133">
        <f>AA25*$U$40</f>
        <v>0</v>
      </c>
      <c r="AC28" s="1034"/>
      <c r="AD28" s="135">
        <f>SUM(AA28:AC28)</f>
        <v>1</v>
      </c>
    </row>
    <row r="29" spans="1:30" ht="14.25" customHeight="1" thickBot="1" x14ac:dyDescent="0.3">
      <c r="A29" s="62"/>
      <c r="R29" s="129" t="s">
        <v>264</v>
      </c>
      <c r="S29" s="136"/>
      <c r="T29" s="130">
        <f>S28*0.4</f>
        <v>12812</v>
      </c>
      <c r="U29" s="690">
        <f>T29</f>
        <v>12812</v>
      </c>
      <c r="V29" s="130"/>
      <c r="Z29" s="132"/>
      <c r="AA29" s="137">
        <f>AA28/$AD$28</f>
        <v>1</v>
      </c>
      <c r="AB29" s="137">
        <f>AB28/$AD$28</f>
        <v>0</v>
      </c>
      <c r="AC29" s="1038"/>
      <c r="AD29" s="137">
        <f>AD28/$AD$28</f>
        <v>1</v>
      </c>
    </row>
    <row r="30" spans="1:30" ht="26.25" customHeight="1" thickBot="1" x14ac:dyDescent="0.3">
      <c r="A30" s="62"/>
      <c r="R30" s="129" t="s">
        <v>265</v>
      </c>
      <c r="S30" s="1173">
        <f>$AB$1</f>
        <v>500</v>
      </c>
      <c r="T30" s="690">
        <f>(S30*0.4)</f>
        <v>200</v>
      </c>
      <c r="U30" s="692">
        <f>S30/S40</f>
        <v>500</v>
      </c>
      <c r="V30" s="989"/>
      <c r="Z30" s="122" t="s">
        <v>266</v>
      </c>
      <c r="AA30" s="138">
        <f>S35/(S32)</f>
        <v>4.7281323877068564E-2</v>
      </c>
      <c r="AB30" s="139">
        <f>T35/T32</f>
        <v>1.1401245677125478E-2</v>
      </c>
      <c r="AC30" s="1045">
        <f>V35/U32</f>
        <v>7.8201296758037564E-4</v>
      </c>
      <c r="AD30" s="1047">
        <f>SUMPRODUCT(AA30:AB30,AA29:AB29)+AC30</f>
        <v>4.8063336844648939E-2</v>
      </c>
    </row>
    <row r="31" spans="1:30" ht="18" customHeight="1" thickBot="1" x14ac:dyDescent="0.3">
      <c r="A31" s="62"/>
      <c r="B31" s="84"/>
      <c r="E31" s="84"/>
      <c r="F31" s="84"/>
      <c r="R31" s="129" t="s">
        <v>267</v>
      </c>
      <c r="S31" s="136"/>
      <c r="T31" s="130"/>
      <c r="U31" s="130"/>
      <c r="V31" s="130"/>
    </row>
    <row r="32" spans="1:30" ht="14.25" customHeight="1" thickBot="1" x14ac:dyDescent="0.3">
      <c r="A32" s="62"/>
      <c r="B32" s="84"/>
      <c r="E32" s="84"/>
      <c r="F32" s="84"/>
      <c r="R32" s="141" t="s">
        <v>257</v>
      </c>
      <c r="S32" s="130">
        <f>SUM(S28:S30)</f>
        <v>32530</v>
      </c>
      <c r="T32" s="130">
        <f>SUM(T28:T30)</f>
        <v>13012</v>
      </c>
      <c r="U32" s="130">
        <f>SUM(S32:T32)</f>
        <v>45542</v>
      </c>
      <c r="V32" s="130">
        <f>SUM(V28:V30)</f>
        <v>595.4</v>
      </c>
    </row>
    <row r="33" spans="1:23" ht="14.25" customHeight="1" thickBot="1" x14ac:dyDescent="0.3">
      <c r="A33" s="62"/>
      <c r="B33" s="84"/>
      <c r="E33" s="84"/>
      <c r="F33" s="84"/>
      <c r="R33" s="142" t="s">
        <v>268</v>
      </c>
      <c r="S33" s="136"/>
      <c r="T33" s="136"/>
      <c r="U33" s="136"/>
      <c r="V33" s="136"/>
    </row>
    <row r="34" spans="1:23" ht="14.25" customHeight="1" thickBot="1" x14ac:dyDescent="0.3">
      <c r="A34" s="62"/>
      <c r="R34" s="143" t="s">
        <v>269</v>
      </c>
      <c r="S34" s="136"/>
      <c r="T34" s="130"/>
      <c r="U34" s="136"/>
      <c r="V34" s="136"/>
    </row>
    <row r="35" spans="1:23" ht="14.25" customHeight="1" thickBot="1" x14ac:dyDescent="0.3">
      <c r="A35" s="62"/>
      <c r="B35" s="1681" t="s">
        <v>829</v>
      </c>
      <c r="C35" s="1681"/>
      <c r="D35" s="1681"/>
      <c r="E35" s="1681"/>
      <c r="F35" s="1681"/>
      <c r="G35" s="797"/>
      <c r="H35" s="797"/>
      <c r="I35" s="803"/>
      <c r="J35" s="803"/>
      <c r="K35" s="803"/>
      <c r="L35" s="803"/>
      <c r="R35" s="144" t="s">
        <v>249</v>
      </c>
      <c r="S35" s="990">
        <f>$L$5</f>
        <v>1538.0614657210403</v>
      </c>
      <c r="T35" s="990">
        <f>SUM(L6:L17)</f>
        <v>148.35300875075671</v>
      </c>
      <c r="U35" s="990">
        <f>S35+T35+V35</f>
        <v>1722.0289090413426</v>
      </c>
      <c r="V35" s="1049">
        <f>SUM(L37:L38)</f>
        <v>35.614434569545466</v>
      </c>
    </row>
    <row r="36" spans="1:23" ht="47.25"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62"/>
      <c r="B37" s="772" t="s">
        <v>68</v>
      </c>
      <c r="C37" s="773" t="s">
        <v>14</v>
      </c>
      <c r="D37" s="774">
        <v>0.35</v>
      </c>
      <c r="E37" s="772">
        <f>$AD$1</f>
        <v>229</v>
      </c>
      <c r="F37" s="772">
        <f>D37*E37</f>
        <v>80.149999999999991</v>
      </c>
      <c r="G37" s="796"/>
      <c r="H37" s="772">
        <f>F37</f>
        <v>80.149999999999991</v>
      </c>
      <c r="I37" s="772">
        <f>VLOOKUP(B37,All_Ingredients!$A$1:$F$156,6,FALSE())</f>
        <v>0.43</v>
      </c>
      <c r="J37" s="772">
        <f>VLOOKUP(B37,All_Ingredients!$A$1:$J$156,10,FALSE())</f>
        <v>3.333333333333333</v>
      </c>
      <c r="K37" s="772">
        <f>(H37/I37)/1000</f>
        <v>0.18639534883720929</v>
      </c>
      <c r="L37" s="772">
        <f>K37*J37</f>
        <v>0.62131782945736425</v>
      </c>
    </row>
    <row r="38" spans="1:23" ht="27.75" customHeight="1" x14ac:dyDescent="0.25">
      <c r="A38" s="62"/>
      <c r="B38" s="772" t="s">
        <v>726</v>
      </c>
      <c r="C38" s="773" t="s">
        <v>14</v>
      </c>
      <c r="D38" s="774">
        <v>2.25</v>
      </c>
      <c r="E38" s="772">
        <f>$AD$1</f>
        <v>229</v>
      </c>
      <c r="F38" s="772">
        <f>D38*E38</f>
        <v>515.25</v>
      </c>
      <c r="G38" s="796"/>
      <c r="H38" s="772">
        <f>F38</f>
        <v>515.25</v>
      </c>
      <c r="I38" s="772">
        <f>VLOOKUP(B38,All_Ingredients!$A$1:$F$156,6,FALSE())</f>
        <v>1</v>
      </c>
      <c r="J38" s="772">
        <f>VLOOKUP(B38,All_Ingredients!$A$1:$J$156,10,FALSE())</f>
        <v>67.91483113069016</v>
      </c>
      <c r="K38" s="772">
        <f>(H38/I38)/1000</f>
        <v>0.51524999999999999</v>
      </c>
      <c r="L38" s="772">
        <f>K38*J38</f>
        <v>34.993116740088105</v>
      </c>
    </row>
    <row r="39" spans="1:23" x14ac:dyDescent="0.25">
      <c r="A39" s="62"/>
    </row>
    <row r="40" spans="1:23" ht="16.5" customHeight="1" x14ac:dyDescent="0.25">
      <c r="A40" s="62"/>
      <c r="Q40" s="14"/>
      <c r="R40" s="411" t="s">
        <v>270</v>
      </c>
      <c r="S40" s="217">
        <v>1</v>
      </c>
      <c r="T40" s="412" t="s">
        <v>271</v>
      </c>
      <c r="U40" s="217">
        <v>0</v>
      </c>
      <c r="V40" s="149">
        <f>S40+U40</f>
        <v>1</v>
      </c>
      <c r="W40" s="14"/>
    </row>
    <row r="41" spans="1:23" ht="14.25" customHeight="1" x14ac:dyDescent="0.25">
      <c r="A41" s="62"/>
      <c r="Q41" s="14"/>
      <c r="R41" s="14"/>
      <c r="S41" s="14"/>
      <c r="T41" s="14"/>
      <c r="U41" s="150"/>
      <c r="V41" s="14"/>
      <c r="W41" s="14"/>
    </row>
    <row r="42" spans="1:23" ht="14.25" customHeight="1" x14ac:dyDescent="0.25">
      <c r="A42" s="62"/>
      <c r="Q42" s="14"/>
      <c r="R42" s="14"/>
      <c r="S42" s="14"/>
      <c r="T42" s="14"/>
      <c r="U42" s="14"/>
      <c r="V42" s="14"/>
      <c r="W42" s="14"/>
    </row>
    <row r="43" spans="1:23" ht="14.25" customHeight="1" x14ac:dyDescent="0.25">
      <c r="A43" s="62"/>
      <c r="Q43" s="151" t="s">
        <v>272</v>
      </c>
      <c r="R43" s="151" t="s">
        <v>273</v>
      </c>
      <c r="S43" s="151" t="s">
        <v>274</v>
      </c>
      <c r="T43" s="151" t="s">
        <v>275</v>
      </c>
      <c r="U43" s="151" t="s">
        <v>276</v>
      </c>
      <c r="V43" s="151" t="s">
        <v>277</v>
      </c>
      <c r="W43" s="235" t="s">
        <v>278</v>
      </c>
    </row>
    <row r="44" spans="1:23" ht="14.25" customHeight="1" x14ac:dyDescent="0.25">
      <c r="A44" s="62"/>
      <c r="Q44" s="153">
        <v>25000</v>
      </c>
      <c r="R44" s="154">
        <f>D51</f>
        <v>10000</v>
      </c>
      <c r="S44" s="155">
        <v>0</v>
      </c>
      <c r="T44" s="155">
        <v>1</v>
      </c>
      <c r="U44" s="220">
        <f>R44*S44</f>
        <v>0</v>
      </c>
      <c r="V44" s="157">
        <f>R44*T44</f>
        <v>10000</v>
      </c>
      <c r="W44" s="237">
        <f>Q44-U44</f>
        <v>25000</v>
      </c>
    </row>
    <row r="45" spans="1:23" x14ac:dyDescent="0.25">
      <c r="A45" s="62"/>
    </row>
    <row r="46" spans="1:23" x14ac:dyDescent="0.25">
      <c r="A46" s="62"/>
    </row>
    <row r="47" spans="1:23" x14ac:dyDescent="0.25">
      <c r="A47" s="62"/>
    </row>
    <row r="48" spans="1:23" x14ac:dyDescent="0.25">
      <c r="A48" s="62"/>
    </row>
    <row r="49" spans="1:11" x14ac:dyDescent="0.25">
      <c r="A49" s="62"/>
    </row>
    <row r="50" spans="1:11" ht="20.25" customHeight="1" x14ac:dyDescent="0.25">
      <c r="A50" s="62"/>
      <c r="B50" s="253"/>
      <c r="C50" s="126" t="s">
        <v>233</v>
      </c>
      <c r="D50" s="126" t="s">
        <v>279</v>
      </c>
      <c r="F50" s="84"/>
      <c r="G50" s="126" t="s">
        <v>280</v>
      </c>
      <c r="H50" s="126" t="s">
        <v>233</v>
      </c>
      <c r="I50" s="126" t="s">
        <v>281</v>
      </c>
      <c r="J50" s="126" t="s">
        <v>282</v>
      </c>
      <c r="K50" s="76"/>
    </row>
    <row r="51" spans="1:11" x14ac:dyDescent="0.25">
      <c r="A51" s="62"/>
      <c r="B51" s="161" t="s">
        <v>283</v>
      </c>
      <c r="C51" s="162">
        <f>10/$K$1</f>
        <v>10.204081632653061</v>
      </c>
      <c r="D51" s="163">
        <f>$C$1*10</f>
        <v>10000</v>
      </c>
      <c r="E51" s="164"/>
      <c r="F51" s="84"/>
      <c r="G51" s="161" t="s">
        <v>283</v>
      </c>
      <c r="H51" s="254">
        <f>I51/$D$5</f>
        <v>10</v>
      </c>
      <c r="I51" s="162">
        <f>J51/$R$1</f>
        <v>46296.296296296292</v>
      </c>
      <c r="J51" s="162">
        <f>$W$44</f>
        <v>25000</v>
      </c>
    </row>
    <row r="52" spans="1:11" x14ac:dyDescent="0.25">
      <c r="A52" s="62"/>
      <c r="B52" s="209" t="s">
        <v>262</v>
      </c>
      <c r="C52" s="210">
        <f>$I$1</f>
        <v>13.277551020408165</v>
      </c>
      <c r="D52" s="211">
        <f>$E$1</f>
        <v>13012</v>
      </c>
      <c r="E52" s="84"/>
      <c r="F52" s="84"/>
      <c r="G52" s="129" t="s">
        <v>262</v>
      </c>
      <c r="H52" s="190">
        <f>I52/$D$5</f>
        <v>13.011999999999999</v>
      </c>
      <c r="I52" s="157">
        <f>J52/$R$1</f>
        <v>60240.740740740737</v>
      </c>
      <c r="J52" s="165">
        <f>$S$32</f>
        <v>32530</v>
      </c>
    </row>
    <row r="53" spans="1:11" x14ac:dyDescent="0.25">
      <c r="A53" s="62"/>
      <c r="B53" s="209" t="s">
        <v>284</v>
      </c>
      <c r="C53" s="212">
        <f>MIN(C52, C51)</f>
        <v>10.204081632653061</v>
      </c>
      <c r="D53" s="877">
        <f>(C53*$K$1)*$C$1</f>
        <v>10000</v>
      </c>
      <c r="E53" s="84"/>
      <c r="F53" s="84"/>
      <c r="G53" s="129" t="s">
        <v>284</v>
      </c>
      <c r="H53" s="168">
        <f>MIN(H52,H51)</f>
        <v>10</v>
      </c>
      <c r="I53" s="157">
        <f>J53/$R$1</f>
        <v>46296.296296296292</v>
      </c>
      <c r="J53" s="157">
        <f>MIN(J52,J51)</f>
        <v>25000</v>
      </c>
    </row>
    <row r="54" spans="1:11" x14ac:dyDescent="0.25">
      <c r="A54" s="62"/>
      <c r="B54" s="209" t="s">
        <v>285</v>
      </c>
      <c r="C54" s="212">
        <f>MIN(MAX(C52-C53,0),C51)</f>
        <v>3.0734693877551038</v>
      </c>
      <c r="D54" s="877">
        <f>(C54*$K$1)*$C$1</f>
        <v>3012.0000000000018</v>
      </c>
      <c r="E54" s="84"/>
      <c r="F54" s="84"/>
      <c r="G54" s="129" t="s">
        <v>285</v>
      </c>
      <c r="H54" s="168">
        <f>MIN(MAX(H52-H53),H51)</f>
        <v>3.0119999999999987</v>
      </c>
      <c r="I54" s="157">
        <f>J54/$R$1</f>
        <v>13944.444444444443</v>
      </c>
      <c r="J54" s="157">
        <f>MIN(MAX(J52-J53),J51)</f>
        <v>7530</v>
      </c>
    </row>
    <row r="55" spans="1:11"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1" x14ac:dyDescent="0.25">
      <c r="A56" s="62"/>
    </row>
    <row r="57" spans="1:11" x14ac:dyDescent="0.25">
      <c r="A57" s="62"/>
    </row>
    <row r="58" spans="1:11" x14ac:dyDescent="0.25">
      <c r="A58" s="62"/>
    </row>
    <row r="59" spans="1:11" x14ac:dyDescent="0.25">
      <c r="A59" s="62"/>
    </row>
    <row r="60" spans="1:11" x14ac:dyDescent="0.25">
      <c r="A60" s="62"/>
    </row>
    <row r="61" spans="1:11" x14ac:dyDescent="0.25">
      <c r="A61" s="62"/>
    </row>
    <row r="62" spans="1:11" ht="18" customHeight="1" x14ac:dyDescent="0.25">
      <c r="A62" s="1456"/>
      <c r="B62" s="1636" t="str">
        <f>"سمك بالسبانخ و الليمون 1 / " &amp; COUNTIF($C$53:$C$55, "&gt;0")</f>
        <v>سمك بالسبانخ و الليمون 1 / 2</v>
      </c>
      <c r="C62" s="1637"/>
      <c r="D62" s="1637"/>
      <c r="E62" s="1637"/>
      <c r="F62" s="1637"/>
      <c r="G62" s="1637"/>
      <c r="H62" s="1637"/>
    </row>
    <row r="63" spans="1:11" ht="18" customHeight="1" x14ac:dyDescent="0.25">
      <c r="A63" s="1456"/>
      <c r="B63" s="1634" t="str">
        <f>"Lemon Fish 1 / " &amp; COUNTIF($C$53:$C$55, "&gt;0")</f>
        <v>Lemon Fish 1 / 2</v>
      </c>
      <c r="C63" s="1635"/>
      <c r="D63" s="1635"/>
      <c r="E63" s="1635"/>
      <c r="F63" s="1635"/>
      <c r="G63" s="1635"/>
      <c r="H63" s="1635"/>
    </row>
    <row r="64" spans="1:11" ht="39" customHeight="1" x14ac:dyDescent="0.2">
      <c r="A64" s="1457"/>
      <c r="B64" s="221" t="s">
        <v>241</v>
      </c>
      <c r="C64" s="222" t="s">
        <v>242</v>
      </c>
      <c r="D64" s="223" t="s">
        <v>231</v>
      </c>
      <c r="E64" s="197" t="s">
        <v>234</v>
      </c>
      <c r="F64" s="197" t="s">
        <v>243</v>
      </c>
      <c r="G64" s="223" t="s">
        <v>244</v>
      </c>
      <c r="H64" s="197" t="s">
        <v>245</v>
      </c>
    </row>
    <row r="65" spans="1:8" ht="14.25" customHeight="1" x14ac:dyDescent="0.25">
      <c r="A65" s="1455"/>
      <c r="B65" s="105" t="str">
        <f t="shared" ref="B65:D77" si="12">B5</f>
        <v>Fillet Fish - سمك فيليه</v>
      </c>
      <c r="C65" s="105" t="str">
        <f t="shared" si="12"/>
        <v>gm</v>
      </c>
      <c r="D65" s="240">
        <f t="shared" si="12"/>
        <v>4629.6296296296296</v>
      </c>
      <c r="E65" s="177">
        <f>H53</f>
        <v>10</v>
      </c>
      <c r="F65" s="109">
        <f t="shared" ref="F65:F77" si="13">F5</f>
        <v>1</v>
      </c>
      <c r="G65" s="101">
        <f t="shared" ref="G65:G77" si="14">D65*E65</f>
        <v>46296.296296296292</v>
      </c>
      <c r="H65" s="102">
        <f t="shared" ref="H65:H77" si="15">G65*F65</f>
        <v>46296.296296296292</v>
      </c>
    </row>
    <row r="66" spans="1:8" ht="14.25" customHeight="1" x14ac:dyDescent="0.25">
      <c r="A66" s="1455" t="s">
        <v>920</v>
      </c>
      <c r="B66" s="105" t="str">
        <f t="shared" si="12"/>
        <v>Onion - بصل</v>
      </c>
      <c r="C66" s="105" t="str">
        <f t="shared" si="12"/>
        <v>gm</v>
      </c>
      <c r="D66" s="105">
        <f t="shared" si="12"/>
        <v>250</v>
      </c>
      <c r="E66" s="177">
        <f t="shared" ref="E66:E77" si="16">$C$53</f>
        <v>10.204081632653061</v>
      </c>
      <c r="F66" s="109">
        <f t="shared" si="13"/>
        <v>1</v>
      </c>
      <c r="G66" s="101">
        <f t="shared" si="14"/>
        <v>2551.0204081632651</v>
      </c>
      <c r="H66" s="102">
        <f t="shared" si="15"/>
        <v>2551.0204081632651</v>
      </c>
    </row>
    <row r="67" spans="1:8" ht="14.25" customHeight="1" x14ac:dyDescent="0.25">
      <c r="A67" s="1455" t="s">
        <v>907</v>
      </c>
      <c r="B67" s="105" t="str">
        <f t="shared" si="12"/>
        <v>Garlic - ثوم مقشر</v>
      </c>
      <c r="C67" s="105" t="str">
        <f t="shared" si="12"/>
        <v>gm</v>
      </c>
      <c r="D67" s="105">
        <f t="shared" si="12"/>
        <v>20</v>
      </c>
      <c r="E67" s="177">
        <f t="shared" si="16"/>
        <v>10.204081632653061</v>
      </c>
      <c r="F67" s="109">
        <f t="shared" si="13"/>
        <v>1</v>
      </c>
      <c r="G67" s="101">
        <f t="shared" si="14"/>
        <v>204.08163265306121</v>
      </c>
      <c r="H67" s="102">
        <f t="shared" si="15"/>
        <v>204.08163265306121</v>
      </c>
    </row>
    <row r="68" spans="1:8" ht="14.25" customHeight="1" x14ac:dyDescent="0.25">
      <c r="A68" s="1455"/>
      <c r="B68" s="105" t="str">
        <f t="shared" si="12"/>
        <v>Paprika Powder - بابريكا مطحون</v>
      </c>
      <c r="C68" s="105" t="str">
        <f t="shared" si="12"/>
        <v>gm</v>
      </c>
      <c r="D68" s="105">
        <f t="shared" si="12"/>
        <v>5</v>
      </c>
      <c r="E68" s="177">
        <f t="shared" si="16"/>
        <v>10.204081632653061</v>
      </c>
      <c r="F68" s="109">
        <f t="shared" si="13"/>
        <v>0.75</v>
      </c>
      <c r="G68" s="101">
        <f t="shared" si="14"/>
        <v>51.020408163265301</v>
      </c>
      <c r="H68" s="102">
        <f t="shared" si="15"/>
        <v>38.265306122448976</v>
      </c>
    </row>
    <row r="69" spans="1:8" ht="14.25" customHeight="1" x14ac:dyDescent="0.25">
      <c r="A69" s="1455"/>
      <c r="B69" s="105" t="str">
        <f t="shared" si="12"/>
        <v>Cooking Cream - كريمة طبخ</v>
      </c>
      <c r="C69" s="105" t="str">
        <f t="shared" si="12"/>
        <v>ml</v>
      </c>
      <c r="D69" s="105">
        <f t="shared" si="12"/>
        <v>600</v>
      </c>
      <c r="E69" s="177">
        <f t="shared" si="16"/>
        <v>10.204081632653061</v>
      </c>
      <c r="F69" s="109">
        <f t="shared" si="13"/>
        <v>1</v>
      </c>
      <c r="G69" s="101">
        <f t="shared" si="14"/>
        <v>6122.4489795918362</v>
      </c>
      <c r="H69" s="102">
        <f t="shared" si="15"/>
        <v>6122.4489795918362</v>
      </c>
    </row>
    <row r="70" spans="1:8" ht="14.25" customHeight="1" x14ac:dyDescent="0.25">
      <c r="A70" s="1455"/>
      <c r="B70" s="105" t="str">
        <f t="shared" si="12"/>
        <v>Salt - ملح</v>
      </c>
      <c r="C70" s="105" t="str">
        <f t="shared" si="12"/>
        <v>gm</v>
      </c>
      <c r="D70" s="105">
        <f t="shared" si="12"/>
        <v>11</v>
      </c>
      <c r="E70" s="177">
        <f t="shared" si="16"/>
        <v>10.204081632653061</v>
      </c>
      <c r="F70" s="109">
        <f t="shared" si="13"/>
        <v>1</v>
      </c>
      <c r="G70" s="101">
        <f t="shared" si="14"/>
        <v>112.24489795918367</v>
      </c>
      <c r="H70" s="102">
        <f t="shared" si="15"/>
        <v>112.24489795918367</v>
      </c>
    </row>
    <row r="71" spans="1:8" ht="14.25" customHeight="1" x14ac:dyDescent="0.25">
      <c r="A71" s="1455"/>
      <c r="B71" s="105" t="str">
        <f t="shared" si="12"/>
        <v>Black Pepper Powder - فلفل أسود مطحون</v>
      </c>
      <c r="C71" s="105" t="str">
        <f t="shared" si="12"/>
        <v>gm</v>
      </c>
      <c r="D71" s="105">
        <f t="shared" si="12"/>
        <v>5</v>
      </c>
      <c r="E71" s="177">
        <f t="shared" si="16"/>
        <v>10.204081632653061</v>
      </c>
      <c r="F71" s="109">
        <f t="shared" si="13"/>
        <v>1</v>
      </c>
      <c r="G71" s="101">
        <f t="shared" si="14"/>
        <v>51.020408163265301</v>
      </c>
      <c r="H71" s="102">
        <f t="shared" si="15"/>
        <v>51.020408163265301</v>
      </c>
    </row>
    <row r="72" spans="1:8" ht="14.25" customHeight="1" x14ac:dyDescent="0.25">
      <c r="A72" s="1455"/>
      <c r="B72" s="105" t="str">
        <f t="shared" si="12"/>
        <v>Corn Starch - نشا ذرة</v>
      </c>
      <c r="C72" s="105" t="str">
        <f t="shared" si="12"/>
        <v>gm</v>
      </c>
      <c r="D72" s="105">
        <f t="shared" si="12"/>
        <v>100</v>
      </c>
      <c r="E72" s="177">
        <f t="shared" si="16"/>
        <v>10.204081632653061</v>
      </c>
      <c r="F72" s="109">
        <f t="shared" si="13"/>
        <v>0.75</v>
      </c>
      <c r="G72" s="101">
        <f t="shared" si="14"/>
        <v>1020.4081632653061</v>
      </c>
      <c r="H72" s="102">
        <f t="shared" si="15"/>
        <v>765.30612244897964</v>
      </c>
    </row>
    <row r="73" spans="1:8" ht="14.25" customHeight="1" x14ac:dyDescent="0.25">
      <c r="A73" s="1455"/>
      <c r="B73" s="105" t="str">
        <f t="shared" si="12"/>
        <v>Butter - زبدة</v>
      </c>
      <c r="C73" s="105" t="str">
        <f t="shared" si="12"/>
        <v>gm</v>
      </c>
      <c r="D73" s="105">
        <f t="shared" si="12"/>
        <v>50</v>
      </c>
      <c r="E73" s="177">
        <f t="shared" si="16"/>
        <v>10.204081632653061</v>
      </c>
      <c r="F73" s="109">
        <f t="shared" si="13"/>
        <v>0.75</v>
      </c>
      <c r="G73" s="101">
        <f t="shared" si="14"/>
        <v>510.20408163265307</v>
      </c>
      <c r="H73" s="102">
        <f t="shared" si="15"/>
        <v>382.65306122448982</v>
      </c>
    </row>
    <row r="74" spans="1:8" ht="14.25" customHeight="1" x14ac:dyDescent="0.25">
      <c r="A74" s="1455"/>
      <c r="B74" s="105" t="str">
        <f t="shared" si="12"/>
        <v>Orange Color - لون برتقالي</v>
      </c>
      <c r="C74" s="105" t="str">
        <f t="shared" si="12"/>
        <v>gm</v>
      </c>
      <c r="D74" s="105">
        <f t="shared" si="12"/>
        <v>2</v>
      </c>
      <c r="E74" s="177">
        <f t="shared" si="16"/>
        <v>10.204081632653061</v>
      </c>
      <c r="F74" s="109">
        <f t="shared" si="13"/>
        <v>0.75</v>
      </c>
      <c r="G74" s="101">
        <f t="shared" si="14"/>
        <v>20.408163265306122</v>
      </c>
      <c r="H74" s="102">
        <f t="shared" si="15"/>
        <v>15.306122448979592</v>
      </c>
    </row>
    <row r="75" spans="1:8" ht="14.25" customHeight="1" x14ac:dyDescent="0.25">
      <c r="A75" s="1455"/>
      <c r="B75" s="105" t="str">
        <f t="shared" si="12"/>
        <v>Maggi Cubes - مكعبات ماجي</v>
      </c>
      <c r="C75" s="105" t="str">
        <f t="shared" si="12"/>
        <v>gm</v>
      </c>
      <c r="D75" s="105">
        <f t="shared" si="12"/>
        <v>10</v>
      </c>
      <c r="E75" s="177">
        <f t="shared" si="16"/>
        <v>10.204081632653061</v>
      </c>
      <c r="F75" s="109">
        <f t="shared" si="13"/>
        <v>0.9</v>
      </c>
      <c r="G75" s="101">
        <f t="shared" si="14"/>
        <v>102.0408163265306</v>
      </c>
      <c r="H75" s="102">
        <f t="shared" si="15"/>
        <v>91.836734693877546</v>
      </c>
    </row>
    <row r="76" spans="1:8" ht="14.25" customHeight="1" x14ac:dyDescent="0.25">
      <c r="A76" s="1455"/>
      <c r="B76" s="105" t="str">
        <f t="shared" si="12"/>
        <v>Honey - عسل</v>
      </c>
      <c r="C76" s="105" t="str">
        <f t="shared" si="12"/>
        <v>gm</v>
      </c>
      <c r="D76" s="105">
        <f t="shared" si="12"/>
        <v>35</v>
      </c>
      <c r="E76" s="177">
        <f t="shared" si="16"/>
        <v>10.204081632653061</v>
      </c>
      <c r="F76" s="109">
        <f t="shared" si="13"/>
        <v>1</v>
      </c>
      <c r="G76" s="101">
        <f t="shared" si="14"/>
        <v>357.14285714285711</v>
      </c>
      <c r="H76" s="102">
        <f t="shared" si="15"/>
        <v>357.14285714285711</v>
      </c>
    </row>
    <row r="77" spans="1:8" ht="14.25" customHeight="1" x14ac:dyDescent="0.25">
      <c r="A77" s="1455"/>
      <c r="B77" s="105" t="str">
        <f t="shared" si="12"/>
        <v>Saffron yellow color powder - لون صفار زعفران بودر</v>
      </c>
      <c r="C77" s="105" t="str">
        <f t="shared" si="12"/>
        <v>gm</v>
      </c>
      <c r="D77" s="105">
        <f t="shared" si="12"/>
        <v>1</v>
      </c>
      <c r="E77" s="177">
        <f t="shared" si="16"/>
        <v>10.204081632653061</v>
      </c>
      <c r="F77" s="109">
        <f t="shared" si="13"/>
        <v>1</v>
      </c>
      <c r="G77" s="101">
        <f t="shared" si="14"/>
        <v>10.204081632653061</v>
      </c>
      <c r="H77" s="102">
        <f t="shared" si="15"/>
        <v>10.204081632653061</v>
      </c>
    </row>
    <row r="78" spans="1:8" ht="20.25" customHeight="1" x14ac:dyDescent="0.25">
      <c r="A78" s="1458"/>
      <c r="B78" s="178" t="s">
        <v>287</v>
      </c>
      <c r="C78" s="180" t="s">
        <v>273</v>
      </c>
      <c r="D78" s="14"/>
      <c r="E78" s="180" t="s">
        <v>288</v>
      </c>
      <c r="F78" s="14"/>
      <c r="G78" s="804" t="s">
        <v>264</v>
      </c>
      <c r="H78" s="804" t="s">
        <v>673</v>
      </c>
    </row>
    <row r="79" spans="1:8" ht="20.25" x14ac:dyDescent="0.3">
      <c r="A79" s="1458"/>
      <c r="B79" s="179">
        <f>$J$53</f>
        <v>25000</v>
      </c>
      <c r="C79" s="179">
        <f>E79+G79</f>
        <v>10000</v>
      </c>
      <c r="D79" s="839"/>
      <c r="E79" s="179">
        <f>$D$53*$S$44</f>
        <v>0</v>
      </c>
      <c r="F79" s="843"/>
      <c r="G79" s="179">
        <f>$D$53*$T$44</f>
        <v>10000</v>
      </c>
      <c r="H79" s="179">
        <f>B79+E79</f>
        <v>25000</v>
      </c>
    </row>
    <row r="80" spans="1:8" x14ac:dyDescent="0.25">
      <c r="A80" s="62"/>
    </row>
    <row r="81" spans="1:8" x14ac:dyDescent="0.25">
      <c r="A81" s="62"/>
    </row>
    <row r="82" spans="1:8" x14ac:dyDescent="0.25">
      <c r="A82" s="1456"/>
      <c r="B82" s="1636" t="str">
        <f>"سمك بالسبانخ و الليمون 2 / " &amp; COUNTIF($C$53:$C$55, "&gt;0")</f>
        <v>سمك بالسبانخ و الليمون 2 / 2</v>
      </c>
      <c r="C82" s="1637"/>
      <c r="D82" s="1637"/>
      <c r="E82" s="1637"/>
      <c r="F82" s="1637"/>
      <c r="G82" s="1637"/>
      <c r="H82" s="1637"/>
    </row>
    <row r="83" spans="1:8" x14ac:dyDescent="0.25">
      <c r="A83" s="1456"/>
      <c r="B83" s="1634" t="str">
        <f>"Lemon Fish 2 / " &amp; COUNTIF($C$53:$C$55, "&gt;0")</f>
        <v>Lemon Fish 2 / 2</v>
      </c>
      <c r="C83" s="1635"/>
      <c r="D83" s="1635"/>
      <c r="E83" s="1635"/>
      <c r="F83" s="1635"/>
      <c r="G83" s="1635"/>
      <c r="H83" s="1635"/>
    </row>
    <row r="84" spans="1:8" ht="25.5" x14ac:dyDescent="0.2">
      <c r="A84" s="1457"/>
      <c r="B84" s="221" t="s">
        <v>241</v>
      </c>
      <c r="C84" s="222" t="s">
        <v>242</v>
      </c>
      <c r="D84" s="223" t="s">
        <v>231</v>
      </c>
      <c r="E84" s="197" t="s">
        <v>234</v>
      </c>
      <c r="F84" s="197" t="s">
        <v>243</v>
      </c>
      <c r="G84" s="223" t="s">
        <v>244</v>
      </c>
      <c r="H84" s="197" t="s">
        <v>245</v>
      </c>
    </row>
    <row r="85" spans="1:8" x14ac:dyDescent="0.25">
      <c r="A85" s="1455"/>
      <c r="B85" s="105" t="str">
        <f t="shared" ref="B85:D97" si="17">B5</f>
        <v>Fillet Fish - سمك فيليه</v>
      </c>
      <c r="C85" s="105" t="str">
        <f t="shared" si="17"/>
        <v>gm</v>
      </c>
      <c r="D85" s="240">
        <f t="shared" si="17"/>
        <v>4629.6296296296296</v>
      </c>
      <c r="E85" s="177">
        <f>$H$54</f>
        <v>3.0119999999999987</v>
      </c>
      <c r="F85" s="109">
        <f>F5</f>
        <v>1</v>
      </c>
      <c r="G85" s="101">
        <f t="shared" ref="G85:G97" si="18">D85*E85</f>
        <v>13944.444444444438</v>
      </c>
      <c r="H85" s="102">
        <f t="shared" ref="H85:H97" si="19">G85*F85</f>
        <v>13944.444444444438</v>
      </c>
    </row>
    <row r="86" spans="1:8" x14ac:dyDescent="0.25">
      <c r="A86" s="1455" t="s">
        <v>920</v>
      </c>
      <c r="B86" s="105" t="str">
        <f t="shared" si="17"/>
        <v>Onion - بصل</v>
      </c>
      <c r="C86" s="105" t="str">
        <f t="shared" si="17"/>
        <v>gm</v>
      </c>
      <c r="D86" s="240">
        <f t="shared" si="17"/>
        <v>250</v>
      </c>
      <c r="E86" s="177">
        <f t="shared" ref="E86:E97" si="20">$C$54</f>
        <v>3.0734693877551038</v>
      </c>
      <c r="F86" s="109">
        <f t="shared" ref="F86:F97" si="21">F6</f>
        <v>1</v>
      </c>
      <c r="G86" s="101">
        <f t="shared" si="18"/>
        <v>768.367346938776</v>
      </c>
      <c r="H86" s="102">
        <f t="shared" si="19"/>
        <v>768.367346938776</v>
      </c>
    </row>
    <row r="87" spans="1:8" x14ac:dyDescent="0.25">
      <c r="A87" s="1455" t="s">
        <v>907</v>
      </c>
      <c r="B87" s="105" t="str">
        <f t="shared" si="17"/>
        <v>Garlic - ثوم مقشر</v>
      </c>
      <c r="C87" s="105" t="str">
        <f t="shared" si="17"/>
        <v>gm</v>
      </c>
      <c r="D87" s="240">
        <f t="shared" si="17"/>
        <v>20</v>
      </c>
      <c r="E87" s="177">
        <f t="shared" si="20"/>
        <v>3.0734693877551038</v>
      </c>
      <c r="F87" s="109">
        <f t="shared" si="21"/>
        <v>1</v>
      </c>
      <c r="G87" s="101">
        <f t="shared" si="18"/>
        <v>61.469387755102076</v>
      </c>
      <c r="H87" s="102">
        <f t="shared" si="19"/>
        <v>61.469387755102076</v>
      </c>
    </row>
    <row r="88" spans="1:8" x14ac:dyDescent="0.25">
      <c r="A88" s="1455"/>
      <c r="B88" s="105" t="str">
        <f t="shared" si="17"/>
        <v>Paprika Powder - بابريكا مطحون</v>
      </c>
      <c r="C88" s="105" t="str">
        <f t="shared" si="17"/>
        <v>gm</v>
      </c>
      <c r="D88" s="240">
        <f t="shared" si="17"/>
        <v>5</v>
      </c>
      <c r="E88" s="177">
        <f t="shared" si="20"/>
        <v>3.0734693877551038</v>
      </c>
      <c r="F88" s="109">
        <f t="shared" si="21"/>
        <v>0.75</v>
      </c>
      <c r="G88" s="101">
        <f t="shared" si="18"/>
        <v>15.367346938775519</v>
      </c>
      <c r="H88" s="102">
        <f t="shared" si="19"/>
        <v>11.525510204081639</v>
      </c>
    </row>
    <row r="89" spans="1:8" x14ac:dyDescent="0.25">
      <c r="A89" s="1455"/>
      <c r="B89" s="105" t="str">
        <f t="shared" si="17"/>
        <v>Cooking Cream - كريمة طبخ</v>
      </c>
      <c r="C89" s="105" t="str">
        <f t="shared" si="17"/>
        <v>ml</v>
      </c>
      <c r="D89" s="240">
        <f t="shared" si="17"/>
        <v>600</v>
      </c>
      <c r="E89" s="177">
        <f t="shared" si="20"/>
        <v>3.0734693877551038</v>
      </c>
      <c r="F89" s="109">
        <f t="shared" si="21"/>
        <v>1</v>
      </c>
      <c r="G89" s="101">
        <f t="shared" si="18"/>
        <v>1844.0816326530623</v>
      </c>
      <c r="H89" s="102">
        <f t="shared" si="19"/>
        <v>1844.0816326530623</v>
      </c>
    </row>
    <row r="90" spans="1:8" x14ac:dyDescent="0.25">
      <c r="A90" s="1455"/>
      <c r="B90" s="105" t="str">
        <f t="shared" si="17"/>
        <v>Salt - ملح</v>
      </c>
      <c r="C90" s="105" t="str">
        <f t="shared" si="17"/>
        <v>gm</v>
      </c>
      <c r="D90" s="240">
        <f t="shared" si="17"/>
        <v>11</v>
      </c>
      <c r="E90" s="177">
        <f t="shared" si="20"/>
        <v>3.0734693877551038</v>
      </c>
      <c r="F90" s="109">
        <f t="shared" si="21"/>
        <v>1</v>
      </c>
      <c r="G90" s="101">
        <f t="shared" si="18"/>
        <v>33.808163265306142</v>
      </c>
      <c r="H90" s="102">
        <f t="shared" si="19"/>
        <v>33.808163265306142</v>
      </c>
    </row>
    <row r="91" spans="1:8" x14ac:dyDescent="0.25">
      <c r="A91" s="1455"/>
      <c r="B91" s="105" t="str">
        <f t="shared" si="17"/>
        <v>Black Pepper Powder - فلفل أسود مطحون</v>
      </c>
      <c r="C91" s="105" t="str">
        <f t="shared" si="17"/>
        <v>gm</v>
      </c>
      <c r="D91" s="240">
        <f t="shared" si="17"/>
        <v>5</v>
      </c>
      <c r="E91" s="177">
        <f t="shared" si="20"/>
        <v>3.0734693877551038</v>
      </c>
      <c r="F91" s="109">
        <f t="shared" si="21"/>
        <v>1</v>
      </c>
      <c r="G91" s="101">
        <f t="shared" si="18"/>
        <v>15.367346938775519</v>
      </c>
      <c r="H91" s="102">
        <f t="shared" si="19"/>
        <v>15.367346938775519</v>
      </c>
    </row>
    <row r="92" spans="1:8" x14ac:dyDescent="0.25">
      <c r="A92" s="1455"/>
      <c r="B92" s="105" t="str">
        <f t="shared" si="17"/>
        <v>Corn Starch - نشا ذرة</v>
      </c>
      <c r="C92" s="105" t="str">
        <f t="shared" si="17"/>
        <v>gm</v>
      </c>
      <c r="D92" s="240">
        <f t="shared" si="17"/>
        <v>100</v>
      </c>
      <c r="E92" s="177">
        <f t="shared" si="20"/>
        <v>3.0734693877551038</v>
      </c>
      <c r="F92" s="109">
        <f t="shared" si="21"/>
        <v>0.75</v>
      </c>
      <c r="G92" s="101">
        <f t="shared" si="18"/>
        <v>307.34693877551035</v>
      </c>
      <c r="H92" s="102">
        <f t="shared" si="19"/>
        <v>230.51020408163276</v>
      </c>
    </row>
    <row r="93" spans="1:8" x14ac:dyDescent="0.25">
      <c r="A93" s="1455"/>
      <c r="B93" s="105" t="str">
        <f t="shared" si="17"/>
        <v>Butter - زبدة</v>
      </c>
      <c r="C93" s="105" t="str">
        <f t="shared" si="17"/>
        <v>gm</v>
      </c>
      <c r="D93" s="240">
        <f t="shared" si="17"/>
        <v>50</v>
      </c>
      <c r="E93" s="177">
        <f t="shared" si="20"/>
        <v>3.0734693877551038</v>
      </c>
      <c r="F93" s="109">
        <f t="shared" si="21"/>
        <v>0.75</v>
      </c>
      <c r="G93" s="101">
        <f t="shared" si="18"/>
        <v>153.67346938775518</v>
      </c>
      <c r="H93" s="102">
        <f t="shared" si="19"/>
        <v>115.25510204081638</v>
      </c>
    </row>
    <row r="94" spans="1:8" x14ac:dyDescent="0.25">
      <c r="A94" s="1455"/>
      <c r="B94" s="105" t="str">
        <f t="shared" si="17"/>
        <v>Orange Color - لون برتقالي</v>
      </c>
      <c r="C94" s="105" t="str">
        <f t="shared" si="17"/>
        <v>gm</v>
      </c>
      <c r="D94" s="240">
        <f t="shared" si="17"/>
        <v>2</v>
      </c>
      <c r="E94" s="177">
        <f t="shared" si="20"/>
        <v>3.0734693877551038</v>
      </c>
      <c r="F94" s="109">
        <f t="shared" si="21"/>
        <v>0.75</v>
      </c>
      <c r="G94" s="101">
        <f t="shared" si="18"/>
        <v>6.1469387755102076</v>
      </c>
      <c r="H94" s="102">
        <f t="shared" si="19"/>
        <v>4.6102040816326557</v>
      </c>
    </row>
    <row r="95" spans="1:8" x14ac:dyDescent="0.25">
      <c r="A95" s="1455"/>
      <c r="B95" s="105" t="str">
        <f t="shared" si="17"/>
        <v>Maggi Cubes - مكعبات ماجي</v>
      </c>
      <c r="C95" s="105" t="str">
        <f t="shared" si="17"/>
        <v>gm</v>
      </c>
      <c r="D95" s="240">
        <f t="shared" si="17"/>
        <v>10</v>
      </c>
      <c r="E95" s="177">
        <f t="shared" si="20"/>
        <v>3.0734693877551038</v>
      </c>
      <c r="F95" s="109">
        <f t="shared" si="21"/>
        <v>0.9</v>
      </c>
      <c r="G95" s="101">
        <f t="shared" si="18"/>
        <v>30.734693877551038</v>
      </c>
      <c r="H95" s="102">
        <f t="shared" si="19"/>
        <v>27.661224489795934</v>
      </c>
    </row>
    <row r="96" spans="1:8" x14ac:dyDescent="0.25">
      <c r="A96" s="1455"/>
      <c r="B96" s="105" t="str">
        <f t="shared" si="17"/>
        <v>Honey - عسل</v>
      </c>
      <c r="C96" s="105" t="str">
        <f t="shared" si="17"/>
        <v>gm</v>
      </c>
      <c r="D96" s="240">
        <f t="shared" si="17"/>
        <v>35</v>
      </c>
      <c r="E96" s="177">
        <f t="shared" si="20"/>
        <v>3.0734693877551038</v>
      </c>
      <c r="F96" s="109">
        <f t="shared" si="21"/>
        <v>1</v>
      </c>
      <c r="G96" s="101">
        <f t="shared" si="18"/>
        <v>107.57142857142864</v>
      </c>
      <c r="H96" s="102">
        <f t="shared" si="19"/>
        <v>107.57142857142864</v>
      </c>
    </row>
    <row r="97" spans="1:8" ht="25.5" x14ac:dyDescent="0.25">
      <c r="A97" s="1455"/>
      <c r="B97" s="105" t="str">
        <f t="shared" si="17"/>
        <v>Saffron yellow color powder - لون صفار زعفران بودر</v>
      </c>
      <c r="C97" s="105" t="str">
        <f t="shared" si="17"/>
        <v>gm</v>
      </c>
      <c r="D97" s="240">
        <f t="shared" si="17"/>
        <v>1</v>
      </c>
      <c r="E97" s="177">
        <f t="shared" si="20"/>
        <v>3.0734693877551038</v>
      </c>
      <c r="F97" s="109">
        <f t="shared" si="21"/>
        <v>1</v>
      </c>
      <c r="G97" s="101">
        <f t="shared" si="18"/>
        <v>3.0734693877551038</v>
      </c>
      <c r="H97" s="102">
        <f t="shared" si="19"/>
        <v>3.0734693877551038</v>
      </c>
    </row>
    <row r="98" spans="1:8" ht="18" x14ac:dyDescent="0.25">
      <c r="A98" s="1458"/>
      <c r="B98" s="178" t="s">
        <v>287</v>
      </c>
      <c r="C98" s="180" t="s">
        <v>273</v>
      </c>
      <c r="D98" s="14"/>
      <c r="E98" s="180" t="s">
        <v>288</v>
      </c>
      <c r="F98" s="14"/>
      <c r="G98" s="804" t="s">
        <v>264</v>
      </c>
      <c r="H98" s="804" t="s">
        <v>673</v>
      </c>
    </row>
    <row r="99" spans="1:8" ht="20.25" x14ac:dyDescent="0.3">
      <c r="A99" s="1458"/>
      <c r="B99" s="179">
        <f>$J$54</f>
        <v>7530</v>
      </c>
      <c r="C99" s="179">
        <f>E99+G99</f>
        <v>3012.0000000000018</v>
      </c>
      <c r="D99" s="839"/>
      <c r="E99" s="179">
        <f>$D$54*$S$44</f>
        <v>0</v>
      </c>
      <c r="F99" s="843"/>
      <c r="G99" s="179">
        <f>$D$54*$T$44</f>
        <v>3012.0000000000018</v>
      </c>
      <c r="H99" s="179">
        <f>B99+E99</f>
        <v>7530</v>
      </c>
    </row>
    <row r="100" spans="1:8" x14ac:dyDescent="0.25">
      <c r="A100" s="62"/>
    </row>
    <row r="101" spans="1:8" x14ac:dyDescent="0.25">
      <c r="A101" s="62"/>
    </row>
    <row r="102" spans="1:8" x14ac:dyDescent="0.25">
      <c r="A102" s="62"/>
    </row>
    <row r="103" spans="1:8" x14ac:dyDescent="0.25">
      <c r="A103" s="62"/>
    </row>
    <row r="104" spans="1:8" x14ac:dyDescent="0.25">
      <c r="A104" s="62"/>
    </row>
    <row r="105" spans="1:8" x14ac:dyDescent="0.25">
      <c r="A105" s="62"/>
    </row>
    <row r="106" spans="1:8" x14ac:dyDescent="0.25">
      <c r="A106" s="62"/>
    </row>
    <row r="107" spans="1:8" x14ac:dyDescent="0.25">
      <c r="A107" s="62"/>
    </row>
    <row r="108" spans="1:8" x14ac:dyDescent="0.25">
      <c r="A108" s="62"/>
    </row>
    <row r="109" spans="1:8" x14ac:dyDescent="0.25">
      <c r="A109" s="62"/>
    </row>
    <row r="110" spans="1:8" x14ac:dyDescent="0.25">
      <c r="A110" s="62"/>
    </row>
    <row r="111" spans="1:8" x14ac:dyDescent="0.25">
      <c r="A111" s="62"/>
    </row>
    <row r="112" spans="1:8"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0">
    <mergeCell ref="AK2:AM2"/>
    <mergeCell ref="B82:H82"/>
    <mergeCell ref="B83:H83"/>
    <mergeCell ref="B63:H63"/>
    <mergeCell ref="AE2:AG3"/>
    <mergeCell ref="F2:G3"/>
    <mergeCell ref="R26:U26"/>
    <mergeCell ref="B62:H62"/>
    <mergeCell ref="R25:U25"/>
    <mergeCell ref="B35:F35"/>
  </mergeCells>
  <printOptions horizontalCentered="1"/>
  <pageMargins left="0.4" right="0.4" top="1" bottom="0.5" header="0.3" footer="0.511811023622047"/>
  <pageSetup paperSize="9" scale="47" orientation="landscape" r:id="rId1"/>
  <legacy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6" tint="-0.249977111117893"/>
    <pageSetUpPr fitToPage="1"/>
  </sheetPr>
  <dimension ref="A1:AG174"/>
  <sheetViews>
    <sheetView topLeftCell="N1" zoomScale="70" zoomScaleNormal="70" workbookViewId="0">
      <selection activeCell="W44" sqref="W44"/>
    </sheetView>
  </sheetViews>
  <sheetFormatPr defaultColWidth="12.5" defaultRowHeight="15" x14ac:dyDescent="0.25"/>
  <cols>
    <col min="1" max="1" width="12.5" style="1" customWidth="1"/>
    <col min="2" max="2" width="32.25" customWidth="1"/>
    <col min="3" max="3" width="23.875" customWidth="1"/>
    <col min="4" max="4" width="19" customWidth="1"/>
    <col min="5" max="5" width="16.125" customWidth="1"/>
    <col min="6" max="6" width="23.125" customWidth="1"/>
    <col min="7" max="7" width="25.125" customWidth="1"/>
    <col min="8" max="8" width="36.125" customWidth="1"/>
    <col min="12" max="12" width="8.375" customWidth="1"/>
    <col min="13" max="13" width="31.5" customWidth="1"/>
    <col min="18" max="18" width="30.5" customWidth="1"/>
  </cols>
  <sheetData>
    <row r="1" spans="1:33" ht="36.75" customHeight="1" x14ac:dyDescent="0.25">
      <c r="B1" s="64" t="s">
        <v>231</v>
      </c>
      <c r="C1" s="65">
        <v>1000</v>
      </c>
      <c r="D1" s="66" t="s">
        <v>232</v>
      </c>
      <c r="E1" s="99">
        <f>T32</f>
        <v>13012</v>
      </c>
      <c r="F1" s="64" t="s">
        <v>233</v>
      </c>
      <c r="G1" s="557">
        <f>(E1/C1)</f>
        <v>13.012</v>
      </c>
      <c r="H1" s="64" t="s">
        <v>234</v>
      </c>
      <c r="I1" s="227">
        <f>(G1/K1)</f>
        <v>13.277551020408165</v>
      </c>
      <c r="J1" s="70" t="s">
        <v>235</v>
      </c>
      <c r="K1" s="65">
        <v>0.98</v>
      </c>
      <c r="L1" s="84"/>
      <c r="M1" s="594"/>
      <c r="N1" s="74"/>
      <c r="O1" s="75" t="s">
        <v>236</v>
      </c>
      <c r="P1" s="84"/>
      <c r="Q1" s="77" t="s">
        <v>513</v>
      </c>
      <c r="R1" s="14">
        <v>2.5</v>
      </c>
      <c r="Y1" s="75" t="s">
        <v>453</v>
      </c>
      <c r="Z1" s="766">
        <v>32030</v>
      </c>
      <c r="AA1" s="75" t="s">
        <v>556</v>
      </c>
      <c r="AB1" s="766">
        <v>500</v>
      </c>
      <c r="AC1" s="75" t="s">
        <v>546</v>
      </c>
      <c r="AD1" s="766">
        <v>229</v>
      </c>
    </row>
    <row r="2" spans="1:33" ht="12.75" customHeight="1" x14ac:dyDescent="0.25">
      <c r="A2" s="242"/>
      <c r="B2" s="82"/>
      <c r="C2" s="82"/>
      <c r="D2" s="82"/>
      <c r="E2" s="82"/>
      <c r="F2" s="1632" t="s">
        <v>418</v>
      </c>
      <c r="G2" s="1661"/>
      <c r="H2" s="82"/>
      <c r="I2" s="82"/>
      <c r="J2" s="82"/>
      <c r="K2" s="82"/>
      <c r="L2" s="270"/>
      <c r="M2" s="84"/>
      <c r="N2" s="84"/>
      <c r="O2" s="84"/>
      <c r="P2" s="84"/>
      <c r="Q2" s="84"/>
      <c r="AE2" s="1616"/>
      <c r="AF2" s="1653"/>
      <c r="AG2" s="1653"/>
    </row>
    <row r="3" spans="1:33" ht="12.75" customHeight="1" x14ac:dyDescent="0.25">
      <c r="A3" s="242"/>
      <c r="B3" s="87"/>
      <c r="C3" s="87"/>
      <c r="D3" s="87"/>
      <c r="E3" s="87"/>
      <c r="F3" s="1633"/>
      <c r="G3" s="1633"/>
      <c r="H3" s="87"/>
      <c r="I3" s="87"/>
      <c r="J3" s="87"/>
      <c r="K3" s="87"/>
      <c r="L3" s="270"/>
      <c r="M3" s="84"/>
      <c r="N3" s="84"/>
      <c r="O3" s="84"/>
      <c r="P3" s="84"/>
      <c r="Q3" s="84"/>
      <c r="AE3" s="1653"/>
      <c r="AF3" s="1653"/>
      <c r="AG3" s="1653"/>
    </row>
    <row r="4" spans="1:33" ht="35.25"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row>
    <row r="5" spans="1:33" ht="14.25" customHeight="1" x14ac:dyDescent="0.2">
      <c r="A5" s="1454"/>
      <c r="B5" s="374" t="s">
        <v>515</v>
      </c>
      <c r="C5" s="106" t="s">
        <v>14</v>
      </c>
      <c r="D5" s="916">
        <f>I51/H51</f>
        <v>600</v>
      </c>
      <c r="E5" s="177">
        <f>$I$1</f>
        <v>13.277551020408165</v>
      </c>
      <c r="F5" s="109">
        <v>1</v>
      </c>
      <c r="G5" s="101">
        <f>D5*E5</f>
        <v>7966.5306122448992</v>
      </c>
      <c r="H5" s="102">
        <f>G5*F5</f>
        <v>7966.5306122448992</v>
      </c>
      <c r="I5" s="65">
        <f>VLOOKUP(B5,All_Ingredients!$A$1:$F$156,6,FALSE())</f>
        <v>1</v>
      </c>
      <c r="J5" s="101">
        <f>VLOOKUP(B5,All_Ingredients!$A$1:$J$156,10,FALSE())</f>
        <v>8.7962962962962958</v>
      </c>
      <c r="K5" s="104">
        <f t="shared" ref="K5" si="0">(H5/I5)/1000</f>
        <v>7.9665306122448989</v>
      </c>
      <c r="L5" s="104">
        <f t="shared" ref="L5" si="1">K5*J5</f>
        <v>70.075963718820873</v>
      </c>
      <c r="M5" s="84"/>
      <c r="N5" s="84"/>
      <c r="O5" s="84"/>
    </row>
    <row r="6" spans="1:33" ht="14.25" customHeight="1" x14ac:dyDescent="0.25">
      <c r="A6" s="1455" t="s">
        <v>908</v>
      </c>
      <c r="B6" s="96" t="s">
        <v>12</v>
      </c>
      <c r="C6" s="106" t="s">
        <v>14</v>
      </c>
      <c r="D6" s="107">
        <v>150</v>
      </c>
      <c r="E6" s="177">
        <f t="shared" ref="E6:E21" si="2">$I$1</f>
        <v>13.277551020408165</v>
      </c>
      <c r="F6" s="109">
        <v>0.95</v>
      </c>
      <c r="G6" s="101">
        <f t="shared" ref="G6:G17" si="3">D6*E6</f>
        <v>1991.6326530612248</v>
      </c>
      <c r="H6" s="102">
        <f t="shared" ref="H6:H17" si="4">G6*F6</f>
        <v>1892.0510204081634</v>
      </c>
      <c r="I6" s="65">
        <f>VLOOKUP(B6,All_Ingredients!$A$1:$F$156,6,FALSE())</f>
        <v>0.9</v>
      </c>
      <c r="J6" s="101">
        <f>VLOOKUP(B6,All_Ingredients!$A$1:$J$156,10,FALSE())</f>
        <v>3</v>
      </c>
      <c r="K6" s="104">
        <f t="shared" ref="K6:K21" si="5">(H6/I6)/1000</f>
        <v>2.1022789115646261</v>
      </c>
      <c r="L6" s="104">
        <f t="shared" ref="L6:L21" si="6">K6*J6</f>
        <v>6.3068367346938778</v>
      </c>
    </row>
    <row r="7" spans="1:33" ht="14.25" customHeight="1" x14ac:dyDescent="0.25">
      <c r="A7" s="1455" t="s">
        <v>907</v>
      </c>
      <c r="B7" s="96" t="s">
        <v>727</v>
      </c>
      <c r="C7" s="106" t="s">
        <v>14</v>
      </c>
      <c r="D7" s="107">
        <v>50</v>
      </c>
      <c r="E7" s="177">
        <f t="shared" si="2"/>
        <v>13.277551020408165</v>
      </c>
      <c r="F7" s="109">
        <v>1</v>
      </c>
      <c r="G7" s="101">
        <f t="shared" si="3"/>
        <v>663.87755102040819</v>
      </c>
      <c r="H7" s="102">
        <f t="shared" si="4"/>
        <v>663.87755102040819</v>
      </c>
      <c r="I7" s="65">
        <f>VLOOKUP(B7,All_Ingredients!$A$1:$F$156,6,FALSE())</f>
        <v>1</v>
      </c>
      <c r="J7" s="101">
        <f>VLOOKUP(B7,All_Ingredients!$A$1:$J$156,10,FALSE())</f>
        <v>10.5</v>
      </c>
      <c r="K7" s="104">
        <f t="shared" si="5"/>
        <v>0.66387755102040824</v>
      </c>
      <c r="L7" s="104">
        <f t="shared" si="6"/>
        <v>6.970714285714287</v>
      </c>
    </row>
    <row r="8" spans="1:33" ht="14.25" customHeight="1" x14ac:dyDescent="0.25">
      <c r="A8" s="1455" t="s">
        <v>909</v>
      </c>
      <c r="B8" s="96" t="s">
        <v>17</v>
      </c>
      <c r="C8" s="106" t="s">
        <v>14</v>
      </c>
      <c r="D8" s="107">
        <v>250</v>
      </c>
      <c r="E8" s="177">
        <f t="shared" si="2"/>
        <v>13.277551020408165</v>
      </c>
      <c r="F8" s="109">
        <v>1</v>
      </c>
      <c r="G8" s="101">
        <f t="shared" si="3"/>
        <v>3319.3877551020414</v>
      </c>
      <c r="H8" s="102">
        <f t="shared" si="4"/>
        <v>3319.3877551020414</v>
      </c>
      <c r="I8" s="65">
        <f>VLOOKUP(B8,All_Ingredients!$A$1:$F$156,6,FALSE())</f>
        <v>0.98</v>
      </c>
      <c r="J8" s="101">
        <f>VLOOKUP(B8,All_Ingredients!$A$1:$J$156,10,FALSE())</f>
        <v>3.5</v>
      </c>
      <c r="K8" s="104">
        <f t="shared" si="5"/>
        <v>3.3871303623490223</v>
      </c>
      <c r="L8" s="104">
        <f t="shared" si="6"/>
        <v>11.854956268221578</v>
      </c>
    </row>
    <row r="9" spans="1:33" ht="14.25" customHeight="1" x14ac:dyDescent="0.25">
      <c r="A9" s="1455"/>
      <c r="B9" s="96" t="s">
        <v>698</v>
      </c>
      <c r="C9" s="106" t="s">
        <v>14</v>
      </c>
      <c r="D9" s="565">
        <v>300</v>
      </c>
      <c r="E9" s="177">
        <f t="shared" si="2"/>
        <v>13.277551020408165</v>
      </c>
      <c r="F9" s="109">
        <v>1</v>
      </c>
      <c r="G9" s="101">
        <f t="shared" si="3"/>
        <v>3983.2653061224496</v>
      </c>
      <c r="H9" s="102">
        <f t="shared" si="4"/>
        <v>3983.2653061224496</v>
      </c>
      <c r="I9" s="65">
        <f>VLOOKUP(B9,All_Ingredients!$A$1:$F$156,6,FALSE())</f>
        <v>1</v>
      </c>
      <c r="J9" s="101">
        <f>VLOOKUP(B9,All_Ingredients!$A$1:$J$156,10,FALSE())</f>
        <v>8.1520833333333336</v>
      </c>
      <c r="K9" s="104">
        <f t="shared" si="5"/>
        <v>3.9832653061224494</v>
      </c>
      <c r="L9" s="104">
        <f t="shared" si="6"/>
        <v>32.47191071428572</v>
      </c>
    </row>
    <row r="10" spans="1:33" ht="14.25" customHeight="1" x14ac:dyDescent="0.25">
      <c r="A10" s="1455"/>
      <c r="B10" s="96" t="s">
        <v>110</v>
      </c>
      <c r="C10" s="106" t="s">
        <v>14</v>
      </c>
      <c r="D10" s="107">
        <v>2</v>
      </c>
      <c r="E10" s="177">
        <f t="shared" si="2"/>
        <v>13.277551020408165</v>
      </c>
      <c r="F10" s="109">
        <v>0.75</v>
      </c>
      <c r="G10" s="101">
        <f t="shared" si="3"/>
        <v>26.55510204081633</v>
      </c>
      <c r="H10" s="102">
        <f t="shared" si="4"/>
        <v>19.916326530612245</v>
      </c>
      <c r="I10" s="65">
        <f>VLOOKUP(B10,All_Ingredients!$A$1:$F$156,6,FALSE())</f>
        <v>1</v>
      </c>
      <c r="J10" s="101">
        <f>VLOOKUP(B10,All_Ingredients!$A$1:$J$156,10,FALSE())</f>
        <v>64.243759177679877</v>
      </c>
      <c r="K10" s="104">
        <f t="shared" si="5"/>
        <v>1.9916326530612247E-2</v>
      </c>
      <c r="L10" s="104">
        <f t="shared" si="6"/>
        <v>1.2794996853366898</v>
      </c>
    </row>
    <row r="11" spans="1:33" ht="14.25" customHeight="1" x14ac:dyDescent="0.25">
      <c r="A11" s="1455"/>
      <c r="B11" s="96" t="s">
        <v>82</v>
      </c>
      <c r="C11" s="106" t="s">
        <v>14</v>
      </c>
      <c r="D11" s="105">
        <v>1</v>
      </c>
      <c r="E11" s="177">
        <f t="shared" si="2"/>
        <v>13.277551020408165</v>
      </c>
      <c r="F11" s="109">
        <v>0.75</v>
      </c>
      <c r="G11" s="101">
        <f t="shared" si="3"/>
        <v>13.277551020408165</v>
      </c>
      <c r="H11" s="102">
        <f t="shared" si="4"/>
        <v>9.9581632653061227</v>
      </c>
      <c r="I11" s="65">
        <f>VLOOKUP(B11,All_Ingredients!$A$1:$F$156,6,FALSE())</f>
        <v>1</v>
      </c>
      <c r="J11" s="101">
        <f>VLOOKUP(B11,All_Ingredients!$A$1:$J$156,10,FALSE())</f>
        <v>147.88732394366198</v>
      </c>
      <c r="K11" s="104">
        <f t="shared" si="5"/>
        <v>9.9581632653061233E-3</v>
      </c>
      <c r="L11" s="104">
        <f t="shared" si="6"/>
        <v>1.4726861167002014</v>
      </c>
    </row>
    <row r="12" spans="1:33" ht="14.25" customHeight="1" x14ac:dyDescent="0.25">
      <c r="A12" s="1455"/>
      <c r="B12" s="96" t="s">
        <v>84</v>
      </c>
      <c r="C12" s="106" t="s">
        <v>14</v>
      </c>
      <c r="D12" s="105">
        <v>1</v>
      </c>
      <c r="E12" s="177">
        <f t="shared" si="2"/>
        <v>13.277551020408165</v>
      </c>
      <c r="F12" s="109">
        <v>0.75</v>
      </c>
      <c r="G12" s="101">
        <f t="shared" si="3"/>
        <v>13.277551020408165</v>
      </c>
      <c r="H12" s="102">
        <f t="shared" si="4"/>
        <v>9.9581632653061227</v>
      </c>
      <c r="I12" s="65">
        <f>VLOOKUP(B12,All_Ingredients!$A$1:$F$156,6,FALSE())</f>
        <v>1</v>
      </c>
      <c r="J12" s="101">
        <f>VLOOKUP(B12,All_Ingredients!$A$1:$J$156,10,FALSE())</f>
        <v>140.84507042253523</v>
      </c>
      <c r="K12" s="104">
        <f t="shared" si="5"/>
        <v>9.9581632653061233E-3</v>
      </c>
      <c r="L12" s="104">
        <f t="shared" si="6"/>
        <v>1.4025582063811444</v>
      </c>
    </row>
    <row r="13" spans="1:33" ht="14.25" customHeight="1" x14ac:dyDescent="0.25">
      <c r="A13" s="1455"/>
      <c r="B13" s="96" t="s">
        <v>93</v>
      </c>
      <c r="C13" s="106" t="s">
        <v>14</v>
      </c>
      <c r="D13" s="105">
        <v>11</v>
      </c>
      <c r="E13" s="177">
        <f t="shared" si="2"/>
        <v>13.277551020408165</v>
      </c>
      <c r="F13" s="109">
        <v>0.75</v>
      </c>
      <c r="G13" s="101">
        <f t="shared" si="3"/>
        <v>146.05306122448982</v>
      </c>
      <c r="H13" s="102">
        <f t="shared" si="4"/>
        <v>109.53979591836736</v>
      </c>
      <c r="I13" s="65">
        <f>VLOOKUP(B13,All_Ingredients!$A$1:$F$156,6,FALSE())</f>
        <v>1</v>
      </c>
      <c r="J13" s="101">
        <f>VLOOKUP(B13,All_Ingredients!$A$1:$J$156,10,FALSE())</f>
        <v>0.74</v>
      </c>
      <c r="K13" s="104">
        <f t="shared" si="5"/>
        <v>0.10953979591836736</v>
      </c>
      <c r="L13" s="104">
        <f t="shared" si="6"/>
        <v>8.1059448979591844E-2</v>
      </c>
      <c r="R13" t="s">
        <v>501</v>
      </c>
    </row>
    <row r="14" spans="1:33" ht="14.25" customHeight="1" x14ac:dyDescent="0.25">
      <c r="A14" s="1455"/>
      <c r="B14" s="96" t="s">
        <v>752</v>
      </c>
      <c r="C14" s="106" t="s">
        <v>14</v>
      </c>
      <c r="D14" s="105">
        <v>140</v>
      </c>
      <c r="E14" s="177">
        <f t="shared" si="2"/>
        <v>13.277551020408165</v>
      </c>
      <c r="F14" s="109">
        <v>1</v>
      </c>
      <c r="G14" s="101">
        <f t="shared" si="3"/>
        <v>1858.8571428571431</v>
      </c>
      <c r="H14" s="102">
        <f t="shared" si="4"/>
        <v>1858.8571428571431</v>
      </c>
      <c r="I14" s="65">
        <f>VLOOKUP(B14,All_Ingredients!$A$1:$F$156,6,FALSE())</f>
        <v>1</v>
      </c>
      <c r="J14" s="101">
        <f>VLOOKUP(B14,All_Ingredients!$A$1:$J$156,10,FALSE())</f>
        <v>80</v>
      </c>
      <c r="K14" s="104">
        <f t="shared" si="5"/>
        <v>1.8588571428571432</v>
      </c>
      <c r="L14" s="104">
        <f t="shared" si="6"/>
        <v>148.70857142857145</v>
      </c>
      <c r="R14" t="s">
        <v>499</v>
      </c>
    </row>
    <row r="15" spans="1:33" ht="14.25" customHeight="1" x14ac:dyDescent="0.25">
      <c r="A15" s="1455"/>
      <c r="B15" s="96" t="s">
        <v>214</v>
      </c>
      <c r="C15" s="106" t="s">
        <v>14</v>
      </c>
      <c r="D15" s="107">
        <v>2</v>
      </c>
      <c r="E15" s="177">
        <f t="shared" si="2"/>
        <v>13.277551020408165</v>
      </c>
      <c r="F15" s="109">
        <v>0.75</v>
      </c>
      <c r="G15" s="101">
        <f t="shared" si="3"/>
        <v>26.55510204081633</v>
      </c>
      <c r="H15" s="102">
        <f t="shared" si="4"/>
        <v>19.916326530612245</v>
      </c>
      <c r="I15" s="65">
        <f>VLOOKUP(B15,All_Ingredients!$A$1:$F$156,6,FALSE())</f>
        <v>1</v>
      </c>
      <c r="J15" s="101">
        <f>VLOOKUP(B15,All_Ingredients!$A$1:$J$156,10,FALSE())</f>
        <v>35</v>
      </c>
      <c r="K15" s="104">
        <f t="shared" si="5"/>
        <v>1.9916326530612247E-2</v>
      </c>
      <c r="L15" s="104">
        <f t="shared" si="6"/>
        <v>0.69707142857142868</v>
      </c>
      <c r="R15" t="s">
        <v>500</v>
      </c>
    </row>
    <row r="16" spans="1:33" ht="14.25" customHeight="1" x14ac:dyDescent="0.25">
      <c r="A16" s="1455"/>
      <c r="B16" s="96" t="s">
        <v>183</v>
      </c>
      <c r="C16" s="106" t="s">
        <v>14</v>
      </c>
      <c r="D16" s="105">
        <v>25</v>
      </c>
      <c r="E16" s="177">
        <f t="shared" si="2"/>
        <v>13.277551020408165</v>
      </c>
      <c r="F16" s="109">
        <v>1</v>
      </c>
      <c r="G16" s="101">
        <f t="shared" si="3"/>
        <v>331.9387755102041</v>
      </c>
      <c r="H16" s="102">
        <f t="shared" si="4"/>
        <v>331.9387755102041</v>
      </c>
      <c r="I16" s="65">
        <f>VLOOKUP(B16,All_Ingredients!$A$1:$F$156,6,FALSE())</f>
        <v>1</v>
      </c>
      <c r="J16" s="101">
        <f>VLOOKUP(B16,All_Ingredients!$A$1:$J$156,10,FALSE())</f>
        <v>17</v>
      </c>
      <c r="K16" s="104">
        <f t="shared" si="5"/>
        <v>0.33193877551020412</v>
      </c>
      <c r="L16" s="104">
        <f t="shared" si="6"/>
        <v>5.6429591836734705</v>
      </c>
    </row>
    <row r="17" spans="1:30" ht="14.25" customHeight="1" x14ac:dyDescent="0.25">
      <c r="A17" s="1455"/>
      <c r="B17" s="96" t="s">
        <v>198</v>
      </c>
      <c r="C17" s="906" t="s">
        <v>160</v>
      </c>
      <c r="D17" s="105">
        <v>40</v>
      </c>
      <c r="E17" s="177">
        <f t="shared" si="2"/>
        <v>13.277551020408165</v>
      </c>
      <c r="F17" s="109">
        <v>1</v>
      </c>
      <c r="G17" s="101">
        <f t="shared" si="3"/>
        <v>531.10204081632662</v>
      </c>
      <c r="H17" s="102">
        <f t="shared" si="4"/>
        <v>531.10204081632662</v>
      </c>
      <c r="I17" s="65">
        <f>VLOOKUP(B17,All_Ingredients!$A$1:$F$156,6,FALSE())</f>
        <v>1</v>
      </c>
      <c r="J17" s="101">
        <f>VLOOKUP(B17,All_Ingredients!$A$1:$J$156,10,FALSE())</f>
        <v>3.25</v>
      </c>
      <c r="K17" s="104">
        <f t="shared" si="5"/>
        <v>0.53110204081632661</v>
      </c>
      <c r="L17" s="104">
        <f t="shared" si="6"/>
        <v>1.7260816326530615</v>
      </c>
    </row>
    <row r="18" spans="1:30" ht="14.25" customHeight="1" x14ac:dyDescent="0.25">
      <c r="A18" s="1455"/>
      <c r="B18" s="96" t="s">
        <v>152</v>
      </c>
      <c r="C18" s="106" t="s">
        <v>14</v>
      </c>
      <c r="D18" s="105">
        <v>30</v>
      </c>
      <c r="E18" s="177">
        <f t="shared" si="2"/>
        <v>13.277551020408165</v>
      </c>
      <c r="F18" s="109">
        <v>1</v>
      </c>
      <c r="G18" s="101">
        <f>D18*E18</f>
        <v>398.32653061224494</v>
      </c>
      <c r="H18" s="102">
        <f>G18*F18</f>
        <v>398.32653061224494</v>
      </c>
      <c r="I18" s="65">
        <f>VLOOKUP(B18,All_Ingredients!$A$1:$F$156,6,FALSE())</f>
        <v>1</v>
      </c>
      <c r="J18" s="101">
        <f>VLOOKUP(B18,All_Ingredients!$A$1:$J$156,10,FALSE())</f>
        <v>30</v>
      </c>
      <c r="K18" s="104">
        <f t="shared" si="5"/>
        <v>0.39832653061224493</v>
      </c>
      <c r="L18" s="104">
        <f t="shared" si="6"/>
        <v>11.949795918367348</v>
      </c>
    </row>
    <row r="19" spans="1:30" ht="14.25" customHeight="1" x14ac:dyDescent="0.25">
      <c r="A19" s="1455"/>
      <c r="B19" s="96" t="s">
        <v>99</v>
      </c>
      <c r="C19" s="106" t="s">
        <v>14</v>
      </c>
      <c r="D19" s="105">
        <v>3</v>
      </c>
      <c r="E19" s="177">
        <f t="shared" si="2"/>
        <v>13.277551020408165</v>
      </c>
      <c r="F19" s="109">
        <v>1</v>
      </c>
      <c r="G19" s="101">
        <f>D19*E19</f>
        <v>39.832653061224491</v>
      </c>
      <c r="H19" s="102">
        <f>G19*F19</f>
        <v>39.832653061224491</v>
      </c>
      <c r="I19" s="65">
        <f>VLOOKUP(B19,All_Ingredients!$A$1:$F$156,6,FALSE())</f>
        <v>1</v>
      </c>
      <c r="J19" s="101">
        <f>VLOOKUP(B19,All_Ingredients!$A$1:$J$156,10,FALSE())</f>
        <v>31</v>
      </c>
      <c r="K19" s="104">
        <f t="shared" si="5"/>
        <v>3.9832653061224493E-2</v>
      </c>
      <c r="L19" s="104">
        <f t="shared" si="6"/>
        <v>1.2348122448979593</v>
      </c>
    </row>
    <row r="20" spans="1:30" ht="14.25" customHeight="1" x14ac:dyDescent="0.25">
      <c r="A20" s="1455"/>
      <c r="B20" s="96" t="s">
        <v>211</v>
      </c>
      <c r="C20" s="106" t="s">
        <v>14</v>
      </c>
      <c r="D20" s="105">
        <v>5</v>
      </c>
      <c r="E20" s="177">
        <f t="shared" si="2"/>
        <v>13.277551020408165</v>
      </c>
      <c r="F20" s="109">
        <v>1</v>
      </c>
      <c r="G20" s="101">
        <f>D20*E20</f>
        <v>66.387755102040828</v>
      </c>
      <c r="H20" s="102">
        <f>G20*F20</f>
        <v>66.387755102040828</v>
      </c>
      <c r="I20" s="65">
        <f>VLOOKUP(B20,All_Ingredients!$A$1:$F$156,6,FALSE())</f>
        <v>1</v>
      </c>
      <c r="J20" s="101">
        <f>VLOOKUP(B20,All_Ingredients!$A$1:$J$156,10,FALSE())</f>
        <v>15.5</v>
      </c>
      <c r="K20" s="104">
        <f t="shared" si="5"/>
        <v>6.6387755102040827E-2</v>
      </c>
      <c r="L20" s="104">
        <f t="shared" si="6"/>
        <v>1.0290102040816329</v>
      </c>
    </row>
    <row r="21" spans="1:30" ht="14.25" customHeight="1" x14ac:dyDescent="0.25">
      <c r="A21" s="1455"/>
      <c r="B21" s="96" t="s">
        <v>93</v>
      </c>
      <c r="C21" s="106" t="s">
        <v>14</v>
      </c>
      <c r="D21" s="105">
        <v>5</v>
      </c>
      <c r="E21" s="177">
        <f t="shared" si="2"/>
        <v>13.277551020408165</v>
      </c>
      <c r="F21" s="109">
        <v>1</v>
      </c>
      <c r="G21" s="101">
        <f>D21*E21</f>
        <v>66.387755102040828</v>
      </c>
      <c r="H21" s="102">
        <f>G21*F21</f>
        <v>66.387755102040828</v>
      </c>
      <c r="I21" s="65">
        <f>VLOOKUP(B21,All_Ingredients!$A$1:$F$156,6,FALSE())</f>
        <v>1</v>
      </c>
      <c r="J21" s="101">
        <f>VLOOKUP(B21,All_Ingredients!$A$1:$J$156,10,FALSE())</f>
        <v>0.74</v>
      </c>
      <c r="K21" s="104">
        <f t="shared" si="5"/>
        <v>6.6387755102040827E-2</v>
      </c>
      <c r="L21" s="104">
        <f t="shared" si="6"/>
        <v>4.9126938775510214E-2</v>
      </c>
    </row>
    <row r="22" spans="1:30" ht="14.25" customHeight="1" x14ac:dyDescent="0.25">
      <c r="A22" s="62"/>
      <c r="B22" s="113"/>
      <c r="C22" s="114"/>
      <c r="D22" s="113"/>
      <c r="E22" s="273"/>
      <c r="F22" s="117"/>
      <c r="G22" s="118"/>
      <c r="H22" s="119"/>
      <c r="I22" s="76"/>
      <c r="J22" s="118"/>
      <c r="K22" s="112"/>
      <c r="L22" s="112"/>
    </row>
    <row r="23" spans="1:30" ht="14.25" customHeight="1" x14ac:dyDescent="0.25">
      <c r="A23" s="62"/>
      <c r="B23" s="113"/>
      <c r="C23" s="114"/>
      <c r="D23" s="113"/>
      <c r="E23" s="273"/>
      <c r="F23" s="117"/>
      <c r="G23" s="118"/>
      <c r="H23" s="119"/>
      <c r="I23" s="76"/>
      <c r="J23" s="118"/>
      <c r="K23" s="112"/>
      <c r="L23" s="112"/>
    </row>
    <row r="24" spans="1:30" ht="14.25" customHeight="1" x14ac:dyDescent="0.25">
      <c r="A24" s="62"/>
      <c r="B24" s="113"/>
      <c r="C24" s="114"/>
      <c r="D24" s="113"/>
      <c r="E24" s="273"/>
      <c r="F24" s="117"/>
      <c r="G24" s="118"/>
      <c r="H24" s="119"/>
      <c r="I24" s="76"/>
      <c r="J24" s="118"/>
      <c r="K24" s="112"/>
      <c r="L24" s="112"/>
      <c r="Z24" s="1124"/>
    </row>
    <row r="25" spans="1:30" ht="14.25" customHeight="1" x14ac:dyDescent="0.25">
      <c r="A25" s="62"/>
      <c r="E25" s="84"/>
      <c r="F25" s="84"/>
      <c r="L25" s="189"/>
      <c r="R25" s="1640" t="s">
        <v>418</v>
      </c>
      <c r="S25" s="1633"/>
      <c r="T25" s="1633"/>
      <c r="U25" s="1633"/>
      <c r="Z25" s="122" t="s">
        <v>252</v>
      </c>
      <c r="AA25" s="123">
        <v>1</v>
      </c>
      <c r="AB25" s="122" t="s">
        <v>249</v>
      </c>
      <c r="AC25" s="124">
        <f>AC30*AA25</f>
        <v>8.8746040225208545E-3</v>
      </c>
      <c r="AD25" s="14"/>
    </row>
    <row r="26" spans="1:30" ht="14.25" customHeight="1" x14ac:dyDescent="0.25">
      <c r="A26" s="62"/>
      <c r="L26" s="189"/>
      <c r="R26" s="1638" t="s">
        <v>360</v>
      </c>
      <c r="S26" s="1639"/>
      <c r="T26" s="1639"/>
      <c r="U26" s="1639"/>
      <c r="Z26" s="14"/>
      <c r="AA26" s="14"/>
      <c r="AB26" s="14"/>
      <c r="AC26" s="14"/>
      <c r="AD26" s="14"/>
    </row>
    <row r="27" spans="1:30" ht="14.25" customHeight="1" x14ac:dyDescent="0.25">
      <c r="A27" s="62"/>
      <c r="L27" s="189"/>
      <c r="R27" s="126" t="s">
        <v>254</v>
      </c>
      <c r="S27" s="127" t="s">
        <v>352</v>
      </c>
      <c r="T27" s="127" t="s">
        <v>256</v>
      </c>
      <c r="U27" s="127" t="s">
        <v>257</v>
      </c>
      <c r="Z27" s="122" t="s">
        <v>258</v>
      </c>
      <c r="AA27" s="128" t="s">
        <v>352</v>
      </c>
      <c r="AB27" s="128" t="s">
        <v>260</v>
      </c>
      <c r="AC27" s="128" t="s">
        <v>262</v>
      </c>
    </row>
    <row r="28" spans="1:30" ht="14.25" customHeight="1" x14ac:dyDescent="0.25">
      <c r="A28" s="62"/>
      <c r="L28" s="189"/>
      <c r="R28" s="129" t="s">
        <v>263</v>
      </c>
      <c r="S28" s="690">
        <f>U28*S40</f>
        <v>19218</v>
      </c>
      <c r="T28" s="690">
        <f>U28*U40</f>
        <v>12812</v>
      </c>
      <c r="U28" s="1188">
        <f>$Z$1</f>
        <v>32030</v>
      </c>
      <c r="Z28" s="132"/>
      <c r="AA28" s="133">
        <f>AA25*$S$40</f>
        <v>0.6</v>
      </c>
      <c r="AB28" s="133">
        <f>AA25*$U$40</f>
        <v>0.4</v>
      </c>
      <c r="AC28" s="135">
        <f>SUM(AA28:AB28)</f>
        <v>1</v>
      </c>
    </row>
    <row r="29" spans="1:30" ht="14.25" customHeight="1" x14ac:dyDescent="0.25">
      <c r="A29" s="62"/>
      <c r="L29" s="189"/>
      <c r="R29" s="129" t="s">
        <v>264</v>
      </c>
      <c r="S29" s="692"/>
      <c r="T29" s="690"/>
      <c r="U29" s="130">
        <f>T29</f>
        <v>0</v>
      </c>
      <c r="Z29" s="132"/>
      <c r="AA29" s="137">
        <f>AA28/$AC$28</f>
        <v>0.6</v>
      </c>
      <c r="AB29" s="137">
        <f>AB28/$AC$28</f>
        <v>0.4</v>
      </c>
      <c r="AC29" s="137">
        <f>AC28/$AC$28</f>
        <v>1</v>
      </c>
    </row>
    <row r="30" spans="1:30" ht="14.25" customHeight="1" x14ac:dyDescent="0.25">
      <c r="A30" s="62"/>
      <c r="L30" s="189"/>
      <c r="R30" s="129" t="s">
        <v>265</v>
      </c>
      <c r="S30" s="692">
        <f>U30*S40</f>
        <v>300</v>
      </c>
      <c r="T30" s="692">
        <f>U30*U40</f>
        <v>200</v>
      </c>
      <c r="U30" s="1173">
        <f>$AB$1</f>
        <v>500</v>
      </c>
      <c r="Z30" s="122" t="s">
        <v>266</v>
      </c>
      <c r="AA30" s="138">
        <f>S35/(S32)</f>
        <v>3.5903250188964479E-3</v>
      </c>
      <c r="AB30" s="139">
        <f>T35/T32</f>
        <v>1.6801022527957465E-2</v>
      </c>
      <c r="AC30" s="140">
        <f>SUMPRODUCT(AA30:AB30,AA29:AB29)</f>
        <v>8.8746040225208545E-3</v>
      </c>
    </row>
    <row r="31" spans="1:30" ht="14.25" customHeight="1" x14ac:dyDescent="0.25">
      <c r="A31" s="62"/>
      <c r="L31" s="189"/>
      <c r="R31" s="129" t="s">
        <v>267</v>
      </c>
      <c r="S31" s="136"/>
      <c r="T31" s="130"/>
      <c r="U31" s="130"/>
    </row>
    <row r="32" spans="1:30" ht="14.25" customHeight="1" x14ac:dyDescent="0.25">
      <c r="A32" s="62"/>
      <c r="B32" s="84"/>
      <c r="E32" s="84"/>
      <c r="F32" s="84"/>
      <c r="L32" s="189"/>
      <c r="R32" s="141" t="s">
        <v>257</v>
      </c>
      <c r="S32" s="130">
        <f>SUM(S28:S30)</f>
        <v>19518</v>
      </c>
      <c r="T32" s="130">
        <f>SUM(T28:T30)</f>
        <v>13012</v>
      </c>
      <c r="U32" s="130">
        <f>SUM(U28:U30)</f>
        <v>32530</v>
      </c>
    </row>
    <row r="33" spans="1:23" ht="14.25" customHeight="1" x14ac:dyDescent="0.25">
      <c r="A33" s="62"/>
      <c r="B33" s="84"/>
      <c r="E33" s="84"/>
      <c r="F33" s="84"/>
      <c r="L33" s="189"/>
      <c r="R33" s="142" t="s">
        <v>268</v>
      </c>
      <c r="S33" s="136"/>
      <c r="T33" s="136"/>
      <c r="U33" s="136"/>
    </row>
    <row r="34" spans="1:23" ht="14.25" customHeight="1" x14ac:dyDescent="0.25">
      <c r="A34" s="62"/>
      <c r="B34" s="84"/>
      <c r="E34" s="84"/>
      <c r="F34" s="84"/>
      <c r="R34" s="143" t="s">
        <v>269</v>
      </c>
      <c r="S34" s="136"/>
      <c r="T34" s="130"/>
      <c r="U34" s="136"/>
    </row>
    <row r="35" spans="1:23" ht="14.25" customHeight="1" x14ac:dyDescent="0.25">
      <c r="A35" s="62"/>
      <c r="B35" s="84"/>
      <c r="E35" s="84"/>
      <c r="F35" s="84"/>
      <c r="R35" s="144" t="s">
        <v>249</v>
      </c>
      <c r="S35" s="990">
        <f>$L$5</f>
        <v>70.075963718820873</v>
      </c>
      <c r="T35" s="990">
        <f>SUM(L6:L17)</f>
        <v>218.61490513378251</v>
      </c>
      <c r="U35" s="990">
        <f>S35+T35</f>
        <v>288.69086885260339</v>
      </c>
    </row>
    <row r="36" spans="1:23" x14ac:dyDescent="0.25">
      <c r="A36" s="62"/>
      <c r="B36" s="84"/>
      <c r="E36" s="84"/>
      <c r="F36" s="84"/>
    </row>
    <row r="37" spans="1:23" x14ac:dyDescent="0.25">
      <c r="A37" s="62"/>
      <c r="B37" s="84"/>
      <c r="C37" s="84"/>
      <c r="E37" s="84"/>
      <c r="F37" s="84"/>
      <c r="M37" s="576"/>
      <c r="N37" s="576"/>
    </row>
    <row r="38" spans="1:23" x14ac:dyDescent="0.25">
      <c r="A38" s="62"/>
      <c r="B38" s="84"/>
      <c r="C38" s="84"/>
      <c r="E38" s="84"/>
      <c r="F38" s="84"/>
    </row>
    <row r="39" spans="1:23" x14ac:dyDescent="0.25">
      <c r="A39" s="62"/>
      <c r="B39" s="84"/>
      <c r="E39" s="84"/>
      <c r="F39" s="84"/>
    </row>
    <row r="40" spans="1:23" ht="51.75" x14ac:dyDescent="0.25">
      <c r="A40" s="62"/>
      <c r="B40" s="84"/>
      <c r="E40" s="84"/>
      <c r="F40" s="84"/>
      <c r="Q40" s="14"/>
      <c r="R40" s="146" t="s">
        <v>270</v>
      </c>
      <c r="S40" s="147">
        <v>0.6</v>
      </c>
      <c r="T40" s="146" t="s">
        <v>271</v>
      </c>
      <c r="U40" s="148">
        <v>0.4</v>
      </c>
      <c r="V40" s="149">
        <f>S40+U40</f>
        <v>1</v>
      </c>
      <c r="W40" s="14"/>
    </row>
    <row r="41" spans="1:23" x14ac:dyDescent="0.25">
      <c r="A41" s="62"/>
      <c r="B41" s="84"/>
      <c r="E41" s="84"/>
      <c r="F41" s="84"/>
      <c r="Q41" s="14"/>
      <c r="R41" s="14"/>
      <c r="S41" s="14"/>
      <c r="T41" s="14"/>
      <c r="U41" s="150"/>
      <c r="V41" s="14"/>
      <c r="W41" s="14"/>
    </row>
    <row r="42" spans="1:23" x14ac:dyDescent="0.25">
      <c r="A42" s="62"/>
      <c r="B42" s="84"/>
      <c r="E42" s="84"/>
      <c r="F42" s="84"/>
      <c r="Q42" s="14"/>
      <c r="R42" s="14"/>
      <c r="S42" s="14"/>
      <c r="T42" s="14"/>
      <c r="U42" s="14"/>
      <c r="V42" s="14"/>
      <c r="W42" s="14"/>
    </row>
    <row r="43" spans="1:23" x14ac:dyDescent="0.25">
      <c r="A43" s="62"/>
      <c r="Q43" s="151" t="s">
        <v>272</v>
      </c>
      <c r="R43" s="151" t="s">
        <v>273</v>
      </c>
      <c r="S43" s="151" t="s">
        <v>274</v>
      </c>
      <c r="T43" s="151" t="s">
        <v>275</v>
      </c>
      <c r="U43" s="151" t="s">
        <v>276</v>
      </c>
      <c r="V43" s="151" t="s">
        <v>277</v>
      </c>
      <c r="W43" s="235" t="s">
        <v>507</v>
      </c>
    </row>
    <row r="44" spans="1:23" x14ac:dyDescent="0.25">
      <c r="A44" s="62"/>
      <c r="Q44" s="511">
        <v>25000</v>
      </c>
      <c r="R44" s="154">
        <f>D51</f>
        <v>10000</v>
      </c>
      <c r="S44" s="155">
        <v>1</v>
      </c>
      <c r="T44" s="155">
        <v>0</v>
      </c>
      <c r="U44" s="220">
        <f>R44*S44</f>
        <v>10000</v>
      </c>
      <c r="V44" s="157">
        <f>R44*T44</f>
        <v>0</v>
      </c>
      <c r="W44" s="583">
        <f>Q44-U44</f>
        <v>15000</v>
      </c>
    </row>
    <row r="45" spans="1:23" x14ac:dyDescent="0.25">
      <c r="A45" s="62"/>
    </row>
    <row r="46" spans="1:23" x14ac:dyDescent="0.25">
      <c r="A46" s="62"/>
    </row>
    <row r="47" spans="1:23" x14ac:dyDescent="0.25">
      <c r="A47" s="62"/>
    </row>
    <row r="48" spans="1:23" x14ac:dyDescent="0.25">
      <c r="A48" s="62"/>
    </row>
    <row r="49" spans="1:10" x14ac:dyDescent="0.25">
      <c r="A49" s="62"/>
    </row>
    <row r="50" spans="1:10" x14ac:dyDescent="0.25">
      <c r="A50" s="62"/>
      <c r="B50" s="126"/>
      <c r="C50" s="126" t="s">
        <v>233</v>
      </c>
      <c r="D50" s="126" t="s">
        <v>279</v>
      </c>
      <c r="E50" s="84"/>
      <c r="F50" s="84"/>
      <c r="G50" s="126" t="s">
        <v>280</v>
      </c>
      <c r="H50" s="126" t="s">
        <v>233</v>
      </c>
      <c r="I50" s="126" t="s">
        <v>506</v>
      </c>
      <c r="J50" s="126" t="s">
        <v>505</v>
      </c>
    </row>
    <row r="51" spans="1:10" x14ac:dyDescent="0.25">
      <c r="A51" s="62"/>
      <c r="B51" s="161" t="s">
        <v>283</v>
      </c>
      <c r="C51" s="162">
        <f>10/$K$1</f>
        <v>10.204081632653061</v>
      </c>
      <c r="D51" s="163">
        <f>$C$1*10</f>
        <v>10000</v>
      </c>
      <c r="E51" s="84"/>
      <c r="F51" s="84"/>
      <c r="G51" s="161" t="s">
        <v>283</v>
      </c>
      <c r="H51" s="254">
        <v>10</v>
      </c>
      <c r="I51" s="162">
        <f>J51/$R$1</f>
        <v>6000</v>
      </c>
      <c r="J51" s="162">
        <f>$W$44</f>
        <v>15000</v>
      </c>
    </row>
    <row r="52" spans="1:10" x14ac:dyDescent="0.25">
      <c r="A52" s="62"/>
      <c r="B52" s="209" t="s">
        <v>262</v>
      </c>
      <c r="C52" s="210">
        <f>$I$1</f>
        <v>13.277551020408165</v>
      </c>
      <c r="D52" s="211">
        <f>$E$1</f>
        <v>13012</v>
      </c>
      <c r="E52" s="84"/>
      <c r="F52" s="84"/>
      <c r="G52" s="129" t="s">
        <v>262</v>
      </c>
      <c r="H52" s="190">
        <f>I52/$D$5</f>
        <v>13.012</v>
      </c>
      <c r="I52" s="157">
        <f>J52/$R$1</f>
        <v>7807.2</v>
      </c>
      <c r="J52" s="165">
        <f>$S$32</f>
        <v>19518</v>
      </c>
    </row>
    <row r="53" spans="1:10" x14ac:dyDescent="0.25">
      <c r="A53" s="62"/>
      <c r="B53" s="209" t="s">
        <v>284</v>
      </c>
      <c r="C53" s="212">
        <f>MIN(C52, C51)</f>
        <v>10.204081632653061</v>
      </c>
      <c r="D53" s="211">
        <f>(C53*$K$1)*$C$1</f>
        <v>10000</v>
      </c>
      <c r="E53" s="84"/>
      <c r="F53" s="84"/>
      <c r="G53" s="129" t="s">
        <v>284</v>
      </c>
      <c r="H53" s="168">
        <f>MIN(H52,H51)</f>
        <v>10</v>
      </c>
      <c r="I53" s="157">
        <f>J53/$R$1</f>
        <v>6000</v>
      </c>
      <c r="J53" s="157">
        <f>MIN(J52,J51)</f>
        <v>15000</v>
      </c>
    </row>
    <row r="54" spans="1:10" x14ac:dyDescent="0.25">
      <c r="A54" s="62"/>
      <c r="B54" s="209" t="s">
        <v>285</v>
      </c>
      <c r="C54" s="212">
        <f>MIN(MAX(C52-C53,0),C51)</f>
        <v>3.0734693877551038</v>
      </c>
      <c r="D54" s="211">
        <f>(C54*$K$1)*$C$1</f>
        <v>3012.0000000000018</v>
      </c>
      <c r="E54" s="84"/>
      <c r="F54" s="84"/>
      <c r="G54" s="129" t="s">
        <v>285</v>
      </c>
      <c r="H54" s="168">
        <f>MIN(MAX(H52-H53),H51)</f>
        <v>3.0120000000000005</v>
      </c>
      <c r="I54" s="157">
        <f>J54/$R$1</f>
        <v>1807.2</v>
      </c>
      <c r="J54" s="157">
        <f>MIN(MAX(J52-J53),J51)</f>
        <v>4518</v>
      </c>
    </row>
    <row r="55" spans="1:10"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0" x14ac:dyDescent="0.25">
      <c r="A56" s="62"/>
    </row>
    <row r="57" spans="1:10" x14ac:dyDescent="0.25">
      <c r="A57" s="62"/>
    </row>
    <row r="58" spans="1:10" x14ac:dyDescent="0.25">
      <c r="A58" s="62"/>
    </row>
    <row r="59" spans="1:10" x14ac:dyDescent="0.25">
      <c r="A59" s="62"/>
    </row>
    <row r="60" spans="1:10" x14ac:dyDescent="0.25">
      <c r="A60" s="62"/>
    </row>
    <row r="61" spans="1:10" x14ac:dyDescent="0.25">
      <c r="A61" s="62"/>
    </row>
    <row r="62" spans="1:10" ht="18" x14ac:dyDescent="0.25">
      <c r="A62" s="1456"/>
      <c r="B62" s="1636" t="str">
        <f>"لسان العصفور 1 / " &amp; COUNTIF($C$53:$C$55, "&gt;0")</f>
        <v>لسان العصفور 1 / 2</v>
      </c>
      <c r="C62" s="1636"/>
      <c r="D62" s="1636"/>
      <c r="E62" s="1636"/>
      <c r="F62" s="1636"/>
      <c r="G62" s="1636"/>
      <c r="H62" s="1636"/>
    </row>
    <row r="63" spans="1:10" ht="18" customHeight="1" x14ac:dyDescent="0.25">
      <c r="A63" s="1456"/>
      <c r="B63" s="1634" t="str">
        <f>"Orzo Pasta 1 / " &amp; COUNTIF($C$53:$C$55, "&gt;0")</f>
        <v>Orzo Pasta 1 / 2</v>
      </c>
      <c r="C63" s="1634"/>
      <c r="D63" s="1634"/>
      <c r="E63" s="1634"/>
      <c r="F63" s="1634"/>
      <c r="G63" s="1634"/>
      <c r="H63" s="1634"/>
    </row>
    <row r="64" spans="1:10" ht="53.25" customHeight="1" x14ac:dyDescent="0.2">
      <c r="A64" s="1457"/>
      <c r="B64" s="75" t="s">
        <v>241</v>
      </c>
      <c r="C64" s="90" t="s">
        <v>242</v>
      </c>
      <c r="D64" s="75" t="s">
        <v>231</v>
      </c>
      <c r="E64" s="197" t="s">
        <v>234</v>
      </c>
      <c r="F64" s="91" t="s">
        <v>243</v>
      </c>
      <c r="G64" s="75" t="s">
        <v>244</v>
      </c>
      <c r="H64" s="197" t="s">
        <v>245</v>
      </c>
    </row>
    <row r="65" spans="1:8" ht="25.5" customHeight="1" x14ac:dyDescent="0.25">
      <c r="A65" s="1455"/>
      <c r="B65" s="105" t="str">
        <f t="shared" ref="B65:D81" si="7">B5</f>
        <v>Pasta Orzo - مكرونة لسان عصفور</v>
      </c>
      <c r="C65" s="105" t="str">
        <f t="shared" si="7"/>
        <v>gm</v>
      </c>
      <c r="D65" s="105">
        <f t="shared" si="7"/>
        <v>600</v>
      </c>
      <c r="E65" s="177">
        <f>H53</f>
        <v>10</v>
      </c>
      <c r="F65" s="109">
        <f t="shared" ref="F65:F81" si="8">F5</f>
        <v>1</v>
      </c>
      <c r="G65" s="101">
        <f>D65*E65</f>
        <v>6000</v>
      </c>
      <c r="H65" s="102">
        <f>G65*F65</f>
        <v>6000</v>
      </c>
    </row>
    <row r="66" spans="1:8" ht="14.25" customHeight="1" x14ac:dyDescent="0.25">
      <c r="A66" s="1455" t="s">
        <v>908</v>
      </c>
      <c r="B66" s="105" t="str">
        <f t="shared" si="7"/>
        <v>Onion - بصل</v>
      </c>
      <c r="C66" s="105" t="str">
        <f t="shared" si="7"/>
        <v>gm</v>
      </c>
      <c r="D66" s="105">
        <f t="shared" si="7"/>
        <v>150</v>
      </c>
      <c r="E66" s="177">
        <f>$C$53</f>
        <v>10.204081632653061</v>
      </c>
      <c r="F66" s="109">
        <f t="shared" si="8"/>
        <v>0.95</v>
      </c>
      <c r="G66" s="101">
        <f t="shared" ref="G66:G77" si="9">D66*E66</f>
        <v>1530.612244897959</v>
      </c>
      <c r="H66" s="102">
        <f t="shared" ref="H66:H77" si="10">G66*F66</f>
        <v>1454.081632653061</v>
      </c>
    </row>
    <row r="67" spans="1:8" ht="14.25" customHeight="1" x14ac:dyDescent="0.25">
      <c r="A67" s="1455" t="s">
        <v>907</v>
      </c>
      <c r="B67" s="105" t="str">
        <f t="shared" si="7"/>
        <v>Garlic - ثوم مقشر</v>
      </c>
      <c r="C67" s="105" t="str">
        <f t="shared" si="7"/>
        <v>gm</v>
      </c>
      <c r="D67" s="105">
        <f t="shared" si="7"/>
        <v>50</v>
      </c>
      <c r="E67" s="177">
        <f t="shared" ref="E67:E81" si="11">$C$53</f>
        <v>10.204081632653061</v>
      </c>
      <c r="F67" s="109">
        <f t="shared" si="8"/>
        <v>1</v>
      </c>
      <c r="G67" s="101">
        <f t="shared" si="9"/>
        <v>510.20408163265307</v>
      </c>
      <c r="H67" s="102">
        <f t="shared" si="10"/>
        <v>510.20408163265307</v>
      </c>
    </row>
    <row r="68" spans="1:8" ht="14.25" customHeight="1" x14ac:dyDescent="0.25">
      <c r="A68" s="1455" t="s">
        <v>909</v>
      </c>
      <c r="B68" s="105" t="str">
        <f t="shared" si="7"/>
        <v>Tomato - طماطم</v>
      </c>
      <c r="C68" s="105" t="str">
        <f t="shared" si="7"/>
        <v>gm</v>
      </c>
      <c r="D68" s="105">
        <f t="shared" si="7"/>
        <v>250</v>
      </c>
      <c r="E68" s="177">
        <f t="shared" si="11"/>
        <v>10.204081632653061</v>
      </c>
      <c r="F68" s="109">
        <f t="shared" si="8"/>
        <v>1</v>
      </c>
      <c r="G68" s="101">
        <f t="shared" si="9"/>
        <v>2551.0204081632651</v>
      </c>
      <c r="H68" s="102">
        <f t="shared" si="10"/>
        <v>2551.0204081632651</v>
      </c>
    </row>
    <row r="69" spans="1:8" ht="14.25" customHeight="1" x14ac:dyDescent="0.25">
      <c r="A69" s="1455"/>
      <c r="B69" s="105" t="str">
        <f t="shared" si="7"/>
        <v>Tomato Paste - صلصة طماطم</v>
      </c>
      <c r="C69" s="105" t="str">
        <f t="shared" si="7"/>
        <v>gm</v>
      </c>
      <c r="D69" s="105">
        <f t="shared" si="7"/>
        <v>300</v>
      </c>
      <c r="E69" s="177">
        <f t="shared" si="11"/>
        <v>10.204081632653061</v>
      </c>
      <c r="F69" s="109">
        <f t="shared" si="8"/>
        <v>1</v>
      </c>
      <c r="G69" s="101">
        <f t="shared" si="9"/>
        <v>3061.2244897959181</v>
      </c>
      <c r="H69" s="102">
        <f t="shared" si="10"/>
        <v>3061.2244897959181</v>
      </c>
    </row>
    <row r="70" spans="1:8" ht="14.25" customHeight="1" x14ac:dyDescent="0.25">
      <c r="A70" s="1455"/>
      <c r="B70" s="105" t="str">
        <f t="shared" si="7"/>
        <v>Paprika Powder - بابريكا مطحون</v>
      </c>
      <c r="C70" s="105" t="str">
        <f t="shared" si="7"/>
        <v>gm</v>
      </c>
      <c r="D70" s="105">
        <f t="shared" si="7"/>
        <v>2</v>
      </c>
      <c r="E70" s="177">
        <f t="shared" si="11"/>
        <v>10.204081632653061</v>
      </c>
      <c r="F70" s="109">
        <f t="shared" si="8"/>
        <v>0.75</v>
      </c>
      <c r="G70" s="101">
        <f t="shared" si="9"/>
        <v>20.408163265306122</v>
      </c>
      <c r="H70" s="102">
        <f t="shared" si="10"/>
        <v>15.306122448979592</v>
      </c>
    </row>
    <row r="71" spans="1:8" ht="14.25" customHeight="1" x14ac:dyDescent="0.25">
      <c r="A71" s="1455"/>
      <c r="B71" s="105" t="str">
        <f t="shared" si="7"/>
        <v>Dry Oregano - أوريجانو مجفف</v>
      </c>
      <c r="C71" s="105" t="str">
        <f t="shared" si="7"/>
        <v>gm</v>
      </c>
      <c r="D71" s="105">
        <f t="shared" si="7"/>
        <v>1</v>
      </c>
      <c r="E71" s="177">
        <f t="shared" si="11"/>
        <v>10.204081632653061</v>
      </c>
      <c r="F71" s="109">
        <f t="shared" si="8"/>
        <v>0.75</v>
      </c>
      <c r="G71" s="101">
        <f t="shared" si="9"/>
        <v>10.204081632653061</v>
      </c>
      <c r="H71" s="102">
        <f t="shared" si="10"/>
        <v>7.6530612244897958</v>
      </c>
    </row>
    <row r="72" spans="1:8" ht="14.25" customHeight="1" x14ac:dyDescent="0.25">
      <c r="A72" s="1455"/>
      <c r="B72" s="105" t="str">
        <f t="shared" si="7"/>
        <v>Dry Basil - ريحان مجفف</v>
      </c>
      <c r="C72" s="105" t="str">
        <f t="shared" si="7"/>
        <v>gm</v>
      </c>
      <c r="D72" s="105">
        <f t="shared" si="7"/>
        <v>1</v>
      </c>
      <c r="E72" s="177">
        <f t="shared" si="11"/>
        <v>10.204081632653061</v>
      </c>
      <c r="F72" s="109">
        <f t="shared" si="8"/>
        <v>0.75</v>
      </c>
      <c r="G72" s="101">
        <f t="shared" si="9"/>
        <v>10.204081632653061</v>
      </c>
      <c r="H72" s="102">
        <f t="shared" si="10"/>
        <v>7.6530612244897958</v>
      </c>
    </row>
    <row r="73" spans="1:8" ht="14.25" customHeight="1" x14ac:dyDescent="0.25">
      <c r="A73" s="1455"/>
      <c r="B73" s="105" t="str">
        <f t="shared" si="7"/>
        <v>Salt - ملح</v>
      </c>
      <c r="C73" s="105" t="str">
        <f t="shared" si="7"/>
        <v>gm</v>
      </c>
      <c r="D73" s="105">
        <f t="shared" si="7"/>
        <v>11</v>
      </c>
      <c r="E73" s="177">
        <f t="shared" si="11"/>
        <v>10.204081632653061</v>
      </c>
      <c r="F73" s="109">
        <f t="shared" si="8"/>
        <v>0.75</v>
      </c>
      <c r="G73" s="101">
        <f t="shared" si="9"/>
        <v>112.24489795918367</v>
      </c>
      <c r="H73" s="102">
        <f t="shared" si="10"/>
        <v>84.183673469387756</v>
      </c>
    </row>
    <row r="74" spans="1:8" ht="14.25" customHeight="1" x14ac:dyDescent="0.25">
      <c r="A74" s="1455"/>
      <c r="B74" s="105" t="str">
        <f t="shared" si="7"/>
        <v>Fresh Baby Spinach - سبانخ هولندي</v>
      </c>
      <c r="C74" s="105" t="str">
        <f t="shared" si="7"/>
        <v>gm</v>
      </c>
      <c r="D74" s="105">
        <f t="shared" si="7"/>
        <v>140</v>
      </c>
      <c r="E74" s="177">
        <f t="shared" si="11"/>
        <v>10.204081632653061</v>
      </c>
      <c r="F74" s="109">
        <f t="shared" si="8"/>
        <v>1</v>
      </c>
      <c r="G74" s="101">
        <f t="shared" si="9"/>
        <v>1428.5714285714284</v>
      </c>
      <c r="H74" s="102">
        <f t="shared" si="10"/>
        <v>1428.5714285714284</v>
      </c>
    </row>
    <row r="75" spans="1:8" ht="14.25" customHeight="1" x14ac:dyDescent="0.25">
      <c r="A75" s="1455"/>
      <c r="B75" s="105" t="str">
        <f t="shared" si="7"/>
        <v>Orange Color - لون برتقالي</v>
      </c>
      <c r="C75" s="105" t="str">
        <f t="shared" si="7"/>
        <v>gm</v>
      </c>
      <c r="D75" s="105">
        <f t="shared" si="7"/>
        <v>2</v>
      </c>
      <c r="E75" s="177">
        <f t="shared" si="11"/>
        <v>10.204081632653061</v>
      </c>
      <c r="F75" s="109">
        <f t="shared" si="8"/>
        <v>0.75</v>
      </c>
      <c r="G75" s="101">
        <f t="shared" si="9"/>
        <v>20.408163265306122</v>
      </c>
      <c r="H75" s="102">
        <f t="shared" si="10"/>
        <v>15.306122448979592</v>
      </c>
    </row>
    <row r="76" spans="1:8" ht="14.25" customHeight="1" x14ac:dyDescent="0.25">
      <c r="A76" s="1455"/>
      <c r="B76" s="105" t="str">
        <f t="shared" si="7"/>
        <v>Honey - عسل</v>
      </c>
      <c r="C76" s="105" t="str">
        <f t="shared" si="7"/>
        <v>gm</v>
      </c>
      <c r="D76" s="105">
        <f t="shared" si="7"/>
        <v>25</v>
      </c>
      <c r="E76" s="177">
        <f t="shared" si="11"/>
        <v>10.204081632653061</v>
      </c>
      <c r="F76" s="109">
        <f t="shared" si="8"/>
        <v>1</v>
      </c>
      <c r="G76" s="101">
        <f t="shared" si="9"/>
        <v>255.10204081632654</v>
      </c>
      <c r="H76" s="102">
        <f t="shared" si="10"/>
        <v>255.10204081632654</v>
      </c>
    </row>
    <row r="77" spans="1:8" ht="14.25" customHeight="1" x14ac:dyDescent="0.25">
      <c r="A77" s="1455"/>
      <c r="B77" s="105" t="str">
        <f t="shared" si="7"/>
        <v>Tomato Ketchup - كاتشب طماطم</v>
      </c>
      <c r="C77" s="105" t="str">
        <f t="shared" si="7"/>
        <v>ml</v>
      </c>
      <c r="D77" s="105">
        <f t="shared" si="7"/>
        <v>40</v>
      </c>
      <c r="E77" s="177">
        <f t="shared" si="11"/>
        <v>10.204081632653061</v>
      </c>
      <c r="F77" s="109">
        <f t="shared" si="8"/>
        <v>1</v>
      </c>
      <c r="G77" s="101">
        <f t="shared" si="9"/>
        <v>408.16326530612241</v>
      </c>
      <c r="H77" s="102">
        <f t="shared" si="10"/>
        <v>408.16326530612241</v>
      </c>
    </row>
    <row r="78" spans="1:8" ht="20.25" customHeight="1" x14ac:dyDescent="0.25">
      <c r="A78" s="1455"/>
      <c r="B78" s="105" t="str">
        <f t="shared" si="7"/>
        <v>Butter - زبدة</v>
      </c>
      <c r="C78" s="105" t="str">
        <f t="shared" si="7"/>
        <v>gm</v>
      </c>
      <c r="D78" s="105">
        <f t="shared" si="7"/>
        <v>30</v>
      </c>
      <c r="E78" s="177">
        <f t="shared" si="11"/>
        <v>10.204081632653061</v>
      </c>
      <c r="F78" s="109">
        <f t="shared" si="8"/>
        <v>1</v>
      </c>
      <c r="G78" s="101">
        <f>D78*E78</f>
        <v>306.12244897959181</v>
      </c>
      <c r="H78" s="102">
        <f>G78*F78</f>
        <v>306.12244897959181</v>
      </c>
    </row>
    <row r="79" spans="1:8" ht="14.25" customHeight="1" x14ac:dyDescent="0.25">
      <c r="A79" s="1455"/>
      <c r="B79" s="105" t="str">
        <f t="shared" si="7"/>
        <v>Black Pepper Powder - فلفل أسود مطحون</v>
      </c>
      <c r="C79" s="105" t="str">
        <f t="shared" si="7"/>
        <v>gm</v>
      </c>
      <c r="D79" s="105">
        <f t="shared" si="7"/>
        <v>3</v>
      </c>
      <c r="E79" s="177">
        <f t="shared" si="11"/>
        <v>10.204081632653061</v>
      </c>
      <c r="F79" s="109">
        <f t="shared" si="8"/>
        <v>1</v>
      </c>
      <c r="G79" s="101">
        <f>D79*E79</f>
        <v>30.612244897959183</v>
      </c>
      <c r="H79" s="102">
        <f>G79*F79</f>
        <v>30.612244897959183</v>
      </c>
    </row>
    <row r="80" spans="1:8" x14ac:dyDescent="0.25">
      <c r="A80" s="1455"/>
      <c r="B80" s="105" t="str">
        <f t="shared" si="7"/>
        <v>Olive Oil - زيت زيتون</v>
      </c>
      <c r="C80" s="105" t="str">
        <f t="shared" si="7"/>
        <v>gm</v>
      </c>
      <c r="D80" s="105">
        <f t="shared" si="7"/>
        <v>5</v>
      </c>
      <c r="E80" s="177">
        <f t="shared" si="11"/>
        <v>10.204081632653061</v>
      </c>
      <c r="F80" s="109">
        <f t="shared" si="8"/>
        <v>1</v>
      </c>
      <c r="G80" s="101">
        <f>D80*E80</f>
        <v>51.020408163265301</v>
      </c>
      <c r="H80" s="102">
        <f>G80*F80</f>
        <v>51.020408163265301</v>
      </c>
    </row>
    <row r="81" spans="1:8" x14ac:dyDescent="0.25">
      <c r="A81" s="1455"/>
      <c r="B81" s="105" t="str">
        <f t="shared" si="7"/>
        <v>Salt - ملح</v>
      </c>
      <c r="C81" s="105" t="str">
        <f t="shared" si="7"/>
        <v>gm</v>
      </c>
      <c r="D81" s="105">
        <f t="shared" si="7"/>
        <v>5</v>
      </c>
      <c r="E81" s="177">
        <f t="shared" si="11"/>
        <v>10.204081632653061</v>
      </c>
      <c r="F81" s="109">
        <f t="shared" si="8"/>
        <v>1</v>
      </c>
      <c r="G81" s="101">
        <f>D81*E81</f>
        <v>51.020408163265301</v>
      </c>
      <c r="H81" s="102">
        <f>G81*F81</f>
        <v>51.020408163265301</v>
      </c>
    </row>
    <row r="82" spans="1:8" ht="18" x14ac:dyDescent="0.25">
      <c r="A82" s="1458"/>
      <c r="B82" s="178" t="s">
        <v>352</v>
      </c>
      <c r="C82" s="180" t="s">
        <v>273</v>
      </c>
      <c r="D82" s="14"/>
      <c r="E82" s="180" t="s">
        <v>288</v>
      </c>
      <c r="F82" s="14"/>
      <c r="G82" s="804" t="s">
        <v>264</v>
      </c>
      <c r="H82" s="804" t="s">
        <v>684</v>
      </c>
    </row>
    <row r="83" spans="1:8" ht="20.25" x14ac:dyDescent="0.3">
      <c r="A83" s="1458"/>
      <c r="B83" s="179">
        <f>$J$53</f>
        <v>15000</v>
      </c>
      <c r="C83" s="179">
        <f>E83+G83</f>
        <v>10000</v>
      </c>
      <c r="D83" s="839"/>
      <c r="E83" s="179">
        <f>$D$53*$S$44</f>
        <v>10000</v>
      </c>
      <c r="F83" s="843"/>
      <c r="G83" s="179">
        <f>$D$53*$T$44</f>
        <v>0</v>
      </c>
      <c r="H83" s="179">
        <f>B83+E83</f>
        <v>25000</v>
      </c>
    </row>
    <row r="84" spans="1:8" x14ac:dyDescent="0.25">
      <c r="A84" s="62"/>
    </row>
    <row r="85" spans="1:8" ht="18" x14ac:dyDescent="0.25">
      <c r="A85" s="1456"/>
      <c r="B85" s="1636" t="str">
        <f>"لسان العصفور 2 / " &amp; COUNTIF($C$53:$C$55, "&gt;0")</f>
        <v>لسان العصفور 2 / 2</v>
      </c>
      <c r="C85" s="1636"/>
      <c r="D85" s="1636"/>
      <c r="E85" s="1636"/>
      <c r="F85" s="1636"/>
      <c r="G85" s="1636"/>
      <c r="H85" s="1636"/>
    </row>
    <row r="86" spans="1:8" ht="18" x14ac:dyDescent="0.25">
      <c r="A86" s="1456"/>
      <c r="B86" s="1634" t="str">
        <f>"Orzo Pasta 2 / " &amp; COUNTIF($C$53:$C$55, "&gt;0")</f>
        <v>Orzo Pasta 2 / 2</v>
      </c>
      <c r="C86" s="1634"/>
      <c r="D86" s="1634"/>
      <c r="E86" s="1634"/>
      <c r="F86" s="1634"/>
      <c r="G86" s="1634"/>
      <c r="H86" s="1634"/>
    </row>
    <row r="87" spans="1:8" ht="44.25" customHeight="1" x14ac:dyDescent="0.2">
      <c r="A87" s="1457"/>
      <c r="B87" s="75" t="s">
        <v>241</v>
      </c>
      <c r="C87" s="90" t="s">
        <v>242</v>
      </c>
      <c r="D87" s="75" t="s">
        <v>231</v>
      </c>
      <c r="E87" s="197" t="s">
        <v>234</v>
      </c>
      <c r="F87" s="91" t="s">
        <v>243</v>
      </c>
      <c r="G87" s="75" t="s">
        <v>244</v>
      </c>
      <c r="H87" s="197" t="s">
        <v>245</v>
      </c>
    </row>
    <row r="88" spans="1:8" x14ac:dyDescent="0.25">
      <c r="A88" s="1455"/>
      <c r="B88" s="105" t="str">
        <f t="shared" ref="B88:D102" si="12">B5</f>
        <v>Pasta Orzo - مكرونة لسان عصفور</v>
      </c>
      <c r="C88" s="105" t="str">
        <f t="shared" si="12"/>
        <v>gm</v>
      </c>
      <c r="D88" s="105">
        <f t="shared" si="12"/>
        <v>600</v>
      </c>
      <c r="E88" s="177">
        <f>H54</f>
        <v>3.0120000000000005</v>
      </c>
      <c r="F88" s="109">
        <f>F5</f>
        <v>1</v>
      </c>
      <c r="G88" s="101">
        <f>D88*E88</f>
        <v>1807.2000000000003</v>
      </c>
      <c r="H88" s="102">
        <f>G88*F88</f>
        <v>1807.2000000000003</v>
      </c>
    </row>
    <row r="89" spans="1:8" x14ac:dyDescent="0.25">
      <c r="A89" s="1455" t="s">
        <v>908</v>
      </c>
      <c r="B89" s="105" t="str">
        <f t="shared" si="12"/>
        <v>Onion - بصل</v>
      </c>
      <c r="C89" s="105" t="str">
        <f t="shared" si="12"/>
        <v>gm</v>
      </c>
      <c r="D89" s="105">
        <f t="shared" si="12"/>
        <v>150</v>
      </c>
      <c r="E89" s="177">
        <f>$C$54</f>
        <v>3.0734693877551038</v>
      </c>
      <c r="F89" s="109">
        <f t="shared" ref="F89:F104" si="13">F6</f>
        <v>0.95</v>
      </c>
      <c r="G89" s="101">
        <f t="shared" ref="G89:G100" si="14">D89*E89</f>
        <v>461.02040816326559</v>
      </c>
      <c r="H89" s="102">
        <f t="shared" ref="H89:H100" si="15">G89*F89</f>
        <v>437.96938775510228</v>
      </c>
    </row>
    <row r="90" spans="1:8" x14ac:dyDescent="0.25">
      <c r="A90" s="1455" t="s">
        <v>907</v>
      </c>
      <c r="B90" s="105" t="str">
        <f t="shared" si="12"/>
        <v>Garlic - ثوم مقشر</v>
      </c>
      <c r="C90" s="105" t="str">
        <f t="shared" si="12"/>
        <v>gm</v>
      </c>
      <c r="D90" s="105">
        <f t="shared" si="12"/>
        <v>50</v>
      </c>
      <c r="E90" s="177">
        <f t="shared" ref="E90:E104" si="16">$C$54</f>
        <v>3.0734693877551038</v>
      </c>
      <c r="F90" s="109">
        <f t="shared" si="13"/>
        <v>1</v>
      </c>
      <c r="G90" s="101">
        <f t="shared" si="14"/>
        <v>153.67346938775518</v>
      </c>
      <c r="H90" s="102">
        <f t="shared" si="15"/>
        <v>153.67346938775518</v>
      </c>
    </row>
    <row r="91" spans="1:8" x14ac:dyDescent="0.25">
      <c r="A91" s="1455" t="s">
        <v>909</v>
      </c>
      <c r="B91" s="105" t="str">
        <f t="shared" si="12"/>
        <v>Tomato - طماطم</v>
      </c>
      <c r="C91" s="105" t="str">
        <f t="shared" si="12"/>
        <v>gm</v>
      </c>
      <c r="D91" s="105">
        <f t="shared" si="12"/>
        <v>250</v>
      </c>
      <c r="E91" s="177">
        <f t="shared" si="16"/>
        <v>3.0734693877551038</v>
      </c>
      <c r="F91" s="109">
        <f t="shared" si="13"/>
        <v>1</v>
      </c>
      <c r="G91" s="101">
        <f t="shared" si="14"/>
        <v>768.367346938776</v>
      </c>
      <c r="H91" s="102">
        <f t="shared" si="15"/>
        <v>768.367346938776</v>
      </c>
    </row>
    <row r="92" spans="1:8" x14ac:dyDescent="0.25">
      <c r="A92" s="1455"/>
      <c r="B92" s="105" t="str">
        <f t="shared" si="12"/>
        <v>Tomato Paste - صلصة طماطم</v>
      </c>
      <c r="C92" s="105" t="str">
        <f t="shared" si="12"/>
        <v>gm</v>
      </c>
      <c r="D92" s="105">
        <f t="shared" si="12"/>
        <v>300</v>
      </c>
      <c r="E92" s="177">
        <f t="shared" si="16"/>
        <v>3.0734693877551038</v>
      </c>
      <c r="F92" s="109">
        <f t="shared" si="13"/>
        <v>1</v>
      </c>
      <c r="G92" s="101">
        <f t="shared" si="14"/>
        <v>922.04081632653117</v>
      </c>
      <c r="H92" s="102">
        <f t="shared" si="15"/>
        <v>922.04081632653117</v>
      </c>
    </row>
    <row r="93" spans="1:8" x14ac:dyDescent="0.25">
      <c r="A93" s="1455"/>
      <c r="B93" s="105" t="str">
        <f t="shared" si="12"/>
        <v>Paprika Powder - بابريكا مطحون</v>
      </c>
      <c r="C93" s="105" t="str">
        <f t="shared" si="12"/>
        <v>gm</v>
      </c>
      <c r="D93" s="105">
        <f t="shared" si="12"/>
        <v>2</v>
      </c>
      <c r="E93" s="177">
        <f t="shared" si="16"/>
        <v>3.0734693877551038</v>
      </c>
      <c r="F93" s="109">
        <f t="shared" si="13"/>
        <v>0.75</v>
      </c>
      <c r="G93" s="101">
        <f t="shared" si="14"/>
        <v>6.1469387755102076</v>
      </c>
      <c r="H93" s="102">
        <f t="shared" si="15"/>
        <v>4.6102040816326557</v>
      </c>
    </row>
    <row r="94" spans="1:8" x14ac:dyDescent="0.25">
      <c r="A94" s="1455"/>
      <c r="B94" s="105" t="str">
        <f t="shared" si="12"/>
        <v>Dry Oregano - أوريجانو مجفف</v>
      </c>
      <c r="C94" s="105" t="str">
        <f t="shared" si="12"/>
        <v>gm</v>
      </c>
      <c r="D94" s="105">
        <f t="shared" si="12"/>
        <v>1</v>
      </c>
      <c r="E94" s="177">
        <f t="shared" si="16"/>
        <v>3.0734693877551038</v>
      </c>
      <c r="F94" s="109">
        <f t="shared" si="13"/>
        <v>0.75</v>
      </c>
      <c r="G94" s="101">
        <f t="shared" si="14"/>
        <v>3.0734693877551038</v>
      </c>
      <c r="H94" s="102">
        <f t="shared" si="15"/>
        <v>2.3051020408163279</v>
      </c>
    </row>
    <row r="95" spans="1:8" x14ac:dyDescent="0.25">
      <c r="A95" s="1455"/>
      <c r="B95" s="105" t="str">
        <f t="shared" si="12"/>
        <v>Dry Basil - ريحان مجفف</v>
      </c>
      <c r="C95" s="105" t="str">
        <f t="shared" si="12"/>
        <v>gm</v>
      </c>
      <c r="D95" s="105">
        <f t="shared" si="12"/>
        <v>1</v>
      </c>
      <c r="E95" s="177">
        <f t="shared" si="16"/>
        <v>3.0734693877551038</v>
      </c>
      <c r="F95" s="109">
        <f t="shared" si="13"/>
        <v>0.75</v>
      </c>
      <c r="G95" s="101">
        <f t="shared" si="14"/>
        <v>3.0734693877551038</v>
      </c>
      <c r="H95" s="102">
        <f t="shared" si="15"/>
        <v>2.3051020408163279</v>
      </c>
    </row>
    <row r="96" spans="1:8" x14ac:dyDescent="0.25">
      <c r="A96" s="1455"/>
      <c r="B96" s="105" t="str">
        <f t="shared" si="12"/>
        <v>Salt - ملح</v>
      </c>
      <c r="C96" s="105" t="str">
        <f t="shared" si="12"/>
        <v>gm</v>
      </c>
      <c r="D96" s="105">
        <f t="shared" si="12"/>
        <v>11</v>
      </c>
      <c r="E96" s="177">
        <f t="shared" si="16"/>
        <v>3.0734693877551038</v>
      </c>
      <c r="F96" s="109">
        <f t="shared" si="13"/>
        <v>0.75</v>
      </c>
      <c r="G96" s="101">
        <f t="shared" si="14"/>
        <v>33.808163265306142</v>
      </c>
      <c r="H96" s="102">
        <f t="shared" si="15"/>
        <v>25.356122448979605</v>
      </c>
    </row>
    <row r="97" spans="1:8" x14ac:dyDescent="0.25">
      <c r="A97" s="1455"/>
      <c r="B97" s="105" t="str">
        <f t="shared" si="12"/>
        <v>Fresh Baby Spinach - سبانخ هولندي</v>
      </c>
      <c r="C97" s="105" t="str">
        <f t="shared" si="12"/>
        <v>gm</v>
      </c>
      <c r="D97" s="105">
        <f t="shared" si="12"/>
        <v>140</v>
      </c>
      <c r="E97" s="177">
        <f t="shared" si="16"/>
        <v>3.0734693877551038</v>
      </c>
      <c r="F97" s="109">
        <f t="shared" si="13"/>
        <v>1</v>
      </c>
      <c r="G97" s="101">
        <f t="shared" si="14"/>
        <v>430.28571428571456</v>
      </c>
      <c r="H97" s="102">
        <f t="shared" si="15"/>
        <v>430.28571428571456</v>
      </c>
    </row>
    <row r="98" spans="1:8" x14ac:dyDescent="0.25">
      <c r="A98" s="1455"/>
      <c r="B98" s="105" t="str">
        <f t="shared" si="12"/>
        <v>Orange Color - لون برتقالي</v>
      </c>
      <c r="C98" s="105" t="str">
        <f t="shared" si="12"/>
        <v>gm</v>
      </c>
      <c r="D98" s="105">
        <f t="shared" si="12"/>
        <v>2</v>
      </c>
      <c r="E98" s="177">
        <f t="shared" si="16"/>
        <v>3.0734693877551038</v>
      </c>
      <c r="F98" s="109">
        <f t="shared" si="13"/>
        <v>0.75</v>
      </c>
      <c r="G98" s="101">
        <f t="shared" si="14"/>
        <v>6.1469387755102076</v>
      </c>
      <c r="H98" s="102">
        <f t="shared" si="15"/>
        <v>4.6102040816326557</v>
      </c>
    </row>
    <row r="99" spans="1:8" x14ac:dyDescent="0.25">
      <c r="A99" s="1455"/>
      <c r="B99" s="105" t="str">
        <f t="shared" si="12"/>
        <v>Honey - عسل</v>
      </c>
      <c r="C99" s="105" t="str">
        <f t="shared" si="12"/>
        <v>gm</v>
      </c>
      <c r="D99" s="105">
        <f t="shared" si="12"/>
        <v>25</v>
      </c>
      <c r="E99" s="177">
        <f t="shared" si="16"/>
        <v>3.0734693877551038</v>
      </c>
      <c r="F99" s="109">
        <f t="shared" si="13"/>
        <v>1</v>
      </c>
      <c r="G99" s="101">
        <f t="shared" si="14"/>
        <v>76.836734693877588</v>
      </c>
      <c r="H99" s="102">
        <f t="shared" si="15"/>
        <v>76.836734693877588</v>
      </c>
    </row>
    <row r="100" spans="1:8" x14ac:dyDescent="0.25">
      <c r="A100" s="1455"/>
      <c r="B100" s="105" t="str">
        <f t="shared" si="12"/>
        <v>Tomato Ketchup - كاتشب طماطم</v>
      </c>
      <c r="C100" s="105" t="str">
        <f t="shared" si="12"/>
        <v>ml</v>
      </c>
      <c r="D100" s="105">
        <f t="shared" si="12"/>
        <v>40</v>
      </c>
      <c r="E100" s="177">
        <f t="shared" si="16"/>
        <v>3.0734693877551038</v>
      </c>
      <c r="F100" s="109">
        <f t="shared" si="13"/>
        <v>1</v>
      </c>
      <c r="G100" s="101">
        <f t="shared" si="14"/>
        <v>122.93877551020415</v>
      </c>
      <c r="H100" s="102">
        <f t="shared" si="15"/>
        <v>122.93877551020415</v>
      </c>
    </row>
    <row r="101" spans="1:8" x14ac:dyDescent="0.25">
      <c r="A101" s="1455"/>
      <c r="B101" s="105" t="str">
        <f t="shared" si="12"/>
        <v>Butter - زبدة</v>
      </c>
      <c r="C101" s="105" t="str">
        <f t="shared" si="12"/>
        <v>gm</v>
      </c>
      <c r="D101" s="105">
        <f t="shared" si="12"/>
        <v>30</v>
      </c>
      <c r="E101" s="177">
        <f t="shared" si="16"/>
        <v>3.0734693877551038</v>
      </c>
      <c r="F101" s="109">
        <f t="shared" si="13"/>
        <v>1</v>
      </c>
      <c r="G101" s="101">
        <f>D101*E101</f>
        <v>92.204081632653114</v>
      </c>
      <c r="H101" s="102">
        <f>G101*F101</f>
        <v>92.204081632653114</v>
      </c>
    </row>
    <row r="102" spans="1:8" x14ac:dyDescent="0.25">
      <c r="A102" s="1455"/>
      <c r="B102" s="105" t="str">
        <f t="shared" si="12"/>
        <v>Black Pepper Powder - فلفل أسود مطحون</v>
      </c>
      <c r="C102" s="105" t="str">
        <f t="shared" si="12"/>
        <v>gm</v>
      </c>
      <c r="D102" s="105">
        <f t="shared" si="12"/>
        <v>3</v>
      </c>
      <c r="E102" s="177">
        <f t="shared" si="16"/>
        <v>3.0734693877551038</v>
      </c>
      <c r="F102" s="109">
        <f t="shared" si="13"/>
        <v>1</v>
      </c>
      <c r="G102" s="101">
        <f>D102*E102</f>
        <v>9.2204081632653114</v>
      </c>
      <c r="H102" s="102">
        <f>G102*F102</f>
        <v>9.2204081632653114</v>
      </c>
    </row>
    <row r="103" spans="1:8" x14ac:dyDescent="0.25">
      <c r="A103" s="1455"/>
      <c r="B103" s="105" t="str">
        <f t="shared" ref="B103:D104" si="17">B20</f>
        <v>Olive Oil - زيت زيتون</v>
      </c>
      <c r="C103" s="105" t="str">
        <f t="shared" si="17"/>
        <v>gm</v>
      </c>
      <c r="D103" s="105">
        <f t="shared" si="17"/>
        <v>5</v>
      </c>
      <c r="E103" s="177">
        <f t="shared" si="16"/>
        <v>3.0734693877551038</v>
      </c>
      <c r="F103" s="109">
        <f t="shared" si="13"/>
        <v>1</v>
      </c>
      <c r="G103" s="101">
        <f>D103*E103</f>
        <v>15.367346938775519</v>
      </c>
      <c r="H103" s="102">
        <f>G103*F103</f>
        <v>15.367346938775519</v>
      </c>
    </row>
    <row r="104" spans="1:8" x14ac:dyDescent="0.25">
      <c r="A104" s="1455"/>
      <c r="B104" s="105" t="str">
        <f t="shared" si="17"/>
        <v>Salt - ملح</v>
      </c>
      <c r="C104" s="105" t="str">
        <f t="shared" si="17"/>
        <v>gm</v>
      </c>
      <c r="D104" s="105">
        <f t="shared" si="17"/>
        <v>5</v>
      </c>
      <c r="E104" s="177">
        <f t="shared" si="16"/>
        <v>3.0734693877551038</v>
      </c>
      <c r="F104" s="109">
        <f t="shared" si="13"/>
        <v>1</v>
      </c>
      <c r="G104" s="101">
        <f>D104*E104</f>
        <v>15.367346938775519</v>
      </c>
      <c r="H104" s="102">
        <f>G104*F104</f>
        <v>15.367346938775519</v>
      </c>
    </row>
    <row r="105" spans="1:8" ht="18" x14ac:dyDescent="0.25">
      <c r="A105" s="62"/>
      <c r="B105" s="178" t="s">
        <v>352</v>
      </c>
      <c r="C105" s="180" t="s">
        <v>273</v>
      </c>
      <c r="D105" s="14"/>
      <c r="E105" s="180" t="s">
        <v>288</v>
      </c>
      <c r="F105" s="14"/>
      <c r="G105" s="804" t="s">
        <v>264</v>
      </c>
      <c r="H105" s="804" t="s">
        <v>684</v>
      </c>
    </row>
    <row r="106" spans="1:8" ht="20.25" x14ac:dyDescent="0.3">
      <c r="A106" s="62"/>
      <c r="B106" s="179">
        <f>$J$54</f>
        <v>4518</v>
      </c>
      <c r="C106" s="179">
        <f>E106+G106</f>
        <v>3012.0000000000018</v>
      </c>
      <c r="D106" s="839"/>
      <c r="E106" s="179">
        <f>$D$54*$S$44</f>
        <v>3012.0000000000018</v>
      </c>
      <c r="F106" s="843"/>
      <c r="G106" s="179">
        <f>$D$54*$T$44</f>
        <v>0</v>
      </c>
      <c r="H106" s="179">
        <f>B106+E106</f>
        <v>7530.0000000000018</v>
      </c>
    </row>
    <row r="107" spans="1:8" x14ac:dyDescent="0.25">
      <c r="A107" s="62"/>
    </row>
    <row r="108" spans="1:8" x14ac:dyDescent="0.25">
      <c r="A108" s="62"/>
    </row>
    <row r="109" spans="1:8" ht="18" x14ac:dyDescent="0.25">
      <c r="A109" s="1456"/>
      <c r="B109" s="1636" t="str">
        <f>"لسان العصفور 3 / " &amp; COUNTIF($C$53:$C$55, "&gt;0")</f>
        <v>لسان العصفور 3 / 2</v>
      </c>
      <c r="C109" s="1636"/>
      <c r="D109" s="1636"/>
      <c r="E109" s="1636"/>
      <c r="F109" s="1636"/>
      <c r="G109" s="1636"/>
      <c r="H109" s="1636"/>
    </row>
    <row r="110" spans="1:8" ht="18" x14ac:dyDescent="0.25">
      <c r="A110" s="1456"/>
      <c r="B110" s="1634" t="str">
        <f>"Orzo Pasta 3 / " &amp; COUNTIF($C$53:$C$55, "&gt;0")</f>
        <v>Orzo Pasta 3 / 2</v>
      </c>
      <c r="C110" s="1634"/>
      <c r="D110" s="1634"/>
      <c r="E110" s="1634"/>
      <c r="F110" s="1634"/>
      <c r="G110" s="1634"/>
      <c r="H110" s="1634"/>
    </row>
    <row r="111" spans="1:8" ht="42.75" customHeight="1" x14ac:dyDescent="0.2">
      <c r="A111" s="1457"/>
      <c r="B111" s="75" t="s">
        <v>241</v>
      </c>
      <c r="C111" s="90" t="s">
        <v>242</v>
      </c>
      <c r="D111" s="75" t="s">
        <v>231</v>
      </c>
      <c r="E111" s="197" t="s">
        <v>234</v>
      </c>
      <c r="F111" s="91" t="s">
        <v>243</v>
      </c>
      <c r="G111" s="75" t="s">
        <v>244</v>
      </c>
      <c r="H111" s="197" t="s">
        <v>245</v>
      </c>
    </row>
    <row r="112" spans="1:8" x14ac:dyDescent="0.25">
      <c r="A112" s="1455"/>
      <c r="B112" s="105" t="str">
        <f t="shared" ref="B112:D128" si="18">B5</f>
        <v>Pasta Orzo - مكرونة لسان عصفور</v>
      </c>
      <c r="C112" s="105" t="str">
        <f t="shared" si="18"/>
        <v>gm</v>
      </c>
      <c r="D112" s="105">
        <f t="shared" si="18"/>
        <v>600</v>
      </c>
      <c r="E112" s="177">
        <f>$H$55</f>
        <v>0</v>
      </c>
      <c r="F112" s="109">
        <f>F5</f>
        <v>1</v>
      </c>
      <c r="G112" s="101">
        <f>D112*E112</f>
        <v>0</v>
      </c>
      <c r="H112" s="102">
        <f>G112*F112</f>
        <v>0</v>
      </c>
    </row>
    <row r="113" spans="1:8" x14ac:dyDescent="0.25">
      <c r="A113" s="1455" t="s">
        <v>908</v>
      </c>
      <c r="B113" s="105" t="str">
        <f t="shared" si="18"/>
        <v>Onion - بصل</v>
      </c>
      <c r="C113" s="105" t="str">
        <f t="shared" si="18"/>
        <v>gm</v>
      </c>
      <c r="D113" s="105">
        <f t="shared" si="18"/>
        <v>150</v>
      </c>
      <c r="E113" s="177">
        <f>$C$55</f>
        <v>0</v>
      </c>
      <c r="F113" s="109">
        <f t="shared" ref="F113:F128" si="19">F6</f>
        <v>0.95</v>
      </c>
      <c r="G113" s="101">
        <f t="shared" ref="G113:G124" si="20">D113*E113</f>
        <v>0</v>
      </c>
      <c r="H113" s="102">
        <f t="shared" ref="H113:H124" si="21">G113*F113</f>
        <v>0</v>
      </c>
    </row>
    <row r="114" spans="1:8" x14ac:dyDescent="0.25">
      <c r="A114" s="1455" t="s">
        <v>907</v>
      </c>
      <c r="B114" s="105" t="str">
        <f t="shared" si="18"/>
        <v>Garlic - ثوم مقشر</v>
      </c>
      <c r="C114" s="105" t="str">
        <f t="shared" si="18"/>
        <v>gm</v>
      </c>
      <c r="D114" s="105">
        <f t="shared" si="18"/>
        <v>50</v>
      </c>
      <c r="E114" s="177">
        <f t="shared" ref="E114:E128" si="22">$C$55</f>
        <v>0</v>
      </c>
      <c r="F114" s="109">
        <f t="shared" si="19"/>
        <v>1</v>
      </c>
      <c r="G114" s="101">
        <f t="shared" si="20"/>
        <v>0</v>
      </c>
      <c r="H114" s="102">
        <f t="shared" si="21"/>
        <v>0</v>
      </c>
    </row>
    <row r="115" spans="1:8" x14ac:dyDescent="0.25">
      <c r="A115" s="1455" t="s">
        <v>909</v>
      </c>
      <c r="B115" s="105" t="str">
        <f t="shared" si="18"/>
        <v>Tomato - طماطم</v>
      </c>
      <c r="C115" s="105" t="str">
        <f t="shared" si="18"/>
        <v>gm</v>
      </c>
      <c r="D115" s="105">
        <f t="shared" si="18"/>
        <v>250</v>
      </c>
      <c r="E115" s="177">
        <f t="shared" si="22"/>
        <v>0</v>
      </c>
      <c r="F115" s="109">
        <f t="shared" si="19"/>
        <v>1</v>
      </c>
      <c r="G115" s="101">
        <f t="shared" si="20"/>
        <v>0</v>
      </c>
      <c r="H115" s="102">
        <f t="shared" si="21"/>
        <v>0</v>
      </c>
    </row>
    <row r="116" spans="1:8" x14ac:dyDescent="0.25">
      <c r="A116" s="1455"/>
      <c r="B116" s="105" t="str">
        <f t="shared" si="18"/>
        <v>Tomato Paste - صلصة طماطم</v>
      </c>
      <c r="C116" s="105" t="str">
        <f t="shared" si="18"/>
        <v>gm</v>
      </c>
      <c r="D116" s="105">
        <f t="shared" si="18"/>
        <v>300</v>
      </c>
      <c r="E116" s="177">
        <f t="shared" si="22"/>
        <v>0</v>
      </c>
      <c r="F116" s="109">
        <f t="shared" si="19"/>
        <v>1</v>
      </c>
      <c r="G116" s="101">
        <f t="shared" si="20"/>
        <v>0</v>
      </c>
      <c r="H116" s="102">
        <f t="shared" si="21"/>
        <v>0</v>
      </c>
    </row>
    <row r="117" spans="1:8" x14ac:dyDescent="0.25">
      <c r="A117" s="1455"/>
      <c r="B117" s="105" t="str">
        <f t="shared" si="18"/>
        <v>Paprika Powder - بابريكا مطحون</v>
      </c>
      <c r="C117" s="105" t="str">
        <f t="shared" si="18"/>
        <v>gm</v>
      </c>
      <c r="D117" s="105">
        <f t="shared" si="18"/>
        <v>2</v>
      </c>
      <c r="E117" s="177">
        <f t="shared" si="22"/>
        <v>0</v>
      </c>
      <c r="F117" s="109">
        <f t="shared" si="19"/>
        <v>0.75</v>
      </c>
      <c r="G117" s="101">
        <f t="shared" si="20"/>
        <v>0</v>
      </c>
      <c r="H117" s="102">
        <f t="shared" si="21"/>
        <v>0</v>
      </c>
    </row>
    <row r="118" spans="1:8" x14ac:dyDescent="0.25">
      <c r="A118" s="1455"/>
      <c r="B118" s="105" t="str">
        <f t="shared" si="18"/>
        <v>Dry Oregano - أوريجانو مجفف</v>
      </c>
      <c r="C118" s="105" t="str">
        <f t="shared" si="18"/>
        <v>gm</v>
      </c>
      <c r="D118" s="105">
        <f t="shared" si="18"/>
        <v>1</v>
      </c>
      <c r="E118" s="177">
        <f t="shared" si="22"/>
        <v>0</v>
      </c>
      <c r="F118" s="109">
        <f t="shared" si="19"/>
        <v>0.75</v>
      </c>
      <c r="G118" s="101">
        <f t="shared" si="20"/>
        <v>0</v>
      </c>
      <c r="H118" s="102">
        <f t="shared" si="21"/>
        <v>0</v>
      </c>
    </row>
    <row r="119" spans="1:8" x14ac:dyDescent="0.25">
      <c r="A119" s="1455"/>
      <c r="B119" s="105" t="str">
        <f t="shared" si="18"/>
        <v>Dry Basil - ريحان مجفف</v>
      </c>
      <c r="C119" s="105" t="str">
        <f t="shared" si="18"/>
        <v>gm</v>
      </c>
      <c r="D119" s="105">
        <f t="shared" si="18"/>
        <v>1</v>
      </c>
      <c r="E119" s="177">
        <f t="shared" si="22"/>
        <v>0</v>
      </c>
      <c r="F119" s="109">
        <f t="shared" si="19"/>
        <v>0.75</v>
      </c>
      <c r="G119" s="101">
        <f t="shared" si="20"/>
        <v>0</v>
      </c>
      <c r="H119" s="102">
        <f t="shared" si="21"/>
        <v>0</v>
      </c>
    </row>
    <row r="120" spans="1:8" x14ac:dyDescent="0.25">
      <c r="A120" s="1455"/>
      <c r="B120" s="105" t="str">
        <f t="shared" si="18"/>
        <v>Salt - ملح</v>
      </c>
      <c r="C120" s="105" t="str">
        <f t="shared" si="18"/>
        <v>gm</v>
      </c>
      <c r="D120" s="105">
        <f t="shared" si="18"/>
        <v>11</v>
      </c>
      <c r="E120" s="177">
        <f t="shared" si="22"/>
        <v>0</v>
      </c>
      <c r="F120" s="109">
        <f t="shared" si="19"/>
        <v>0.75</v>
      </c>
      <c r="G120" s="101">
        <f t="shared" si="20"/>
        <v>0</v>
      </c>
      <c r="H120" s="102">
        <f t="shared" si="21"/>
        <v>0</v>
      </c>
    </row>
    <row r="121" spans="1:8" x14ac:dyDescent="0.25">
      <c r="A121" s="1455"/>
      <c r="B121" s="105" t="str">
        <f t="shared" si="18"/>
        <v>Fresh Baby Spinach - سبانخ هولندي</v>
      </c>
      <c r="C121" s="105" t="str">
        <f t="shared" si="18"/>
        <v>gm</v>
      </c>
      <c r="D121" s="105">
        <f t="shared" si="18"/>
        <v>140</v>
      </c>
      <c r="E121" s="177">
        <f t="shared" si="22"/>
        <v>0</v>
      </c>
      <c r="F121" s="109">
        <f t="shared" si="19"/>
        <v>1</v>
      </c>
      <c r="G121" s="101">
        <f t="shared" si="20"/>
        <v>0</v>
      </c>
      <c r="H121" s="102">
        <f t="shared" si="21"/>
        <v>0</v>
      </c>
    </row>
    <row r="122" spans="1:8" x14ac:dyDescent="0.25">
      <c r="A122" s="1455"/>
      <c r="B122" s="105" t="str">
        <f t="shared" si="18"/>
        <v>Orange Color - لون برتقالي</v>
      </c>
      <c r="C122" s="105" t="str">
        <f t="shared" si="18"/>
        <v>gm</v>
      </c>
      <c r="D122" s="105">
        <f t="shared" si="18"/>
        <v>2</v>
      </c>
      <c r="E122" s="177">
        <f t="shared" si="22"/>
        <v>0</v>
      </c>
      <c r="F122" s="109">
        <f t="shared" si="19"/>
        <v>0.75</v>
      </c>
      <c r="G122" s="101">
        <f t="shared" si="20"/>
        <v>0</v>
      </c>
      <c r="H122" s="102">
        <f t="shared" si="21"/>
        <v>0</v>
      </c>
    </row>
    <row r="123" spans="1:8" x14ac:dyDescent="0.25">
      <c r="A123" s="1455"/>
      <c r="B123" s="105" t="str">
        <f t="shared" si="18"/>
        <v>Honey - عسل</v>
      </c>
      <c r="C123" s="105" t="str">
        <f t="shared" si="18"/>
        <v>gm</v>
      </c>
      <c r="D123" s="105">
        <f t="shared" si="18"/>
        <v>25</v>
      </c>
      <c r="E123" s="177">
        <f t="shared" si="22"/>
        <v>0</v>
      </c>
      <c r="F123" s="109">
        <f t="shared" si="19"/>
        <v>1</v>
      </c>
      <c r="G123" s="101">
        <f t="shared" si="20"/>
        <v>0</v>
      </c>
      <c r="H123" s="102">
        <f t="shared" si="21"/>
        <v>0</v>
      </c>
    </row>
    <row r="124" spans="1:8" x14ac:dyDescent="0.25">
      <c r="A124" s="1455"/>
      <c r="B124" s="105" t="str">
        <f t="shared" si="18"/>
        <v>Tomato Ketchup - كاتشب طماطم</v>
      </c>
      <c r="C124" s="105" t="str">
        <f t="shared" si="18"/>
        <v>ml</v>
      </c>
      <c r="D124" s="105">
        <f t="shared" si="18"/>
        <v>40</v>
      </c>
      <c r="E124" s="177">
        <f t="shared" si="22"/>
        <v>0</v>
      </c>
      <c r="F124" s="109">
        <f t="shared" si="19"/>
        <v>1</v>
      </c>
      <c r="G124" s="101">
        <f t="shared" si="20"/>
        <v>0</v>
      </c>
      <c r="H124" s="102">
        <f t="shared" si="21"/>
        <v>0</v>
      </c>
    </row>
    <row r="125" spans="1:8" x14ac:dyDescent="0.25">
      <c r="A125" s="1455"/>
      <c r="B125" s="105" t="str">
        <f t="shared" si="18"/>
        <v>Butter - زبدة</v>
      </c>
      <c r="C125" s="105" t="str">
        <f t="shared" si="18"/>
        <v>gm</v>
      </c>
      <c r="D125" s="105">
        <f t="shared" si="18"/>
        <v>30</v>
      </c>
      <c r="E125" s="177">
        <f t="shared" si="22"/>
        <v>0</v>
      </c>
      <c r="F125" s="109">
        <f t="shared" si="19"/>
        <v>1</v>
      </c>
      <c r="G125" s="101">
        <f>D125*E125</f>
        <v>0</v>
      </c>
      <c r="H125" s="102">
        <f>G125*F125</f>
        <v>0</v>
      </c>
    </row>
    <row r="126" spans="1:8" x14ac:dyDescent="0.25">
      <c r="A126" s="1455"/>
      <c r="B126" s="105" t="str">
        <f t="shared" si="18"/>
        <v>Black Pepper Powder - فلفل أسود مطحون</v>
      </c>
      <c r="C126" s="105" t="str">
        <f t="shared" si="18"/>
        <v>gm</v>
      </c>
      <c r="D126" s="105">
        <f t="shared" si="18"/>
        <v>3</v>
      </c>
      <c r="E126" s="177">
        <f t="shared" si="22"/>
        <v>0</v>
      </c>
      <c r="F126" s="109">
        <f t="shared" si="19"/>
        <v>1</v>
      </c>
      <c r="G126" s="101">
        <f>D126*E126</f>
        <v>0</v>
      </c>
      <c r="H126" s="102">
        <f>G126*F126</f>
        <v>0</v>
      </c>
    </row>
    <row r="127" spans="1:8" x14ac:dyDescent="0.25">
      <c r="A127" s="1455"/>
      <c r="B127" s="105" t="str">
        <f t="shared" si="18"/>
        <v>Olive Oil - زيت زيتون</v>
      </c>
      <c r="C127" s="105" t="str">
        <f t="shared" si="18"/>
        <v>gm</v>
      </c>
      <c r="D127" s="105">
        <f t="shared" si="18"/>
        <v>5</v>
      </c>
      <c r="E127" s="177">
        <f t="shared" si="22"/>
        <v>0</v>
      </c>
      <c r="F127" s="109">
        <f t="shared" si="19"/>
        <v>1</v>
      </c>
      <c r="G127" s="101">
        <f>D127*E127</f>
        <v>0</v>
      </c>
      <c r="H127" s="102">
        <f>G127*F127</f>
        <v>0</v>
      </c>
    </row>
    <row r="128" spans="1:8" x14ac:dyDescent="0.25">
      <c r="A128" s="1455"/>
      <c r="B128" s="105" t="str">
        <f t="shared" si="18"/>
        <v>Salt - ملح</v>
      </c>
      <c r="C128" s="105" t="str">
        <f t="shared" si="18"/>
        <v>gm</v>
      </c>
      <c r="D128" s="105">
        <f t="shared" si="18"/>
        <v>5</v>
      </c>
      <c r="E128" s="177">
        <f t="shared" si="22"/>
        <v>0</v>
      </c>
      <c r="F128" s="109">
        <f t="shared" si="19"/>
        <v>1</v>
      </c>
      <c r="G128" s="101">
        <f>D128*E128</f>
        <v>0</v>
      </c>
      <c r="H128" s="102">
        <f>G128*F128</f>
        <v>0</v>
      </c>
    </row>
    <row r="129" spans="1:8" ht="18" x14ac:dyDescent="0.25">
      <c r="A129" s="62"/>
      <c r="B129" s="178" t="s">
        <v>352</v>
      </c>
      <c r="C129" s="180" t="s">
        <v>273</v>
      </c>
      <c r="D129" s="14"/>
      <c r="E129" s="180" t="s">
        <v>288</v>
      </c>
      <c r="F129" s="14"/>
      <c r="G129" s="804" t="s">
        <v>264</v>
      </c>
      <c r="H129" s="804" t="s">
        <v>684</v>
      </c>
    </row>
    <row r="130" spans="1:8" ht="20.25" x14ac:dyDescent="0.3">
      <c r="A130" s="62"/>
      <c r="B130" s="179">
        <f>$J$55</f>
        <v>0</v>
      </c>
      <c r="C130" s="179">
        <f>E130+G130</f>
        <v>0</v>
      </c>
      <c r="D130" s="839"/>
      <c r="E130" s="179">
        <f>$D$55*$S$44</f>
        <v>0</v>
      </c>
      <c r="F130" s="843"/>
      <c r="G130" s="179">
        <f>$D$55*$T$44</f>
        <v>0</v>
      </c>
      <c r="H130" s="179">
        <f>B130+E130</f>
        <v>0</v>
      </c>
    </row>
    <row r="131" spans="1:8" x14ac:dyDescent="0.25">
      <c r="A131" s="62"/>
    </row>
    <row r="132" spans="1:8" x14ac:dyDescent="0.25">
      <c r="A132" s="62"/>
    </row>
    <row r="133" spans="1:8" x14ac:dyDescent="0.25">
      <c r="A133" s="62"/>
    </row>
    <row r="134" spans="1:8" x14ac:dyDescent="0.25">
      <c r="A134" s="62"/>
    </row>
    <row r="135" spans="1:8" x14ac:dyDescent="0.25">
      <c r="A135" s="62"/>
    </row>
    <row r="136" spans="1:8" x14ac:dyDescent="0.25">
      <c r="A136" s="62"/>
    </row>
    <row r="137" spans="1:8" x14ac:dyDescent="0.25">
      <c r="A137" s="62"/>
    </row>
    <row r="138" spans="1:8" x14ac:dyDescent="0.25">
      <c r="A138" s="62"/>
    </row>
    <row r="139" spans="1:8" x14ac:dyDescent="0.25">
      <c r="A139" s="62"/>
    </row>
    <row r="140" spans="1:8" x14ac:dyDescent="0.25">
      <c r="A140" s="62"/>
    </row>
    <row r="141" spans="1:8" x14ac:dyDescent="0.25">
      <c r="A141" s="62"/>
    </row>
    <row r="142" spans="1:8" x14ac:dyDescent="0.25">
      <c r="A142" s="62"/>
    </row>
    <row r="143" spans="1:8" x14ac:dyDescent="0.25">
      <c r="A143" s="62"/>
    </row>
    <row r="144" spans="1:8"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0">
    <mergeCell ref="AE2:AG3"/>
    <mergeCell ref="F2:G3"/>
    <mergeCell ref="R26:U26"/>
    <mergeCell ref="R25:U25"/>
    <mergeCell ref="B109:H109"/>
    <mergeCell ref="B110:H110"/>
    <mergeCell ref="B85:H85"/>
    <mergeCell ref="B86:H86"/>
    <mergeCell ref="B62:H62"/>
    <mergeCell ref="B63:H63"/>
  </mergeCells>
  <printOptions horizontalCentered="1"/>
  <pageMargins left="0.5" right="0.5" top="1" bottom="0.5" header="0.3" footer="0.511811023622047"/>
  <pageSetup paperSize="9" scale="28" orientation="portrait"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DFE2E-E8C4-43F7-BA6D-11A24BB0DFDA}">
  <sheetPr codeName="Sheet79">
    <tabColor theme="6" tint="-0.249977111117893"/>
    <pageSetUpPr fitToPage="1"/>
  </sheetPr>
  <dimension ref="A1:AT973"/>
  <sheetViews>
    <sheetView topLeftCell="P1" zoomScale="85" zoomScaleNormal="85" workbookViewId="0">
      <selection activeCell="T50" sqref="T50"/>
    </sheetView>
  </sheetViews>
  <sheetFormatPr defaultColWidth="12.5" defaultRowHeight="12.75" x14ac:dyDescent="0.2"/>
  <cols>
    <col min="1" max="1" width="12.5" style="14" customWidth="1"/>
    <col min="2" max="2" width="38.375" style="14" customWidth="1"/>
    <col min="3" max="3" width="24" style="14" customWidth="1"/>
    <col min="4" max="4" width="19" style="14" customWidth="1"/>
    <col min="5" max="5" width="16.125" style="14" customWidth="1"/>
    <col min="6" max="6" width="23.125" style="14" customWidth="1"/>
    <col min="7" max="7" width="22.375" style="14" customWidth="1"/>
    <col min="8" max="8" width="36.125" style="14" customWidth="1"/>
    <col min="9" max="11" width="12.5" style="14" customWidth="1"/>
    <col min="12" max="12" width="8.375" style="14" customWidth="1"/>
    <col min="13" max="13" width="11.875" style="14" customWidth="1"/>
    <col min="14" max="14" width="8.875" style="14" customWidth="1"/>
    <col min="15" max="15" width="31.375" style="14" bestFit="1" customWidth="1"/>
    <col min="16" max="18" width="12.5" style="14" customWidth="1"/>
    <col min="19" max="19" width="15.875" style="14" customWidth="1"/>
    <col min="20" max="27" width="12.5" style="14" customWidth="1"/>
    <col min="28" max="28" width="11.75" style="14" bestFit="1" customWidth="1"/>
    <col min="29" max="29" width="13.25" style="14" bestFit="1" customWidth="1"/>
    <col min="30" max="30" width="10.125" style="14" bestFit="1" customWidth="1"/>
    <col min="31" max="31" width="7" style="14" bestFit="1" customWidth="1"/>
    <col min="32" max="35" width="4.5" style="14" customWidth="1"/>
    <col min="36" max="36" width="34.125" style="14" customWidth="1"/>
    <col min="37" max="37" width="12.5" style="14" customWidth="1"/>
    <col min="38" max="41" width="12.5" style="14"/>
    <col min="42" max="42" width="17.25" style="14" customWidth="1"/>
    <col min="43" max="16384" width="12.5" style="14"/>
  </cols>
  <sheetData>
    <row r="1" spans="1:46" ht="28.5" customHeight="1" x14ac:dyDescent="0.25">
      <c r="A1" s="1"/>
      <c r="B1" s="64" t="s">
        <v>231</v>
      </c>
      <c r="C1" s="65">
        <v>1000</v>
      </c>
      <c r="D1" s="66" t="s">
        <v>232</v>
      </c>
      <c r="E1" s="99">
        <f>S32</f>
        <v>19650</v>
      </c>
      <c r="F1" s="64" t="s">
        <v>233</v>
      </c>
      <c r="G1" s="557">
        <f>(E1/C1)</f>
        <v>19.649999999999999</v>
      </c>
      <c r="H1" s="64" t="s">
        <v>234</v>
      </c>
      <c r="I1" s="227">
        <f>(G1/K1)</f>
        <v>20.051020408163264</v>
      </c>
      <c r="J1" s="70" t="s">
        <v>235</v>
      </c>
      <c r="K1" s="65">
        <v>0.98</v>
      </c>
      <c r="L1" s="84"/>
      <c r="M1" s="84"/>
      <c r="N1" s="84"/>
      <c r="O1" s="75" t="s">
        <v>236</v>
      </c>
      <c r="P1" s="76" t="s">
        <v>332</v>
      </c>
      <c r="Q1" s="77" t="s">
        <v>238</v>
      </c>
      <c r="R1" s="76">
        <v>0.57999999999999996</v>
      </c>
      <c r="S1" s="75" t="s">
        <v>481</v>
      </c>
      <c r="T1" s="76" t="s">
        <v>299</v>
      </c>
      <c r="U1" s="77" t="s">
        <v>421</v>
      </c>
      <c r="V1" s="560">
        <v>0.84</v>
      </c>
      <c r="W1" s="14">
        <f>2100/2500</f>
        <v>0.84</v>
      </c>
      <c r="Y1" s="75" t="s">
        <v>453</v>
      </c>
      <c r="Z1" s="766">
        <v>19150</v>
      </c>
      <c r="AA1" s="75" t="s">
        <v>556</v>
      </c>
      <c r="AB1" s="766">
        <v>500</v>
      </c>
      <c r="AC1" s="75" t="s">
        <v>546</v>
      </c>
      <c r="AD1" s="766">
        <v>130</v>
      </c>
      <c r="AJ1" s="78" t="s">
        <v>250</v>
      </c>
      <c r="AK1" s="78">
        <v>10000</v>
      </c>
      <c r="AL1" s="561" t="s">
        <v>483</v>
      </c>
      <c r="AM1" s="562">
        <f>$S$32</f>
        <v>19650</v>
      </c>
      <c r="AN1" s="78" t="s">
        <v>239</v>
      </c>
      <c r="AO1" s="305">
        <f>(($S$32)/$R$1)/$AK$1</f>
        <v>3.3879310344827589</v>
      </c>
      <c r="AP1" s="79"/>
    </row>
    <row r="2" spans="1:46" ht="12.75" customHeight="1" x14ac:dyDescent="0.2">
      <c r="A2" s="306"/>
      <c r="B2" s="1644" t="s">
        <v>477</v>
      </c>
      <c r="C2" s="1644"/>
      <c r="D2" s="1644"/>
      <c r="E2" s="1644"/>
      <c r="F2" s="1644"/>
      <c r="G2" s="1644"/>
      <c r="H2" s="1644"/>
      <c r="I2" s="270"/>
      <c r="J2" s="270"/>
      <c r="K2" s="270"/>
      <c r="L2" s="270"/>
      <c r="M2" s="112"/>
      <c r="O2" s="84"/>
      <c r="P2" s="84"/>
      <c r="Q2" s="84"/>
      <c r="R2" s="84"/>
      <c r="S2" s="84"/>
      <c r="T2" s="84"/>
      <c r="U2" s="84"/>
      <c r="AJ2" s="85"/>
      <c r="AK2" s="85"/>
      <c r="AL2" s="1631" t="s">
        <v>488</v>
      </c>
      <c r="AM2" s="1631"/>
      <c r="AN2" s="86"/>
      <c r="AO2" s="85"/>
      <c r="AP2" s="85"/>
    </row>
    <row r="3" spans="1:46" ht="12.75" customHeight="1" x14ac:dyDescent="0.2">
      <c r="A3" s="306"/>
      <c r="B3" s="1645"/>
      <c r="C3" s="1645"/>
      <c r="D3" s="1645"/>
      <c r="E3" s="1645"/>
      <c r="F3" s="1645"/>
      <c r="G3" s="1645"/>
      <c r="H3" s="1645"/>
      <c r="I3" s="270"/>
      <c r="J3" s="270"/>
      <c r="K3" s="270"/>
      <c r="L3" s="270"/>
      <c r="M3" s="112"/>
      <c r="O3" s="84"/>
      <c r="P3" s="84"/>
      <c r="Q3" s="84"/>
      <c r="R3" s="84"/>
      <c r="S3" s="84"/>
      <c r="T3" s="84"/>
      <c r="U3" s="84"/>
      <c r="AJ3" s="88"/>
      <c r="AK3" s="88"/>
      <c r="AL3" s="89"/>
      <c r="AM3" s="89"/>
      <c r="AN3" s="89"/>
      <c r="AO3" s="88"/>
      <c r="AP3" s="88"/>
    </row>
    <row r="4" spans="1:46" ht="69"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112"/>
      <c r="O4" s="84"/>
      <c r="P4" s="84"/>
      <c r="Q4" s="84"/>
      <c r="R4" s="84"/>
      <c r="S4" s="84"/>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460"/>
      <c r="B5" s="107" t="s">
        <v>220</v>
      </c>
      <c r="C5" s="106" t="s">
        <v>227</v>
      </c>
      <c r="D5" s="558">
        <f>C1/$R$1</f>
        <v>1724.1379310344828</v>
      </c>
      <c r="E5" s="98">
        <f>$G$1</f>
        <v>19.649999999999999</v>
      </c>
      <c r="F5" s="109">
        <v>1</v>
      </c>
      <c r="G5" s="101">
        <f>D5*E5</f>
        <v>33879.310344827587</v>
      </c>
      <c r="H5" s="102">
        <f>G5*F5</f>
        <v>33879.310344827587</v>
      </c>
      <c r="I5" s="65">
        <f>VLOOKUP(B5,All_Ingredients!$A$1:$F$156,6,FALSE())</f>
        <v>0.86</v>
      </c>
      <c r="J5" s="101">
        <f>VLOOKUP(B5,All_Ingredients!$A$1:$J$156,10,FALSE())</f>
        <v>17.100000000000001</v>
      </c>
      <c r="K5" s="104">
        <f>(H5/I5)/1000</f>
        <v>39.394546912590215</v>
      </c>
      <c r="L5" s="104">
        <f>K5*J5</f>
        <v>673.64675220529273</v>
      </c>
      <c r="M5" s="112"/>
      <c r="AJ5" s="105" t="s">
        <v>220</v>
      </c>
      <c r="AK5" s="106" t="s">
        <v>227</v>
      </c>
      <c r="AL5" s="107">
        <v>10</v>
      </c>
      <c r="AM5" s="177">
        <f>$AO$1</f>
        <v>3.3879310344827589</v>
      </c>
      <c r="AN5" s="109">
        <v>1</v>
      </c>
      <c r="AO5" s="354">
        <f>AL5*AM5</f>
        <v>33.879310344827587</v>
      </c>
      <c r="AP5" s="355">
        <f>AO5*AN5</f>
        <v>33.879310344827587</v>
      </c>
      <c r="AQ5" s="272"/>
      <c r="AR5" s="1017"/>
      <c r="AS5" s="156"/>
      <c r="AT5" s="1018"/>
    </row>
    <row r="6" spans="1:46" ht="14.25" customHeight="1" x14ac:dyDescent="0.2">
      <c r="A6" s="1461"/>
      <c r="B6" s="107" t="s">
        <v>525</v>
      </c>
      <c r="C6" s="106" t="s">
        <v>14</v>
      </c>
      <c r="D6" s="245">
        <f>($D$5*$R$1)*P11</f>
        <v>80</v>
      </c>
      <c r="E6" s="98">
        <f>$G$1</f>
        <v>19.649999999999999</v>
      </c>
      <c r="F6" s="109">
        <v>1</v>
      </c>
      <c r="G6" s="101">
        <f>D6*E6</f>
        <v>1572</v>
      </c>
      <c r="H6" s="102">
        <f>G6*F6</f>
        <v>1572</v>
      </c>
      <c r="I6" s="65">
        <f>VLOOKUP(B6,All_Ingredients!$A$1:$F$156,6,FALSE())</f>
        <v>1</v>
      </c>
      <c r="J6" s="101">
        <f>VLOOKUP(B6,All_Ingredients!$A$1:$J$156,10,FALSE())</f>
        <v>10.196078431372548</v>
      </c>
      <c r="K6" s="104">
        <f t="shared" ref="K6:K9" si="0">(H6/I6)/1000</f>
        <v>1.5720000000000001</v>
      </c>
      <c r="L6" s="104">
        <f t="shared" ref="L6:L9" si="1">K6*J6</f>
        <v>16.028235294117646</v>
      </c>
      <c r="M6" s="112"/>
      <c r="AJ6" s="105" t="s">
        <v>54</v>
      </c>
      <c r="AK6" s="310" t="s">
        <v>14</v>
      </c>
      <c r="AL6" s="311">
        <v>100</v>
      </c>
      <c r="AM6" s="177">
        <f t="shared" ref="AM6:AM19" si="2">$AO$1</f>
        <v>3.3879310344827589</v>
      </c>
      <c r="AN6" s="109">
        <v>1</v>
      </c>
      <c r="AO6" s="354">
        <f t="shared" ref="AO6:AO19" si="3">AL6*AM6</f>
        <v>338.79310344827587</v>
      </c>
      <c r="AP6" s="355">
        <f t="shared" ref="AP6:AP19" si="4">AO6*AN6</f>
        <v>338.79310344827587</v>
      </c>
      <c r="AQ6" s="1018">
        <f>VLOOKUP(AJ6,Marination_Ordering!$A:$J,6,FALSE)</f>
        <v>0.87</v>
      </c>
      <c r="AR6" s="1018">
        <f>VLOOKUP(AJ6,Marination_Ordering!$A:$J,10,FALSE)</f>
        <v>7</v>
      </c>
      <c r="AS6" s="156">
        <f>AP6/AQ6</f>
        <v>389.41736028537457</v>
      </c>
      <c r="AT6" s="1018">
        <f>AR6*(AS6/1000)</f>
        <v>2.7259215219976216</v>
      </c>
    </row>
    <row r="7" spans="1:46" ht="14.25" customHeight="1" x14ac:dyDescent="0.2">
      <c r="A7" s="1461" t="s">
        <v>925</v>
      </c>
      <c r="B7" s="107" t="s">
        <v>19</v>
      </c>
      <c r="C7" s="106" t="s">
        <v>14</v>
      </c>
      <c r="D7" s="245">
        <f>(($D$5*$R$1)*P12)/$V$1</f>
        <v>166.66666666666669</v>
      </c>
      <c r="E7" s="98">
        <f>$G$1</f>
        <v>19.649999999999999</v>
      </c>
      <c r="F7" s="109">
        <v>1</v>
      </c>
      <c r="G7" s="101">
        <f>D7*E7</f>
        <v>3275</v>
      </c>
      <c r="H7" s="102">
        <f>G7*F7</f>
        <v>3275</v>
      </c>
      <c r="I7" s="65">
        <f>VLOOKUP(B7,All_Ingredients!$A$1:$F$156,6,FALSE())</f>
        <v>0.8</v>
      </c>
      <c r="J7" s="101">
        <f>VLOOKUP(B7,All_Ingredients!$A$1:$J$156,10,FALSE())</f>
        <v>2.6</v>
      </c>
      <c r="K7" s="104">
        <f t="shared" si="0"/>
        <v>4.09375</v>
      </c>
      <c r="L7" s="104">
        <f t="shared" si="1"/>
        <v>10.643750000000001</v>
      </c>
      <c r="M7" s="112"/>
      <c r="AJ7" s="105" t="s">
        <v>727</v>
      </c>
      <c r="AK7" s="310" t="s">
        <v>14</v>
      </c>
      <c r="AL7" s="311">
        <v>100</v>
      </c>
      <c r="AM7" s="177">
        <f t="shared" si="2"/>
        <v>3.3879310344827589</v>
      </c>
      <c r="AN7" s="109">
        <v>1</v>
      </c>
      <c r="AO7" s="354">
        <f t="shared" si="3"/>
        <v>338.79310344827587</v>
      </c>
      <c r="AP7" s="355">
        <f t="shared" si="4"/>
        <v>338.79310344827587</v>
      </c>
      <c r="AQ7" s="1018">
        <f>VLOOKUP(AJ7,Marination_Ordering!$A:$J,6,FALSE)</f>
        <v>1</v>
      </c>
      <c r="AR7" s="1018">
        <f>VLOOKUP(AJ7,Marination_Ordering!$A:$J,10,FALSE)</f>
        <v>10.5</v>
      </c>
      <c r="AS7" s="156">
        <f t="shared" ref="AS7:AS9" si="5">AP7/AQ7</f>
        <v>338.79310344827587</v>
      </c>
      <c r="AT7" s="1018">
        <f t="shared" ref="AT7:AT9" si="6">AR7*(AS7/1000)</f>
        <v>3.5573275862068963</v>
      </c>
    </row>
    <row r="8" spans="1:46" ht="14.25" customHeight="1" x14ac:dyDescent="0.2">
      <c r="A8" s="1461"/>
      <c r="B8" s="107" t="s">
        <v>478</v>
      </c>
      <c r="C8" s="106" t="s">
        <v>14</v>
      </c>
      <c r="D8" s="245">
        <f>($D$5*$R$1)*P13</f>
        <v>80</v>
      </c>
      <c r="E8" s="98">
        <f>$G$1</f>
        <v>19.649999999999999</v>
      </c>
      <c r="F8" s="109">
        <v>1</v>
      </c>
      <c r="G8" s="101">
        <f>D8*E8</f>
        <v>1572</v>
      </c>
      <c r="H8" s="102">
        <f>G8*F8</f>
        <v>1572</v>
      </c>
      <c r="I8" s="65">
        <f>VLOOKUP(B8,All_Ingredients!$A$1:$F$156,6,FALSE())</f>
        <v>1</v>
      </c>
      <c r="J8" s="101">
        <f>VLOOKUP(B8,All_Ingredients!$A$1:$J$156,10,FALSE())</f>
        <v>16.666666666666668</v>
      </c>
      <c r="K8" s="104">
        <f t="shared" si="0"/>
        <v>1.5720000000000001</v>
      </c>
      <c r="L8" s="104">
        <f t="shared" si="1"/>
        <v>26.200000000000003</v>
      </c>
      <c r="M8" s="112"/>
      <c r="AJ8" s="105" t="s">
        <v>105</v>
      </c>
      <c r="AK8" s="310" t="s">
        <v>14</v>
      </c>
      <c r="AL8" s="311">
        <v>10</v>
      </c>
      <c r="AM8" s="177">
        <f t="shared" si="2"/>
        <v>3.3879310344827589</v>
      </c>
      <c r="AN8" s="109">
        <v>1</v>
      </c>
      <c r="AO8" s="354">
        <f t="shared" si="3"/>
        <v>33.879310344827587</v>
      </c>
      <c r="AP8" s="355">
        <f t="shared" si="4"/>
        <v>33.879310344827587</v>
      </c>
      <c r="AQ8" s="1018">
        <f>VLOOKUP(AJ8,Marination_Ordering!$A:$J,6,FALSE)</f>
        <v>1</v>
      </c>
      <c r="AR8" s="1018">
        <f>VLOOKUP(AJ8,Marination_Ordering!$A:$J,10,FALSE)</f>
        <v>15</v>
      </c>
      <c r="AS8" s="156">
        <f t="shared" si="5"/>
        <v>33.879310344827587</v>
      </c>
      <c r="AT8" s="1018">
        <f t="shared" si="6"/>
        <v>0.50818965517241377</v>
      </c>
    </row>
    <row r="9" spans="1:46" ht="14.25" customHeight="1" x14ac:dyDescent="0.2">
      <c r="A9" s="1461" t="s">
        <v>926</v>
      </c>
      <c r="B9" s="107" t="s">
        <v>480</v>
      </c>
      <c r="C9" s="106" t="s">
        <v>14</v>
      </c>
      <c r="D9" s="245">
        <f>($D$5*$R$1)*P14</f>
        <v>100</v>
      </c>
      <c r="E9" s="98">
        <f>$G$1</f>
        <v>19.649999999999999</v>
      </c>
      <c r="F9" s="109">
        <v>1</v>
      </c>
      <c r="G9" s="101">
        <f>D9*E9</f>
        <v>1964.9999999999998</v>
      </c>
      <c r="H9" s="102">
        <f>G9*F9</f>
        <v>1964.9999999999998</v>
      </c>
      <c r="I9" s="65">
        <f>VLOOKUP(B9,All_Ingredients!$A$1:$F$156,6,FALSE())</f>
        <v>0.88</v>
      </c>
      <c r="J9" s="101">
        <f>VLOOKUP(B9,All_Ingredients!$A$1:$J$156,10,FALSE())</f>
        <v>3</v>
      </c>
      <c r="K9" s="104">
        <f t="shared" si="0"/>
        <v>2.232954545454545</v>
      </c>
      <c r="L9" s="104">
        <f t="shared" si="1"/>
        <v>6.6988636363636349</v>
      </c>
      <c r="M9" s="112"/>
      <c r="N9" s="112"/>
      <c r="AJ9" s="105" t="s">
        <v>107</v>
      </c>
      <c r="AK9" s="310" t="s">
        <v>14</v>
      </c>
      <c r="AL9" s="311">
        <v>10</v>
      </c>
      <c r="AM9" s="177">
        <f t="shared" si="2"/>
        <v>3.3879310344827589</v>
      </c>
      <c r="AN9" s="109">
        <v>1</v>
      </c>
      <c r="AO9" s="354">
        <f t="shared" si="3"/>
        <v>33.879310344827587</v>
      </c>
      <c r="AP9" s="355">
        <f t="shared" si="4"/>
        <v>33.879310344827587</v>
      </c>
      <c r="AQ9" s="1018">
        <f>VLOOKUP(AJ9,Marination_Ordering!$A:$J,6,FALSE)</f>
        <v>1</v>
      </c>
      <c r="AR9" s="1018">
        <f>VLOOKUP(AJ9,Marination_Ordering!$A:$J,10,FALSE)</f>
        <v>8</v>
      </c>
      <c r="AS9" s="156">
        <f t="shared" si="5"/>
        <v>33.879310344827587</v>
      </c>
      <c r="AT9" s="1018">
        <f t="shared" si="6"/>
        <v>0.27103448275862069</v>
      </c>
    </row>
    <row r="10" spans="1:46" ht="14.25" customHeight="1" x14ac:dyDescent="0.2">
      <c r="A10" s="1461"/>
      <c r="B10" s="192"/>
      <c r="C10" s="192"/>
      <c r="D10" s="192"/>
      <c r="E10" s="309"/>
      <c r="F10" s="117"/>
      <c r="G10" s="118"/>
      <c r="H10" s="119"/>
      <c r="I10" s="76"/>
      <c r="J10" s="118"/>
      <c r="K10" s="112"/>
      <c r="L10" s="112"/>
      <c r="M10" s="112"/>
      <c r="N10" s="112"/>
      <c r="AJ10" s="105" t="s">
        <v>93</v>
      </c>
      <c r="AK10" s="310" t="s">
        <v>14</v>
      </c>
      <c r="AL10" s="311">
        <v>5</v>
      </c>
      <c r="AM10" s="177">
        <f t="shared" si="2"/>
        <v>3.3879310344827589</v>
      </c>
      <c r="AN10" s="109">
        <v>1</v>
      </c>
      <c r="AO10" s="354">
        <f t="shared" si="3"/>
        <v>16.939655172413794</v>
      </c>
      <c r="AP10" s="355">
        <f t="shared" si="4"/>
        <v>16.939655172413794</v>
      </c>
      <c r="AQ10" s="1018">
        <f>VLOOKUP(AJ10,Marination_Ordering!$A:$J,6,FALSE)</f>
        <v>1</v>
      </c>
      <c r="AR10" s="1018">
        <f>VLOOKUP(AJ10,Marination_Ordering!$A:$J,10,FALSE)</f>
        <v>0.74</v>
      </c>
      <c r="AS10" s="156">
        <f t="shared" ref="AS10:AS19" si="7">AP10/AQ10</f>
        <v>16.939655172413794</v>
      </c>
      <c r="AT10" s="1018">
        <f t="shared" ref="AT10:AT19" si="8">AR10*(AS10/1000)</f>
        <v>1.2535344827586207E-2</v>
      </c>
    </row>
    <row r="11" spans="1:46" ht="14.25" customHeight="1" x14ac:dyDescent="0.2">
      <c r="A11" s="1461"/>
      <c r="B11" s="192"/>
      <c r="C11" s="192"/>
      <c r="D11" s="192"/>
      <c r="E11" s="309"/>
      <c r="F11" s="117"/>
      <c r="G11" s="118"/>
      <c r="H11" s="119"/>
      <c r="I11" s="76"/>
      <c r="J11" s="118"/>
      <c r="K11" s="112"/>
      <c r="L11" s="112"/>
      <c r="M11" s="118"/>
      <c r="N11" s="112"/>
      <c r="O11" s="117" t="s">
        <v>525</v>
      </c>
      <c r="P11" s="559">
        <v>0.08</v>
      </c>
      <c r="AJ11" s="105" t="s">
        <v>101</v>
      </c>
      <c r="AK11" s="310" t="s">
        <v>14</v>
      </c>
      <c r="AL11" s="311">
        <v>5</v>
      </c>
      <c r="AM11" s="177">
        <f t="shared" si="2"/>
        <v>3.3879310344827589</v>
      </c>
      <c r="AN11" s="109">
        <v>1</v>
      </c>
      <c r="AO11" s="354">
        <f t="shared" si="3"/>
        <v>16.939655172413794</v>
      </c>
      <c r="AP11" s="355">
        <f t="shared" si="4"/>
        <v>16.939655172413794</v>
      </c>
      <c r="AQ11" s="1018">
        <f>VLOOKUP(AJ11,Marination_Ordering!$A:$J,6,FALSE)</f>
        <v>1</v>
      </c>
      <c r="AR11" s="1018">
        <f>VLOOKUP(AJ11,Marination_Ordering!$A:$J,10,FALSE)</f>
        <v>47</v>
      </c>
      <c r="AS11" s="156">
        <f t="shared" si="7"/>
        <v>16.939655172413794</v>
      </c>
      <c r="AT11" s="1018">
        <f t="shared" si="8"/>
        <v>0.79616379310344831</v>
      </c>
    </row>
    <row r="12" spans="1:46" ht="14.25" customHeight="1" x14ac:dyDescent="0.2">
      <c r="A12" s="1461"/>
      <c r="B12" s="192"/>
      <c r="C12" s="308"/>
      <c r="D12" s="192"/>
      <c r="E12" s="309"/>
      <c r="F12" s="117"/>
      <c r="G12" s="118"/>
      <c r="H12" s="119"/>
      <c r="I12" s="76"/>
      <c r="J12" s="118"/>
      <c r="K12" s="112"/>
      <c r="L12" s="112"/>
      <c r="M12" s="118"/>
      <c r="N12" s="112"/>
      <c r="O12" s="117" t="s">
        <v>19</v>
      </c>
      <c r="P12" s="559">
        <v>0.14000000000000001</v>
      </c>
      <c r="AJ12" s="105" t="s">
        <v>172</v>
      </c>
      <c r="AK12" s="310" t="s">
        <v>14</v>
      </c>
      <c r="AL12" s="311">
        <v>100</v>
      </c>
      <c r="AM12" s="177">
        <f t="shared" si="2"/>
        <v>3.3879310344827589</v>
      </c>
      <c r="AN12" s="109">
        <v>1</v>
      </c>
      <c r="AO12" s="354">
        <f t="shared" si="3"/>
        <v>338.79310344827587</v>
      </c>
      <c r="AP12" s="355">
        <f t="shared" si="4"/>
        <v>338.79310344827587</v>
      </c>
      <c r="AQ12" s="1018">
        <f>VLOOKUP(AJ12,Marination_Ordering!$A:$J,6,FALSE)</f>
        <v>1</v>
      </c>
      <c r="AR12" s="1018">
        <f>VLOOKUP(AJ12,Marination_Ordering!$A:$J,10,FALSE)</f>
        <v>17.934782608695652</v>
      </c>
      <c r="AS12" s="156">
        <f t="shared" si="7"/>
        <v>338.79310344827587</v>
      </c>
      <c r="AT12" s="1018">
        <f t="shared" si="8"/>
        <v>6.0761806596701646</v>
      </c>
    </row>
    <row r="13" spans="1:46" ht="14.25" customHeight="1" x14ac:dyDescent="0.2">
      <c r="A13" s="1461"/>
      <c r="B13" s="192"/>
      <c r="C13" s="308"/>
      <c r="D13" s="192"/>
      <c r="E13" s="309"/>
      <c r="F13" s="117"/>
      <c r="G13" s="232"/>
      <c r="H13" s="119"/>
      <c r="I13" s="76"/>
      <c r="J13" s="118"/>
      <c r="K13" s="112"/>
      <c r="L13" s="112"/>
      <c r="M13" s="118"/>
      <c r="N13" s="118"/>
      <c r="O13" s="117" t="s">
        <v>478</v>
      </c>
      <c r="P13" s="559">
        <v>0.08</v>
      </c>
      <c r="AJ13" s="105" t="s">
        <v>212</v>
      </c>
      <c r="AK13" s="310" t="s">
        <v>160</v>
      </c>
      <c r="AL13" s="311">
        <v>100</v>
      </c>
      <c r="AM13" s="177">
        <f t="shared" si="2"/>
        <v>3.3879310344827589</v>
      </c>
      <c r="AN13" s="109">
        <v>1</v>
      </c>
      <c r="AO13" s="354">
        <f t="shared" si="3"/>
        <v>338.79310344827587</v>
      </c>
      <c r="AP13" s="355">
        <f t="shared" si="4"/>
        <v>338.79310344827587</v>
      </c>
      <c r="AQ13" s="1018">
        <f>VLOOKUP(AJ13,Marination_Ordering!$A:$J,6,FALSE)</f>
        <v>1</v>
      </c>
      <c r="AR13" s="1018">
        <f>VLOOKUP(AJ13,Marination_Ordering!$A:$J,10,FALSE)</f>
        <v>5</v>
      </c>
      <c r="AS13" s="156">
        <f t="shared" si="7"/>
        <v>338.79310344827587</v>
      </c>
      <c r="AT13" s="1018">
        <f t="shared" si="8"/>
        <v>1.6939655172413792</v>
      </c>
    </row>
    <row r="14" spans="1:46" ht="14.25" customHeight="1" x14ac:dyDescent="0.2">
      <c r="A14" s="1461"/>
      <c r="B14" s="192"/>
      <c r="C14" s="308"/>
      <c r="D14" s="192"/>
      <c r="E14" s="309"/>
      <c r="F14" s="117"/>
      <c r="G14" s="118"/>
      <c r="H14" s="119"/>
      <c r="I14" s="76"/>
      <c r="J14" s="118"/>
      <c r="K14" s="112"/>
      <c r="L14" s="112"/>
      <c r="M14" s="118"/>
      <c r="N14" s="118"/>
      <c r="O14" s="84" t="s">
        <v>480</v>
      </c>
      <c r="P14" s="559">
        <v>0.1</v>
      </c>
      <c r="AJ14" s="105" t="s">
        <v>728</v>
      </c>
      <c r="AK14" s="310" t="s">
        <v>14</v>
      </c>
      <c r="AL14" s="311">
        <v>50</v>
      </c>
      <c r="AM14" s="177">
        <f t="shared" si="2"/>
        <v>3.3879310344827589</v>
      </c>
      <c r="AN14" s="109">
        <v>1</v>
      </c>
      <c r="AO14" s="354">
        <f t="shared" si="3"/>
        <v>169.39655172413794</v>
      </c>
      <c r="AP14" s="355">
        <f t="shared" si="4"/>
        <v>169.39655172413794</v>
      </c>
      <c r="AQ14" s="1018">
        <f>VLOOKUP(AJ14,Marination_Ordering!$A:$J,6,FALSE)</f>
        <v>1</v>
      </c>
      <c r="AR14" s="1018">
        <f>VLOOKUP(AJ14,Marination_Ordering!$A:$J,10,FALSE)</f>
        <v>40.74074074074074</v>
      </c>
      <c r="AS14" s="156">
        <f t="shared" si="7"/>
        <v>169.39655172413794</v>
      </c>
      <c r="AT14" s="1018">
        <f t="shared" si="8"/>
        <v>6.9013409961685817</v>
      </c>
    </row>
    <row r="15" spans="1:46" ht="14.25" customHeight="1" x14ac:dyDescent="0.2">
      <c r="A15" s="1461"/>
      <c r="C15" s="308"/>
      <c r="D15" s="192"/>
      <c r="E15" s="309"/>
      <c r="F15" s="117"/>
      <c r="G15" s="232"/>
      <c r="H15" s="119"/>
      <c r="I15" s="76"/>
      <c r="J15" s="118"/>
      <c r="K15" s="112"/>
      <c r="L15" s="112"/>
      <c r="M15" s="112"/>
      <c r="N15" s="118"/>
      <c r="O15" s="84" t="s">
        <v>262</v>
      </c>
      <c r="P15" s="384">
        <f>SUM(P11:P14)</f>
        <v>0.4</v>
      </c>
      <c r="AJ15" s="105" t="s">
        <v>166</v>
      </c>
      <c r="AK15" s="310" t="s">
        <v>160</v>
      </c>
      <c r="AL15" s="311">
        <v>400</v>
      </c>
      <c r="AM15" s="177">
        <f t="shared" si="2"/>
        <v>3.3879310344827589</v>
      </c>
      <c r="AN15" s="109">
        <v>1</v>
      </c>
      <c r="AO15" s="354">
        <f t="shared" si="3"/>
        <v>1355.1724137931035</v>
      </c>
      <c r="AP15" s="355">
        <f t="shared" si="4"/>
        <v>1355.1724137931035</v>
      </c>
      <c r="AQ15" s="1018">
        <f>VLOOKUP(AJ15,Marination_Ordering!$A:$J,6,FALSE)</f>
        <v>1</v>
      </c>
      <c r="AR15" s="1018">
        <f>VLOOKUP(AJ15,Marination_Ordering!$A:$J,10,FALSE)</f>
        <v>12.666666666666666</v>
      </c>
      <c r="AS15" s="156">
        <f t="shared" si="7"/>
        <v>1355.1724137931035</v>
      </c>
      <c r="AT15" s="1018">
        <f t="shared" si="8"/>
        <v>17.165517241379309</v>
      </c>
    </row>
    <row r="16" spans="1:46" ht="14.25" customHeight="1" x14ac:dyDescent="0.2">
      <c r="A16" s="1461"/>
      <c r="C16" s="308"/>
      <c r="D16" s="192"/>
      <c r="E16" s="309"/>
      <c r="G16" s="232"/>
      <c r="H16" s="119"/>
      <c r="I16" s="76"/>
      <c r="J16" s="118"/>
      <c r="K16" s="112"/>
      <c r="L16" s="112"/>
      <c r="M16" s="112"/>
      <c r="N16" s="118"/>
      <c r="AJ16" s="105" t="s">
        <v>128</v>
      </c>
      <c r="AK16" s="310" t="s">
        <v>14</v>
      </c>
      <c r="AL16" s="311">
        <v>5</v>
      </c>
      <c r="AM16" s="177">
        <f t="shared" si="2"/>
        <v>3.3879310344827589</v>
      </c>
      <c r="AN16" s="109">
        <v>1</v>
      </c>
      <c r="AO16" s="354">
        <f t="shared" si="3"/>
        <v>16.939655172413794</v>
      </c>
      <c r="AP16" s="355">
        <f t="shared" si="4"/>
        <v>16.939655172413794</v>
      </c>
      <c r="AQ16" s="1018">
        <f>VLOOKUP(AJ16,Marination_Ordering!$A:$J,6,FALSE)</f>
        <v>1</v>
      </c>
      <c r="AR16" s="1018">
        <f>VLOOKUP(AJ16,Marination_Ordering!$A:$J,10,FALSE)</f>
        <v>107</v>
      </c>
      <c r="AS16" s="156">
        <f t="shared" si="7"/>
        <v>16.939655172413794</v>
      </c>
      <c r="AT16" s="1018">
        <f t="shared" si="8"/>
        <v>1.8125431034482757</v>
      </c>
    </row>
    <row r="17" spans="1:46" ht="14.25" customHeight="1" x14ac:dyDescent="0.2">
      <c r="A17" s="1461"/>
      <c r="C17" s="308"/>
      <c r="D17" s="192"/>
      <c r="E17" s="309"/>
      <c r="G17" s="232"/>
      <c r="H17" s="119"/>
      <c r="I17" s="76"/>
      <c r="J17" s="118"/>
      <c r="K17" s="112"/>
      <c r="L17" s="112"/>
      <c r="M17" s="112"/>
      <c r="AJ17" s="105" t="s">
        <v>163</v>
      </c>
      <c r="AK17" s="310" t="s">
        <v>14</v>
      </c>
      <c r="AL17" s="311">
        <v>200</v>
      </c>
      <c r="AM17" s="177">
        <f t="shared" si="2"/>
        <v>3.3879310344827589</v>
      </c>
      <c r="AN17" s="109">
        <v>1</v>
      </c>
      <c r="AO17" s="354">
        <f t="shared" si="3"/>
        <v>677.58620689655174</v>
      </c>
      <c r="AP17" s="355">
        <f t="shared" si="4"/>
        <v>677.58620689655174</v>
      </c>
      <c r="AQ17" s="1018">
        <f>VLOOKUP(AJ17,Marination_Ordering!$A:$J,6,FALSE)</f>
        <v>1</v>
      </c>
      <c r="AR17" s="1018">
        <f>VLOOKUP(AJ17,Marination_Ordering!$A:$J,10,FALSE)</f>
        <v>6.6959999999999997</v>
      </c>
      <c r="AS17" s="156">
        <f t="shared" si="7"/>
        <v>677.58620689655174</v>
      </c>
      <c r="AT17" s="1018">
        <f t="shared" si="8"/>
        <v>4.5371172413793097</v>
      </c>
    </row>
    <row r="18" spans="1:46" ht="14.25" customHeight="1" x14ac:dyDescent="0.2">
      <c r="A18" s="1461"/>
      <c r="C18" s="308"/>
      <c r="D18" s="192"/>
      <c r="E18" s="309"/>
      <c r="G18" s="232"/>
      <c r="H18" s="119"/>
      <c r="I18" s="76"/>
      <c r="J18" s="118"/>
      <c r="K18" s="112"/>
      <c r="L18" s="112"/>
      <c r="M18" s="112"/>
      <c r="AJ18" s="105" t="s">
        <v>60</v>
      </c>
      <c r="AK18" s="310" t="s">
        <v>14</v>
      </c>
      <c r="AL18" s="311">
        <v>10</v>
      </c>
      <c r="AM18" s="177">
        <f t="shared" si="2"/>
        <v>3.3879310344827589</v>
      </c>
      <c r="AN18" s="109">
        <v>1</v>
      </c>
      <c r="AO18" s="354">
        <f t="shared" si="3"/>
        <v>33.879310344827587</v>
      </c>
      <c r="AP18" s="355">
        <f t="shared" si="4"/>
        <v>33.879310344827587</v>
      </c>
      <c r="AQ18" s="1018">
        <f>VLOOKUP(AJ18,Marination_Ordering!$A:$J,6,FALSE)</f>
        <v>0.94</v>
      </c>
      <c r="AR18" s="1018">
        <f>VLOOKUP(AJ18,Marination_Ordering!$A:$J,10,FALSE)</f>
        <v>3.6363636363636367</v>
      </c>
      <c r="AS18" s="156">
        <f t="shared" si="7"/>
        <v>36.04181951577403</v>
      </c>
      <c r="AT18" s="1018">
        <f t="shared" si="8"/>
        <v>0.13106116187554195</v>
      </c>
    </row>
    <row r="19" spans="1:46" ht="14.25" customHeight="1" x14ac:dyDescent="0.2">
      <c r="A19" s="1461"/>
      <c r="B19" s="11"/>
      <c r="C19" s="312"/>
      <c r="D19" s="313"/>
      <c r="E19" s="84"/>
      <c r="K19" s="120"/>
      <c r="L19" s="76"/>
      <c r="M19" s="118"/>
      <c r="N19" s="112"/>
      <c r="O19" s="112"/>
      <c r="AJ19" s="105" t="s">
        <v>34</v>
      </c>
      <c r="AK19" s="310" t="s">
        <v>14</v>
      </c>
      <c r="AL19" s="311">
        <v>35</v>
      </c>
      <c r="AM19" s="177">
        <f t="shared" si="2"/>
        <v>3.3879310344827589</v>
      </c>
      <c r="AN19" s="109">
        <v>1</v>
      </c>
      <c r="AO19" s="354">
        <f t="shared" si="3"/>
        <v>118.57758620689656</v>
      </c>
      <c r="AP19" s="355">
        <f t="shared" si="4"/>
        <v>118.57758620689656</v>
      </c>
      <c r="AQ19" s="1018">
        <f>VLOOKUP(AJ19,Marination_Ordering!$A:$J,6,FALSE)</f>
        <v>0.86</v>
      </c>
      <c r="AR19" s="1018">
        <f>VLOOKUP(AJ19,Marination_Ordering!$A:$J,10,FALSE)</f>
        <v>14</v>
      </c>
      <c r="AS19" s="156">
        <f t="shared" si="7"/>
        <v>137.88091419406575</v>
      </c>
      <c r="AT19" s="1018">
        <f t="shared" si="8"/>
        <v>1.9303327987169205</v>
      </c>
    </row>
    <row r="20" spans="1:46" ht="14.25" customHeight="1" x14ac:dyDescent="0.2">
      <c r="A20" s="1461"/>
      <c r="B20" s="11"/>
      <c r="C20" s="555"/>
      <c r="D20" s="313"/>
      <c r="E20" s="84"/>
      <c r="K20" s="120"/>
      <c r="L20" s="76"/>
      <c r="M20" s="118"/>
      <c r="N20" s="112"/>
      <c r="O20" s="112"/>
    </row>
    <row r="21" spans="1:46" ht="12.75" customHeight="1" x14ac:dyDescent="0.2">
      <c r="A21" s="1461"/>
      <c r="B21" s="84"/>
      <c r="C21" s="556"/>
      <c r="E21" s="84"/>
      <c r="F21" s="84"/>
      <c r="K21" s="120"/>
      <c r="L21" s="76"/>
      <c r="M21" s="118"/>
      <c r="N21" s="112"/>
      <c r="O21" s="112"/>
    </row>
    <row r="22" spans="1:46" ht="12.75" customHeight="1" x14ac:dyDescent="0.2">
      <c r="A22" s="1461"/>
      <c r="B22" s="84"/>
      <c r="E22" s="84"/>
      <c r="F22" s="84"/>
      <c r="K22" s="120"/>
      <c r="L22" s="76"/>
      <c r="M22" s="118"/>
      <c r="N22" s="112"/>
      <c r="O22" s="112"/>
    </row>
    <row r="23" spans="1:46" x14ac:dyDescent="0.2">
      <c r="A23" s="1461"/>
      <c r="C23" s="556"/>
    </row>
    <row r="24" spans="1:46" x14ac:dyDescent="0.2">
      <c r="A24" s="1461"/>
      <c r="Z24" s="1073"/>
    </row>
    <row r="25" spans="1:46" ht="14.25" customHeight="1" x14ac:dyDescent="0.2">
      <c r="A25" s="1461"/>
      <c r="C25"/>
      <c r="R25" s="1662" t="s">
        <v>476</v>
      </c>
      <c r="S25" s="1633"/>
      <c r="T25" s="1633"/>
      <c r="U25" s="1633"/>
      <c r="V25" s="1052"/>
      <c r="W25" s="1052"/>
      <c r="Z25" s="122" t="s">
        <v>252</v>
      </c>
      <c r="AA25" s="123">
        <v>1</v>
      </c>
      <c r="AB25" s="132" t="s">
        <v>249</v>
      </c>
      <c r="AC25" s="1072">
        <f>((AA25*1.4)*AD30)+(Z30*(AA28/R1))</f>
        <v>4.0687084773606302E-2</v>
      </c>
    </row>
    <row r="26" spans="1:46" ht="14.25" customHeight="1" x14ac:dyDescent="0.2">
      <c r="A26" s="1461"/>
      <c r="C26"/>
      <c r="R26" s="1646" t="s">
        <v>291</v>
      </c>
      <c r="S26" s="1647"/>
      <c r="T26" s="1647"/>
      <c r="U26" s="1647"/>
      <c r="V26" s="1052"/>
      <c r="W26" s="1052"/>
    </row>
    <row r="27" spans="1:46" ht="14.25" customHeight="1" thickBot="1" x14ac:dyDescent="0.25">
      <c r="A27" s="1461"/>
      <c r="C27"/>
      <c r="R27" s="204" t="s">
        <v>254</v>
      </c>
      <c r="S27" s="205" t="s">
        <v>358</v>
      </c>
      <c r="T27" s="205" t="s">
        <v>460</v>
      </c>
      <c r="U27" s="205" t="s">
        <v>257</v>
      </c>
      <c r="V27" s="127" t="s">
        <v>772</v>
      </c>
      <c r="W27" s="127" t="s">
        <v>779</v>
      </c>
      <c r="Y27" s="122" t="s">
        <v>258</v>
      </c>
      <c r="Z27" s="1031" t="s">
        <v>312</v>
      </c>
      <c r="AA27" s="1031" t="s">
        <v>798</v>
      </c>
      <c r="AB27" s="1031" t="s">
        <v>460</v>
      </c>
      <c r="AC27" s="1032" t="s">
        <v>779</v>
      </c>
      <c r="AD27" s="128" t="s">
        <v>262</v>
      </c>
    </row>
    <row r="28" spans="1:46" ht="14.25" customHeight="1" thickBot="1" x14ac:dyDescent="0.25">
      <c r="A28" s="1461"/>
      <c r="C28"/>
      <c r="M28" s="314"/>
      <c r="R28" s="125" t="s">
        <v>263</v>
      </c>
      <c r="S28" s="1178">
        <f>$Z$1</f>
        <v>19150</v>
      </c>
      <c r="T28" s="1175">
        <f>S28*$P$15</f>
        <v>7660</v>
      </c>
      <c r="U28" s="1175">
        <f>S28+T28</f>
        <v>26810</v>
      </c>
      <c r="V28" s="130">
        <f>SUM(AP5:AP19)</f>
        <v>3862.2413793103447</v>
      </c>
      <c r="W28" s="130">
        <f>H37</f>
        <v>1560</v>
      </c>
      <c r="Y28" s="132"/>
      <c r="Z28" s="1034"/>
      <c r="AA28" s="133">
        <f>AA25</f>
        <v>1</v>
      </c>
      <c r="AB28" s="133">
        <f>AA25*P15</f>
        <v>0.4</v>
      </c>
      <c r="AC28" s="1034"/>
      <c r="AD28" s="135">
        <f>SUM(AA28:AB28)</f>
        <v>1.4</v>
      </c>
    </row>
    <row r="29" spans="1:46" ht="14.25" customHeight="1" thickBot="1" x14ac:dyDescent="0.25">
      <c r="A29" s="1461"/>
      <c r="R29" s="125" t="s">
        <v>264</v>
      </c>
      <c r="S29" s="208"/>
      <c r="T29" s="1175"/>
      <c r="U29" s="1175">
        <f>T29</f>
        <v>0</v>
      </c>
      <c r="V29" s="130"/>
      <c r="W29" s="130"/>
      <c r="Y29" s="132"/>
      <c r="Z29" s="1038"/>
      <c r="AA29" s="137">
        <f>AA28/$AD$28</f>
        <v>0.7142857142857143</v>
      </c>
      <c r="AB29" s="137">
        <f>AB28/$AD$28</f>
        <v>0.28571428571428575</v>
      </c>
      <c r="AC29" s="1038"/>
      <c r="AD29" s="137">
        <f>AD28/$AD$28</f>
        <v>1</v>
      </c>
    </row>
    <row r="30" spans="1:46" ht="14.25" customHeight="1" thickBot="1" x14ac:dyDescent="0.25">
      <c r="A30" s="1461"/>
      <c r="R30" s="125" t="s">
        <v>265</v>
      </c>
      <c r="S30" s="1189">
        <f>$AB$1</f>
        <v>500</v>
      </c>
      <c r="T30" s="1175">
        <f>S30*$P$15</f>
        <v>200</v>
      </c>
      <c r="U30" s="1175">
        <f>S30+T30</f>
        <v>700</v>
      </c>
      <c r="V30" s="989"/>
      <c r="W30" s="989"/>
      <c r="Y30" s="122" t="s">
        <v>266</v>
      </c>
      <c r="Z30" s="1042">
        <f>V35/(S32/R1)</f>
        <v>1.4203131827118941E-3</v>
      </c>
      <c r="AA30" s="138">
        <f>S35/(S32)</f>
        <v>3.4282277465918207E-2</v>
      </c>
      <c r="AB30" s="139">
        <f>T35/T32</f>
        <v>7.5789884135472373E-3</v>
      </c>
      <c r="AC30" s="1045">
        <f>W35/U32</f>
        <v>6.6028293571951423E-4</v>
      </c>
      <c r="AD30" s="1047">
        <f>SUMPRODUCT(AA30:AB30,AA29:AB29)+AC30</f>
        <v>2.7313049243817444E-2</v>
      </c>
    </row>
    <row r="31" spans="1:46" ht="14.25" customHeight="1" thickBot="1" x14ac:dyDescent="0.25">
      <c r="A31" s="1461"/>
      <c r="R31" s="125" t="s">
        <v>267</v>
      </c>
      <c r="S31" s="208"/>
      <c r="T31" s="206"/>
      <c r="U31" s="206"/>
      <c r="V31" s="130"/>
      <c r="W31" s="130"/>
    </row>
    <row r="32" spans="1:46" ht="14.25" customHeight="1" thickBot="1" x14ac:dyDescent="0.25">
      <c r="A32" s="1461"/>
      <c r="R32" s="214" t="s">
        <v>257</v>
      </c>
      <c r="S32" s="206">
        <f>S28+S30</f>
        <v>19650</v>
      </c>
      <c r="T32" s="206">
        <f>SUM(T28:T30)</f>
        <v>7860</v>
      </c>
      <c r="U32" s="206">
        <f>SUM(U28:U30)</f>
        <v>27510</v>
      </c>
      <c r="V32" s="206">
        <f>SUM(V28:V30)</f>
        <v>3862.2413793103447</v>
      </c>
      <c r="W32" s="130">
        <f>SUM(W28:W30)</f>
        <v>1560</v>
      </c>
      <c r="AH32" s="112"/>
      <c r="AI32" s="112"/>
    </row>
    <row r="33" spans="1:23" ht="14.25" customHeight="1" thickBot="1" x14ac:dyDescent="0.3">
      <c r="A33" s="1461"/>
      <c r="R33" s="317"/>
      <c r="S33" s="318"/>
      <c r="T33" s="318"/>
      <c r="U33" s="319"/>
      <c r="V33" s="136"/>
      <c r="W33" s="136"/>
    </row>
    <row r="34" spans="1:23" ht="14.25" customHeight="1" thickBot="1" x14ac:dyDescent="0.25">
      <c r="A34" s="1461"/>
      <c r="R34" s="159" t="s">
        <v>269</v>
      </c>
      <c r="S34" s="320"/>
      <c r="T34" s="321"/>
      <c r="U34" s="320"/>
      <c r="V34" s="136"/>
      <c r="W34" s="136"/>
    </row>
    <row r="35" spans="1:23" ht="12.75" customHeight="1" thickBot="1" x14ac:dyDescent="0.25">
      <c r="A35" s="1461"/>
      <c r="B35" s="1681" t="s">
        <v>685</v>
      </c>
      <c r="C35" s="1681"/>
      <c r="D35" s="1681"/>
      <c r="E35" s="1681"/>
      <c r="F35" s="1681"/>
      <c r="G35" s="797"/>
      <c r="H35" s="797"/>
      <c r="I35" s="803"/>
      <c r="J35" s="803"/>
      <c r="K35" s="803"/>
      <c r="L35" s="803"/>
      <c r="R35" s="144" t="s">
        <v>249</v>
      </c>
      <c r="S35" s="990">
        <f>$L$5</f>
        <v>673.64675220529273</v>
      </c>
      <c r="T35" s="990">
        <f>SUM(L6:L9)</f>
        <v>59.570848930481283</v>
      </c>
      <c r="U35" s="990">
        <f>S35+T35+V35+W35</f>
        <v>799.50121580136386</v>
      </c>
      <c r="V35" s="990">
        <f>SUM(AT6:AT19)</f>
        <v>48.119231103946071</v>
      </c>
      <c r="W35" s="990">
        <f>L37</f>
        <v>18.164383561643838</v>
      </c>
    </row>
    <row r="36" spans="1:23" ht="12.75" customHeight="1" x14ac:dyDescent="0.2">
      <c r="A36" s="1461"/>
      <c r="B36" s="776" t="s">
        <v>241</v>
      </c>
      <c r="C36" s="776" t="s">
        <v>317</v>
      </c>
      <c r="D36" s="778" t="s">
        <v>622</v>
      </c>
      <c r="E36" s="775" t="s">
        <v>623</v>
      </c>
      <c r="F36" s="778" t="s">
        <v>624</v>
      </c>
      <c r="G36" s="797"/>
      <c r="H36" s="778" t="s">
        <v>624</v>
      </c>
      <c r="I36" s="778" t="s">
        <v>246</v>
      </c>
      <c r="J36" s="778" t="s">
        <v>247</v>
      </c>
      <c r="K36" s="778" t="s">
        <v>248</v>
      </c>
      <c r="L36" s="778" t="s">
        <v>249</v>
      </c>
    </row>
    <row r="37" spans="1:23" ht="12.75" customHeight="1" x14ac:dyDescent="0.2">
      <c r="A37" s="1461"/>
      <c r="B37" s="772" t="s">
        <v>28</v>
      </c>
      <c r="C37" s="773" t="s">
        <v>14</v>
      </c>
      <c r="D37" s="774">
        <v>12</v>
      </c>
      <c r="E37" s="772">
        <f>$AD$1</f>
        <v>130</v>
      </c>
      <c r="F37" s="772">
        <f>D37*E37</f>
        <v>1560</v>
      </c>
      <c r="G37" s="796"/>
      <c r="H37" s="772">
        <f>F37</f>
        <v>1560</v>
      </c>
      <c r="I37" s="772">
        <f>VLOOKUP(B37,All_Ingredients!$A$1:$F$156,6,FALSE())</f>
        <v>0.73</v>
      </c>
      <c r="J37" s="772">
        <f>VLOOKUP(B37,All_Ingredients!$A$1:$J$156,10,FALSE())</f>
        <v>8.5</v>
      </c>
      <c r="K37" s="772">
        <f>(H37/I37)/1000</f>
        <v>2.1369863013698631</v>
      </c>
      <c r="L37" s="772">
        <f>K37*J37</f>
        <v>18.164383561643838</v>
      </c>
    </row>
    <row r="38" spans="1:23" ht="12.75" customHeight="1" x14ac:dyDescent="0.2">
      <c r="A38" s="1461"/>
      <c r="B38" s="84"/>
      <c r="E38" s="84"/>
      <c r="F38" s="84"/>
    </row>
    <row r="39" spans="1:23" ht="12.75" customHeight="1" x14ac:dyDescent="0.2">
      <c r="A39" s="1461"/>
      <c r="B39" s="84"/>
      <c r="C39" s="84"/>
      <c r="D39" s="322"/>
      <c r="E39" s="84"/>
      <c r="F39" s="84"/>
      <c r="G39" s="84"/>
      <c r="H39" s="84"/>
      <c r="I39" s="84"/>
      <c r="J39" s="84"/>
    </row>
    <row r="40" spans="1:23" x14ac:dyDescent="0.2">
      <c r="A40" s="1461"/>
      <c r="B40" s="84"/>
      <c r="C40" s="84"/>
      <c r="D40" s="84"/>
      <c r="E40" s="84"/>
      <c r="F40" s="84"/>
      <c r="G40" s="84"/>
      <c r="H40" s="84"/>
      <c r="I40" s="84"/>
      <c r="J40" s="84"/>
    </row>
    <row r="41" spans="1:23" ht="18" customHeight="1" x14ac:dyDescent="0.2">
      <c r="A41" s="1461"/>
      <c r="B41" s="261"/>
    </row>
    <row r="42" spans="1:23" ht="18" customHeight="1" x14ac:dyDescent="0.2">
      <c r="A42" s="1461"/>
      <c r="B42" s="239"/>
    </row>
    <row r="43" spans="1:23" ht="12.75" customHeight="1" x14ac:dyDescent="0.2">
      <c r="A43" s="1461"/>
      <c r="B43" s="323"/>
      <c r="C43" s="324"/>
      <c r="D43" s="323"/>
      <c r="E43" s="323"/>
      <c r="F43" s="323"/>
      <c r="G43" s="323"/>
      <c r="H43" s="323"/>
      <c r="I43" s="323"/>
      <c r="J43" s="323"/>
    </row>
    <row r="44" spans="1:23" ht="14.25" customHeight="1" x14ac:dyDescent="0.2">
      <c r="A44" s="1461"/>
      <c r="B44" s="325"/>
      <c r="C44" s="325"/>
      <c r="D44" s="309"/>
      <c r="E44" s="309"/>
      <c r="F44" s="117"/>
      <c r="G44" s="118"/>
      <c r="H44" s="119"/>
      <c r="I44" s="76"/>
      <c r="J44" s="120"/>
    </row>
    <row r="45" spans="1:23" ht="14.25" customHeight="1" x14ac:dyDescent="0.2">
      <c r="A45" s="1461"/>
      <c r="B45" s="325"/>
      <c r="C45" s="325"/>
      <c r="D45" s="309"/>
      <c r="E45" s="309"/>
      <c r="F45" s="117"/>
      <c r="G45" s="118"/>
      <c r="H45" s="119"/>
      <c r="I45" s="76"/>
      <c r="J45" s="120"/>
    </row>
    <row r="46" spans="1:23" ht="14.25" customHeight="1" x14ac:dyDescent="0.2">
      <c r="A46" s="1461"/>
      <c r="B46" s="325"/>
      <c r="C46" s="325"/>
      <c r="D46" s="309"/>
      <c r="E46" s="309"/>
      <c r="F46" s="117"/>
      <c r="G46" s="118"/>
      <c r="H46" s="119"/>
      <c r="I46" s="76"/>
      <c r="J46" s="120"/>
    </row>
    <row r="47" spans="1:23" ht="14.25" customHeight="1" x14ac:dyDescent="0.2">
      <c r="A47" s="1461"/>
      <c r="B47" s="325"/>
      <c r="C47" s="325"/>
      <c r="D47" s="309"/>
      <c r="E47" s="309"/>
      <c r="F47" s="117"/>
    </row>
    <row r="48" spans="1:23" ht="14.25" customHeight="1" x14ac:dyDescent="0.2">
      <c r="A48" s="1461"/>
      <c r="B48" s="325"/>
      <c r="C48" s="325"/>
      <c r="D48" s="309"/>
      <c r="E48" s="309"/>
      <c r="F48" s="117"/>
      <c r="G48" s="84"/>
      <c r="H48" s="84"/>
      <c r="I48" s="84"/>
      <c r="J48" s="84"/>
    </row>
    <row r="49" spans="1:10" ht="14.25" customHeight="1" x14ac:dyDescent="0.2">
      <c r="A49" s="1461"/>
      <c r="B49" s="325"/>
      <c r="C49" s="325"/>
      <c r="D49" s="309"/>
      <c r="E49" s="309"/>
      <c r="F49" s="117"/>
      <c r="G49" s="84"/>
      <c r="H49" s="84"/>
      <c r="I49" s="84"/>
      <c r="J49" s="84"/>
    </row>
    <row r="50" spans="1:10" ht="14.25" customHeight="1" x14ac:dyDescent="0.2">
      <c r="A50" s="1461"/>
      <c r="B50" s="325"/>
      <c r="C50" s="325"/>
      <c r="D50" s="309"/>
      <c r="E50" s="309"/>
      <c r="F50" s="117"/>
    </row>
    <row r="51" spans="1:10" ht="14.25" customHeight="1" x14ac:dyDescent="0.2">
      <c r="A51" s="1461"/>
      <c r="B51" s="160"/>
      <c r="C51" s="160"/>
      <c r="D51" s="160"/>
      <c r="E51" s="84"/>
      <c r="F51" s="84"/>
    </row>
    <row r="52" spans="1:10" ht="14.25" customHeight="1" x14ac:dyDescent="0.2">
      <c r="A52" s="1461"/>
      <c r="B52" s="160"/>
      <c r="C52" s="813"/>
      <c r="D52" s="446"/>
      <c r="E52" s="164"/>
      <c r="F52" s="84"/>
      <c r="G52" s="323"/>
      <c r="H52" s="323"/>
      <c r="I52" s="323"/>
      <c r="J52" s="323"/>
    </row>
    <row r="53" spans="1:10" ht="14.25" customHeight="1" x14ac:dyDescent="0.2">
      <c r="A53" s="1461"/>
      <c r="B53" s="11"/>
      <c r="C53" s="312"/>
      <c r="D53" s="447"/>
      <c r="E53" s="84"/>
      <c r="F53" s="84"/>
      <c r="G53" s="118"/>
      <c r="H53" s="119"/>
      <c r="I53" s="76"/>
      <c r="J53" s="120"/>
    </row>
    <row r="54" spans="1:10" ht="14.25" customHeight="1" x14ac:dyDescent="0.2">
      <c r="A54" s="1461"/>
      <c r="B54" s="11"/>
      <c r="C54" s="312"/>
      <c r="D54" s="447"/>
      <c r="E54" s="84"/>
      <c r="F54" s="84"/>
      <c r="G54" s="118"/>
      <c r="H54" s="119"/>
      <c r="I54" s="76"/>
      <c r="J54" s="120"/>
    </row>
    <row r="55" spans="1:10" ht="14.25" customHeight="1" x14ac:dyDescent="0.2">
      <c r="A55" s="1461"/>
      <c r="B55" s="11"/>
      <c r="C55" s="312"/>
      <c r="D55" s="447"/>
      <c r="E55" s="84"/>
      <c r="F55" s="84"/>
      <c r="G55" s="118"/>
      <c r="H55" s="119"/>
      <c r="I55" s="76"/>
      <c r="J55" s="120"/>
    </row>
    <row r="56" spans="1:10" ht="14.25" customHeight="1" x14ac:dyDescent="0.2">
      <c r="A56" s="1461"/>
      <c r="B56" s="11"/>
      <c r="C56" s="312"/>
      <c r="D56" s="313"/>
      <c r="E56" s="84"/>
      <c r="F56" s="84"/>
      <c r="G56" s="118"/>
      <c r="H56" s="119"/>
      <c r="I56" s="76"/>
      <c r="J56" s="120"/>
    </row>
    <row r="57" spans="1:10" ht="18" customHeight="1" x14ac:dyDescent="0.2">
      <c r="A57" s="1461"/>
      <c r="B57" s="239"/>
    </row>
    <row r="58" spans="1:10" ht="12.75" customHeight="1" x14ac:dyDescent="0.2">
      <c r="A58" s="1461"/>
      <c r="B58" s="323"/>
      <c r="C58" s="324"/>
      <c r="D58" s="323"/>
      <c r="E58" s="323"/>
      <c r="F58" s="323"/>
      <c r="G58" s="323"/>
      <c r="H58" s="323"/>
      <c r="I58" s="323"/>
      <c r="J58" s="323"/>
    </row>
    <row r="59" spans="1:10" ht="14.25" customHeight="1" x14ac:dyDescent="0.2">
      <c r="A59" s="1461"/>
      <c r="B59" s="325"/>
      <c r="C59" s="325"/>
      <c r="D59" s="325"/>
      <c r="E59" s="309"/>
      <c r="F59" s="117"/>
      <c r="G59" s="118"/>
      <c r="H59" s="119"/>
      <c r="I59" s="76"/>
      <c r="J59" s="120"/>
    </row>
    <row r="60" spans="1:10" ht="14.25" customHeight="1" x14ac:dyDescent="0.2">
      <c r="A60" s="1461"/>
      <c r="B60" s="325"/>
      <c r="C60" s="325"/>
      <c r="D60" s="325"/>
      <c r="E60" s="309"/>
      <c r="F60" s="117"/>
      <c r="G60" s="118"/>
      <c r="H60" s="119"/>
      <c r="I60" s="76"/>
      <c r="J60" s="120"/>
    </row>
    <row r="61" spans="1:10" ht="14.25" customHeight="1" x14ac:dyDescent="0.2">
      <c r="A61" s="1461"/>
      <c r="B61" s="325"/>
      <c r="C61" s="325"/>
      <c r="D61" s="325"/>
      <c r="E61" s="309"/>
      <c r="F61" s="117"/>
      <c r="G61" s="118"/>
      <c r="H61" s="119"/>
      <c r="I61" s="76"/>
      <c r="J61" s="120"/>
    </row>
    <row r="62" spans="1:10" ht="12.75" customHeight="1" x14ac:dyDescent="0.2">
      <c r="A62" s="1461"/>
      <c r="B62" s="239"/>
    </row>
    <row r="63" spans="1:10" ht="18" customHeight="1" x14ac:dyDescent="0.2">
      <c r="A63" s="1461"/>
      <c r="B63" s="239"/>
      <c r="C63"/>
      <c r="D63"/>
      <c r="E63"/>
      <c r="F63"/>
      <c r="G63"/>
      <c r="H63"/>
    </row>
    <row r="64" spans="1:10" x14ac:dyDescent="0.2">
      <c r="A64" s="1470"/>
      <c r="B64" s="323"/>
      <c r="C64" s="324"/>
      <c r="D64" s="323"/>
      <c r="E64" s="323"/>
      <c r="F64" s="323"/>
      <c r="G64" s="323"/>
      <c r="H64" s="323"/>
    </row>
    <row r="65" spans="1:12" ht="14.25" customHeight="1" x14ac:dyDescent="0.2">
      <c r="A65" s="1461"/>
      <c r="B65" s="325"/>
      <c r="C65" s="325"/>
      <c r="D65" s="812"/>
      <c r="E65" s="273"/>
      <c r="F65" s="117"/>
      <c r="G65" s="121"/>
      <c r="H65" s="119"/>
      <c r="I65" s="76"/>
      <c r="J65" s="118"/>
      <c r="K65" s="76"/>
      <c r="L65" s="118"/>
    </row>
    <row r="66" spans="1:12" ht="14.25" customHeight="1" x14ac:dyDescent="0.2">
      <c r="A66" s="1461"/>
      <c r="B66" s="325"/>
      <c r="C66" s="325"/>
      <c r="D66" s="325"/>
      <c r="E66" s="449"/>
      <c r="F66" s="117"/>
      <c r="G66" s="118"/>
      <c r="H66" s="119"/>
    </row>
    <row r="67" spans="1:12" ht="14.25" customHeight="1" x14ac:dyDescent="0.2">
      <c r="A67" s="1461"/>
      <c r="B67" s="325"/>
      <c r="C67" s="325"/>
      <c r="D67" s="325"/>
      <c r="E67" s="449"/>
      <c r="F67" s="117"/>
      <c r="G67" s="118"/>
      <c r="H67" s="119"/>
    </row>
    <row r="68" spans="1:12" ht="14.25" customHeight="1" x14ac:dyDescent="0.2">
      <c r="A68" s="1461"/>
      <c r="B68" s="325"/>
      <c r="C68" s="325"/>
      <c r="D68" s="325"/>
      <c r="E68" s="449"/>
      <c r="F68" s="117"/>
      <c r="G68" s="118"/>
      <c r="H68" s="119"/>
    </row>
    <row r="69" spans="1:12" ht="14.25" customHeight="1" x14ac:dyDescent="0.2">
      <c r="A69" s="1461"/>
      <c r="B69" s="325"/>
      <c r="C69" s="325"/>
      <c r="D69" s="325"/>
      <c r="E69" s="449"/>
      <c r="F69" s="117"/>
      <c r="G69" s="118"/>
      <c r="H69" s="119"/>
    </row>
    <row r="70" spans="1:12" ht="14.25" customHeight="1" x14ac:dyDescent="0.2">
      <c r="A70" s="1461"/>
      <c r="B70" s="325"/>
      <c r="C70" s="325"/>
      <c r="D70" s="325"/>
      <c r="E70" s="449"/>
      <c r="F70" s="117"/>
      <c r="G70" s="118"/>
      <c r="H70" s="119"/>
    </row>
    <row r="71" spans="1:12" ht="14.25" customHeight="1" x14ac:dyDescent="0.2">
      <c r="A71" s="1461"/>
      <c r="B71" s="325"/>
      <c r="C71" s="325"/>
      <c r="D71" s="325"/>
      <c r="E71" s="449"/>
      <c r="F71" s="117"/>
      <c r="G71" s="118"/>
      <c r="H71" s="119"/>
    </row>
    <row r="72" spans="1:12" ht="14.25" customHeight="1" x14ac:dyDescent="0.2">
      <c r="A72" s="1461"/>
      <c r="B72" s="325"/>
      <c r="C72" s="325"/>
      <c r="D72" s="325"/>
      <c r="E72" s="449"/>
      <c r="F72" s="117"/>
      <c r="G72" s="118"/>
      <c r="H72" s="119"/>
    </row>
    <row r="73" spans="1:12" ht="14.25" customHeight="1" x14ac:dyDescent="0.2">
      <c r="A73" s="1461"/>
      <c r="B73" s="325"/>
      <c r="C73" s="325"/>
      <c r="D73" s="325"/>
      <c r="E73" s="449"/>
      <c r="F73" s="117"/>
      <c r="G73" s="118"/>
      <c r="H73" s="119"/>
    </row>
    <row r="74" spans="1:12" ht="14.25" customHeight="1" x14ac:dyDescent="0.2">
      <c r="A74" s="1461"/>
      <c r="B74" s="325"/>
      <c r="C74" s="325"/>
      <c r="D74" s="325"/>
      <c r="E74" s="449"/>
      <c r="F74" s="117"/>
      <c r="G74" s="118"/>
      <c r="H74" s="119"/>
    </row>
    <row r="75" spans="1:12" ht="14.25" customHeight="1" x14ac:dyDescent="0.2">
      <c r="A75" s="1461"/>
      <c r="B75" s="325"/>
      <c r="C75" s="325"/>
      <c r="D75" s="325"/>
      <c r="E75" s="449"/>
      <c r="F75" s="117"/>
      <c r="G75" s="118"/>
      <c r="H75" s="119"/>
    </row>
    <row r="76" spans="1:12" ht="20.25" customHeight="1" x14ac:dyDescent="0.3">
      <c r="A76" s="1461"/>
      <c r="B76" s="184"/>
      <c r="C76" s="450"/>
      <c r="D76" s="451"/>
      <c r="E76" s="452"/>
      <c r="F76" s="451"/>
      <c r="G76" s="453"/>
    </row>
    <row r="77" spans="1:12" x14ac:dyDescent="0.2">
      <c r="A77" s="1461"/>
    </row>
    <row r="78" spans="1:12" ht="12.75" customHeight="1" x14ac:dyDescent="0.2">
      <c r="A78" s="1461"/>
      <c r="E78" s="84"/>
      <c r="F78" s="84"/>
    </row>
    <row r="79" spans="1:12" ht="12.75" customHeight="1" x14ac:dyDescent="0.2">
      <c r="A79" s="1461"/>
      <c r="E79" s="84"/>
      <c r="F79" s="84"/>
    </row>
    <row r="80" spans="1:12" ht="12.75" customHeight="1" x14ac:dyDescent="0.2">
      <c r="A80" s="1461"/>
      <c r="B80" s="84"/>
      <c r="E80" s="84"/>
      <c r="F80" s="84"/>
    </row>
    <row r="81" spans="1:6" ht="12.75" customHeight="1" x14ac:dyDescent="0.2">
      <c r="A81" s="1461"/>
      <c r="B81" s="84"/>
      <c r="E81" s="84"/>
      <c r="F81" s="84"/>
    </row>
    <row r="82" spans="1:6" ht="12.75" customHeight="1" x14ac:dyDescent="0.2">
      <c r="A82" s="1461"/>
      <c r="B82" s="84"/>
      <c r="E82" s="84"/>
      <c r="F82" s="84"/>
    </row>
    <row r="83" spans="1:6" ht="12.75" customHeight="1" x14ac:dyDescent="0.2">
      <c r="A83" s="1461"/>
      <c r="B83" s="84"/>
      <c r="E83" s="84"/>
      <c r="F83" s="84"/>
    </row>
    <row r="84" spans="1:6" ht="12.75" customHeight="1" x14ac:dyDescent="0.2">
      <c r="A84" s="1461"/>
      <c r="B84" s="84"/>
      <c r="E84" s="84"/>
      <c r="F84" s="84"/>
    </row>
    <row r="85" spans="1:6" ht="12.75" customHeight="1" x14ac:dyDescent="0.2">
      <c r="A85" s="1461"/>
      <c r="B85" s="84"/>
      <c r="E85" s="84"/>
      <c r="F85" s="84"/>
    </row>
    <row r="86" spans="1:6" ht="12.75" customHeight="1" x14ac:dyDescent="0.2">
      <c r="A86" s="1461"/>
      <c r="B86" s="84"/>
      <c r="E86" s="84"/>
      <c r="F86" s="84"/>
    </row>
    <row r="87" spans="1:6" ht="12.75" customHeight="1" x14ac:dyDescent="0.2">
      <c r="A87" s="1461"/>
      <c r="B87" s="84"/>
      <c r="E87" s="84"/>
      <c r="F87" s="84"/>
    </row>
    <row r="88" spans="1:6" ht="12.75" customHeight="1" x14ac:dyDescent="0.2">
      <c r="A88" s="1461"/>
      <c r="B88" s="84"/>
      <c r="E88" s="84"/>
      <c r="F88" s="84"/>
    </row>
    <row r="89" spans="1:6" ht="12.75" customHeight="1" x14ac:dyDescent="0.2">
      <c r="A89" s="1461"/>
      <c r="B89" s="84"/>
      <c r="E89" s="84"/>
      <c r="F89" s="84"/>
    </row>
    <row r="90" spans="1:6" ht="12.75" customHeight="1" x14ac:dyDescent="0.2">
      <c r="A90" s="1461"/>
      <c r="B90" s="84"/>
      <c r="E90" s="84"/>
      <c r="F90" s="84"/>
    </row>
    <row r="91" spans="1:6" ht="12.75" customHeight="1" x14ac:dyDescent="0.2">
      <c r="A91" s="1461"/>
      <c r="B91" s="84"/>
      <c r="E91" s="84"/>
      <c r="F91" s="84"/>
    </row>
    <row r="92" spans="1:6" ht="12.75" customHeight="1" x14ac:dyDescent="0.2">
      <c r="A92" s="1461"/>
      <c r="B92" s="84"/>
      <c r="E92" s="84"/>
      <c r="F92" s="84"/>
    </row>
    <row r="93" spans="1:6" ht="12.75" customHeight="1" x14ac:dyDescent="0.2">
      <c r="A93" s="1461"/>
      <c r="B93" s="84"/>
      <c r="E93" s="84"/>
      <c r="F93" s="84"/>
    </row>
    <row r="94" spans="1:6" ht="12.75" customHeight="1" x14ac:dyDescent="0.2">
      <c r="A94" s="1461"/>
      <c r="B94" s="84"/>
      <c r="E94" s="84"/>
      <c r="F94" s="84"/>
    </row>
    <row r="95" spans="1:6" ht="12.75" customHeight="1" x14ac:dyDescent="0.2">
      <c r="A95" s="1461"/>
      <c r="B95" s="84"/>
      <c r="E95" s="84"/>
      <c r="F95" s="84"/>
    </row>
    <row r="96" spans="1:6" ht="12.75" customHeight="1" x14ac:dyDescent="0.2">
      <c r="A96" s="1461"/>
      <c r="B96" s="84"/>
      <c r="E96" s="84"/>
      <c r="F96" s="84"/>
    </row>
    <row r="97" spans="1:6" ht="12.75" customHeight="1" x14ac:dyDescent="0.2">
      <c r="A97" s="1461"/>
      <c r="B97" s="84"/>
      <c r="E97" s="84"/>
      <c r="F97" s="84"/>
    </row>
    <row r="98" spans="1:6" ht="12.75" customHeight="1" x14ac:dyDescent="0.2">
      <c r="A98" s="1461"/>
      <c r="B98" s="84"/>
      <c r="E98" s="84"/>
      <c r="F98" s="84"/>
    </row>
    <row r="99" spans="1:6" ht="12.75" customHeight="1" x14ac:dyDescent="0.2">
      <c r="A99" s="1461"/>
      <c r="B99" s="84"/>
      <c r="E99" s="84"/>
      <c r="F99" s="84"/>
    </row>
    <row r="100" spans="1:6" ht="12.75" customHeight="1" x14ac:dyDescent="0.2">
      <c r="A100" s="1461"/>
      <c r="B100" s="84"/>
      <c r="E100" s="84"/>
      <c r="F100" s="84"/>
    </row>
    <row r="101" spans="1:6" ht="12.75" customHeight="1" x14ac:dyDescent="0.2">
      <c r="A101" s="1461"/>
      <c r="B101" s="84"/>
      <c r="E101" s="84"/>
      <c r="F101" s="84"/>
    </row>
    <row r="102" spans="1:6" ht="12.75" customHeight="1" x14ac:dyDescent="0.2">
      <c r="A102" s="1461"/>
      <c r="B102" s="84"/>
      <c r="E102" s="84"/>
      <c r="F102" s="84"/>
    </row>
    <row r="103" spans="1:6" ht="12.75" customHeight="1" x14ac:dyDescent="0.2">
      <c r="A103" s="1461"/>
      <c r="B103" s="84"/>
      <c r="E103" s="84"/>
      <c r="F103" s="84"/>
    </row>
    <row r="104" spans="1:6" ht="12.75" customHeight="1" x14ac:dyDescent="0.2">
      <c r="A104" s="1461"/>
      <c r="B104" s="84"/>
      <c r="E104" s="84"/>
      <c r="F104" s="84"/>
    </row>
    <row r="105" spans="1:6" ht="12.75" customHeight="1" x14ac:dyDescent="0.2">
      <c r="A105" s="1461"/>
      <c r="B105" s="84"/>
      <c r="E105" s="84"/>
      <c r="F105" s="84"/>
    </row>
    <row r="106" spans="1:6" ht="12.75" customHeight="1" x14ac:dyDescent="0.2">
      <c r="A106" s="1461"/>
      <c r="B106" s="84"/>
      <c r="E106" s="84"/>
      <c r="F106" s="84"/>
    </row>
    <row r="107" spans="1:6" ht="12.75" customHeight="1" x14ac:dyDescent="0.2">
      <c r="A107" s="1461"/>
      <c r="B107" s="84"/>
      <c r="E107" s="84"/>
      <c r="F107" s="84"/>
    </row>
    <row r="108" spans="1:6" ht="12.75" customHeight="1" x14ac:dyDescent="0.2">
      <c r="A108" s="1461"/>
      <c r="B108" s="84"/>
      <c r="E108" s="84"/>
      <c r="F108" s="84"/>
    </row>
    <row r="109" spans="1:6" ht="12.75" customHeight="1" x14ac:dyDescent="0.2">
      <c r="A109" s="1461"/>
      <c r="B109" s="84"/>
      <c r="E109" s="84"/>
      <c r="F109" s="84"/>
    </row>
    <row r="110" spans="1:6" ht="12.75" customHeight="1" x14ac:dyDescent="0.2">
      <c r="A110" s="1461"/>
      <c r="B110" s="84"/>
      <c r="E110" s="84"/>
      <c r="F110" s="84"/>
    </row>
    <row r="111" spans="1:6" ht="12.75" customHeight="1" x14ac:dyDescent="0.2">
      <c r="A111" s="1461"/>
      <c r="B111" s="84"/>
      <c r="E111" s="84"/>
      <c r="F111" s="84"/>
    </row>
    <row r="112" spans="1:6" ht="12.75" customHeight="1" x14ac:dyDescent="0.2">
      <c r="A112" s="1461"/>
      <c r="B112" s="84"/>
      <c r="E112" s="84"/>
      <c r="F112" s="84"/>
    </row>
    <row r="113" spans="1:6" ht="12.75" customHeight="1" x14ac:dyDescent="0.2">
      <c r="A113" s="1461"/>
      <c r="B113" s="84"/>
      <c r="E113" s="84"/>
      <c r="F113" s="84"/>
    </row>
    <row r="114" spans="1:6" ht="12.75" customHeight="1" x14ac:dyDescent="0.2">
      <c r="A114" s="1461"/>
      <c r="B114" s="84"/>
      <c r="E114" s="84"/>
      <c r="F114" s="84"/>
    </row>
    <row r="115" spans="1:6" ht="12.75" customHeight="1" x14ac:dyDescent="0.2">
      <c r="A115" s="1461"/>
      <c r="B115" s="84"/>
      <c r="E115" s="84"/>
      <c r="F115" s="84"/>
    </row>
    <row r="116" spans="1:6" ht="12.75" customHeight="1" x14ac:dyDescent="0.2">
      <c r="A116" s="1461"/>
      <c r="B116" s="84"/>
      <c r="E116" s="84"/>
      <c r="F116" s="84"/>
    </row>
    <row r="117" spans="1:6" ht="12.75" customHeight="1" x14ac:dyDescent="0.2">
      <c r="A117" s="1461"/>
      <c r="B117" s="84"/>
      <c r="E117" s="84"/>
      <c r="F117" s="84"/>
    </row>
    <row r="118" spans="1:6" ht="12.75" customHeight="1" x14ac:dyDescent="0.2">
      <c r="A118" s="1461"/>
      <c r="B118" s="84"/>
      <c r="E118" s="84"/>
      <c r="F118" s="84"/>
    </row>
    <row r="119" spans="1:6" ht="12.75" customHeight="1" x14ac:dyDescent="0.2">
      <c r="A119" s="1461"/>
      <c r="B119" s="84"/>
      <c r="E119" s="84"/>
      <c r="F119" s="84"/>
    </row>
    <row r="120" spans="1:6" ht="12.75" customHeight="1" x14ac:dyDescent="0.2">
      <c r="A120" s="1461"/>
      <c r="B120" s="84"/>
      <c r="E120" s="84"/>
      <c r="F120" s="84"/>
    </row>
    <row r="121" spans="1:6" ht="12.75" customHeight="1" x14ac:dyDescent="0.2">
      <c r="A121" s="1461"/>
      <c r="B121" s="84"/>
      <c r="E121" s="84"/>
      <c r="F121" s="84"/>
    </row>
    <row r="122" spans="1:6" ht="12.75" customHeight="1" x14ac:dyDescent="0.2">
      <c r="A122" s="1461"/>
      <c r="B122" s="84"/>
      <c r="E122" s="84"/>
      <c r="F122" s="84"/>
    </row>
    <row r="123" spans="1:6" ht="12.75" customHeight="1" x14ac:dyDescent="0.2">
      <c r="A123" s="1461"/>
      <c r="B123" s="84"/>
      <c r="E123" s="84"/>
      <c r="F123" s="84"/>
    </row>
    <row r="124" spans="1:6" ht="12.75" customHeight="1" x14ac:dyDescent="0.2">
      <c r="A124" s="1461"/>
      <c r="B124" s="84"/>
      <c r="E124" s="84"/>
      <c r="F124" s="84"/>
    </row>
    <row r="125" spans="1:6" ht="12.75" customHeight="1" x14ac:dyDescent="0.2">
      <c r="A125" s="1461"/>
      <c r="B125" s="84"/>
      <c r="E125" s="84"/>
      <c r="F125" s="84"/>
    </row>
    <row r="126" spans="1:6" ht="12.75" customHeight="1" x14ac:dyDescent="0.2">
      <c r="A126" s="1461"/>
      <c r="B126" s="84"/>
      <c r="E126" s="84"/>
      <c r="F126" s="84"/>
    </row>
    <row r="127" spans="1:6" ht="12.75" customHeight="1" x14ac:dyDescent="0.2">
      <c r="A127" s="1461"/>
      <c r="B127" s="84"/>
      <c r="E127" s="84"/>
      <c r="F127" s="84"/>
    </row>
    <row r="128" spans="1:6" ht="12.75" customHeight="1" x14ac:dyDescent="0.2">
      <c r="A128" s="1461"/>
      <c r="B128" s="84"/>
      <c r="E128" s="84"/>
      <c r="F128" s="84"/>
    </row>
    <row r="129" spans="1:6" ht="12.75" customHeight="1" x14ac:dyDescent="0.2">
      <c r="A129" s="1461"/>
      <c r="B129" s="84"/>
      <c r="E129" s="84"/>
      <c r="F129" s="84"/>
    </row>
    <row r="130" spans="1:6" ht="12.75" customHeight="1" x14ac:dyDescent="0.2">
      <c r="A130" s="1461"/>
      <c r="B130" s="84"/>
      <c r="E130" s="84"/>
      <c r="F130" s="84"/>
    </row>
    <row r="131" spans="1:6" ht="12.75" customHeight="1" x14ac:dyDescent="0.2">
      <c r="A131" s="1461"/>
      <c r="B131" s="84"/>
      <c r="E131" s="84"/>
      <c r="F131" s="84"/>
    </row>
    <row r="132" spans="1:6" ht="12.75" customHeight="1" x14ac:dyDescent="0.2">
      <c r="A132" s="1461"/>
      <c r="B132" s="84"/>
      <c r="E132" s="84"/>
      <c r="F132" s="84"/>
    </row>
    <row r="133" spans="1:6" ht="12.75" customHeight="1" x14ac:dyDescent="0.2">
      <c r="A133" s="1461"/>
      <c r="B133" s="84"/>
      <c r="E133" s="84"/>
      <c r="F133" s="84"/>
    </row>
    <row r="134" spans="1:6" ht="12.75" customHeight="1" x14ac:dyDescent="0.2">
      <c r="A134" s="1461"/>
      <c r="B134" s="84"/>
      <c r="E134" s="84"/>
      <c r="F134" s="84"/>
    </row>
    <row r="135" spans="1:6" ht="12.75" customHeight="1" x14ac:dyDescent="0.2">
      <c r="A135" s="1461"/>
      <c r="B135" s="84"/>
      <c r="E135" s="84"/>
      <c r="F135" s="84"/>
    </row>
    <row r="136" spans="1:6" ht="12.75" customHeight="1" x14ac:dyDescent="0.2">
      <c r="A136" s="1461"/>
      <c r="B136" s="84"/>
      <c r="E136" s="84"/>
      <c r="F136" s="84"/>
    </row>
    <row r="137" spans="1:6" ht="12.75" customHeight="1" x14ac:dyDescent="0.2">
      <c r="A137" s="1461"/>
      <c r="B137" s="84"/>
      <c r="E137" s="84"/>
      <c r="F137" s="84"/>
    </row>
    <row r="138" spans="1:6" ht="12.75" customHeight="1" x14ac:dyDescent="0.2">
      <c r="A138" s="1461"/>
      <c r="B138" s="84"/>
      <c r="E138" s="84"/>
      <c r="F138" s="84"/>
    </row>
    <row r="139" spans="1:6" ht="12.75" customHeight="1" x14ac:dyDescent="0.2">
      <c r="A139" s="1461"/>
      <c r="B139" s="84"/>
      <c r="E139" s="84"/>
      <c r="F139" s="84"/>
    </row>
    <row r="140" spans="1:6" ht="12.75" customHeight="1" x14ac:dyDescent="0.2">
      <c r="A140" s="1461"/>
      <c r="B140" s="84"/>
      <c r="E140" s="84"/>
      <c r="F140" s="84"/>
    </row>
    <row r="141" spans="1:6" ht="12.75" customHeight="1" x14ac:dyDescent="0.2">
      <c r="A141" s="1461"/>
      <c r="B141" s="84"/>
      <c r="E141" s="84"/>
      <c r="F141" s="84"/>
    </row>
    <row r="142" spans="1:6" ht="12.75" customHeight="1" x14ac:dyDescent="0.2">
      <c r="A142" s="1461"/>
      <c r="B142" s="84"/>
      <c r="E142" s="84"/>
      <c r="F142" s="84"/>
    </row>
    <row r="143" spans="1:6" ht="12.75" customHeight="1" x14ac:dyDescent="0.2">
      <c r="A143" s="1461"/>
      <c r="B143" s="84"/>
      <c r="E143" s="84"/>
      <c r="F143" s="84"/>
    </row>
    <row r="144" spans="1:6" ht="12.75" customHeight="1" x14ac:dyDescent="0.2">
      <c r="A144" s="1461"/>
      <c r="B144" s="84"/>
      <c r="E144" s="84"/>
      <c r="F144" s="84"/>
    </row>
    <row r="145" spans="1:6" ht="12.75" customHeight="1" x14ac:dyDescent="0.2">
      <c r="A145" s="1461"/>
      <c r="B145" s="84"/>
      <c r="E145" s="84"/>
      <c r="F145" s="84"/>
    </row>
    <row r="146" spans="1:6" ht="12.75" customHeight="1" x14ac:dyDescent="0.2">
      <c r="A146" s="1461"/>
      <c r="B146" s="84"/>
      <c r="E146" s="84"/>
      <c r="F146" s="84"/>
    </row>
    <row r="147" spans="1:6" ht="12.75" customHeight="1" x14ac:dyDescent="0.2">
      <c r="A147" s="1461"/>
      <c r="B147" s="84"/>
      <c r="E147" s="84"/>
      <c r="F147" s="84"/>
    </row>
    <row r="148" spans="1:6" ht="12.75" customHeight="1" x14ac:dyDescent="0.2">
      <c r="A148" s="1461"/>
      <c r="B148" s="84"/>
      <c r="E148" s="84"/>
      <c r="F148" s="84"/>
    </row>
    <row r="149" spans="1:6" ht="12.75" customHeight="1" x14ac:dyDescent="0.2">
      <c r="A149" s="1461"/>
      <c r="B149" s="84"/>
      <c r="E149" s="84"/>
      <c r="F149" s="84"/>
    </row>
    <row r="150" spans="1:6" ht="12.75" customHeight="1" x14ac:dyDescent="0.2">
      <c r="A150" s="1461"/>
      <c r="B150" s="84"/>
      <c r="E150" s="84"/>
      <c r="F150" s="84"/>
    </row>
    <row r="151" spans="1:6" ht="12.75" customHeight="1" x14ac:dyDescent="0.2">
      <c r="A151" s="1461"/>
      <c r="B151" s="84"/>
      <c r="E151" s="84"/>
      <c r="F151" s="84"/>
    </row>
    <row r="152" spans="1:6" ht="12.75" customHeight="1" x14ac:dyDescent="0.2">
      <c r="A152" s="1461"/>
      <c r="B152" s="84"/>
      <c r="E152" s="84"/>
      <c r="F152" s="84"/>
    </row>
    <row r="153" spans="1:6" ht="12.75" customHeight="1" x14ac:dyDescent="0.2">
      <c r="A153" s="1461"/>
      <c r="B153" s="84"/>
      <c r="E153" s="84"/>
      <c r="F153" s="84"/>
    </row>
    <row r="154" spans="1:6" ht="12.75" customHeight="1" x14ac:dyDescent="0.2">
      <c r="A154" s="1461"/>
      <c r="B154" s="84"/>
      <c r="E154" s="84"/>
      <c r="F154" s="84"/>
    </row>
    <row r="155" spans="1:6" ht="12.75" customHeight="1" x14ac:dyDescent="0.2">
      <c r="A155" s="1461"/>
      <c r="B155" s="84"/>
      <c r="E155" s="84"/>
      <c r="F155" s="84"/>
    </row>
    <row r="156" spans="1:6" ht="12.75" customHeight="1" x14ac:dyDescent="0.2">
      <c r="A156" s="1461"/>
      <c r="B156" s="84"/>
      <c r="E156" s="84"/>
      <c r="F156" s="84"/>
    </row>
    <row r="157" spans="1:6" ht="12.75" customHeight="1" x14ac:dyDescent="0.2">
      <c r="A157" s="1461"/>
      <c r="B157" s="84"/>
      <c r="E157" s="84"/>
      <c r="F157" s="84"/>
    </row>
    <row r="158" spans="1:6" ht="12.75" customHeight="1" x14ac:dyDescent="0.2">
      <c r="A158" s="1461"/>
      <c r="B158" s="84"/>
      <c r="E158" s="84"/>
      <c r="F158" s="84"/>
    </row>
    <row r="159" spans="1:6" ht="12.75" customHeight="1" x14ac:dyDescent="0.2">
      <c r="A159" s="1461"/>
      <c r="B159" s="84"/>
      <c r="E159" s="84"/>
      <c r="F159" s="84"/>
    </row>
    <row r="160" spans="1:6" ht="12.75" customHeight="1" x14ac:dyDescent="0.2">
      <c r="A160" s="1461"/>
      <c r="B160" s="84"/>
      <c r="E160" s="84"/>
      <c r="F160" s="84"/>
    </row>
    <row r="161" spans="1:6" ht="12.75" customHeight="1" x14ac:dyDescent="0.2">
      <c r="A161" s="1461"/>
      <c r="B161" s="84"/>
      <c r="E161" s="84"/>
      <c r="F161" s="84"/>
    </row>
    <row r="162" spans="1:6" ht="12.75" customHeight="1" x14ac:dyDescent="0.2">
      <c r="A162" s="1461"/>
      <c r="B162" s="84"/>
      <c r="E162" s="84"/>
      <c r="F162" s="84"/>
    </row>
    <row r="163" spans="1:6" ht="12.75" customHeight="1" x14ac:dyDescent="0.2">
      <c r="A163" s="1461"/>
      <c r="B163" s="84"/>
      <c r="E163" s="84"/>
      <c r="F163" s="84"/>
    </row>
    <row r="164" spans="1:6" ht="12.75" customHeight="1" x14ac:dyDescent="0.2">
      <c r="A164" s="1461"/>
      <c r="B164" s="84"/>
      <c r="E164" s="84"/>
      <c r="F164" s="84"/>
    </row>
    <row r="165" spans="1:6" ht="12.75" customHeight="1" x14ac:dyDescent="0.2">
      <c r="A165" s="1461"/>
      <c r="B165" s="84"/>
      <c r="E165" s="84"/>
      <c r="F165" s="84"/>
    </row>
    <row r="166" spans="1:6" ht="12.75" customHeight="1" x14ac:dyDescent="0.2">
      <c r="A166" s="1461"/>
      <c r="B166" s="84"/>
      <c r="E166" s="84"/>
      <c r="F166" s="84"/>
    </row>
    <row r="167" spans="1:6" ht="12.75" customHeight="1" x14ac:dyDescent="0.2">
      <c r="A167" s="1461"/>
      <c r="B167" s="84"/>
      <c r="E167" s="84"/>
      <c r="F167" s="84"/>
    </row>
    <row r="168" spans="1:6" ht="12.75" customHeight="1" x14ac:dyDescent="0.2">
      <c r="A168" s="1461"/>
      <c r="B168" s="84"/>
      <c r="E168" s="84"/>
      <c r="F168" s="84"/>
    </row>
    <row r="169" spans="1:6" ht="12.75" customHeight="1" x14ac:dyDescent="0.2">
      <c r="A169" s="1461"/>
      <c r="B169" s="84"/>
      <c r="E169" s="84"/>
      <c r="F169" s="84"/>
    </row>
    <row r="170" spans="1:6" ht="12.75" customHeight="1" x14ac:dyDescent="0.2">
      <c r="A170" s="1461"/>
      <c r="B170" s="84"/>
      <c r="E170" s="84"/>
      <c r="F170" s="84"/>
    </row>
    <row r="171" spans="1:6" ht="12.75" customHeight="1" x14ac:dyDescent="0.2">
      <c r="A171" s="1461"/>
      <c r="B171" s="84"/>
      <c r="E171" s="84"/>
      <c r="F171" s="84"/>
    </row>
    <row r="172" spans="1:6" ht="12.75" customHeight="1" x14ac:dyDescent="0.2">
      <c r="A172" s="1461"/>
      <c r="B172" s="84"/>
      <c r="E172" s="84"/>
      <c r="F172" s="84"/>
    </row>
    <row r="173" spans="1:6" ht="12.75" customHeight="1" x14ac:dyDescent="0.2">
      <c r="A173" s="1461"/>
      <c r="B173" s="84"/>
      <c r="E173" s="84"/>
      <c r="F173" s="84"/>
    </row>
    <row r="174" spans="1:6" ht="12.75" customHeight="1" x14ac:dyDescent="0.2">
      <c r="A174" s="1461"/>
      <c r="B174" s="84"/>
      <c r="E174" s="84"/>
      <c r="F174" s="84"/>
    </row>
    <row r="175" spans="1:6" ht="12.75" customHeight="1" x14ac:dyDescent="0.2">
      <c r="B175" s="84"/>
      <c r="E175" s="84"/>
      <c r="F175" s="84"/>
    </row>
    <row r="176" spans="1: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row r="972" spans="2:6" ht="12.75" customHeight="1" x14ac:dyDescent="0.2">
      <c r="B972" s="84"/>
      <c r="E972" s="84"/>
      <c r="F972" s="84"/>
    </row>
    <row r="973" spans="2:6" ht="12.75" customHeight="1" x14ac:dyDescent="0.2">
      <c r="B973" s="84"/>
      <c r="E973" s="84"/>
      <c r="F973" s="84"/>
    </row>
  </sheetData>
  <mergeCells count="5">
    <mergeCell ref="AL2:AM2"/>
    <mergeCell ref="R25:U25"/>
    <mergeCell ref="R26:U26"/>
    <mergeCell ref="B2:H3"/>
    <mergeCell ref="B35:F35"/>
  </mergeCells>
  <printOptions horizontalCentered="1"/>
  <pageMargins left="0.4" right="0.4" top="1" bottom="0.5" header="0.3" footer="0.511811023622047"/>
  <pageSetup paperSize="9" scale="42" orientation="landscape" r:id="rId1"/>
  <legacyDrawing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rgb="FFA6A6A6"/>
    <pageSetUpPr fitToPage="1"/>
  </sheetPr>
  <dimension ref="A1:AG174"/>
  <sheetViews>
    <sheetView topLeftCell="R13" zoomScale="70" zoomScaleNormal="70" workbookViewId="0">
      <selection activeCell="W44" sqref="W44"/>
    </sheetView>
  </sheetViews>
  <sheetFormatPr defaultColWidth="12.5" defaultRowHeight="15" x14ac:dyDescent="0.25"/>
  <cols>
    <col min="1" max="1" width="16.375" style="1" customWidth="1"/>
    <col min="2" max="2" width="36.75" customWidth="1"/>
    <col min="3" max="3" width="16.875" customWidth="1"/>
    <col min="4" max="4" width="19" customWidth="1"/>
    <col min="5" max="5" width="16.125" customWidth="1"/>
    <col min="6" max="6" width="23.125" customWidth="1"/>
    <col min="7" max="7" width="25.125" customWidth="1"/>
    <col min="8" max="8" width="25.5" customWidth="1"/>
    <col min="9" max="9" width="18" customWidth="1"/>
    <col min="12" max="12" width="8.375" customWidth="1"/>
    <col min="13" max="16" width="5.375" customWidth="1"/>
    <col min="18" max="18" width="32" customWidth="1"/>
    <col min="23" max="23" width="8.625" customWidth="1"/>
    <col min="24" max="24" width="31.625" customWidth="1"/>
    <col min="28" max="29" width="12.5" style="697"/>
  </cols>
  <sheetData>
    <row r="1" spans="1:33" ht="24" customHeight="1" x14ac:dyDescent="0.2">
      <c r="A1" s="64" t="s">
        <v>231</v>
      </c>
      <c r="B1" s="65">
        <v>1000</v>
      </c>
      <c r="C1" s="73" t="s">
        <v>313</v>
      </c>
      <c r="D1" s="74">
        <f>$S$30/J1</f>
        <v>28698.4126984127</v>
      </c>
      <c r="E1" s="75" t="s">
        <v>236</v>
      </c>
      <c r="F1" s="76" t="s">
        <v>314</v>
      </c>
      <c r="G1" s="75" t="s">
        <v>315</v>
      </c>
      <c r="H1" s="282">
        <f>H52</f>
        <v>18.080000000000002</v>
      </c>
      <c r="I1" s="77" t="s">
        <v>238</v>
      </c>
      <c r="J1" s="283">
        <v>0.63</v>
      </c>
      <c r="K1" s="84"/>
      <c r="Y1" s="75" t="s">
        <v>453</v>
      </c>
      <c r="Z1" s="766">
        <v>17580</v>
      </c>
      <c r="AA1" s="75" t="s">
        <v>556</v>
      </c>
      <c r="AB1" s="766">
        <v>500</v>
      </c>
      <c r="AC1" s="75" t="s">
        <v>546</v>
      </c>
      <c r="AD1" s="766">
        <v>131</v>
      </c>
    </row>
    <row r="2" spans="1:33" ht="12.75" customHeight="1" x14ac:dyDescent="0.25">
      <c r="A2" s="242"/>
      <c r="B2" s="1645" t="s">
        <v>955</v>
      </c>
      <c r="C2" s="1653"/>
      <c r="D2" s="1653"/>
      <c r="E2" s="1653"/>
      <c r="F2" s="1653"/>
      <c r="G2" s="1653"/>
      <c r="H2" s="1653"/>
      <c r="I2" s="1653"/>
      <c r="J2" s="1653"/>
      <c r="K2" s="1653"/>
      <c r="L2" s="270"/>
      <c r="M2" s="84"/>
      <c r="N2" s="84"/>
      <c r="AE2" s="1616"/>
      <c r="AF2" s="1653"/>
      <c r="AG2" s="1653"/>
    </row>
    <row r="3" spans="1:33" ht="12.75" customHeight="1" x14ac:dyDescent="0.25">
      <c r="A3" s="242"/>
      <c r="B3" s="1633"/>
      <c r="C3" s="1633"/>
      <c r="D3" s="1633"/>
      <c r="E3" s="1633"/>
      <c r="F3" s="1633"/>
      <c r="G3" s="1633"/>
      <c r="H3" s="1633"/>
      <c r="I3" s="1633"/>
      <c r="J3" s="1633"/>
      <c r="K3" s="1633"/>
      <c r="L3" s="270"/>
      <c r="M3" s="84"/>
      <c r="N3" s="84"/>
      <c r="AE3" s="1653"/>
      <c r="AF3" s="1653"/>
      <c r="AG3" s="1653"/>
    </row>
    <row r="4" spans="1:33" ht="46.5" customHeight="1" x14ac:dyDescent="0.2">
      <c r="A4" s="75" t="s">
        <v>903</v>
      </c>
      <c r="B4" s="75" t="s">
        <v>241</v>
      </c>
      <c r="C4" s="284" t="s">
        <v>317</v>
      </c>
      <c r="D4" s="75" t="s">
        <v>318</v>
      </c>
      <c r="E4" s="91" t="s">
        <v>319</v>
      </c>
      <c r="F4" s="91" t="s">
        <v>320</v>
      </c>
      <c r="G4" s="285" t="s">
        <v>321</v>
      </c>
      <c r="H4" s="92" t="s">
        <v>322</v>
      </c>
      <c r="I4" s="75" t="s">
        <v>246</v>
      </c>
      <c r="J4" s="75" t="s">
        <v>247</v>
      </c>
      <c r="K4" s="75" t="s">
        <v>248</v>
      </c>
      <c r="L4" s="75" t="s">
        <v>249</v>
      </c>
    </row>
    <row r="5" spans="1:33" ht="14.25" customHeight="1" x14ac:dyDescent="0.2">
      <c r="A5" s="1489"/>
      <c r="B5" s="459" t="s">
        <v>220</v>
      </c>
      <c r="C5" s="106" t="s">
        <v>14</v>
      </c>
      <c r="D5" s="98">
        <f>I51/H51</f>
        <v>1587.3015873015872</v>
      </c>
      <c r="E5" s="98">
        <f>I52/D5</f>
        <v>18.080000000000002</v>
      </c>
      <c r="F5" s="109">
        <v>1</v>
      </c>
      <c r="G5" s="101">
        <f t="shared" ref="G5:G17" si="0">D5*E5</f>
        <v>28698.4126984127</v>
      </c>
      <c r="H5" s="102">
        <f>D1</f>
        <v>28698.4126984127</v>
      </c>
      <c r="I5" s="65">
        <f>VLOOKUP(B5,All_Ingredients!$A$1:$F$156,6,FALSE())</f>
        <v>0.86</v>
      </c>
      <c r="J5" s="101">
        <f>VLOOKUP(B5,All_Ingredients!$A$1:$J$156,10,FALSE())</f>
        <v>17.100000000000001</v>
      </c>
      <c r="K5" s="104">
        <f t="shared" ref="K5" si="1">(H5/I5)/1000</f>
        <v>33.370247323735697</v>
      </c>
      <c r="L5" s="104">
        <f t="shared" ref="L5" si="2">K5*J5</f>
        <v>570.63122923588048</v>
      </c>
    </row>
    <row r="6" spans="1:33" ht="14.25" customHeight="1" x14ac:dyDescent="0.25">
      <c r="A6" s="1455"/>
      <c r="B6" s="20" t="s">
        <v>136</v>
      </c>
      <c r="C6" s="106" t="s">
        <v>14</v>
      </c>
      <c r="D6" s="107">
        <v>35</v>
      </c>
      <c r="E6" s="98">
        <f t="shared" ref="E6:E17" si="3">$H$52</f>
        <v>18.080000000000002</v>
      </c>
      <c r="F6" s="109">
        <v>0.5</v>
      </c>
      <c r="G6" s="101">
        <f t="shared" si="0"/>
        <v>632.80000000000007</v>
      </c>
      <c r="H6" s="102">
        <f t="shared" ref="H6:H17" si="4">G6*F6</f>
        <v>316.40000000000003</v>
      </c>
      <c r="I6" s="65">
        <f>VLOOKUP(B6,All_Ingredients!$A$1:$F$156,6,FALSE())</f>
        <v>1</v>
      </c>
      <c r="J6" s="101">
        <f>VLOOKUP(B6,All_Ingredients!$A$1:$J$156,10,FALSE())</f>
        <v>43.75</v>
      </c>
      <c r="K6" s="104">
        <f t="shared" ref="K6:K17" si="5">(H6/I6)/1000</f>
        <v>0.31640000000000001</v>
      </c>
      <c r="L6" s="104">
        <f t="shared" ref="L6:L17" si="6">K6*J6</f>
        <v>13.842500000000001</v>
      </c>
    </row>
    <row r="7" spans="1:33" ht="14.25" customHeight="1" x14ac:dyDescent="0.25">
      <c r="A7" s="1455"/>
      <c r="B7" s="20" t="s">
        <v>105</v>
      </c>
      <c r="C7" s="106" t="s">
        <v>14</v>
      </c>
      <c r="D7" s="107">
        <v>20</v>
      </c>
      <c r="E7" s="98">
        <f t="shared" si="3"/>
        <v>18.080000000000002</v>
      </c>
      <c r="F7" s="109">
        <v>0.7</v>
      </c>
      <c r="G7" s="101">
        <f t="shared" si="0"/>
        <v>361.6</v>
      </c>
      <c r="H7" s="102">
        <f t="shared" si="4"/>
        <v>253.12</v>
      </c>
      <c r="I7" s="65">
        <f>VLOOKUP(B7,All_Ingredients!$A$1:$F$156,6,FALSE())</f>
        <v>1</v>
      </c>
      <c r="J7" s="101">
        <f>VLOOKUP(B7,All_Ingredients!$A$1:$J$156,10,FALSE())</f>
        <v>15</v>
      </c>
      <c r="K7" s="104">
        <f t="shared" si="5"/>
        <v>0.25312000000000001</v>
      </c>
      <c r="L7" s="104">
        <f t="shared" si="6"/>
        <v>3.7968000000000002</v>
      </c>
    </row>
    <row r="8" spans="1:33" ht="14.25" customHeight="1" x14ac:dyDescent="0.25">
      <c r="A8" s="1455"/>
      <c r="B8" s="271" t="s">
        <v>139</v>
      </c>
      <c r="C8" s="106" t="s">
        <v>14</v>
      </c>
      <c r="D8" s="107">
        <v>20</v>
      </c>
      <c r="E8" s="98">
        <f t="shared" si="3"/>
        <v>18.080000000000002</v>
      </c>
      <c r="F8" s="109">
        <v>0.75</v>
      </c>
      <c r="G8" s="101">
        <f t="shared" si="0"/>
        <v>361.6</v>
      </c>
      <c r="H8" s="102">
        <f t="shared" si="4"/>
        <v>271.20000000000005</v>
      </c>
      <c r="I8" s="65">
        <f>VLOOKUP(B8,All_Ingredients!$A$1:$F$156,6,FALSE())</f>
        <v>1</v>
      </c>
      <c r="J8" s="101">
        <f>VLOOKUP(B8,All_Ingredients!$A$1:$J$156,10,FALSE())</f>
        <v>15.277777777777779</v>
      </c>
      <c r="K8" s="104">
        <f t="shared" si="5"/>
        <v>0.27120000000000005</v>
      </c>
      <c r="L8" s="104">
        <f t="shared" si="6"/>
        <v>4.1433333333333344</v>
      </c>
    </row>
    <row r="9" spans="1:33" ht="14.25" customHeight="1" x14ac:dyDescent="0.25">
      <c r="A9" s="1455"/>
      <c r="B9" s="20" t="s">
        <v>107</v>
      </c>
      <c r="C9" s="106" t="s">
        <v>14</v>
      </c>
      <c r="D9" s="107">
        <v>20</v>
      </c>
      <c r="E9" s="98">
        <f t="shared" si="3"/>
        <v>18.080000000000002</v>
      </c>
      <c r="F9" s="109">
        <v>0.7</v>
      </c>
      <c r="G9" s="101">
        <f t="shared" si="0"/>
        <v>361.6</v>
      </c>
      <c r="H9" s="102">
        <f t="shared" si="4"/>
        <v>253.12</v>
      </c>
      <c r="I9" s="65">
        <f>VLOOKUP(B9,All_Ingredients!$A$1:$F$156,6,FALSE())</f>
        <v>1</v>
      </c>
      <c r="J9" s="101">
        <f>VLOOKUP(B9,All_Ingredients!$A$1:$J$156,10,FALSE())</f>
        <v>8</v>
      </c>
      <c r="K9" s="104">
        <f t="shared" si="5"/>
        <v>0.25312000000000001</v>
      </c>
      <c r="L9" s="104">
        <f t="shared" si="6"/>
        <v>2.0249600000000001</v>
      </c>
    </row>
    <row r="10" spans="1:33" ht="14.25" customHeight="1" x14ac:dyDescent="0.25">
      <c r="A10" s="1455"/>
      <c r="B10" s="271" t="s">
        <v>698</v>
      </c>
      <c r="C10" s="106" t="s">
        <v>14</v>
      </c>
      <c r="D10" s="107">
        <v>70</v>
      </c>
      <c r="E10" s="98">
        <f t="shared" si="3"/>
        <v>18.080000000000002</v>
      </c>
      <c r="F10" s="109">
        <v>0.6</v>
      </c>
      <c r="G10" s="101">
        <f t="shared" si="0"/>
        <v>1265.6000000000001</v>
      </c>
      <c r="H10" s="102">
        <f t="shared" si="4"/>
        <v>759.36</v>
      </c>
      <c r="I10" s="65">
        <f>VLOOKUP(B10,All_Ingredients!$A$1:$F$156,6,FALSE())</f>
        <v>1</v>
      </c>
      <c r="J10" s="101">
        <f>VLOOKUP(B10,All_Ingredients!$A$1:$J$156,10,FALSE())</f>
        <v>8.1520833333333336</v>
      </c>
      <c r="K10" s="104">
        <f t="shared" si="5"/>
        <v>0.75936000000000003</v>
      </c>
      <c r="L10" s="104">
        <f t="shared" si="6"/>
        <v>6.190366</v>
      </c>
    </row>
    <row r="11" spans="1:33" ht="14.25" customHeight="1" x14ac:dyDescent="0.25">
      <c r="A11" s="1455" t="s">
        <v>924</v>
      </c>
      <c r="B11" s="20" t="s">
        <v>17</v>
      </c>
      <c r="C11" s="106" t="s">
        <v>14</v>
      </c>
      <c r="D11" s="107">
        <v>100</v>
      </c>
      <c r="E11" s="98">
        <f t="shared" si="3"/>
        <v>18.080000000000002</v>
      </c>
      <c r="F11" s="109">
        <v>1</v>
      </c>
      <c r="G11" s="101">
        <f t="shared" si="0"/>
        <v>1808.0000000000002</v>
      </c>
      <c r="H11" s="102">
        <f t="shared" si="4"/>
        <v>1808.0000000000002</v>
      </c>
      <c r="I11" s="65">
        <f>VLOOKUP(B11,All_Ingredients!$A$1:$F$156,6,FALSE())</f>
        <v>0.98</v>
      </c>
      <c r="J11" s="101">
        <f>VLOOKUP(B11,All_Ingredients!$A$1:$J$156,10,FALSE())</f>
        <v>3.5</v>
      </c>
      <c r="K11" s="104">
        <f t="shared" si="5"/>
        <v>1.8448979591836738</v>
      </c>
      <c r="L11" s="104">
        <f t="shared" si="6"/>
        <v>6.4571428571428582</v>
      </c>
    </row>
    <row r="12" spans="1:33" ht="14.25" customHeight="1" x14ac:dyDescent="0.25">
      <c r="A12" s="1455"/>
      <c r="B12" s="20" t="s">
        <v>93</v>
      </c>
      <c r="C12" s="106" t="s">
        <v>14</v>
      </c>
      <c r="D12" s="107">
        <v>10</v>
      </c>
      <c r="E12" s="98">
        <f t="shared" si="3"/>
        <v>18.080000000000002</v>
      </c>
      <c r="F12" s="109">
        <v>0.75</v>
      </c>
      <c r="G12" s="101">
        <f t="shared" si="0"/>
        <v>180.8</v>
      </c>
      <c r="H12" s="102">
        <f t="shared" si="4"/>
        <v>135.60000000000002</v>
      </c>
      <c r="I12" s="65">
        <f>VLOOKUP(B12,All_Ingredients!$A$1:$F$156,6,FALSE())</f>
        <v>1</v>
      </c>
      <c r="J12" s="101">
        <f>VLOOKUP(B12,All_Ingredients!$A$1:$J$156,10,FALSE())</f>
        <v>0.74</v>
      </c>
      <c r="K12" s="104">
        <f t="shared" si="5"/>
        <v>0.13560000000000003</v>
      </c>
      <c r="L12" s="104">
        <f t="shared" si="6"/>
        <v>0.10034400000000002</v>
      </c>
    </row>
    <row r="13" spans="1:33" ht="14.25" customHeight="1" x14ac:dyDescent="0.25">
      <c r="A13" s="1455" t="s">
        <v>907</v>
      </c>
      <c r="B13" s="20" t="s">
        <v>727</v>
      </c>
      <c r="C13" s="106" t="s">
        <v>14</v>
      </c>
      <c r="D13" s="107">
        <v>10</v>
      </c>
      <c r="E13" s="98">
        <f t="shared" si="3"/>
        <v>18.080000000000002</v>
      </c>
      <c r="F13" s="109">
        <v>0.5</v>
      </c>
      <c r="G13" s="101">
        <f t="shared" si="0"/>
        <v>180.8</v>
      </c>
      <c r="H13" s="102">
        <f t="shared" si="4"/>
        <v>90.4</v>
      </c>
      <c r="I13" s="65">
        <f>VLOOKUP(B13,All_Ingredients!$A$1:$F$156,6,FALSE())</f>
        <v>1</v>
      </c>
      <c r="J13" s="101">
        <f>VLOOKUP(B13,All_Ingredients!$A$1:$J$156,10,FALSE())</f>
        <v>10.5</v>
      </c>
      <c r="K13" s="104">
        <f t="shared" si="5"/>
        <v>9.0400000000000008E-2</v>
      </c>
      <c r="L13" s="104">
        <f t="shared" si="6"/>
        <v>0.94920000000000004</v>
      </c>
    </row>
    <row r="14" spans="1:33" ht="14.25" customHeight="1" x14ac:dyDescent="0.25">
      <c r="A14" s="1455"/>
      <c r="B14" s="20" t="s">
        <v>60</v>
      </c>
      <c r="C14" s="106" t="s">
        <v>14</v>
      </c>
      <c r="D14" s="107">
        <v>15</v>
      </c>
      <c r="E14" s="98">
        <f t="shared" si="3"/>
        <v>18.080000000000002</v>
      </c>
      <c r="F14" s="251">
        <v>0.6</v>
      </c>
      <c r="G14" s="101">
        <f t="shared" si="0"/>
        <v>271.20000000000005</v>
      </c>
      <c r="H14" s="102">
        <f t="shared" si="4"/>
        <v>162.72000000000003</v>
      </c>
      <c r="I14" s="65">
        <f>VLOOKUP(B14,All_Ingredients!$A$1:$F$156,6,FALSE())</f>
        <v>0.94</v>
      </c>
      <c r="J14" s="101">
        <f>VLOOKUP(B14,All_Ingredients!$A$1:$J$156,10,FALSE())</f>
        <v>3.6363636363636367</v>
      </c>
      <c r="K14" s="104">
        <f t="shared" si="5"/>
        <v>0.17310638297872344</v>
      </c>
      <c r="L14" s="104">
        <f t="shared" si="6"/>
        <v>0.62947775628626712</v>
      </c>
    </row>
    <row r="15" spans="1:33" ht="15" customHeight="1" x14ac:dyDescent="0.25">
      <c r="A15" s="1455"/>
      <c r="B15" s="20" t="s">
        <v>32</v>
      </c>
      <c r="C15" s="106" t="s">
        <v>14</v>
      </c>
      <c r="D15" s="107">
        <v>50</v>
      </c>
      <c r="E15" s="98">
        <f t="shared" si="3"/>
        <v>18.080000000000002</v>
      </c>
      <c r="F15" s="109">
        <v>1</v>
      </c>
      <c r="G15" s="101">
        <f t="shared" si="0"/>
        <v>904.00000000000011</v>
      </c>
      <c r="H15" s="102">
        <f t="shared" si="4"/>
        <v>904.00000000000011</v>
      </c>
      <c r="I15" s="65">
        <f>VLOOKUP(B15,All_Ingredients!$A$1:$F$156,6,FALSE())</f>
        <v>0.69</v>
      </c>
      <c r="J15" s="101">
        <f>VLOOKUP(B15,All_Ingredients!$A$1:$J$156,10,FALSE())</f>
        <v>4</v>
      </c>
      <c r="K15" s="104">
        <f t="shared" si="5"/>
        <v>1.3101449275362322</v>
      </c>
      <c r="L15" s="104">
        <f t="shared" si="6"/>
        <v>5.240579710144929</v>
      </c>
    </row>
    <row r="16" spans="1:33" ht="14.25" customHeight="1" x14ac:dyDescent="0.25">
      <c r="A16" s="1455" t="s">
        <v>906</v>
      </c>
      <c r="B16" s="20" t="s">
        <v>54</v>
      </c>
      <c r="C16" s="106" t="s">
        <v>14</v>
      </c>
      <c r="D16" s="107">
        <v>30</v>
      </c>
      <c r="E16" s="98">
        <f t="shared" si="3"/>
        <v>18.080000000000002</v>
      </c>
      <c r="F16" s="109">
        <v>0.25</v>
      </c>
      <c r="G16" s="101">
        <f t="shared" si="0"/>
        <v>542.40000000000009</v>
      </c>
      <c r="H16" s="102">
        <f t="shared" si="4"/>
        <v>135.60000000000002</v>
      </c>
      <c r="I16" s="65">
        <f>VLOOKUP(B16,All_Ingredients!$A$1:$F$156,6,FALSE())</f>
        <v>0.87</v>
      </c>
      <c r="J16" s="101">
        <f>VLOOKUP(B16,All_Ingredients!$A$1:$J$156,10,FALSE())</f>
        <v>7</v>
      </c>
      <c r="K16" s="104">
        <f t="shared" si="5"/>
        <v>0.15586206896551727</v>
      </c>
      <c r="L16" s="104">
        <f t="shared" si="6"/>
        <v>1.0910344827586209</v>
      </c>
    </row>
    <row r="17" spans="1:29" ht="14.25" customHeight="1" x14ac:dyDescent="0.25">
      <c r="A17" s="1455"/>
      <c r="B17" s="271" t="s">
        <v>203</v>
      </c>
      <c r="C17" s="106" t="s">
        <v>160</v>
      </c>
      <c r="D17" s="107">
        <v>350</v>
      </c>
      <c r="E17" s="98">
        <f t="shared" si="3"/>
        <v>18.080000000000002</v>
      </c>
      <c r="F17" s="109">
        <v>1</v>
      </c>
      <c r="G17" s="101">
        <f t="shared" si="0"/>
        <v>6328.0000000000009</v>
      </c>
      <c r="H17" s="102">
        <f t="shared" si="4"/>
        <v>6328.0000000000009</v>
      </c>
      <c r="I17" s="65">
        <f>VLOOKUP(B17,All_Ingredients!$A$1:$F$156,6,FALSE())</f>
        <v>1</v>
      </c>
      <c r="J17" s="101">
        <f>VLOOKUP(B17,All_Ingredients!$A$1:$J$156,10,FALSE())</f>
        <v>0</v>
      </c>
      <c r="K17" s="104">
        <f t="shared" si="5"/>
        <v>6.3280000000000012</v>
      </c>
      <c r="L17" s="104">
        <f t="shared" si="6"/>
        <v>0</v>
      </c>
    </row>
    <row r="18" spans="1:29" ht="14.25" customHeight="1" x14ac:dyDescent="0.2">
      <c r="A18" s="1466"/>
      <c r="B18" s="84"/>
      <c r="C18" s="84"/>
      <c r="D18" s="84"/>
      <c r="E18" s="84"/>
      <c r="F18" s="84"/>
      <c r="L18" s="189"/>
    </row>
    <row r="19" spans="1:29" ht="14.25" customHeight="1" x14ac:dyDescent="0.2">
      <c r="A19" s="1466"/>
      <c r="B19" s="84"/>
      <c r="C19" s="84"/>
      <c r="D19" s="84"/>
      <c r="E19" s="84"/>
      <c r="F19" s="84"/>
      <c r="L19" s="189"/>
    </row>
    <row r="20" spans="1:29" ht="14.25" customHeight="1" x14ac:dyDescent="0.2">
      <c r="A20" s="1466"/>
      <c r="B20" s="84"/>
      <c r="C20" s="84"/>
      <c r="D20" s="84"/>
      <c r="E20" s="84"/>
      <c r="F20" s="84"/>
      <c r="L20" s="189"/>
    </row>
    <row r="21" spans="1:29" ht="14.25" customHeight="1" x14ac:dyDescent="0.2">
      <c r="A21" s="1466"/>
      <c r="F21" s="84"/>
      <c r="L21" s="189"/>
    </row>
    <row r="22" spans="1:29" ht="14.25" customHeight="1" x14ac:dyDescent="0.2">
      <c r="A22" s="1466"/>
      <c r="F22" s="84"/>
      <c r="L22" s="189"/>
    </row>
    <row r="23" spans="1:29" ht="14.25" customHeight="1" x14ac:dyDescent="0.2">
      <c r="A23" s="1466"/>
      <c r="F23" s="84"/>
    </row>
    <row r="24" spans="1:29" ht="14.25" customHeight="1" x14ac:dyDescent="0.2">
      <c r="A24" s="1466"/>
      <c r="F24" s="84"/>
      <c r="Z24" s="1124"/>
    </row>
    <row r="25" spans="1:29" ht="15.75" customHeight="1" x14ac:dyDescent="0.25">
      <c r="A25" s="1466"/>
      <c r="F25" s="84"/>
      <c r="R25" s="1726" t="str">
        <f>B2</f>
        <v>Chicken Makloba - دجاج مقلوبة</v>
      </c>
      <c r="S25" s="1714"/>
      <c r="T25" s="1714"/>
      <c r="U25" s="1059"/>
      <c r="Z25" s="122" t="s">
        <v>252</v>
      </c>
      <c r="AA25" s="123">
        <v>1</v>
      </c>
      <c r="AB25" s="122" t="s">
        <v>249</v>
      </c>
      <c r="AC25" s="124">
        <f>AC30*AA25</f>
        <v>3.402084996546164E-2</v>
      </c>
    </row>
    <row r="26" spans="1:29" ht="14.25" customHeight="1" x14ac:dyDescent="0.2">
      <c r="A26" s="1466"/>
      <c r="F26" s="84"/>
      <c r="R26" s="1638" t="s">
        <v>324</v>
      </c>
      <c r="S26" s="1719"/>
      <c r="T26" s="1719"/>
      <c r="U26" s="1059"/>
      <c r="AB26" s="14"/>
      <c r="AC26" s="14"/>
    </row>
    <row r="27" spans="1:29" ht="14.25" customHeight="1" thickBot="1" x14ac:dyDescent="0.3">
      <c r="A27" s="62"/>
      <c r="F27" s="84"/>
      <c r="R27" s="126" t="s">
        <v>254</v>
      </c>
      <c r="S27" s="127" t="s">
        <v>255</v>
      </c>
      <c r="T27" s="127" t="s">
        <v>257</v>
      </c>
      <c r="U27" s="127" t="s">
        <v>779</v>
      </c>
      <c r="Z27" s="122" t="s">
        <v>258</v>
      </c>
      <c r="AA27" s="128" t="s">
        <v>259</v>
      </c>
      <c r="AB27" s="1032" t="s">
        <v>779</v>
      </c>
      <c r="AC27" s="128" t="s">
        <v>262</v>
      </c>
    </row>
    <row r="28" spans="1:29" ht="14.25" customHeight="1" thickBot="1" x14ac:dyDescent="0.3">
      <c r="A28" s="62"/>
      <c r="B28" s="84"/>
      <c r="E28" s="84"/>
      <c r="F28" s="84"/>
      <c r="R28" s="129" t="s">
        <v>325</v>
      </c>
      <c r="S28" s="696">
        <f>$Z$1</f>
        <v>17580</v>
      </c>
      <c r="T28" s="690">
        <f>S28</f>
        <v>17580</v>
      </c>
      <c r="U28" s="130">
        <f>SUM(H37)</f>
        <v>0</v>
      </c>
      <c r="Z28" s="132"/>
      <c r="AA28" s="133">
        <f>AA25*$S$40</f>
        <v>1</v>
      </c>
      <c r="AB28" s="1034"/>
      <c r="AC28" s="135">
        <f>SUM(AA28:AB28)</f>
        <v>1</v>
      </c>
    </row>
    <row r="29" spans="1:29" ht="14.25" customHeight="1" thickBot="1" x14ac:dyDescent="0.3">
      <c r="A29" s="62"/>
      <c r="B29" s="84"/>
      <c r="E29" s="84"/>
      <c r="F29" s="84"/>
      <c r="R29" s="129" t="s">
        <v>326</v>
      </c>
      <c r="S29" s="1173">
        <f>$AB$1</f>
        <v>500</v>
      </c>
      <c r="T29" s="692">
        <f>S29</f>
        <v>500</v>
      </c>
      <c r="U29" s="136"/>
      <c r="Z29" s="132"/>
      <c r="AA29" s="137">
        <v>1</v>
      </c>
      <c r="AB29" s="1038"/>
      <c r="AC29" s="137">
        <f>AC28/$AC$28</f>
        <v>1</v>
      </c>
    </row>
    <row r="30" spans="1:29" ht="14.25" customHeight="1" thickBot="1" x14ac:dyDescent="0.3">
      <c r="A30" s="62"/>
      <c r="B30" s="84"/>
      <c r="E30" s="84"/>
      <c r="F30" s="84"/>
      <c r="R30" s="141" t="s">
        <v>327</v>
      </c>
      <c r="S30" s="130">
        <f>S28+S29</f>
        <v>18080</v>
      </c>
      <c r="T30" s="130">
        <f>T28+T29</f>
        <v>18080</v>
      </c>
      <c r="U30" s="130">
        <f>U28+U29</f>
        <v>0</v>
      </c>
      <c r="Z30" s="122" t="s">
        <v>266</v>
      </c>
      <c r="AA30" s="138">
        <f>S33/(S30)</f>
        <v>3.402084996546164E-2</v>
      </c>
      <c r="AB30" s="1045">
        <f>U33/T30</f>
        <v>0</v>
      </c>
      <c r="AC30" s="140">
        <f>SUMPRODUCT(AA30:AB30,AA29:AB29)</f>
        <v>3.402084996546164E-2</v>
      </c>
    </row>
    <row r="31" spans="1:29" ht="14.25" customHeight="1" thickBot="1" x14ac:dyDescent="0.3">
      <c r="A31" s="62"/>
      <c r="R31" s="142" t="s">
        <v>268</v>
      </c>
      <c r="S31" s="136"/>
      <c r="T31" s="136"/>
      <c r="U31" s="136"/>
    </row>
    <row r="32" spans="1:29" ht="14.25" customHeight="1" thickBot="1" x14ac:dyDescent="0.3">
      <c r="A32" s="62"/>
      <c r="R32" s="143" t="s">
        <v>269</v>
      </c>
      <c r="S32" s="136"/>
      <c r="T32" s="136"/>
      <c r="U32" s="136"/>
    </row>
    <row r="33" spans="1:24" ht="14.25" customHeight="1" thickBot="1" x14ac:dyDescent="0.3">
      <c r="A33" s="62"/>
      <c r="R33" s="144" t="s">
        <v>249</v>
      </c>
      <c r="S33" s="990">
        <f>SUM(L5:L17)</f>
        <v>615.09696737554646</v>
      </c>
      <c r="T33" s="1049">
        <f>S33</f>
        <v>615.09696737554646</v>
      </c>
      <c r="U33" s="990">
        <f>SUM(L37)</f>
        <v>0</v>
      </c>
    </row>
    <row r="34" spans="1:24" x14ac:dyDescent="0.25">
      <c r="A34" s="62"/>
    </row>
    <row r="35" spans="1:24" x14ac:dyDescent="0.25">
      <c r="A35" s="62"/>
    </row>
    <row r="36" spans="1:24" x14ac:dyDescent="0.25">
      <c r="A36" s="62"/>
    </row>
    <row r="37" spans="1:24" x14ac:dyDescent="0.25">
      <c r="A37" s="62"/>
    </row>
    <row r="38" spans="1:24" x14ac:dyDescent="0.25">
      <c r="A38" s="62"/>
    </row>
    <row r="39" spans="1:24" x14ac:dyDescent="0.25">
      <c r="A39" s="62"/>
    </row>
    <row r="40" spans="1:24" ht="14.25" customHeight="1" x14ac:dyDescent="0.25">
      <c r="A40" s="62"/>
      <c r="Q40" s="14"/>
      <c r="R40" s="146" t="s">
        <v>328</v>
      </c>
      <c r="S40" s="217">
        <v>1</v>
      </c>
      <c r="X40" s="14"/>
    </row>
    <row r="41" spans="1:24" ht="14.25" customHeight="1" x14ac:dyDescent="0.25">
      <c r="A41" s="62"/>
      <c r="Q41" s="14"/>
      <c r="R41" s="14"/>
      <c r="S41" s="14"/>
      <c r="T41" s="14"/>
      <c r="U41" s="150"/>
      <c r="V41" s="14"/>
      <c r="W41" s="14"/>
      <c r="X41" s="14"/>
    </row>
    <row r="42" spans="1:24" ht="14.25" customHeight="1" x14ac:dyDescent="0.25">
      <c r="A42" s="62"/>
      <c r="Q42" s="14"/>
      <c r="R42" s="14"/>
      <c r="S42" s="14"/>
      <c r="T42" s="14"/>
      <c r="U42" s="14"/>
      <c r="V42" s="14"/>
      <c r="W42" s="14"/>
      <c r="X42" s="14"/>
    </row>
    <row r="43" spans="1:24" ht="14.25" customHeight="1" x14ac:dyDescent="0.25">
      <c r="A43" s="62"/>
      <c r="Q43" s="151" t="s">
        <v>272</v>
      </c>
      <c r="R43" s="151" t="s">
        <v>273</v>
      </c>
      <c r="S43" s="151" t="s">
        <v>274</v>
      </c>
      <c r="T43" s="151" t="s">
        <v>275</v>
      </c>
      <c r="U43" s="151" t="s">
        <v>276</v>
      </c>
      <c r="V43" s="151" t="s">
        <v>277</v>
      </c>
      <c r="W43" s="235" t="s">
        <v>329</v>
      </c>
      <c r="X43" s="298"/>
    </row>
    <row r="44" spans="1:24" ht="14.25" customHeight="1" x14ac:dyDescent="0.25">
      <c r="A44" s="62"/>
      <c r="Q44" s="153">
        <v>10000</v>
      </c>
      <c r="R44" s="154">
        <v>0</v>
      </c>
      <c r="S44" s="219">
        <v>0</v>
      </c>
      <c r="T44" s="219">
        <v>0</v>
      </c>
      <c r="U44" s="220">
        <f>R44*S44</f>
        <v>0</v>
      </c>
      <c r="V44" s="157">
        <f>R44*T44</f>
        <v>0</v>
      </c>
      <c r="W44" s="237">
        <f>Q44-U44</f>
        <v>10000</v>
      </c>
      <c r="X44" s="275"/>
    </row>
    <row r="45" spans="1:24" x14ac:dyDescent="0.25">
      <c r="A45" s="62"/>
    </row>
    <row r="46" spans="1:24" x14ac:dyDescent="0.25">
      <c r="A46" s="62"/>
    </row>
    <row r="47" spans="1:24" x14ac:dyDescent="0.25">
      <c r="A47" s="62"/>
    </row>
    <row r="48" spans="1:24" x14ac:dyDescent="0.25">
      <c r="A48" s="62"/>
    </row>
    <row r="49" spans="1:10" x14ac:dyDescent="0.25">
      <c r="A49" s="62"/>
    </row>
    <row r="50" spans="1:10" ht="15.75" thickBot="1" x14ac:dyDescent="0.3">
      <c r="A50" s="62"/>
      <c r="G50" s="127" t="s">
        <v>280</v>
      </c>
      <c r="H50" s="127" t="s">
        <v>233</v>
      </c>
      <c r="I50" s="127" t="s">
        <v>281</v>
      </c>
      <c r="J50" s="127" t="s">
        <v>282</v>
      </c>
    </row>
    <row r="51" spans="1:10" ht="15.75" thickBot="1" x14ac:dyDescent="0.3">
      <c r="A51" s="62"/>
      <c r="G51" s="287" t="s">
        <v>323</v>
      </c>
      <c r="H51" s="288">
        <v>10</v>
      </c>
      <c r="I51" s="288">
        <f>J51/J1</f>
        <v>15873.015873015873</v>
      </c>
      <c r="J51" s="289">
        <f>$W$44</f>
        <v>10000</v>
      </c>
    </row>
    <row r="52" spans="1:10" x14ac:dyDescent="0.25">
      <c r="A52" s="62"/>
      <c r="G52" s="143" t="s">
        <v>262</v>
      </c>
      <c r="H52" s="290">
        <f>E5</f>
        <v>18.080000000000002</v>
      </c>
      <c r="I52" s="291">
        <f>J52/$J$1</f>
        <v>28698.4126984127</v>
      </c>
      <c r="J52" s="292">
        <f>$S$30</f>
        <v>18080</v>
      </c>
    </row>
    <row r="53" spans="1:10" x14ac:dyDescent="0.25">
      <c r="A53" s="62"/>
      <c r="D53" s="458"/>
      <c r="G53" s="129" t="s">
        <v>284</v>
      </c>
      <c r="H53" s="293">
        <f>MIN($H$52, H51)</f>
        <v>10</v>
      </c>
      <c r="I53" s="157">
        <f>J53/$J$1</f>
        <v>15873.015873015873</v>
      </c>
      <c r="J53" s="294">
        <f>MIN(MAX($J$52,0),$J$51)</f>
        <v>10000</v>
      </c>
    </row>
    <row r="54" spans="1:10" x14ac:dyDescent="0.25">
      <c r="A54" s="62"/>
      <c r="D54" s="458"/>
      <c r="G54" s="129" t="s">
        <v>285</v>
      </c>
      <c r="H54" s="293">
        <f>MIN(MAX($H$52-H53,0),H51)</f>
        <v>8.0800000000000018</v>
      </c>
      <c r="I54" s="157">
        <f>J54/$J$1</f>
        <v>12825.396825396825</v>
      </c>
      <c r="J54" s="165">
        <f>MIN(MAX($J$52-J53,0),$J$51)</f>
        <v>8080</v>
      </c>
    </row>
    <row r="55" spans="1:10" x14ac:dyDescent="0.25">
      <c r="A55" s="62"/>
      <c r="D55" s="458"/>
      <c r="G55" s="126" t="s">
        <v>286</v>
      </c>
      <c r="H55" s="293">
        <f>MIN(MAX($H$52-H53-H54,0),H51)</f>
        <v>0</v>
      </c>
      <c r="I55" s="157">
        <f>J55/$J$1</f>
        <v>0</v>
      </c>
      <c r="J55" s="294">
        <f>MIN(MAX($J$52-J53-J54,0),$J$51)</f>
        <v>0</v>
      </c>
    </row>
    <row r="56" spans="1:10" x14ac:dyDescent="0.25">
      <c r="A56" s="62"/>
      <c r="G56" s="126" t="s">
        <v>293</v>
      </c>
      <c r="H56" s="293">
        <f>MIN(MAX($H$52-H53-H54-H55,0),H52)</f>
        <v>0</v>
      </c>
      <c r="I56" s="157">
        <f>J56/$J$1</f>
        <v>0</v>
      </c>
      <c r="J56" s="294">
        <f>MIN(MAX($J$52-J53-J54-J55,0),$J$51)</f>
        <v>0</v>
      </c>
    </row>
    <row r="57" spans="1:10" x14ac:dyDescent="0.25">
      <c r="A57" s="62"/>
    </row>
    <row r="58" spans="1:10" x14ac:dyDescent="0.25">
      <c r="A58" s="62"/>
    </row>
    <row r="59" spans="1:10" x14ac:dyDescent="0.25">
      <c r="A59" s="62"/>
    </row>
    <row r="60" spans="1:10" x14ac:dyDescent="0.25">
      <c r="A60" s="62"/>
    </row>
    <row r="61" spans="1:10" x14ac:dyDescent="0.25">
      <c r="A61" s="62"/>
    </row>
    <row r="62" spans="1:10" ht="18" customHeight="1" x14ac:dyDescent="0.2">
      <c r="A62" s="1467"/>
      <c r="B62" s="1636" t="str">
        <f>"دجاج مقلوبة 1 / " &amp; COUNTIF($H$53:$H$56, "&gt;0")</f>
        <v>دجاج مقلوبة 1 / 2</v>
      </c>
      <c r="C62" s="1637"/>
      <c r="D62" s="1637"/>
      <c r="E62" s="1637"/>
      <c r="F62" s="1637"/>
      <c r="G62" s="1637"/>
      <c r="H62" s="1637"/>
    </row>
    <row r="63" spans="1:10" ht="18" customHeight="1" x14ac:dyDescent="0.2">
      <c r="A63" s="1467"/>
      <c r="B63" s="1634" t="str">
        <f>"Chicken Maklouba 1 / " &amp; COUNTIF($H$53:$H$56, "&gt;0")</f>
        <v>Chicken Maklouba 1 / 2</v>
      </c>
      <c r="C63" s="1635"/>
      <c r="D63" s="1635"/>
      <c r="E63" s="1635"/>
      <c r="F63" s="1635"/>
      <c r="G63" s="1635"/>
      <c r="H63" s="1635"/>
    </row>
    <row r="64" spans="1:10" ht="52.5" customHeight="1" x14ac:dyDescent="0.2">
      <c r="A64" s="1457"/>
      <c r="B64" s="75" t="s">
        <v>241</v>
      </c>
      <c r="C64" s="284" t="s">
        <v>317</v>
      </c>
      <c r="D64" s="75" t="s">
        <v>318</v>
      </c>
      <c r="E64" s="91" t="s">
        <v>319</v>
      </c>
      <c r="F64" s="91" t="s">
        <v>320</v>
      </c>
      <c r="G64" s="285" t="s">
        <v>321</v>
      </c>
      <c r="H64" s="92" t="s">
        <v>322</v>
      </c>
    </row>
    <row r="65" spans="1:8" ht="14.25" customHeight="1" x14ac:dyDescent="0.2">
      <c r="A65" s="1459"/>
      <c r="B65" s="299" t="str">
        <f t="shared" ref="B65:D77" si="7">B5</f>
        <v>Chicken - دجاج</v>
      </c>
      <c r="C65" s="299" t="str">
        <f t="shared" si="7"/>
        <v>gm</v>
      </c>
      <c r="D65" s="300">
        <f t="shared" si="7"/>
        <v>1587.3015873015872</v>
      </c>
      <c r="E65" s="177">
        <f t="shared" ref="E65:E77" si="8">$H$53</f>
        <v>10</v>
      </c>
      <c r="F65" s="109">
        <f t="shared" ref="F65:F77" si="9">F5</f>
        <v>1</v>
      </c>
      <c r="G65" s="101">
        <f t="shared" ref="G65:G77" si="10">D65*E65</f>
        <v>15873.015873015873</v>
      </c>
      <c r="H65" s="102">
        <f t="shared" ref="H65:H77" si="11">G65*F65</f>
        <v>15873.015873015873</v>
      </c>
    </row>
    <row r="66" spans="1:8" ht="14.25" customHeight="1" x14ac:dyDescent="0.25">
      <c r="A66" s="1455"/>
      <c r="B66" s="299" t="str">
        <f t="shared" si="7"/>
        <v>Kabsa Spices Powder - توابل كبسة بودر</v>
      </c>
      <c r="C66" s="299" t="str">
        <f t="shared" si="7"/>
        <v>gm</v>
      </c>
      <c r="D66" s="299">
        <f t="shared" si="7"/>
        <v>35</v>
      </c>
      <c r="E66" s="177">
        <f t="shared" si="8"/>
        <v>10</v>
      </c>
      <c r="F66" s="109">
        <f t="shared" si="9"/>
        <v>0.5</v>
      </c>
      <c r="G66" s="65">
        <f t="shared" si="10"/>
        <v>350</v>
      </c>
      <c r="H66" s="102">
        <f t="shared" si="11"/>
        <v>175</v>
      </c>
    </row>
    <row r="67" spans="1:8" ht="14.25" customHeight="1" x14ac:dyDescent="0.25">
      <c r="A67" s="1455"/>
      <c r="B67" s="299" t="str">
        <f t="shared" si="7"/>
        <v>Cumin Powder - كمون مطحون</v>
      </c>
      <c r="C67" s="299" t="str">
        <f t="shared" si="7"/>
        <v>gm</v>
      </c>
      <c r="D67" s="299">
        <f t="shared" si="7"/>
        <v>20</v>
      </c>
      <c r="E67" s="177">
        <f t="shared" si="8"/>
        <v>10</v>
      </c>
      <c r="F67" s="109">
        <f t="shared" si="9"/>
        <v>0.7</v>
      </c>
      <c r="G67" s="65">
        <f t="shared" si="10"/>
        <v>200</v>
      </c>
      <c r="H67" s="102">
        <f t="shared" si="11"/>
        <v>140</v>
      </c>
    </row>
    <row r="68" spans="1:8" ht="14.25" customHeight="1" x14ac:dyDescent="0.25">
      <c r="A68" s="1455"/>
      <c r="B68" s="299" t="str">
        <f t="shared" si="7"/>
        <v>Maggi Cubes - مكعبات ماجي</v>
      </c>
      <c r="C68" s="299" t="str">
        <f t="shared" si="7"/>
        <v>gm</v>
      </c>
      <c r="D68" s="299">
        <f t="shared" si="7"/>
        <v>20</v>
      </c>
      <c r="E68" s="177">
        <f t="shared" si="8"/>
        <v>10</v>
      </c>
      <c r="F68" s="109">
        <f t="shared" si="9"/>
        <v>0.75</v>
      </c>
      <c r="G68" s="65">
        <f t="shared" si="10"/>
        <v>200</v>
      </c>
      <c r="H68" s="102">
        <f t="shared" si="11"/>
        <v>150</v>
      </c>
    </row>
    <row r="69" spans="1:8" ht="14.25" customHeight="1" x14ac:dyDescent="0.25">
      <c r="A69" s="1455"/>
      <c r="B69" s="299" t="str">
        <f t="shared" si="7"/>
        <v>Coriander Powder - كزبرة مطحونة</v>
      </c>
      <c r="C69" s="299" t="str">
        <f t="shared" si="7"/>
        <v>gm</v>
      </c>
      <c r="D69" s="299">
        <f t="shared" si="7"/>
        <v>20</v>
      </c>
      <c r="E69" s="177">
        <f t="shared" si="8"/>
        <v>10</v>
      </c>
      <c r="F69" s="109">
        <f t="shared" si="9"/>
        <v>0.7</v>
      </c>
      <c r="G69" s="65">
        <f t="shared" si="10"/>
        <v>200</v>
      </c>
      <c r="H69" s="102">
        <f t="shared" si="11"/>
        <v>140</v>
      </c>
    </row>
    <row r="70" spans="1:8" ht="14.25" customHeight="1" x14ac:dyDescent="0.25">
      <c r="A70" s="1455"/>
      <c r="B70" s="299" t="str">
        <f t="shared" si="7"/>
        <v>Tomato Paste - صلصة طماطم</v>
      </c>
      <c r="C70" s="299" t="str">
        <f t="shared" si="7"/>
        <v>gm</v>
      </c>
      <c r="D70" s="299">
        <f t="shared" si="7"/>
        <v>70</v>
      </c>
      <c r="E70" s="177">
        <f t="shared" si="8"/>
        <v>10</v>
      </c>
      <c r="F70" s="109">
        <f t="shared" si="9"/>
        <v>0.6</v>
      </c>
      <c r="G70" s="65">
        <f t="shared" si="10"/>
        <v>700</v>
      </c>
      <c r="H70" s="102">
        <f t="shared" si="11"/>
        <v>420</v>
      </c>
    </row>
    <row r="71" spans="1:8" ht="14.25" customHeight="1" x14ac:dyDescent="0.25">
      <c r="A71" s="1455" t="s">
        <v>924</v>
      </c>
      <c r="B71" s="299" t="str">
        <f t="shared" si="7"/>
        <v>Tomato - طماطم</v>
      </c>
      <c r="C71" s="299" t="str">
        <f t="shared" si="7"/>
        <v>gm</v>
      </c>
      <c r="D71" s="299">
        <f t="shared" si="7"/>
        <v>100</v>
      </c>
      <c r="E71" s="177">
        <f t="shared" si="8"/>
        <v>10</v>
      </c>
      <c r="F71" s="109">
        <f t="shared" si="9"/>
        <v>1</v>
      </c>
      <c r="G71" s="65">
        <f t="shared" si="10"/>
        <v>1000</v>
      </c>
      <c r="H71" s="102">
        <f t="shared" si="11"/>
        <v>1000</v>
      </c>
    </row>
    <row r="72" spans="1:8" ht="14.25" customHeight="1" x14ac:dyDescent="0.25">
      <c r="A72" s="1455"/>
      <c r="B72" s="299" t="str">
        <f t="shared" si="7"/>
        <v>Salt - ملح</v>
      </c>
      <c r="C72" s="299" t="str">
        <f t="shared" si="7"/>
        <v>gm</v>
      </c>
      <c r="D72" s="299">
        <f t="shared" si="7"/>
        <v>10</v>
      </c>
      <c r="E72" s="177">
        <f t="shared" si="8"/>
        <v>10</v>
      </c>
      <c r="F72" s="109">
        <f t="shared" si="9"/>
        <v>0.75</v>
      </c>
      <c r="G72" s="65">
        <f t="shared" si="10"/>
        <v>100</v>
      </c>
      <c r="H72" s="102">
        <f t="shared" si="11"/>
        <v>75</v>
      </c>
    </row>
    <row r="73" spans="1:8" ht="14.25" customHeight="1" x14ac:dyDescent="0.25">
      <c r="A73" s="1455" t="s">
        <v>907</v>
      </c>
      <c r="B73" s="299" t="str">
        <f t="shared" si="7"/>
        <v>Garlic - ثوم مقشر</v>
      </c>
      <c r="C73" s="299" t="str">
        <f t="shared" si="7"/>
        <v>gm</v>
      </c>
      <c r="D73" s="299">
        <f t="shared" si="7"/>
        <v>10</v>
      </c>
      <c r="E73" s="177">
        <f t="shared" si="8"/>
        <v>10</v>
      </c>
      <c r="F73" s="109">
        <f t="shared" si="9"/>
        <v>0.5</v>
      </c>
      <c r="G73" s="65">
        <f t="shared" si="10"/>
        <v>100</v>
      </c>
      <c r="H73" s="102">
        <f t="shared" si="11"/>
        <v>50</v>
      </c>
    </row>
    <row r="74" spans="1:8" ht="14.25" customHeight="1" x14ac:dyDescent="0.25">
      <c r="A74" s="1455"/>
      <c r="B74" s="299" t="str">
        <f t="shared" si="7"/>
        <v>Coriander Leaves - كزبرة خضراء</v>
      </c>
      <c r="C74" s="299" t="str">
        <f t="shared" si="7"/>
        <v>gm</v>
      </c>
      <c r="D74" s="299">
        <f t="shared" si="7"/>
        <v>15</v>
      </c>
      <c r="E74" s="177">
        <f t="shared" si="8"/>
        <v>10</v>
      </c>
      <c r="F74" s="109">
        <f t="shared" si="9"/>
        <v>0.6</v>
      </c>
      <c r="G74" s="65">
        <f t="shared" si="10"/>
        <v>150</v>
      </c>
      <c r="H74" s="102">
        <f t="shared" si="11"/>
        <v>90</v>
      </c>
    </row>
    <row r="75" spans="1:8" ht="21" customHeight="1" x14ac:dyDescent="0.25">
      <c r="A75" s="1455"/>
      <c r="B75" s="299" t="str">
        <f t="shared" si="7"/>
        <v>Green Bell Pepper - فلفل أخضر رومى</v>
      </c>
      <c r="C75" s="299" t="str">
        <f t="shared" si="7"/>
        <v>gm</v>
      </c>
      <c r="D75" s="299">
        <f t="shared" si="7"/>
        <v>50</v>
      </c>
      <c r="E75" s="177">
        <f t="shared" si="8"/>
        <v>10</v>
      </c>
      <c r="F75" s="109">
        <f t="shared" si="9"/>
        <v>1</v>
      </c>
      <c r="G75" s="65">
        <f t="shared" si="10"/>
        <v>500</v>
      </c>
      <c r="H75" s="102">
        <f t="shared" si="11"/>
        <v>500</v>
      </c>
    </row>
    <row r="76" spans="1:8" ht="21" customHeight="1" x14ac:dyDescent="0.25">
      <c r="A76" s="1455" t="s">
        <v>906</v>
      </c>
      <c r="B76" s="299" t="str">
        <f t="shared" si="7"/>
        <v>Ginger - زنجبيل</v>
      </c>
      <c r="C76" s="299" t="str">
        <f t="shared" si="7"/>
        <v>gm</v>
      </c>
      <c r="D76" s="299">
        <f t="shared" si="7"/>
        <v>30</v>
      </c>
      <c r="E76" s="177">
        <f t="shared" si="8"/>
        <v>10</v>
      </c>
      <c r="F76" s="109">
        <f t="shared" si="9"/>
        <v>0.25</v>
      </c>
      <c r="G76" s="65">
        <f t="shared" si="10"/>
        <v>300</v>
      </c>
      <c r="H76" s="102">
        <f t="shared" si="11"/>
        <v>75</v>
      </c>
    </row>
    <row r="77" spans="1:8" ht="14.25" customHeight="1" x14ac:dyDescent="0.25">
      <c r="A77" s="1455"/>
      <c r="B77" s="299" t="str">
        <f t="shared" si="7"/>
        <v>Water - ماء</v>
      </c>
      <c r="C77" s="299" t="str">
        <f t="shared" si="7"/>
        <v>ml</v>
      </c>
      <c r="D77" s="299">
        <f t="shared" si="7"/>
        <v>350</v>
      </c>
      <c r="E77" s="177">
        <f t="shared" si="8"/>
        <v>10</v>
      </c>
      <c r="F77" s="109">
        <f t="shared" si="9"/>
        <v>1</v>
      </c>
      <c r="G77" s="65">
        <f t="shared" si="10"/>
        <v>3500</v>
      </c>
      <c r="H77" s="102">
        <f t="shared" si="11"/>
        <v>3500</v>
      </c>
    </row>
    <row r="78" spans="1:8" ht="20.25" customHeight="1" x14ac:dyDescent="0.25">
      <c r="A78" s="1458"/>
      <c r="B78" s="178" t="s">
        <v>287</v>
      </c>
      <c r="C78" s="180" t="s">
        <v>273</v>
      </c>
      <c r="D78" s="14"/>
      <c r="E78" s="180" t="s">
        <v>288</v>
      </c>
      <c r="F78" s="14"/>
      <c r="G78" s="804" t="s">
        <v>264</v>
      </c>
      <c r="H78" s="804" t="s">
        <v>673</v>
      </c>
    </row>
    <row r="79" spans="1:8" ht="20.25" x14ac:dyDescent="0.3">
      <c r="A79" s="1458"/>
      <c r="B79" s="179">
        <f>$J$53</f>
        <v>10000</v>
      </c>
      <c r="C79" s="181">
        <f>E79+G79</f>
        <v>0</v>
      </c>
      <c r="D79" s="189"/>
      <c r="E79" s="181">
        <f>$C$53*$S$44</f>
        <v>0</v>
      </c>
      <c r="F79" s="84"/>
      <c r="G79" s="182">
        <f>$C$53*$T$44</f>
        <v>0</v>
      </c>
      <c r="H79" s="182">
        <f>B79+E79</f>
        <v>10000</v>
      </c>
    </row>
    <row r="80" spans="1:8" x14ac:dyDescent="0.25">
      <c r="A80" s="62"/>
    </row>
    <row r="81" spans="1:8" ht="18" customHeight="1" x14ac:dyDescent="0.2">
      <c r="A81" s="1467"/>
      <c r="B81" s="1636" t="str">
        <f>"دجاج مقلوبة 2 / " &amp; COUNTIF($H$53:$H$56, "&gt;0")</f>
        <v>دجاج مقلوبة 2 / 2</v>
      </c>
      <c r="C81" s="1637"/>
      <c r="D81" s="1637"/>
      <c r="E81" s="1637"/>
      <c r="F81" s="1637"/>
      <c r="G81" s="1637"/>
      <c r="H81" s="1637"/>
    </row>
    <row r="82" spans="1:8" ht="18" customHeight="1" x14ac:dyDescent="0.2">
      <c r="A82" s="1467"/>
      <c r="B82" s="1634" t="str">
        <f>"Chicken Maklouba 2 / " &amp; COUNTIF($H$53:$H$56, "&gt;0")</f>
        <v>Chicken Maklouba 2 / 2</v>
      </c>
      <c r="C82" s="1635"/>
      <c r="D82" s="1635"/>
      <c r="E82" s="1635"/>
      <c r="F82" s="1635"/>
      <c r="G82" s="1635"/>
      <c r="H82" s="1635"/>
    </row>
    <row r="83" spans="1:8" ht="52.5" customHeight="1" x14ac:dyDescent="0.2">
      <c r="A83" s="1457"/>
      <c r="B83" s="75" t="s">
        <v>241</v>
      </c>
      <c r="C83" s="284" t="s">
        <v>317</v>
      </c>
      <c r="D83" s="75" t="s">
        <v>318</v>
      </c>
      <c r="E83" s="91" t="s">
        <v>319</v>
      </c>
      <c r="F83" s="91" t="s">
        <v>320</v>
      </c>
      <c r="G83" s="285" t="s">
        <v>321</v>
      </c>
      <c r="H83" s="92" t="s">
        <v>322</v>
      </c>
    </row>
    <row r="84" spans="1:8" ht="14.25" customHeight="1" x14ac:dyDescent="0.2">
      <c r="A84" s="1459"/>
      <c r="B84" s="299" t="str">
        <f t="shared" ref="B84:D96" si="12">B5</f>
        <v>Chicken - دجاج</v>
      </c>
      <c r="C84" s="299" t="str">
        <f t="shared" si="12"/>
        <v>gm</v>
      </c>
      <c r="D84" s="101">
        <f t="shared" si="12"/>
        <v>1587.3015873015872</v>
      </c>
      <c r="E84" s="177">
        <f t="shared" ref="E84:E96" si="13">$H$54</f>
        <v>8.0800000000000018</v>
      </c>
      <c r="F84" s="109">
        <f t="shared" ref="F84:F96" si="14">F5</f>
        <v>1</v>
      </c>
      <c r="G84" s="101">
        <f t="shared" ref="G84:G96" si="15">D84*E84</f>
        <v>12825.396825396827</v>
      </c>
      <c r="H84" s="102">
        <f t="shared" ref="H84:H96" si="16">G84*F84</f>
        <v>12825.396825396827</v>
      </c>
    </row>
    <row r="85" spans="1:8" ht="14.25" customHeight="1" x14ac:dyDescent="0.25">
      <c r="A85" s="1455"/>
      <c r="B85" s="299" t="str">
        <f t="shared" si="12"/>
        <v>Kabsa Spices Powder - توابل كبسة بودر</v>
      </c>
      <c r="C85" s="299" t="str">
        <f t="shared" si="12"/>
        <v>gm</v>
      </c>
      <c r="D85" s="299">
        <f t="shared" si="12"/>
        <v>35</v>
      </c>
      <c r="E85" s="177">
        <f t="shared" si="13"/>
        <v>8.0800000000000018</v>
      </c>
      <c r="F85" s="109">
        <f t="shared" si="14"/>
        <v>0.5</v>
      </c>
      <c r="G85" s="101">
        <f t="shared" si="15"/>
        <v>282.80000000000007</v>
      </c>
      <c r="H85" s="102">
        <f t="shared" si="16"/>
        <v>141.40000000000003</v>
      </c>
    </row>
    <row r="86" spans="1:8" ht="14.25" customHeight="1" x14ac:dyDescent="0.25">
      <c r="A86" s="1455"/>
      <c r="B86" s="299" t="str">
        <f t="shared" si="12"/>
        <v>Cumin Powder - كمون مطحون</v>
      </c>
      <c r="C86" s="299" t="str">
        <f t="shared" si="12"/>
        <v>gm</v>
      </c>
      <c r="D86" s="299">
        <f t="shared" si="12"/>
        <v>20</v>
      </c>
      <c r="E86" s="177">
        <f t="shared" si="13"/>
        <v>8.0800000000000018</v>
      </c>
      <c r="F86" s="109">
        <f t="shared" si="14"/>
        <v>0.7</v>
      </c>
      <c r="G86" s="101">
        <f t="shared" si="15"/>
        <v>161.60000000000002</v>
      </c>
      <c r="H86" s="102">
        <f t="shared" si="16"/>
        <v>113.12</v>
      </c>
    </row>
    <row r="87" spans="1:8" ht="14.25" customHeight="1" x14ac:dyDescent="0.25">
      <c r="A87" s="1455"/>
      <c r="B87" s="299" t="str">
        <f t="shared" si="12"/>
        <v>Maggi Cubes - مكعبات ماجي</v>
      </c>
      <c r="C87" s="299" t="str">
        <f t="shared" si="12"/>
        <v>gm</v>
      </c>
      <c r="D87" s="299">
        <f t="shared" si="12"/>
        <v>20</v>
      </c>
      <c r="E87" s="177">
        <f t="shared" si="13"/>
        <v>8.0800000000000018</v>
      </c>
      <c r="F87" s="109">
        <f t="shared" si="14"/>
        <v>0.75</v>
      </c>
      <c r="G87" s="101">
        <f t="shared" si="15"/>
        <v>161.60000000000002</v>
      </c>
      <c r="H87" s="102">
        <f t="shared" si="16"/>
        <v>121.20000000000002</v>
      </c>
    </row>
    <row r="88" spans="1:8" ht="14.25" customHeight="1" x14ac:dyDescent="0.25">
      <c r="A88" s="1455"/>
      <c r="B88" s="299" t="str">
        <f t="shared" si="12"/>
        <v>Coriander Powder - كزبرة مطحونة</v>
      </c>
      <c r="C88" s="299" t="str">
        <f t="shared" si="12"/>
        <v>gm</v>
      </c>
      <c r="D88" s="299">
        <f t="shared" si="12"/>
        <v>20</v>
      </c>
      <c r="E88" s="177">
        <f t="shared" si="13"/>
        <v>8.0800000000000018</v>
      </c>
      <c r="F88" s="109">
        <f t="shared" si="14"/>
        <v>0.7</v>
      </c>
      <c r="G88" s="101">
        <f t="shared" si="15"/>
        <v>161.60000000000002</v>
      </c>
      <c r="H88" s="102">
        <f t="shared" si="16"/>
        <v>113.12</v>
      </c>
    </row>
    <row r="89" spans="1:8" ht="14.25" customHeight="1" x14ac:dyDescent="0.25">
      <c r="A89" s="1455"/>
      <c r="B89" s="299" t="str">
        <f t="shared" si="12"/>
        <v>Tomato Paste - صلصة طماطم</v>
      </c>
      <c r="C89" s="299" t="str">
        <f t="shared" si="12"/>
        <v>gm</v>
      </c>
      <c r="D89" s="299">
        <f t="shared" si="12"/>
        <v>70</v>
      </c>
      <c r="E89" s="177">
        <f t="shared" si="13"/>
        <v>8.0800000000000018</v>
      </c>
      <c r="F89" s="109">
        <f t="shared" si="14"/>
        <v>0.6</v>
      </c>
      <c r="G89" s="101">
        <f t="shared" si="15"/>
        <v>565.60000000000014</v>
      </c>
      <c r="H89" s="102">
        <f t="shared" si="16"/>
        <v>339.36000000000007</v>
      </c>
    </row>
    <row r="90" spans="1:8" ht="14.25" customHeight="1" x14ac:dyDescent="0.25">
      <c r="A90" s="1455" t="s">
        <v>924</v>
      </c>
      <c r="B90" s="299" t="str">
        <f t="shared" si="12"/>
        <v>Tomato - طماطم</v>
      </c>
      <c r="C90" s="299" t="str">
        <f t="shared" si="12"/>
        <v>gm</v>
      </c>
      <c r="D90" s="299">
        <f t="shared" si="12"/>
        <v>100</v>
      </c>
      <c r="E90" s="177">
        <f t="shared" si="13"/>
        <v>8.0800000000000018</v>
      </c>
      <c r="F90" s="109">
        <f t="shared" si="14"/>
        <v>1</v>
      </c>
      <c r="G90" s="101">
        <f t="shared" si="15"/>
        <v>808.00000000000023</v>
      </c>
      <c r="H90" s="102">
        <f t="shared" si="16"/>
        <v>808.00000000000023</v>
      </c>
    </row>
    <row r="91" spans="1:8" ht="14.25" customHeight="1" x14ac:dyDescent="0.25">
      <c r="A91" s="1455"/>
      <c r="B91" s="299" t="str">
        <f t="shared" si="12"/>
        <v>Salt - ملح</v>
      </c>
      <c r="C91" s="299" t="str">
        <f t="shared" si="12"/>
        <v>gm</v>
      </c>
      <c r="D91" s="299">
        <f t="shared" si="12"/>
        <v>10</v>
      </c>
      <c r="E91" s="177">
        <f t="shared" si="13"/>
        <v>8.0800000000000018</v>
      </c>
      <c r="F91" s="109">
        <f t="shared" si="14"/>
        <v>0.75</v>
      </c>
      <c r="G91" s="101">
        <f t="shared" si="15"/>
        <v>80.800000000000011</v>
      </c>
      <c r="H91" s="102">
        <f t="shared" si="16"/>
        <v>60.600000000000009</v>
      </c>
    </row>
    <row r="92" spans="1:8" ht="14.25" customHeight="1" x14ac:dyDescent="0.25">
      <c r="A92" s="1455" t="s">
        <v>907</v>
      </c>
      <c r="B92" s="299" t="str">
        <f t="shared" si="12"/>
        <v>Garlic - ثوم مقشر</v>
      </c>
      <c r="C92" s="299" t="str">
        <f t="shared" si="12"/>
        <v>gm</v>
      </c>
      <c r="D92" s="299">
        <f t="shared" si="12"/>
        <v>10</v>
      </c>
      <c r="E92" s="177">
        <f t="shared" si="13"/>
        <v>8.0800000000000018</v>
      </c>
      <c r="F92" s="109">
        <f t="shared" si="14"/>
        <v>0.5</v>
      </c>
      <c r="G92" s="101">
        <f t="shared" si="15"/>
        <v>80.800000000000011</v>
      </c>
      <c r="H92" s="102">
        <f t="shared" si="16"/>
        <v>40.400000000000006</v>
      </c>
    </row>
    <row r="93" spans="1:8" ht="14.25" customHeight="1" x14ac:dyDescent="0.25">
      <c r="A93" s="1455"/>
      <c r="B93" s="299" t="str">
        <f t="shared" si="12"/>
        <v>Coriander Leaves - كزبرة خضراء</v>
      </c>
      <c r="C93" s="299" t="str">
        <f t="shared" si="12"/>
        <v>gm</v>
      </c>
      <c r="D93" s="299">
        <f t="shared" si="12"/>
        <v>15</v>
      </c>
      <c r="E93" s="177">
        <f t="shared" si="13"/>
        <v>8.0800000000000018</v>
      </c>
      <c r="F93" s="109">
        <f t="shared" si="14"/>
        <v>0.6</v>
      </c>
      <c r="G93" s="101">
        <f t="shared" si="15"/>
        <v>121.20000000000003</v>
      </c>
      <c r="H93" s="102">
        <f t="shared" si="16"/>
        <v>72.720000000000013</v>
      </c>
    </row>
    <row r="94" spans="1:8" ht="14.25" customHeight="1" x14ac:dyDescent="0.25">
      <c r="A94" s="1455"/>
      <c r="B94" s="299" t="str">
        <f t="shared" si="12"/>
        <v>Green Bell Pepper - فلفل أخضر رومى</v>
      </c>
      <c r="C94" s="299" t="str">
        <f t="shared" si="12"/>
        <v>gm</v>
      </c>
      <c r="D94" s="299">
        <f t="shared" si="12"/>
        <v>50</v>
      </c>
      <c r="E94" s="177">
        <f t="shared" si="13"/>
        <v>8.0800000000000018</v>
      </c>
      <c r="F94" s="109">
        <f t="shared" si="14"/>
        <v>1</v>
      </c>
      <c r="G94" s="101">
        <f t="shared" si="15"/>
        <v>404.00000000000011</v>
      </c>
      <c r="H94" s="102">
        <f t="shared" si="16"/>
        <v>404.00000000000011</v>
      </c>
    </row>
    <row r="95" spans="1:8" ht="14.25" customHeight="1" x14ac:dyDescent="0.25">
      <c r="A95" s="1455" t="s">
        <v>906</v>
      </c>
      <c r="B95" s="299" t="str">
        <f t="shared" si="12"/>
        <v>Ginger - زنجبيل</v>
      </c>
      <c r="C95" s="299" t="str">
        <f t="shared" si="12"/>
        <v>gm</v>
      </c>
      <c r="D95" s="299">
        <f t="shared" si="12"/>
        <v>30</v>
      </c>
      <c r="E95" s="177">
        <f t="shared" si="13"/>
        <v>8.0800000000000018</v>
      </c>
      <c r="F95" s="109">
        <f t="shared" si="14"/>
        <v>0.25</v>
      </c>
      <c r="G95" s="101">
        <f t="shared" si="15"/>
        <v>242.40000000000006</v>
      </c>
      <c r="H95" s="102">
        <f t="shared" si="16"/>
        <v>60.600000000000016</v>
      </c>
    </row>
    <row r="96" spans="1:8" ht="14.25" customHeight="1" x14ac:dyDescent="0.25">
      <c r="A96" s="1455"/>
      <c r="B96" s="299" t="str">
        <f t="shared" si="12"/>
        <v>Water - ماء</v>
      </c>
      <c r="C96" s="299" t="str">
        <f t="shared" si="12"/>
        <v>ml</v>
      </c>
      <c r="D96" s="299">
        <f t="shared" si="12"/>
        <v>350</v>
      </c>
      <c r="E96" s="177">
        <f t="shared" si="13"/>
        <v>8.0800000000000018</v>
      </c>
      <c r="F96" s="109">
        <f t="shared" si="14"/>
        <v>1</v>
      </c>
      <c r="G96" s="101">
        <f t="shared" si="15"/>
        <v>2828.0000000000005</v>
      </c>
      <c r="H96" s="102">
        <f t="shared" si="16"/>
        <v>2828.0000000000005</v>
      </c>
    </row>
    <row r="97" spans="1:8" ht="20.25" customHeight="1" x14ac:dyDescent="0.25">
      <c r="A97" s="1458"/>
      <c r="B97" s="178" t="s">
        <v>287</v>
      </c>
      <c r="C97" s="180" t="s">
        <v>273</v>
      </c>
      <c r="D97" s="14"/>
      <c r="E97" s="180" t="s">
        <v>288</v>
      </c>
      <c r="F97" s="14"/>
      <c r="G97" s="804" t="s">
        <v>264</v>
      </c>
      <c r="H97" s="804" t="s">
        <v>673</v>
      </c>
    </row>
    <row r="98" spans="1:8" ht="25.5" customHeight="1" x14ac:dyDescent="0.3">
      <c r="A98" s="1458"/>
      <c r="B98" s="179">
        <f>$J$54</f>
        <v>8080</v>
      </c>
      <c r="C98" s="181">
        <f>E98+G98</f>
        <v>0</v>
      </c>
      <c r="D98" s="189"/>
      <c r="E98" s="181">
        <f>$C$54*$S$44</f>
        <v>0</v>
      </c>
      <c r="F98" s="84"/>
      <c r="G98" s="182">
        <f>$C$54*$T$44</f>
        <v>0</v>
      </c>
      <c r="H98" s="182">
        <f>B98+E98</f>
        <v>8080</v>
      </c>
    </row>
    <row r="99" spans="1:8" ht="14.25" customHeight="1" x14ac:dyDescent="0.25">
      <c r="A99" s="62"/>
      <c r="B99" s="84"/>
      <c r="E99" s="84"/>
      <c r="F99" s="84"/>
    </row>
    <row r="100" spans="1:8" ht="14.25" customHeight="1" x14ac:dyDescent="0.25">
      <c r="A100" s="62"/>
      <c r="B100" s="84"/>
      <c r="E100" s="84"/>
      <c r="F100" s="84"/>
    </row>
    <row r="101" spans="1:8" ht="14.25" customHeight="1" x14ac:dyDescent="0.25">
      <c r="A101" s="62"/>
      <c r="B101" s="84"/>
      <c r="E101" s="84"/>
      <c r="F101" s="84"/>
    </row>
    <row r="102" spans="1:8" ht="18" customHeight="1" x14ac:dyDescent="0.2">
      <c r="A102" s="1467"/>
      <c r="B102" s="1636" t="str">
        <f>"دجاج مقلوبة 3 / " &amp; COUNTIF($H$53:$H$56, "&gt;0")</f>
        <v>دجاج مقلوبة 3 / 2</v>
      </c>
      <c r="C102" s="1637"/>
      <c r="D102" s="1637"/>
      <c r="E102" s="1637"/>
      <c r="F102" s="1637"/>
      <c r="G102" s="1637"/>
      <c r="H102" s="1637"/>
    </row>
    <row r="103" spans="1:8" ht="18" customHeight="1" x14ac:dyDescent="0.2">
      <c r="A103" s="1468"/>
      <c r="B103" s="1634" t="str">
        <f>"Chicken Maklouba 3 / " &amp; COUNTIF($H$53:$H$56, "&gt;0")</f>
        <v>Chicken Maklouba 3 / 2</v>
      </c>
      <c r="C103" s="1635"/>
      <c r="D103" s="1635"/>
      <c r="E103" s="1635"/>
      <c r="F103" s="1635"/>
      <c r="G103" s="1635"/>
      <c r="H103" s="1635"/>
    </row>
    <row r="104" spans="1:8" ht="46.5" customHeight="1" x14ac:dyDescent="0.2">
      <c r="A104" s="1457"/>
      <c r="B104" s="75" t="s">
        <v>241</v>
      </c>
      <c r="C104" s="284" t="s">
        <v>317</v>
      </c>
      <c r="D104" s="75" t="s">
        <v>318</v>
      </c>
      <c r="E104" s="91" t="s">
        <v>319</v>
      </c>
      <c r="F104" s="91" t="s">
        <v>320</v>
      </c>
      <c r="G104" s="285" t="s">
        <v>321</v>
      </c>
      <c r="H104" s="92" t="s">
        <v>322</v>
      </c>
    </row>
    <row r="105" spans="1:8" ht="14.25" customHeight="1" x14ac:dyDescent="0.2">
      <c r="A105" s="1459"/>
      <c r="B105" s="198" t="str">
        <f t="shared" ref="B105:D117" si="17">B5</f>
        <v>Chicken - دجاج</v>
      </c>
      <c r="C105" s="198" t="str">
        <f t="shared" si="17"/>
        <v>gm</v>
      </c>
      <c r="D105" s="101">
        <f t="shared" si="17"/>
        <v>1587.3015873015872</v>
      </c>
      <c r="E105" s="177">
        <f t="shared" ref="E105:E117" si="18">$H$55</f>
        <v>0</v>
      </c>
      <c r="F105" s="301">
        <f t="shared" ref="F105:F117" si="19">F5</f>
        <v>1</v>
      </c>
      <c r="G105" s="101">
        <f t="shared" ref="G105:G117" si="20">D105*E105</f>
        <v>0</v>
      </c>
      <c r="H105" s="102">
        <f t="shared" ref="H105:H117" si="21">G105*F105</f>
        <v>0</v>
      </c>
    </row>
    <row r="106" spans="1:8" ht="14.25" customHeight="1" x14ac:dyDescent="0.2">
      <c r="A106" s="1459"/>
      <c r="B106" s="198" t="str">
        <f t="shared" si="17"/>
        <v>Kabsa Spices Powder - توابل كبسة بودر</v>
      </c>
      <c r="C106" s="198" t="str">
        <f t="shared" si="17"/>
        <v>gm</v>
      </c>
      <c r="D106" s="198">
        <f t="shared" si="17"/>
        <v>35</v>
      </c>
      <c r="E106" s="177">
        <f t="shared" si="18"/>
        <v>0</v>
      </c>
      <c r="F106" s="301">
        <f t="shared" si="19"/>
        <v>0.5</v>
      </c>
      <c r="G106" s="101">
        <f t="shared" si="20"/>
        <v>0</v>
      </c>
      <c r="H106" s="102">
        <f t="shared" si="21"/>
        <v>0</v>
      </c>
    </row>
    <row r="107" spans="1:8" ht="14.25" customHeight="1" x14ac:dyDescent="0.2">
      <c r="A107" s="1459"/>
      <c r="B107" s="198" t="str">
        <f t="shared" si="17"/>
        <v>Cumin Powder - كمون مطحون</v>
      </c>
      <c r="C107" s="198" t="str">
        <f t="shared" si="17"/>
        <v>gm</v>
      </c>
      <c r="D107" s="198">
        <f t="shared" si="17"/>
        <v>20</v>
      </c>
      <c r="E107" s="177">
        <f t="shared" si="18"/>
        <v>0</v>
      </c>
      <c r="F107" s="301">
        <f t="shared" si="19"/>
        <v>0.7</v>
      </c>
      <c r="G107" s="101">
        <f t="shared" si="20"/>
        <v>0</v>
      </c>
      <c r="H107" s="102">
        <f t="shared" si="21"/>
        <v>0</v>
      </c>
    </row>
    <row r="108" spans="1:8" ht="14.25" customHeight="1" x14ac:dyDescent="0.2">
      <c r="A108" s="1459"/>
      <c r="B108" s="198" t="str">
        <f t="shared" si="17"/>
        <v>Maggi Cubes - مكعبات ماجي</v>
      </c>
      <c r="C108" s="198" t="str">
        <f t="shared" si="17"/>
        <v>gm</v>
      </c>
      <c r="D108" s="198">
        <f t="shared" si="17"/>
        <v>20</v>
      </c>
      <c r="E108" s="177">
        <f t="shared" si="18"/>
        <v>0</v>
      </c>
      <c r="F108" s="301">
        <f t="shared" si="19"/>
        <v>0.75</v>
      </c>
      <c r="G108" s="101">
        <f t="shared" si="20"/>
        <v>0</v>
      </c>
      <c r="H108" s="102">
        <f t="shared" si="21"/>
        <v>0</v>
      </c>
    </row>
    <row r="109" spans="1:8" ht="14.25" customHeight="1" x14ac:dyDescent="0.2">
      <c r="A109" s="1459"/>
      <c r="B109" s="198" t="str">
        <f t="shared" si="17"/>
        <v>Coriander Powder - كزبرة مطحونة</v>
      </c>
      <c r="C109" s="198" t="str">
        <f t="shared" si="17"/>
        <v>gm</v>
      </c>
      <c r="D109" s="198">
        <f t="shared" si="17"/>
        <v>20</v>
      </c>
      <c r="E109" s="177">
        <f t="shared" si="18"/>
        <v>0</v>
      </c>
      <c r="F109" s="301">
        <f t="shared" si="19"/>
        <v>0.7</v>
      </c>
      <c r="G109" s="101">
        <f t="shared" si="20"/>
        <v>0</v>
      </c>
      <c r="H109" s="102">
        <f t="shared" si="21"/>
        <v>0</v>
      </c>
    </row>
    <row r="110" spans="1:8" ht="14.25" customHeight="1" x14ac:dyDescent="0.2">
      <c r="A110" s="1459"/>
      <c r="B110" s="198" t="str">
        <f t="shared" si="17"/>
        <v>Tomato Paste - صلصة طماطم</v>
      </c>
      <c r="C110" s="198" t="str">
        <f t="shared" si="17"/>
        <v>gm</v>
      </c>
      <c r="D110" s="198">
        <f t="shared" si="17"/>
        <v>70</v>
      </c>
      <c r="E110" s="177">
        <f t="shared" si="18"/>
        <v>0</v>
      </c>
      <c r="F110" s="301">
        <f t="shared" si="19"/>
        <v>0.6</v>
      </c>
      <c r="G110" s="101">
        <f t="shared" si="20"/>
        <v>0</v>
      </c>
      <c r="H110" s="102">
        <f t="shared" si="21"/>
        <v>0</v>
      </c>
    </row>
    <row r="111" spans="1:8" ht="14.25" customHeight="1" x14ac:dyDescent="0.2">
      <c r="A111" s="1459" t="s">
        <v>924</v>
      </c>
      <c r="B111" s="198" t="str">
        <f t="shared" si="17"/>
        <v>Tomato - طماطم</v>
      </c>
      <c r="C111" s="198" t="str">
        <f t="shared" si="17"/>
        <v>gm</v>
      </c>
      <c r="D111" s="198">
        <f t="shared" si="17"/>
        <v>100</v>
      </c>
      <c r="E111" s="177">
        <f t="shared" si="18"/>
        <v>0</v>
      </c>
      <c r="F111" s="301">
        <f t="shared" si="19"/>
        <v>1</v>
      </c>
      <c r="G111" s="101">
        <f t="shared" si="20"/>
        <v>0</v>
      </c>
      <c r="H111" s="102">
        <f t="shared" si="21"/>
        <v>0</v>
      </c>
    </row>
    <row r="112" spans="1:8" ht="14.25" customHeight="1" x14ac:dyDescent="0.2">
      <c r="A112" s="1459"/>
      <c r="B112" s="198" t="str">
        <f t="shared" si="17"/>
        <v>Salt - ملح</v>
      </c>
      <c r="C112" s="198" t="str">
        <f t="shared" si="17"/>
        <v>gm</v>
      </c>
      <c r="D112" s="198">
        <f t="shared" si="17"/>
        <v>10</v>
      </c>
      <c r="E112" s="177">
        <f t="shared" si="18"/>
        <v>0</v>
      </c>
      <c r="F112" s="301">
        <f t="shared" si="19"/>
        <v>0.75</v>
      </c>
      <c r="G112" s="101">
        <f t="shared" si="20"/>
        <v>0</v>
      </c>
      <c r="H112" s="102">
        <f t="shared" si="21"/>
        <v>0</v>
      </c>
    </row>
    <row r="113" spans="1:10" ht="14.25" customHeight="1" x14ac:dyDescent="0.2">
      <c r="A113" s="1459" t="s">
        <v>907</v>
      </c>
      <c r="B113" s="198" t="str">
        <f t="shared" si="17"/>
        <v>Garlic - ثوم مقشر</v>
      </c>
      <c r="C113" s="198" t="str">
        <f t="shared" si="17"/>
        <v>gm</v>
      </c>
      <c r="D113" s="198">
        <f t="shared" si="17"/>
        <v>10</v>
      </c>
      <c r="E113" s="177">
        <f t="shared" si="18"/>
        <v>0</v>
      </c>
      <c r="F113" s="301">
        <f t="shared" si="19"/>
        <v>0.5</v>
      </c>
      <c r="G113" s="101">
        <f t="shared" si="20"/>
        <v>0</v>
      </c>
      <c r="H113" s="102">
        <f t="shared" si="21"/>
        <v>0</v>
      </c>
    </row>
    <row r="114" spans="1:10" ht="14.25" customHeight="1" x14ac:dyDescent="0.2">
      <c r="A114" s="1459"/>
      <c r="B114" s="198" t="str">
        <f t="shared" si="17"/>
        <v>Coriander Leaves - كزبرة خضراء</v>
      </c>
      <c r="C114" s="198" t="str">
        <f t="shared" si="17"/>
        <v>gm</v>
      </c>
      <c r="D114" s="198">
        <f t="shared" si="17"/>
        <v>15</v>
      </c>
      <c r="E114" s="177">
        <f t="shared" si="18"/>
        <v>0</v>
      </c>
      <c r="F114" s="301">
        <f t="shared" si="19"/>
        <v>0.6</v>
      </c>
      <c r="G114" s="101">
        <f t="shared" si="20"/>
        <v>0</v>
      </c>
      <c r="H114" s="102">
        <f t="shared" si="21"/>
        <v>0</v>
      </c>
    </row>
    <row r="115" spans="1:10" ht="14.25" customHeight="1" x14ac:dyDescent="0.2">
      <c r="A115" s="1459"/>
      <c r="B115" s="198" t="str">
        <f t="shared" si="17"/>
        <v>Green Bell Pepper - فلفل أخضر رومى</v>
      </c>
      <c r="C115" s="198" t="str">
        <f t="shared" si="17"/>
        <v>gm</v>
      </c>
      <c r="D115" s="198">
        <f t="shared" si="17"/>
        <v>50</v>
      </c>
      <c r="E115" s="177">
        <f t="shared" si="18"/>
        <v>0</v>
      </c>
      <c r="F115" s="301">
        <f t="shared" si="19"/>
        <v>1</v>
      </c>
      <c r="G115" s="101">
        <f t="shared" si="20"/>
        <v>0</v>
      </c>
      <c r="H115" s="102">
        <f t="shared" si="21"/>
        <v>0</v>
      </c>
    </row>
    <row r="116" spans="1:10" ht="14.25" customHeight="1" x14ac:dyDescent="0.2">
      <c r="A116" s="1459" t="s">
        <v>906</v>
      </c>
      <c r="B116" s="198" t="str">
        <f t="shared" si="17"/>
        <v>Ginger - زنجبيل</v>
      </c>
      <c r="C116" s="198" t="str">
        <f t="shared" si="17"/>
        <v>gm</v>
      </c>
      <c r="D116" s="198">
        <f t="shared" si="17"/>
        <v>30</v>
      </c>
      <c r="E116" s="177">
        <f t="shared" si="18"/>
        <v>0</v>
      </c>
      <c r="F116" s="301">
        <f t="shared" si="19"/>
        <v>0.25</v>
      </c>
      <c r="G116" s="101">
        <f t="shared" si="20"/>
        <v>0</v>
      </c>
      <c r="H116" s="102">
        <f t="shared" si="21"/>
        <v>0</v>
      </c>
    </row>
    <row r="117" spans="1:10" ht="14.25" customHeight="1" x14ac:dyDescent="0.2">
      <c r="A117" s="1459"/>
      <c r="B117" s="198" t="str">
        <f t="shared" si="17"/>
        <v>Water - ماء</v>
      </c>
      <c r="C117" s="198" t="str">
        <f t="shared" si="17"/>
        <v>ml</v>
      </c>
      <c r="D117" s="198">
        <f t="shared" si="17"/>
        <v>350</v>
      </c>
      <c r="E117" s="177">
        <f t="shared" si="18"/>
        <v>0</v>
      </c>
      <c r="F117" s="301">
        <f t="shared" si="19"/>
        <v>1</v>
      </c>
      <c r="G117" s="101">
        <f t="shared" si="20"/>
        <v>0</v>
      </c>
      <c r="H117" s="102">
        <f t="shared" si="21"/>
        <v>0</v>
      </c>
    </row>
    <row r="118" spans="1:10" ht="20.25" customHeight="1" x14ac:dyDescent="0.3">
      <c r="A118" s="1458"/>
      <c r="B118" s="178" t="s">
        <v>287</v>
      </c>
      <c r="C118" s="180" t="s">
        <v>273</v>
      </c>
      <c r="D118" s="14"/>
      <c r="E118" s="180" t="s">
        <v>288</v>
      </c>
      <c r="F118" s="14"/>
      <c r="G118" s="804" t="s">
        <v>264</v>
      </c>
      <c r="H118" s="804" t="s">
        <v>673</v>
      </c>
      <c r="I118" s="184"/>
      <c r="J118" s="183"/>
    </row>
    <row r="119" spans="1:10" ht="20.25" x14ac:dyDescent="0.3">
      <c r="A119" s="1458"/>
      <c r="B119" s="179">
        <f>$J$55</f>
        <v>0</v>
      </c>
      <c r="C119" s="181">
        <f>E119+G119</f>
        <v>0</v>
      </c>
      <c r="D119" s="189"/>
      <c r="E119" s="181">
        <f>$C$56*$S$44</f>
        <v>0</v>
      </c>
      <c r="F119" s="84"/>
      <c r="G119" s="182">
        <f>$C$55*$T$44</f>
        <v>0</v>
      </c>
      <c r="H119" s="182">
        <f>B119+E119</f>
        <v>0</v>
      </c>
    </row>
    <row r="120" spans="1:10" x14ac:dyDescent="0.25">
      <c r="A120" s="62"/>
    </row>
    <row r="121" spans="1:10" ht="18" x14ac:dyDescent="0.2">
      <c r="A121" s="1467"/>
      <c r="B121" s="1636" t="str">
        <f>"دجاج مقلوبة 3 / " &amp; COUNTIF($H$53:$H$56, "&gt;0")</f>
        <v>دجاج مقلوبة 3 / 2</v>
      </c>
      <c r="C121" s="1633"/>
      <c r="D121" s="1633"/>
      <c r="E121" s="1633"/>
      <c r="F121" s="1633"/>
      <c r="G121" s="1633"/>
      <c r="H121" s="1633"/>
    </row>
    <row r="122" spans="1:10" ht="18" x14ac:dyDescent="0.2">
      <c r="A122" s="1468"/>
      <c r="B122" s="1634" t="str">
        <f>"Chicken Maklouba 3 / " &amp; COUNTIF($H$53:$H$56, "&gt;0")</f>
        <v>Chicken Maklouba 3 / 2</v>
      </c>
      <c r="C122" s="1639"/>
      <c r="D122" s="1639"/>
      <c r="E122" s="1639"/>
      <c r="F122" s="1639"/>
      <c r="G122" s="1639"/>
      <c r="H122" s="1639"/>
    </row>
    <row r="123" spans="1:10" ht="38.25" x14ac:dyDescent="0.2">
      <c r="A123" s="1457"/>
      <c r="B123" s="75" t="s">
        <v>241</v>
      </c>
      <c r="C123" s="284" t="s">
        <v>317</v>
      </c>
      <c r="D123" s="75" t="s">
        <v>318</v>
      </c>
      <c r="E123" s="91" t="s">
        <v>319</v>
      </c>
      <c r="F123" s="91" t="s">
        <v>320</v>
      </c>
      <c r="G123" s="285" t="s">
        <v>321</v>
      </c>
      <c r="H123" s="92" t="s">
        <v>322</v>
      </c>
    </row>
    <row r="124" spans="1:10" ht="14.25" x14ac:dyDescent="0.2">
      <c r="A124" s="1459"/>
      <c r="B124" s="198" t="str">
        <f t="shared" ref="B124:D136" si="22">B5</f>
        <v>Chicken - دجاج</v>
      </c>
      <c r="C124" s="198" t="str">
        <f t="shared" si="22"/>
        <v>gm</v>
      </c>
      <c r="D124" s="525">
        <f t="shared" si="22"/>
        <v>1587.3015873015872</v>
      </c>
      <c r="E124" s="177">
        <f t="shared" ref="E124:E136" si="23">$H$56</f>
        <v>0</v>
      </c>
      <c r="F124" s="301">
        <f>F5</f>
        <v>1</v>
      </c>
      <c r="G124" s="101">
        <f t="shared" ref="G124:G136" si="24">D124*E124</f>
        <v>0</v>
      </c>
      <c r="H124" s="102">
        <f t="shared" ref="H124:H136" si="25">G124*F124</f>
        <v>0</v>
      </c>
    </row>
    <row r="125" spans="1:10" ht="14.25" x14ac:dyDescent="0.2">
      <c r="A125" s="1459"/>
      <c r="B125" s="198" t="str">
        <f t="shared" si="22"/>
        <v>Kabsa Spices Powder - توابل كبسة بودر</v>
      </c>
      <c r="C125" s="198" t="str">
        <f t="shared" si="22"/>
        <v>gm</v>
      </c>
      <c r="D125" s="198">
        <f t="shared" si="22"/>
        <v>35</v>
      </c>
      <c r="E125" s="177">
        <f t="shared" si="23"/>
        <v>0</v>
      </c>
      <c r="F125" s="301">
        <f t="shared" ref="F125:F136" si="26">F6</f>
        <v>0.5</v>
      </c>
      <c r="G125" s="101">
        <f t="shared" si="24"/>
        <v>0</v>
      </c>
      <c r="H125" s="102">
        <f t="shared" si="25"/>
        <v>0</v>
      </c>
    </row>
    <row r="126" spans="1:10" ht="14.25" x14ac:dyDescent="0.2">
      <c r="A126" s="1459"/>
      <c r="B126" s="198" t="str">
        <f t="shared" si="22"/>
        <v>Cumin Powder - كمون مطحون</v>
      </c>
      <c r="C126" s="198" t="str">
        <f t="shared" si="22"/>
        <v>gm</v>
      </c>
      <c r="D126" s="198">
        <f t="shared" si="22"/>
        <v>20</v>
      </c>
      <c r="E126" s="177">
        <f t="shared" si="23"/>
        <v>0</v>
      </c>
      <c r="F126" s="301">
        <f t="shared" si="26"/>
        <v>0.7</v>
      </c>
      <c r="G126" s="101">
        <f t="shared" si="24"/>
        <v>0</v>
      </c>
      <c r="H126" s="102">
        <f t="shared" si="25"/>
        <v>0</v>
      </c>
    </row>
    <row r="127" spans="1:10" ht="14.25" x14ac:dyDescent="0.2">
      <c r="A127" s="1459"/>
      <c r="B127" s="198" t="str">
        <f t="shared" si="22"/>
        <v>Maggi Cubes - مكعبات ماجي</v>
      </c>
      <c r="C127" s="198" t="str">
        <f t="shared" si="22"/>
        <v>gm</v>
      </c>
      <c r="D127" s="198">
        <f t="shared" si="22"/>
        <v>20</v>
      </c>
      <c r="E127" s="177">
        <f t="shared" si="23"/>
        <v>0</v>
      </c>
      <c r="F127" s="301">
        <f t="shared" si="26"/>
        <v>0.75</v>
      </c>
      <c r="G127" s="101">
        <f t="shared" si="24"/>
        <v>0</v>
      </c>
      <c r="H127" s="102">
        <f t="shared" si="25"/>
        <v>0</v>
      </c>
    </row>
    <row r="128" spans="1:10" ht="14.25" x14ac:dyDescent="0.2">
      <c r="A128" s="1459"/>
      <c r="B128" s="198" t="str">
        <f t="shared" si="22"/>
        <v>Coriander Powder - كزبرة مطحونة</v>
      </c>
      <c r="C128" s="198" t="str">
        <f t="shared" si="22"/>
        <v>gm</v>
      </c>
      <c r="D128" s="198">
        <f t="shared" si="22"/>
        <v>20</v>
      </c>
      <c r="E128" s="177">
        <f t="shared" si="23"/>
        <v>0</v>
      </c>
      <c r="F128" s="301">
        <f t="shared" si="26"/>
        <v>0.7</v>
      </c>
      <c r="G128" s="101">
        <f t="shared" si="24"/>
        <v>0</v>
      </c>
      <c r="H128" s="102">
        <f t="shared" si="25"/>
        <v>0</v>
      </c>
    </row>
    <row r="129" spans="1:8" ht="14.25" x14ac:dyDescent="0.2">
      <c r="A129" s="1459"/>
      <c r="B129" s="198" t="str">
        <f t="shared" si="22"/>
        <v>Tomato Paste - صلصة طماطم</v>
      </c>
      <c r="C129" s="198" t="str">
        <f t="shared" si="22"/>
        <v>gm</v>
      </c>
      <c r="D129" s="198">
        <f t="shared" si="22"/>
        <v>70</v>
      </c>
      <c r="E129" s="177">
        <f t="shared" si="23"/>
        <v>0</v>
      </c>
      <c r="F129" s="301">
        <f t="shared" si="26"/>
        <v>0.6</v>
      </c>
      <c r="G129" s="101">
        <f t="shared" si="24"/>
        <v>0</v>
      </c>
      <c r="H129" s="102">
        <f t="shared" si="25"/>
        <v>0</v>
      </c>
    </row>
    <row r="130" spans="1:8" ht="14.25" x14ac:dyDescent="0.2">
      <c r="A130" s="1459" t="s">
        <v>924</v>
      </c>
      <c r="B130" s="198" t="str">
        <f t="shared" si="22"/>
        <v>Tomato - طماطم</v>
      </c>
      <c r="C130" s="198" t="str">
        <f t="shared" si="22"/>
        <v>gm</v>
      </c>
      <c r="D130" s="198">
        <f t="shared" si="22"/>
        <v>100</v>
      </c>
      <c r="E130" s="177">
        <f t="shared" si="23"/>
        <v>0</v>
      </c>
      <c r="F130" s="301">
        <f t="shared" si="26"/>
        <v>1</v>
      </c>
      <c r="G130" s="101">
        <f t="shared" si="24"/>
        <v>0</v>
      </c>
      <c r="H130" s="102">
        <f t="shared" si="25"/>
        <v>0</v>
      </c>
    </row>
    <row r="131" spans="1:8" ht="14.25" x14ac:dyDescent="0.2">
      <c r="A131" s="1459"/>
      <c r="B131" s="198" t="str">
        <f t="shared" si="22"/>
        <v>Salt - ملح</v>
      </c>
      <c r="C131" s="198" t="str">
        <f t="shared" si="22"/>
        <v>gm</v>
      </c>
      <c r="D131" s="198">
        <f t="shared" si="22"/>
        <v>10</v>
      </c>
      <c r="E131" s="177">
        <f t="shared" si="23"/>
        <v>0</v>
      </c>
      <c r="F131" s="301">
        <f t="shared" si="26"/>
        <v>0.75</v>
      </c>
      <c r="G131" s="101">
        <f t="shared" si="24"/>
        <v>0</v>
      </c>
      <c r="H131" s="102">
        <f t="shared" si="25"/>
        <v>0</v>
      </c>
    </row>
    <row r="132" spans="1:8" ht="14.25" x14ac:dyDescent="0.2">
      <c r="A132" s="1459" t="s">
        <v>907</v>
      </c>
      <c r="B132" s="198" t="str">
        <f t="shared" si="22"/>
        <v>Garlic - ثوم مقشر</v>
      </c>
      <c r="C132" s="198" t="str">
        <f t="shared" si="22"/>
        <v>gm</v>
      </c>
      <c r="D132" s="198">
        <f t="shared" si="22"/>
        <v>10</v>
      </c>
      <c r="E132" s="177">
        <f t="shared" si="23"/>
        <v>0</v>
      </c>
      <c r="F132" s="301">
        <f t="shared" si="26"/>
        <v>0.5</v>
      </c>
      <c r="G132" s="101">
        <f t="shared" si="24"/>
        <v>0</v>
      </c>
      <c r="H132" s="102">
        <f t="shared" si="25"/>
        <v>0</v>
      </c>
    </row>
    <row r="133" spans="1:8" ht="14.25" x14ac:dyDescent="0.2">
      <c r="A133" s="1459"/>
      <c r="B133" s="198" t="str">
        <f t="shared" si="22"/>
        <v>Coriander Leaves - كزبرة خضراء</v>
      </c>
      <c r="C133" s="198" t="str">
        <f t="shared" si="22"/>
        <v>gm</v>
      </c>
      <c r="D133" s="198">
        <f t="shared" si="22"/>
        <v>15</v>
      </c>
      <c r="E133" s="177">
        <f t="shared" si="23"/>
        <v>0</v>
      </c>
      <c r="F133" s="301">
        <f t="shared" si="26"/>
        <v>0.6</v>
      </c>
      <c r="G133" s="101">
        <f t="shared" si="24"/>
        <v>0</v>
      </c>
      <c r="H133" s="102">
        <f t="shared" si="25"/>
        <v>0</v>
      </c>
    </row>
    <row r="134" spans="1:8" ht="14.25" x14ac:dyDescent="0.2">
      <c r="A134" s="1459"/>
      <c r="B134" s="198" t="str">
        <f t="shared" si="22"/>
        <v>Green Bell Pepper - فلفل أخضر رومى</v>
      </c>
      <c r="C134" s="198" t="str">
        <f t="shared" si="22"/>
        <v>gm</v>
      </c>
      <c r="D134" s="198">
        <f t="shared" si="22"/>
        <v>50</v>
      </c>
      <c r="E134" s="177">
        <f t="shared" si="23"/>
        <v>0</v>
      </c>
      <c r="F134" s="301">
        <f t="shared" si="26"/>
        <v>1</v>
      </c>
      <c r="G134" s="101">
        <f t="shared" si="24"/>
        <v>0</v>
      </c>
      <c r="H134" s="102">
        <f t="shared" si="25"/>
        <v>0</v>
      </c>
    </row>
    <row r="135" spans="1:8" ht="14.25" x14ac:dyDescent="0.2">
      <c r="A135" s="1459" t="s">
        <v>906</v>
      </c>
      <c r="B135" s="198" t="str">
        <f t="shared" si="22"/>
        <v>Ginger - زنجبيل</v>
      </c>
      <c r="C135" s="198" t="str">
        <f t="shared" si="22"/>
        <v>gm</v>
      </c>
      <c r="D135" s="198">
        <f t="shared" si="22"/>
        <v>30</v>
      </c>
      <c r="E135" s="177">
        <f t="shared" si="23"/>
        <v>0</v>
      </c>
      <c r="F135" s="301">
        <f t="shared" si="26"/>
        <v>0.25</v>
      </c>
      <c r="G135" s="101">
        <f t="shared" si="24"/>
        <v>0</v>
      </c>
      <c r="H135" s="102">
        <f t="shared" si="25"/>
        <v>0</v>
      </c>
    </row>
    <row r="136" spans="1:8" ht="14.25" x14ac:dyDescent="0.2">
      <c r="A136" s="1459"/>
      <c r="B136" s="198" t="str">
        <f t="shared" si="22"/>
        <v>Water - ماء</v>
      </c>
      <c r="C136" s="198" t="str">
        <f t="shared" si="22"/>
        <v>ml</v>
      </c>
      <c r="D136" s="198">
        <f t="shared" si="22"/>
        <v>350</v>
      </c>
      <c r="E136" s="177">
        <f t="shared" si="23"/>
        <v>0</v>
      </c>
      <c r="F136" s="301">
        <f t="shared" si="26"/>
        <v>1</v>
      </c>
      <c r="G136" s="101">
        <f t="shared" si="24"/>
        <v>0</v>
      </c>
      <c r="H136" s="102">
        <f t="shared" si="25"/>
        <v>0</v>
      </c>
    </row>
    <row r="137" spans="1:8" ht="18" x14ac:dyDescent="0.25">
      <c r="A137" s="1458"/>
      <c r="B137" s="178" t="s">
        <v>287</v>
      </c>
      <c r="C137" s="180" t="s">
        <v>273</v>
      </c>
      <c r="D137" s="14"/>
      <c r="E137" s="180" t="s">
        <v>288</v>
      </c>
      <c r="F137" s="14"/>
      <c r="G137" s="804" t="s">
        <v>264</v>
      </c>
      <c r="H137" s="804" t="s">
        <v>673</v>
      </c>
    </row>
    <row r="138" spans="1:8" ht="20.25" x14ac:dyDescent="0.3">
      <c r="A138" s="1458"/>
      <c r="B138" s="179">
        <f>$J$56</f>
        <v>0</v>
      </c>
      <c r="C138" s="181">
        <f>E138+G138</f>
        <v>0</v>
      </c>
      <c r="D138" s="189"/>
      <c r="E138" s="181">
        <f>$C$56*$S$44</f>
        <v>0</v>
      </c>
      <c r="F138" s="84"/>
      <c r="G138" s="182">
        <f>$C$56*$T$44</f>
        <v>0</v>
      </c>
      <c r="H138" s="182">
        <f>B138+E138</f>
        <v>0</v>
      </c>
    </row>
    <row r="139" spans="1:8" x14ac:dyDescent="0.25">
      <c r="A139" s="62"/>
    </row>
    <row r="140" spans="1:8" x14ac:dyDescent="0.25">
      <c r="A140" s="62"/>
    </row>
    <row r="141" spans="1:8" x14ac:dyDescent="0.25">
      <c r="A141" s="62"/>
    </row>
    <row r="142" spans="1:8" x14ac:dyDescent="0.25">
      <c r="A142" s="62"/>
    </row>
    <row r="143" spans="1:8" x14ac:dyDescent="0.25">
      <c r="A143" s="62"/>
    </row>
    <row r="144" spans="1:8"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2">
    <mergeCell ref="R25:T25"/>
    <mergeCell ref="AE2:AG3"/>
    <mergeCell ref="B102:H102"/>
    <mergeCell ref="B82:H82"/>
    <mergeCell ref="B62:H62"/>
    <mergeCell ref="R26:T26"/>
    <mergeCell ref="B63:H63"/>
    <mergeCell ref="B121:H121"/>
    <mergeCell ref="B122:H122"/>
    <mergeCell ref="B103:H103"/>
    <mergeCell ref="B2:K3"/>
    <mergeCell ref="B81:H81"/>
  </mergeCells>
  <printOptions horizontalCentered="1"/>
  <pageMargins left="0.5" right="0.5" top="1" bottom="0.5" header="0.3" footer="0.511811023622047"/>
  <pageSetup paperSize="9" scale="33" orientation="portrait" r:id="rId1"/>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6" tint="-0.249977111117893"/>
    <pageSetUpPr fitToPage="1"/>
  </sheetPr>
  <dimension ref="A1:AG174"/>
  <sheetViews>
    <sheetView topLeftCell="L1" zoomScale="85" zoomScaleNormal="85" workbookViewId="0">
      <selection activeCell="R44" sqref="R44"/>
    </sheetView>
  </sheetViews>
  <sheetFormatPr defaultColWidth="12.5" defaultRowHeight="15" x14ac:dyDescent="0.25"/>
  <cols>
    <col min="1" max="1" width="12.5" style="1" customWidth="1"/>
    <col min="2" max="2" width="19.5" customWidth="1"/>
    <col min="3" max="3" width="12" customWidth="1"/>
    <col min="4" max="4" width="16.375" customWidth="1"/>
    <col min="5" max="6" width="16.125" customWidth="1"/>
    <col min="7" max="7" width="16.375" customWidth="1"/>
    <col min="8" max="8" width="19.25" customWidth="1"/>
    <col min="9" max="9" width="18.375" customWidth="1"/>
    <col min="12" max="12" width="8.375" customWidth="1"/>
    <col min="13" max="13" width="11" customWidth="1"/>
    <col min="14" max="14" width="8.375" customWidth="1"/>
    <col min="15" max="17" width="4.125" customWidth="1"/>
    <col min="18" max="18" width="32" customWidth="1"/>
    <col min="29" max="29" width="16.625" bestFit="1" customWidth="1"/>
  </cols>
  <sheetData>
    <row r="1" spans="1:33" ht="24" customHeight="1" x14ac:dyDescent="0.2">
      <c r="A1" s="64" t="s">
        <v>231</v>
      </c>
      <c r="B1" s="65">
        <v>1000</v>
      </c>
      <c r="C1" s="66" t="s">
        <v>232</v>
      </c>
      <c r="D1" s="99">
        <f>S28</f>
        <v>5846.681818181818</v>
      </c>
      <c r="E1" s="64" t="s">
        <v>233</v>
      </c>
      <c r="F1" s="103">
        <f>D1/B1</f>
        <v>5.8466818181818176</v>
      </c>
      <c r="G1" s="64" t="s">
        <v>234</v>
      </c>
      <c r="H1" s="103">
        <f>F1</f>
        <v>5.8466818181818176</v>
      </c>
      <c r="I1" s="70" t="s">
        <v>419</v>
      </c>
      <c r="J1" s="471">
        <f>U54</f>
        <v>0.81185185185185182</v>
      </c>
      <c r="K1" s="70" t="s">
        <v>420</v>
      </c>
      <c r="L1" s="472">
        <f>U52</f>
        <v>0.76419634263715108</v>
      </c>
      <c r="M1" s="70" t="s">
        <v>421</v>
      </c>
      <c r="N1" s="472">
        <f>U53</f>
        <v>0.61852861035422346</v>
      </c>
      <c r="Y1" s="75" t="s">
        <v>453</v>
      </c>
      <c r="Z1" s="766">
        <v>17580</v>
      </c>
      <c r="AA1" s="75" t="s">
        <v>556</v>
      </c>
      <c r="AB1" s="766">
        <v>500</v>
      </c>
      <c r="AC1" s="75" t="s">
        <v>546</v>
      </c>
      <c r="AD1" s="766">
        <v>131</v>
      </c>
    </row>
    <row r="2" spans="1:33" ht="12.75" customHeight="1" x14ac:dyDescent="0.25">
      <c r="A2" s="473"/>
      <c r="B2" s="1632" t="s">
        <v>422</v>
      </c>
      <c r="C2" s="1661"/>
      <c r="D2" s="1661"/>
      <c r="E2" s="1661"/>
      <c r="F2" s="1661"/>
      <c r="G2" s="1661"/>
      <c r="H2" s="1661"/>
      <c r="I2" s="457"/>
      <c r="J2" s="457"/>
      <c r="K2" s="457"/>
      <c r="L2" s="474"/>
      <c r="M2" s="194"/>
      <c r="N2" s="194"/>
      <c r="AE2" s="1616"/>
      <c r="AF2" s="1653"/>
      <c r="AG2" s="1653"/>
    </row>
    <row r="3" spans="1:33" ht="12.75" customHeight="1" x14ac:dyDescent="0.25">
      <c r="A3" s="473"/>
      <c r="B3" s="1633"/>
      <c r="C3" s="1633"/>
      <c r="D3" s="1633"/>
      <c r="E3" s="1633"/>
      <c r="F3" s="1633"/>
      <c r="G3" s="1633"/>
      <c r="H3" s="1633"/>
      <c r="I3" s="346"/>
      <c r="J3" s="346"/>
      <c r="K3" s="346"/>
      <c r="L3" s="474"/>
      <c r="M3" s="194"/>
      <c r="N3" s="194"/>
      <c r="AE3" s="1653"/>
      <c r="AF3" s="1653"/>
      <c r="AG3" s="1653"/>
    </row>
    <row r="4" spans="1:33" ht="61.5" customHeight="1" x14ac:dyDescent="0.2">
      <c r="A4" s="75" t="s">
        <v>903</v>
      </c>
      <c r="B4" s="75" t="s">
        <v>241</v>
      </c>
      <c r="C4" s="284" t="s">
        <v>317</v>
      </c>
      <c r="D4" s="75" t="s">
        <v>318</v>
      </c>
      <c r="E4" s="91" t="s">
        <v>319</v>
      </c>
      <c r="F4" s="91" t="s">
        <v>320</v>
      </c>
      <c r="G4" s="285" t="s">
        <v>321</v>
      </c>
      <c r="H4" s="92" t="s">
        <v>322</v>
      </c>
      <c r="I4" s="75" t="s">
        <v>246</v>
      </c>
      <c r="J4" s="75" t="s">
        <v>247</v>
      </c>
      <c r="K4" s="75" t="s">
        <v>248</v>
      </c>
      <c r="L4" s="75" t="s">
        <v>249</v>
      </c>
    </row>
    <row r="5" spans="1:33" ht="14.25" customHeight="1" x14ac:dyDescent="0.2">
      <c r="A5" s="1459"/>
      <c r="B5" s="586"/>
      <c r="C5" s="243"/>
      <c r="D5" s="198"/>
      <c r="E5" s="198"/>
      <c r="F5" s="198"/>
      <c r="G5" s="554"/>
      <c r="H5" s="243"/>
      <c r="I5" s="198"/>
      <c r="J5" s="198"/>
      <c r="K5" s="198"/>
      <c r="L5" s="198"/>
    </row>
    <row r="6" spans="1:33" ht="14.25" customHeight="1" x14ac:dyDescent="0.2">
      <c r="A6" s="1487" t="s">
        <v>908</v>
      </c>
      <c r="B6" s="263" t="s">
        <v>21</v>
      </c>
      <c r="C6" s="106" t="s">
        <v>14</v>
      </c>
      <c r="D6" s="98">
        <f>V52</f>
        <v>523.42569269521414</v>
      </c>
      <c r="E6" s="177">
        <f>$H$1</f>
        <v>5.8466818181818176</v>
      </c>
      <c r="F6" s="109">
        <v>1</v>
      </c>
      <c r="G6" s="101">
        <f>D6*E6</f>
        <v>3060.3034806503319</v>
      </c>
      <c r="H6" s="102">
        <f>G6*F6</f>
        <v>3060.3034806503319</v>
      </c>
      <c r="I6" s="198">
        <f>VLOOKUP(B6,All_Ingredients!$A$1:$F$156,6,FALSE())</f>
        <v>0.9</v>
      </c>
      <c r="J6" s="198">
        <f>VLOOKUP(B6,All_Ingredients!$A$1:$J$156,10,FALSE())</f>
        <v>2.2999999999999998</v>
      </c>
      <c r="K6" s="476">
        <f>(H6/I6)/1000</f>
        <v>3.4003372007225909</v>
      </c>
      <c r="L6" s="476">
        <f>K6*J6</f>
        <v>7.820775561661959</v>
      </c>
    </row>
    <row r="7" spans="1:33" ht="14.25" customHeight="1" x14ac:dyDescent="0.25">
      <c r="A7" s="1488"/>
      <c r="B7" s="263" t="s">
        <v>19</v>
      </c>
      <c r="C7" s="106" t="s">
        <v>14</v>
      </c>
      <c r="D7" s="98">
        <f>V53</f>
        <v>323.34801762114535</v>
      </c>
      <c r="E7" s="177">
        <f>$H$1</f>
        <v>5.8466818181818176</v>
      </c>
      <c r="F7" s="109">
        <v>1</v>
      </c>
      <c r="G7" s="101">
        <f>D7*E7</f>
        <v>1890.5129755706844</v>
      </c>
      <c r="H7" s="102">
        <f>G7*F7</f>
        <v>1890.5129755706844</v>
      </c>
      <c r="I7" s="198">
        <f>VLOOKUP(B7,All_Ingredients!$A$1:$F$156,6,FALSE())</f>
        <v>0.8</v>
      </c>
      <c r="J7" s="198">
        <f>VLOOKUP(B7,All_Ingredients!$A$1:$J$156,10,FALSE())</f>
        <v>2.6</v>
      </c>
      <c r="K7" s="476">
        <f>(H7/I7)/1000</f>
        <v>2.3631412194633552</v>
      </c>
      <c r="L7" s="476">
        <f>K7*J7</f>
        <v>6.1441671706047236</v>
      </c>
    </row>
    <row r="8" spans="1:33" ht="14.25" customHeight="1" x14ac:dyDescent="0.25">
      <c r="A8" s="1488"/>
      <c r="B8" s="263" t="s">
        <v>47</v>
      </c>
      <c r="C8" s="106" t="s">
        <v>14</v>
      </c>
      <c r="D8" s="98">
        <f>V54</f>
        <v>492.70072992700733</v>
      </c>
      <c r="E8" s="177">
        <f>$H$1</f>
        <v>5.8466818181818176</v>
      </c>
      <c r="F8" s="109">
        <v>1</v>
      </c>
      <c r="G8" s="101">
        <f>D8*E8</f>
        <v>2880.664399469144</v>
      </c>
      <c r="H8" s="102">
        <f>G8*F8</f>
        <v>2880.664399469144</v>
      </c>
      <c r="I8" s="198">
        <f>VLOOKUP(B8,All_Ingredients!$A$1:$F$156,6,FALSE())</f>
        <v>0.78</v>
      </c>
      <c r="J8" s="198">
        <f>VLOOKUP(B8,All_Ingredients!$A$1:$J$156,10,FALSE())</f>
        <v>3.7</v>
      </c>
      <c r="K8" s="476">
        <f>(H8/I8)/1000</f>
        <v>3.6931594864989026</v>
      </c>
      <c r="L8" s="476">
        <f>K8*J8</f>
        <v>13.66469010004594</v>
      </c>
    </row>
    <row r="9" spans="1:33" x14ac:dyDescent="0.25">
      <c r="A9" s="1488"/>
      <c r="B9" s="263" t="s">
        <v>93</v>
      </c>
      <c r="C9" s="106" t="s">
        <v>14</v>
      </c>
      <c r="D9" s="107">
        <v>25</v>
      </c>
      <c r="E9" s="177">
        <f>$H$1</f>
        <v>5.8466818181818176</v>
      </c>
      <c r="F9" s="109">
        <v>0.5</v>
      </c>
      <c r="G9" s="101">
        <f>D9*E9</f>
        <v>146.16704545454544</v>
      </c>
      <c r="H9" s="102">
        <f>G9*F9</f>
        <v>73.083522727272722</v>
      </c>
      <c r="I9" s="198">
        <f>VLOOKUP(B9,All_Ingredients!$A$1:$F$156,6,FALSE())</f>
        <v>1</v>
      </c>
      <c r="J9" s="198">
        <f>VLOOKUP(B9,All_Ingredients!$A$1:$J$156,10,FALSE())</f>
        <v>0.74</v>
      </c>
      <c r="K9" s="476">
        <f>(H9/I9)/1000</f>
        <v>7.3083522727272726E-2</v>
      </c>
      <c r="L9" s="476">
        <f>K9*J9</f>
        <v>5.4081806818181817E-2</v>
      </c>
    </row>
    <row r="10" spans="1:33" x14ac:dyDescent="0.25">
      <c r="A10" s="62"/>
    </row>
    <row r="11" spans="1:33" x14ac:dyDescent="0.25">
      <c r="A11" s="62"/>
    </row>
    <row r="12" spans="1:33" x14ac:dyDescent="0.25">
      <c r="A12" s="62"/>
    </row>
    <row r="13" spans="1:33" x14ac:dyDescent="0.25">
      <c r="A13" s="62"/>
    </row>
    <row r="14" spans="1:33" x14ac:dyDescent="0.25">
      <c r="A14" s="62"/>
    </row>
    <row r="15" spans="1:33" x14ac:dyDescent="0.25">
      <c r="A15" s="62"/>
    </row>
    <row r="16" spans="1:33" x14ac:dyDescent="0.25">
      <c r="A16" s="62"/>
    </row>
    <row r="17" spans="1:31" x14ac:dyDescent="0.25">
      <c r="A17" s="62"/>
    </row>
    <row r="18" spans="1:31" x14ac:dyDescent="0.25">
      <c r="A18" s="62"/>
    </row>
    <row r="19" spans="1:31" x14ac:dyDescent="0.25">
      <c r="A19" s="62"/>
    </row>
    <row r="20" spans="1:31" x14ac:dyDescent="0.25">
      <c r="A20" s="62"/>
    </row>
    <row r="21" spans="1:31" ht="14.25" customHeight="1" x14ac:dyDescent="0.25">
      <c r="A21" s="62"/>
    </row>
    <row r="22" spans="1:31" ht="14.25" customHeight="1" x14ac:dyDescent="0.25">
      <c r="A22" s="62"/>
    </row>
    <row r="23" spans="1:31" ht="14.25" customHeight="1" x14ac:dyDescent="0.25">
      <c r="A23" s="62"/>
    </row>
    <row r="24" spans="1:31" ht="14.25" customHeight="1" x14ac:dyDescent="0.25">
      <c r="A24" s="62"/>
      <c r="Z24" s="1124"/>
    </row>
    <row r="25" spans="1:31" ht="14.25" customHeight="1" x14ac:dyDescent="0.25">
      <c r="A25" s="62"/>
      <c r="R25" s="1640" t="s">
        <v>428</v>
      </c>
      <c r="S25" s="1633"/>
      <c r="T25" s="1633"/>
      <c r="U25" s="1633"/>
      <c r="Z25" s="122" t="s">
        <v>252</v>
      </c>
      <c r="AA25" s="123">
        <v>1</v>
      </c>
      <c r="AB25" s="122" t="s">
        <v>249</v>
      </c>
      <c r="AC25" s="1075">
        <f>(S35/S32)*AA25</f>
        <v>4.3619194143029484E-3</v>
      </c>
    </row>
    <row r="26" spans="1:31" ht="14.25" customHeight="1" x14ac:dyDescent="0.25">
      <c r="A26" s="62"/>
      <c r="R26" s="1638" t="s">
        <v>417</v>
      </c>
      <c r="S26" s="1639"/>
      <c r="T26" s="1639"/>
      <c r="U26" s="1639"/>
      <c r="AC26" s="14"/>
      <c r="AD26" s="14"/>
    </row>
    <row r="27" spans="1:31" ht="14.25" customHeight="1" thickBot="1" x14ac:dyDescent="0.3">
      <c r="A27" s="62"/>
      <c r="R27" s="126"/>
      <c r="S27" s="127" t="s">
        <v>429</v>
      </c>
      <c r="T27" s="127" t="s">
        <v>256</v>
      </c>
      <c r="U27" s="127" t="s">
        <v>257</v>
      </c>
      <c r="V27" s="458"/>
      <c r="Z27" s="14"/>
      <c r="AA27" s="14"/>
      <c r="AB27" s="14"/>
      <c r="AC27" s="14"/>
      <c r="AD27" s="14"/>
      <c r="AE27" s="14"/>
    </row>
    <row r="28" spans="1:31" ht="14.25" customHeight="1" thickBot="1" x14ac:dyDescent="0.3">
      <c r="A28" s="62"/>
      <c r="R28" s="129" t="s">
        <v>325</v>
      </c>
      <c r="S28" s="1169">
        <f>U28*AVERAGE(Z55:AC55)</f>
        <v>5846.681818181818</v>
      </c>
      <c r="T28" s="130"/>
      <c r="U28" s="1190">
        <f>$Z$1</f>
        <v>17580</v>
      </c>
      <c r="V28" s="13"/>
      <c r="Z28" s="14"/>
      <c r="AA28" s="14"/>
      <c r="AB28" s="14"/>
      <c r="AC28" s="14"/>
      <c r="AD28" s="14"/>
      <c r="AE28" s="14"/>
    </row>
    <row r="29" spans="1:31" ht="14.25" customHeight="1" thickBot="1" x14ac:dyDescent="0.3">
      <c r="A29" s="62"/>
      <c r="R29" s="129"/>
      <c r="S29" s="136"/>
      <c r="T29" s="130"/>
      <c r="U29" s="130">
        <f>T29</f>
        <v>0</v>
      </c>
      <c r="V29" s="458"/>
      <c r="Z29" s="14"/>
      <c r="AA29" s="14"/>
      <c r="AB29" s="14"/>
      <c r="AC29" s="14"/>
      <c r="AD29" s="14"/>
      <c r="AE29" s="14"/>
    </row>
    <row r="30" spans="1:31" ht="14.25" customHeight="1" thickBot="1" x14ac:dyDescent="0.3">
      <c r="A30" s="62"/>
      <c r="R30" s="397" t="s">
        <v>326</v>
      </c>
      <c r="S30" s="1173">
        <f>$AB$1</f>
        <v>500</v>
      </c>
      <c r="T30" s="130"/>
      <c r="U30" s="692">
        <v>1000</v>
      </c>
      <c r="Z30" s="14"/>
      <c r="AA30" s="14"/>
      <c r="AB30" s="14"/>
      <c r="AC30" s="14"/>
      <c r="AD30" s="14"/>
      <c r="AE30" s="14"/>
    </row>
    <row r="31" spans="1:31" ht="14.25" customHeight="1" thickBot="1" x14ac:dyDescent="0.3">
      <c r="A31" s="62"/>
      <c r="R31" s="129" t="s">
        <v>430</v>
      </c>
      <c r="S31" s="136"/>
      <c r="T31" s="130"/>
      <c r="U31" s="130">
        <f>T31</f>
        <v>0</v>
      </c>
      <c r="Z31" s="14"/>
      <c r="AA31" s="14"/>
      <c r="AB31" s="14"/>
      <c r="AC31" s="14"/>
      <c r="AD31" s="14"/>
      <c r="AE31" s="14"/>
    </row>
    <row r="32" spans="1:31" ht="14.25" customHeight="1" x14ac:dyDescent="0.25">
      <c r="A32" s="62"/>
      <c r="R32" s="398" t="s">
        <v>327</v>
      </c>
      <c r="S32" s="130">
        <f>S28+S30</f>
        <v>6346.681818181818</v>
      </c>
      <c r="T32" s="130"/>
      <c r="U32" s="130">
        <f>U28+U30</f>
        <v>18580</v>
      </c>
    </row>
    <row r="33" spans="1:25" ht="14.25" customHeight="1" x14ac:dyDescent="0.25">
      <c r="A33" s="62"/>
      <c r="R33" s="142" t="s">
        <v>268</v>
      </c>
      <c r="S33" s="136"/>
      <c r="T33" s="136"/>
      <c r="U33" s="136"/>
    </row>
    <row r="34" spans="1:25" ht="14.25" customHeight="1" x14ac:dyDescent="0.25">
      <c r="A34" s="62"/>
      <c r="R34" s="143" t="s">
        <v>269</v>
      </c>
      <c r="S34" s="136"/>
      <c r="T34" s="130"/>
      <c r="U34" s="136"/>
    </row>
    <row r="35" spans="1:25" ht="14.25" customHeight="1" x14ac:dyDescent="0.25">
      <c r="A35" s="62"/>
      <c r="R35" s="144" t="s">
        <v>249</v>
      </c>
      <c r="S35" s="990">
        <f>SUM(L6:L9)</f>
        <v>27.683714639130805</v>
      </c>
      <c r="T35" s="990"/>
      <c r="U35" s="1078">
        <f>S35+T35</f>
        <v>27.683714639130805</v>
      </c>
      <c r="V35" s="492"/>
    </row>
    <row r="36" spans="1:25" x14ac:dyDescent="0.25">
      <c r="A36" s="62"/>
    </row>
    <row r="37" spans="1:25" x14ac:dyDescent="0.25">
      <c r="A37" s="62"/>
    </row>
    <row r="38" spans="1:25" x14ac:dyDescent="0.25">
      <c r="A38" s="62"/>
    </row>
    <row r="39" spans="1:25" x14ac:dyDescent="0.25">
      <c r="A39" s="62"/>
    </row>
    <row r="40" spans="1:25" ht="14.25" customHeight="1" x14ac:dyDescent="0.25">
      <c r="A40" s="62"/>
      <c r="Q40" s="14"/>
      <c r="R40" s="363"/>
      <c r="S40" s="465"/>
      <c r="T40" s="363"/>
      <c r="U40" s="465"/>
      <c r="V40" s="465"/>
      <c r="W40" s="364"/>
      <c r="X40" s="14"/>
      <c r="Y40" s="14"/>
    </row>
    <row r="41" spans="1:25" ht="14.25" customHeight="1" x14ac:dyDescent="0.25">
      <c r="A41" s="62"/>
      <c r="Q41" s="14"/>
      <c r="R41" s="14"/>
      <c r="S41" s="14"/>
      <c r="T41" s="14"/>
      <c r="U41" s="150"/>
      <c r="V41" s="150"/>
      <c r="W41" s="14"/>
      <c r="X41" s="14"/>
      <c r="Y41" s="14"/>
    </row>
    <row r="42" spans="1:25" ht="14.25" customHeight="1" x14ac:dyDescent="0.25">
      <c r="A42" s="62"/>
      <c r="Q42" s="14"/>
      <c r="R42" s="14"/>
      <c r="S42" s="14"/>
      <c r="T42" s="14"/>
      <c r="U42" s="14"/>
      <c r="V42" s="14"/>
      <c r="W42" s="14"/>
      <c r="X42" s="14"/>
      <c r="Y42" s="14"/>
    </row>
    <row r="43" spans="1:25" ht="14.25" customHeight="1" x14ac:dyDescent="0.25">
      <c r="A43" s="62"/>
      <c r="Q43" s="298"/>
      <c r="R43" s="298"/>
      <c r="S43" s="298"/>
      <c r="T43" s="298"/>
      <c r="U43" s="298"/>
      <c r="V43" s="298"/>
      <c r="W43" s="298"/>
      <c r="X43" s="298"/>
      <c r="Y43" s="298"/>
    </row>
    <row r="44" spans="1:25" ht="14.25" customHeight="1" x14ac:dyDescent="0.25">
      <c r="A44" s="62"/>
      <c r="Q44" s="14"/>
      <c r="R44" s="362"/>
      <c r="S44" s="365"/>
      <c r="T44" s="365"/>
      <c r="U44" s="366"/>
      <c r="V44" s="366"/>
      <c r="W44" s="275"/>
      <c r="X44" s="275"/>
      <c r="Y44" s="275"/>
    </row>
    <row r="45" spans="1:25" x14ac:dyDescent="0.25">
      <c r="A45" s="62"/>
    </row>
    <row r="46" spans="1:25" x14ac:dyDescent="0.25">
      <c r="A46" s="62"/>
    </row>
    <row r="47" spans="1:25" x14ac:dyDescent="0.25">
      <c r="A47" s="62"/>
    </row>
    <row r="48" spans="1:25" x14ac:dyDescent="0.25">
      <c r="A48" s="62"/>
    </row>
    <row r="49" spans="1:29" x14ac:dyDescent="0.25">
      <c r="A49" s="62"/>
    </row>
    <row r="50" spans="1:29" ht="15.75" thickBot="1" x14ac:dyDescent="0.3">
      <c r="A50" s="62"/>
      <c r="R50" s="1"/>
      <c r="Z50">
        <v>90</v>
      </c>
      <c r="AA50">
        <v>110</v>
      </c>
      <c r="AB50">
        <v>150</v>
      </c>
      <c r="AC50">
        <v>200</v>
      </c>
    </row>
    <row r="51" spans="1:29" ht="30" x14ac:dyDescent="0.25">
      <c r="A51" s="62"/>
      <c r="R51" s="114" t="s">
        <v>423</v>
      </c>
      <c r="S51" s="114" t="s">
        <v>424</v>
      </c>
      <c r="T51" s="114" t="s">
        <v>425</v>
      </c>
      <c r="U51" s="114"/>
      <c r="V51" s="114" t="s">
        <v>426</v>
      </c>
      <c r="W51" s="114"/>
      <c r="X51" s="114"/>
      <c r="Y51" s="477" t="s">
        <v>427</v>
      </c>
      <c r="Z51" s="478">
        <v>30</v>
      </c>
      <c r="AA51" s="479">
        <v>40</v>
      </c>
      <c r="AB51" s="480">
        <v>50</v>
      </c>
      <c r="AC51" s="481">
        <v>60</v>
      </c>
    </row>
    <row r="52" spans="1:29" x14ac:dyDescent="0.25">
      <c r="A52" s="62"/>
      <c r="R52" t="s">
        <v>21</v>
      </c>
      <c r="S52">
        <v>20780</v>
      </c>
      <c r="T52">
        <v>15880</v>
      </c>
      <c r="U52" s="466">
        <f>T52/S52</f>
        <v>0.76419634263715108</v>
      </c>
      <c r="V52">
        <f>400/U52</f>
        <v>523.42569269521414</v>
      </c>
      <c r="W52">
        <f>V52*U52</f>
        <v>400</v>
      </c>
      <c r="X52" s="466">
        <f>W52/$X$56</f>
        <v>0.4</v>
      </c>
      <c r="Y52" s="482" t="s">
        <v>21</v>
      </c>
      <c r="Z52" s="483">
        <f>X52*$Z$51</f>
        <v>12</v>
      </c>
      <c r="AA52" s="484">
        <f>X52*$AA$51</f>
        <v>16</v>
      </c>
      <c r="AB52" s="485">
        <f>X52*$AB$51</f>
        <v>20</v>
      </c>
      <c r="AC52" s="486">
        <f>X52*$AC$51</f>
        <v>24</v>
      </c>
    </row>
    <row r="53" spans="1:29" x14ac:dyDescent="0.25">
      <c r="A53" s="62"/>
      <c r="D53" s="458"/>
      <c r="R53" t="s">
        <v>19</v>
      </c>
      <c r="S53">
        <v>3670</v>
      </c>
      <c r="T53">
        <v>2270</v>
      </c>
      <c r="U53" s="466">
        <f>T53/S53</f>
        <v>0.61852861035422346</v>
      </c>
      <c r="V53">
        <f>200/U53</f>
        <v>323.34801762114535</v>
      </c>
      <c r="W53">
        <f>V53*U53</f>
        <v>200</v>
      </c>
      <c r="X53" s="466">
        <f>W53/$X$56</f>
        <v>0.2</v>
      </c>
      <c r="Y53" s="482" t="s">
        <v>19</v>
      </c>
      <c r="Z53" s="483">
        <f>X53*$Z$51</f>
        <v>6</v>
      </c>
      <c r="AA53" s="484">
        <f>X53*$AA$51</f>
        <v>8</v>
      </c>
      <c r="AB53" s="485">
        <f>X53*$AB$51</f>
        <v>10</v>
      </c>
      <c r="AC53" s="486">
        <f>X53*$AC$51</f>
        <v>12</v>
      </c>
    </row>
    <row r="54" spans="1:29" ht="15.75" thickBot="1" x14ac:dyDescent="0.3">
      <c r="A54" s="62"/>
      <c r="D54" s="458"/>
      <c r="R54" t="s">
        <v>47</v>
      </c>
      <c r="S54">
        <v>6750</v>
      </c>
      <c r="T54">
        <v>5480</v>
      </c>
      <c r="U54" s="466">
        <f>T54/S54</f>
        <v>0.81185185185185182</v>
      </c>
      <c r="V54">
        <f>400/U54</f>
        <v>492.70072992700733</v>
      </c>
      <c r="W54">
        <f>V54*U54</f>
        <v>400</v>
      </c>
      <c r="X54" s="466">
        <f>W54/$X$56</f>
        <v>0.4</v>
      </c>
      <c r="Y54" s="487" t="s">
        <v>47</v>
      </c>
      <c r="Z54" s="488">
        <f>X54*$Z$51</f>
        <v>12</v>
      </c>
      <c r="AA54" s="489">
        <f>X54*$AA$51</f>
        <v>16</v>
      </c>
      <c r="AB54" s="490">
        <f>X54*$AB$51</f>
        <v>20</v>
      </c>
      <c r="AC54" s="491">
        <f>X54*$AC$51</f>
        <v>24</v>
      </c>
    </row>
    <row r="55" spans="1:29" x14ac:dyDescent="0.25">
      <c r="A55" s="62"/>
      <c r="D55" s="458"/>
      <c r="R55" s="1"/>
      <c r="Z55" s="4">
        <f>Z51/Z50</f>
        <v>0.33333333333333331</v>
      </c>
      <c r="AA55" s="4">
        <f>AA51/AA50</f>
        <v>0.36363636363636365</v>
      </c>
      <c r="AB55" s="4">
        <f>AB51/AB50</f>
        <v>0.33333333333333331</v>
      </c>
      <c r="AC55" s="4">
        <f>AC51/AC50</f>
        <v>0.3</v>
      </c>
    </row>
    <row r="56" spans="1:29" x14ac:dyDescent="0.25">
      <c r="A56" s="62"/>
      <c r="R56" s="1"/>
      <c r="X56">
        <f>SUM(W52:W54)</f>
        <v>1000</v>
      </c>
    </row>
    <row r="57" spans="1:29" x14ac:dyDescent="0.25">
      <c r="A57" s="62"/>
    </row>
    <row r="58" spans="1:29" x14ac:dyDescent="0.25">
      <c r="A58" s="62"/>
    </row>
    <row r="59" spans="1:29" x14ac:dyDescent="0.25">
      <c r="A59" s="62"/>
    </row>
    <row r="60" spans="1:29" x14ac:dyDescent="0.25">
      <c r="A60" s="62"/>
    </row>
    <row r="61" spans="1:29" x14ac:dyDescent="0.25">
      <c r="A61" s="62"/>
    </row>
    <row r="62" spans="1:29" x14ac:dyDescent="0.25">
      <c r="A62" s="62"/>
    </row>
    <row r="63" spans="1:29" x14ac:dyDescent="0.25">
      <c r="A63" s="62"/>
    </row>
    <row r="64" spans="1:29" x14ac:dyDescent="0.25">
      <c r="A64" s="62"/>
    </row>
    <row r="65" spans="1:1" x14ac:dyDescent="0.25">
      <c r="A65" s="62"/>
    </row>
    <row r="66" spans="1:1" x14ac:dyDescent="0.25">
      <c r="A66" s="62"/>
    </row>
    <row r="67" spans="1:1" x14ac:dyDescent="0.25">
      <c r="A67" s="62"/>
    </row>
    <row r="68" spans="1:1" x14ac:dyDescent="0.25">
      <c r="A68" s="62"/>
    </row>
    <row r="69" spans="1:1" x14ac:dyDescent="0.25">
      <c r="A69" s="62"/>
    </row>
    <row r="70" spans="1:1" x14ac:dyDescent="0.25">
      <c r="A70" s="62"/>
    </row>
    <row r="71" spans="1:1" x14ac:dyDescent="0.25">
      <c r="A71" s="62"/>
    </row>
    <row r="72" spans="1:1" x14ac:dyDescent="0.25">
      <c r="A72" s="62"/>
    </row>
    <row r="73" spans="1:1" x14ac:dyDescent="0.25">
      <c r="A73" s="62"/>
    </row>
    <row r="74" spans="1:1" x14ac:dyDescent="0.25">
      <c r="A74" s="62"/>
    </row>
    <row r="75" spans="1:1" x14ac:dyDescent="0.25">
      <c r="A75" s="62"/>
    </row>
    <row r="76" spans="1:1" x14ac:dyDescent="0.25">
      <c r="A76" s="62"/>
    </row>
    <row r="77" spans="1:1" x14ac:dyDescent="0.25">
      <c r="A77" s="62"/>
    </row>
    <row r="78" spans="1:1" x14ac:dyDescent="0.25">
      <c r="A78" s="62"/>
    </row>
    <row r="79" spans="1:1" x14ac:dyDescent="0.25">
      <c r="A79" s="62"/>
    </row>
    <row r="80" spans="1:1" x14ac:dyDescent="0.25">
      <c r="A80" s="62"/>
    </row>
    <row r="81" spans="1:1" x14ac:dyDescent="0.25">
      <c r="A81" s="62"/>
    </row>
    <row r="82" spans="1:1" x14ac:dyDescent="0.25">
      <c r="A82" s="62"/>
    </row>
    <row r="83" spans="1:1" x14ac:dyDescent="0.25">
      <c r="A83" s="62"/>
    </row>
    <row r="84" spans="1:1" x14ac:dyDescent="0.25">
      <c r="A84" s="62"/>
    </row>
    <row r="85" spans="1:1" x14ac:dyDescent="0.25">
      <c r="A85" s="62"/>
    </row>
    <row r="86" spans="1:1" x14ac:dyDescent="0.25">
      <c r="A86" s="62"/>
    </row>
    <row r="87" spans="1:1" x14ac:dyDescent="0.25">
      <c r="A87" s="62"/>
    </row>
    <row r="88" spans="1:1" x14ac:dyDescent="0.25">
      <c r="A88" s="62"/>
    </row>
    <row r="89" spans="1:1" x14ac:dyDescent="0.25">
      <c r="A89" s="62"/>
    </row>
    <row r="90" spans="1:1" x14ac:dyDescent="0.25">
      <c r="A90" s="62"/>
    </row>
    <row r="91" spans="1:1" x14ac:dyDescent="0.25">
      <c r="A91" s="62"/>
    </row>
    <row r="92" spans="1:1" x14ac:dyDescent="0.25">
      <c r="A92" s="62"/>
    </row>
    <row r="93" spans="1:1" x14ac:dyDescent="0.25">
      <c r="A93" s="62"/>
    </row>
    <row r="94" spans="1:1" x14ac:dyDescent="0.25">
      <c r="A94" s="62"/>
    </row>
    <row r="95" spans="1:1" x14ac:dyDescent="0.25">
      <c r="A95" s="62"/>
    </row>
    <row r="96" spans="1:1" x14ac:dyDescent="0.25">
      <c r="A96" s="62"/>
    </row>
    <row r="97" spans="1:1" x14ac:dyDescent="0.25">
      <c r="A97" s="62"/>
    </row>
    <row r="98" spans="1:1" x14ac:dyDescent="0.25">
      <c r="A98" s="62"/>
    </row>
    <row r="99" spans="1:1" x14ac:dyDescent="0.25">
      <c r="A99" s="62"/>
    </row>
    <row r="100" spans="1:1" x14ac:dyDescent="0.25">
      <c r="A100" s="62"/>
    </row>
    <row r="101" spans="1:1" x14ac:dyDescent="0.25">
      <c r="A101" s="62"/>
    </row>
    <row r="102" spans="1:1" x14ac:dyDescent="0.25">
      <c r="A102" s="62"/>
    </row>
    <row r="103" spans="1:1" x14ac:dyDescent="0.25">
      <c r="A103" s="62"/>
    </row>
    <row r="104" spans="1:1" x14ac:dyDescent="0.25">
      <c r="A104" s="62"/>
    </row>
    <row r="105" spans="1:1" x14ac:dyDescent="0.25">
      <c r="A105" s="62"/>
    </row>
    <row r="106" spans="1:1" x14ac:dyDescent="0.25">
      <c r="A106" s="62"/>
    </row>
    <row r="107" spans="1:1" x14ac:dyDescent="0.25">
      <c r="A107" s="62"/>
    </row>
    <row r="108" spans="1:1" x14ac:dyDescent="0.25">
      <c r="A108" s="62"/>
    </row>
    <row r="109" spans="1:1" x14ac:dyDescent="0.25">
      <c r="A109" s="62"/>
    </row>
    <row r="110" spans="1:1" x14ac:dyDescent="0.25">
      <c r="A110" s="62"/>
    </row>
    <row r="111" spans="1:1" x14ac:dyDescent="0.25">
      <c r="A111" s="62"/>
    </row>
    <row r="112" spans="1:1"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4">
    <mergeCell ref="AE2:AG3"/>
    <mergeCell ref="R25:U25"/>
    <mergeCell ref="R26:U26"/>
    <mergeCell ref="B2:H3"/>
  </mergeCells>
  <printOptions horizontalCentered="1"/>
  <pageMargins left="0.5" right="0.5" top="1" bottom="0.5" header="0.3" footer="0.511811023622047"/>
  <pageSetup paperSize="9" scale="19" orientation="portrait" r:id="rId1"/>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rgb="FF7C7C7C"/>
    <pageSetUpPr fitToPage="1"/>
  </sheetPr>
  <dimension ref="A1:AT174"/>
  <sheetViews>
    <sheetView topLeftCell="Q18" zoomScale="85" zoomScaleNormal="85" workbookViewId="0">
      <selection activeCell="W44" sqref="W44"/>
    </sheetView>
  </sheetViews>
  <sheetFormatPr defaultColWidth="12.5" defaultRowHeight="12.75" x14ac:dyDescent="0.2"/>
  <cols>
    <col min="1" max="1" width="12.5" style="14" customWidth="1"/>
    <col min="2" max="2" width="4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4.5" style="14" customWidth="1"/>
    <col min="15" max="15" width="16.625" style="14" customWidth="1"/>
    <col min="16" max="17" width="12.5" style="14" customWidth="1"/>
    <col min="18" max="18" width="30.5" style="14" customWidth="1"/>
    <col min="19" max="19" width="12.5" style="14" customWidth="1"/>
    <col min="20" max="23" width="12.5" style="14"/>
    <col min="24" max="24" width="7.125" style="14" bestFit="1" customWidth="1"/>
    <col min="25" max="25" width="12" style="14" customWidth="1"/>
    <col min="26" max="26" width="9.375" style="14" bestFit="1" customWidth="1"/>
    <col min="27" max="27" width="11" style="14" bestFit="1" customWidth="1"/>
    <col min="28" max="28" width="11.75" style="14" bestFit="1" customWidth="1"/>
    <col min="29" max="29" width="13.25" style="14" bestFit="1" customWidth="1"/>
    <col min="30" max="30" width="12.5" style="14" bestFit="1" customWidth="1"/>
    <col min="31" max="31" width="11" style="14" customWidth="1"/>
    <col min="32" max="32" width="6.75" style="14" customWidth="1"/>
    <col min="33" max="34" width="5.125" style="14" customWidth="1"/>
    <col min="35" max="35" width="12.5" style="14"/>
    <col min="36" max="36" width="31.125" style="14" customWidth="1"/>
    <col min="37" max="37" width="12.5" style="14"/>
    <col min="38" max="38" width="15.875" style="14" customWidth="1"/>
    <col min="39" max="16384" width="12.5" style="14"/>
  </cols>
  <sheetData>
    <row r="1" spans="1:46" ht="28.5" customHeight="1" x14ac:dyDescent="0.2">
      <c r="B1" s="64" t="s">
        <v>231</v>
      </c>
      <c r="C1" s="65">
        <v>1000</v>
      </c>
      <c r="D1" s="66" t="s">
        <v>232</v>
      </c>
      <c r="E1" s="99">
        <f>T32</f>
        <v>3443.076923076927</v>
      </c>
      <c r="F1" s="64" t="s">
        <v>233</v>
      </c>
      <c r="G1" s="99">
        <f>E1/C1</f>
        <v>3.4430769230769269</v>
      </c>
      <c r="H1" s="64" t="s">
        <v>234</v>
      </c>
      <c r="I1" s="99">
        <f>G1/K1</f>
        <v>3.4430769230769269</v>
      </c>
      <c r="J1" s="302" t="s">
        <v>235</v>
      </c>
      <c r="K1" s="303">
        <v>1</v>
      </c>
      <c r="L1" s="84"/>
      <c r="M1" s="73"/>
      <c r="N1" s="74"/>
      <c r="O1" s="75" t="s">
        <v>236</v>
      </c>
      <c r="P1" s="432"/>
      <c r="Q1" s="77" t="s">
        <v>238</v>
      </c>
      <c r="R1" s="76">
        <v>0.59</v>
      </c>
      <c r="S1" s="77" t="s">
        <v>333</v>
      </c>
      <c r="T1" s="304">
        <v>140</v>
      </c>
      <c r="U1" s="84"/>
      <c r="V1" s="84"/>
      <c r="Y1" s="75" t="s">
        <v>453</v>
      </c>
      <c r="Z1" s="766">
        <v>103</v>
      </c>
      <c r="AA1" s="75" t="s">
        <v>556</v>
      </c>
      <c r="AB1" s="766">
        <v>5</v>
      </c>
      <c r="AC1" s="75" t="s">
        <v>546</v>
      </c>
      <c r="AD1" s="766">
        <v>103</v>
      </c>
      <c r="AE1" s="75" t="s">
        <v>538</v>
      </c>
      <c r="AF1" s="766">
        <f>Z1+AB1</f>
        <v>108</v>
      </c>
      <c r="AJ1" s="78" t="s">
        <v>250</v>
      </c>
      <c r="AK1" s="78">
        <v>10000</v>
      </c>
      <c r="AL1" s="561" t="s">
        <v>483</v>
      </c>
      <c r="AM1" s="562">
        <f>$S$32</f>
        <v>11476.923076923074</v>
      </c>
      <c r="AN1" s="78" t="s">
        <v>239</v>
      </c>
      <c r="AO1" s="305">
        <f>((AD1*T1)/$R$1)/$AK$1</f>
        <v>2.4440677966101694</v>
      </c>
      <c r="AP1" s="79"/>
    </row>
    <row r="2" spans="1:46" ht="12.75" customHeight="1" x14ac:dyDescent="0.2">
      <c r="A2" s="306"/>
      <c r="B2" s="1645" t="s">
        <v>117</v>
      </c>
      <c r="C2" s="1655"/>
      <c r="D2" s="1655"/>
      <c r="E2" s="1655"/>
      <c r="F2" s="1655"/>
      <c r="G2" s="1655"/>
      <c r="H2" s="1655"/>
      <c r="I2" s="1655"/>
      <c r="J2" s="1655"/>
      <c r="K2" s="1655"/>
      <c r="L2" s="270"/>
      <c r="M2" s="84"/>
      <c r="N2" s="84"/>
      <c r="O2" s="84"/>
      <c r="P2" s="84"/>
      <c r="Q2" s="84"/>
      <c r="R2" s="84"/>
      <c r="AC2" s="83"/>
      <c r="AD2" s="83"/>
      <c r="AE2" s="1652"/>
      <c r="AF2" s="1655"/>
      <c r="AG2" s="1655"/>
      <c r="AJ2" s="85"/>
      <c r="AK2" s="1631" t="s">
        <v>432</v>
      </c>
      <c r="AL2" s="1631"/>
      <c r="AM2" s="1631"/>
      <c r="AN2" s="1631"/>
      <c r="AO2" s="85"/>
      <c r="AP2" s="85"/>
    </row>
    <row r="3" spans="1:46" ht="12.75" customHeight="1" x14ac:dyDescent="0.2">
      <c r="A3" s="306"/>
      <c r="B3" s="1633"/>
      <c r="C3" s="1633"/>
      <c r="D3" s="1633"/>
      <c r="E3" s="1633"/>
      <c r="F3" s="1633"/>
      <c r="G3" s="1633"/>
      <c r="H3" s="1633"/>
      <c r="I3" s="1633"/>
      <c r="J3" s="1633"/>
      <c r="K3" s="1633"/>
      <c r="L3" s="270"/>
      <c r="M3" s="84"/>
      <c r="N3" s="84"/>
      <c r="O3" s="84"/>
      <c r="P3" s="84"/>
      <c r="Q3" s="84"/>
      <c r="R3" s="84"/>
      <c r="AC3" s="83"/>
      <c r="AD3" s="83"/>
      <c r="AE3" s="1655"/>
      <c r="AF3" s="1655"/>
      <c r="AG3" s="1655"/>
      <c r="AJ3" s="85"/>
      <c r="AK3" s="85"/>
      <c r="AL3" s="85"/>
      <c r="AM3" s="85"/>
      <c r="AN3" s="1655"/>
      <c r="AO3" s="85"/>
      <c r="AP3" s="85"/>
    </row>
    <row r="4" spans="1:46"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347"/>
      <c r="N4" s="347"/>
      <c r="O4" s="84"/>
      <c r="P4" s="84"/>
      <c r="Q4" s="84"/>
      <c r="R4" s="84"/>
      <c r="AC4" s="229"/>
      <c r="AD4" s="231"/>
      <c r="AE4" s="229"/>
      <c r="AF4" s="229"/>
      <c r="AG4" s="229"/>
      <c r="AJ4" s="78" t="s">
        <v>241</v>
      </c>
      <c r="AK4" s="493" t="s">
        <v>242</v>
      </c>
      <c r="AL4" s="78" t="s">
        <v>250</v>
      </c>
      <c r="AM4" s="78" t="s">
        <v>234</v>
      </c>
      <c r="AN4" s="78" t="s">
        <v>243</v>
      </c>
      <c r="AO4" s="78" t="s">
        <v>244</v>
      </c>
      <c r="AP4" s="78" t="s">
        <v>335</v>
      </c>
      <c r="AQ4" s="75" t="s">
        <v>246</v>
      </c>
      <c r="AR4" s="75" t="s">
        <v>247</v>
      </c>
      <c r="AS4" s="75" t="s">
        <v>248</v>
      </c>
      <c r="AT4" s="75" t="s">
        <v>249</v>
      </c>
    </row>
    <row r="5" spans="1:46" ht="13.5" customHeight="1" x14ac:dyDescent="0.2">
      <c r="A5" s="1454"/>
      <c r="B5" s="459" t="s">
        <v>220</v>
      </c>
      <c r="C5" s="106" t="s">
        <v>14</v>
      </c>
      <c r="D5" s="245">
        <f>I51/10</f>
        <v>5649.8305084745762</v>
      </c>
      <c r="E5" s="494">
        <f>H52</f>
        <v>3.4430080629156645</v>
      </c>
      <c r="F5" s="109">
        <v>1</v>
      </c>
      <c r="G5" s="101">
        <f t="shared" ref="G5:G10" si="0">D5*E5</f>
        <v>19452.411994784874</v>
      </c>
      <c r="H5" s="102">
        <f t="shared" ref="H5:H10" si="1">G5*F5</f>
        <v>19452.411994784874</v>
      </c>
      <c r="I5" s="65">
        <f>VLOOKUP(B5,All_Ingredients!$A$1:$F$156,6,FALSE())</f>
        <v>0.86</v>
      </c>
      <c r="J5" s="101">
        <f>VLOOKUP(B5,All_Ingredients!$A$1:$J$156,10,FALSE())</f>
        <v>17.100000000000001</v>
      </c>
      <c r="K5" s="104">
        <f t="shared" ref="K5" si="2">(H5/I5)/1000</f>
        <v>22.619083714866132</v>
      </c>
      <c r="L5" s="104">
        <f t="shared" ref="L5" si="3">K5*J5</f>
        <v>386.78633152421088</v>
      </c>
      <c r="M5" s="112"/>
      <c r="N5" s="112"/>
      <c r="O5" s="84"/>
      <c r="P5" s="84"/>
      <c r="Q5" s="84"/>
      <c r="R5" s="84"/>
      <c r="AC5" s="76"/>
      <c r="AD5" s="114"/>
      <c r="AE5" s="232"/>
      <c r="AF5" s="116"/>
      <c r="AG5" s="117"/>
      <c r="AJ5" s="271" t="s">
        <v>220</v>
      </c>
      <c r="AK5" s="106" t="s">
        <v>227</v>
      </c>
      <c r="AL5" s="98">
        <v>10</v>
      </c>
      <c r="AM5" s="177">
        <f t="shared" ref="AM5:AM12" si="4">$AO$1</f>
        <v>2.4440677966101694</v>
      </c>
      <c r="AN5" s="276">
        <v>1</v>
      </c>
      <c r="AO5" s="101">
        <f t="shared" ref="AO5:AO12" si="5">AL5*AM5</f>
        <v>24.440677966101696</v>
      </c>
      <c r="AP5" s="187">
        <f t="shared" ref="AP5:AP12" si="6">AO5*AN5</f>
        <v>24.440677966101696</v>
      </c>
      <c r="AQ5" s="272"/>
      <c r="AR5" s="1017"/>
      <c r="AS5" s="156"/>
      <c r="AT5" s="1018"/>
    </row>
    <row r="6" spans="1:46" ht="14.25" customHeight="1" x14ac:dyDescent="0.2">
      <c r="A6" s="1460"/>
      <c r="B6" s="200" t="s">
        <v>189</v>
      </c>
      <c r="C6" s="310" t="s">
        <v>160</v>
      </c>
      <c r="D6" s="98">
        <v>500</v>
      </c>
      <c r="E6" s="98">
        <f>$I$1</f>
        <v>3.4430769230769269</v>
      </c>
      <c r="F6" s="109">
        <v>1</v>
      </c>
      <c r="G6" s="101">
        <f t="shared" si="0"/>
        <v>1721.5384615384635</v>
      </c>
      <c r="H6" s="102">
        <f t="shared" si="1"/>
        <v>1721.5384615384635</v>
      </c>
      <c r="I6" s="65">
        <f>VLOOKUP(B6,All_Ingredients!$A$1:$F$156,6,FALSE())</f>
        <v>1</v>
      </c>
      <c r="J6" s="101">
        <f>VLOOKUP(B6,All_Ingredients!$A$1:$J$156,10,FALSE())</f>
        <v>17.480211081794195</v>
      </c>
      <c r="K6" s="104">
        <f t="shared" ref="K6:K10" si="7">(H6/I6)/1000</f>
        <v>1.7215384615384635</v>
      </c>
      <c r="L6" s="104">
        <f t="shared" ref="L6:L10" si="8">K6*J6</f>
        <v>30.092855693119578</v>
      </c>
      <c r="M6" s="112"/>
      <c r="N6" s="112"/>
      <c r="AI6" s="14" t="s">
        <v>55</v>
      </c>
      <c r="AJ6" s="271" t="s">
        <v>54</v>
      </c>
      <c r="AK6" s="310" t="s">
        <v>14</v>
      </c>
      <c r="AL6" s="98">
        <v>150</v>
      </c>
      <c r="AM6" s="177">
        <f t="shared" si="4"/>
        <v>2.4440677966101694</v>
      </c>
      <c r="AN6" s="276">
        <v>1</v>
      </c>
      <c r="AO6" s="101">
        <f t="shared" si="5"/>
        <v>366.61016949152543</v>
      </c>
      <c r="AP6" s="187">
        <f t="shared" si="6"/>
        <v>366.61016949152543</v>
      </c>
      <c r="AQ6" s="1018">
        <f>VLOOKUP(AJ6,Marination_Ordering!$A:$J,6,FALSE)</f>
        <v>0.87</v>
      </c>
      <c r="AR6" s="1018">
        <f>VLOOKUP(AJ6,Marination_Ordering!$A:$J,10,FALSE)</f>
        <v>7</v>
      </c>
      <c r="AS6" s="156">
        <f>AP6/AQ6</f>
        <v>421.39099941554645</v>
      </c>
      <c r="AT6" s="1018">
        <f>AR6*(AS6/1000)</f>
        <v>2.9497369959088249</v>
      </c>
    </row>
    <row r="7" spans="1:46" ht="14.25" customHeight="1" x14ac:dyDescent="0.2">
      <c r="A7" s="1460"/>
      <c r="B7" s="200" t="s">
        <v>149</v>
      </c>
      <c r="C7" s="106" t="s">
        <v>14</v>
      </c>
      <c r="D7" s="98">
        <v>50</v>
      </c>
      <c r="E7" s="98">
        <f>$I$1</f>
        <v>3.4430769230769269</v>
      </c>
      <c r="F7" s="109">
        <v>1</v>
      </c>
      <c r="G7" s="101">
        <f t="shared" si="0"/>
        <v>172.15384615384636</v>
      </c>
      <c r="H7" s="102">
        <f t="shared" si="1"/>
        <v>172.15384615384636</v>
      </c>
      <c r="I7" s="65">
        <f>VLOOKUP(B7,All_Ingredients!$A$1:$F$156,6,FALSE())</f>
        <v>1</v>
      </c>
      <c r="J7" s="101">
        <f>VLOOKUP(B7,All_Ingredients!$A$1:$J$156,10,FALSE())</f>
        <v>10</v>
      </c>
      <c r="K7" s="104">
        <f t="shared" si="7"/>
        <v>0.17215384615384635</v>
      </c>
      <c r="L7" s="104">
        <f t="shared" si="8"/>
        <v>1.7215384615384635</v>
      </c>
      <c r="M7" s="112"/>
      <c r="N7" s="112"/>
      <c r="AI7" s="14" t="s">
        <v>13</v>
      </c>
      <c r="AJ7" s="271" t="s">
        <v>727</v>
      </c>
      <c r="AK7" s="310" t="s">
        <v>14</v>
      </c>
      <c r="AL7" s="98">
        <v>100</v>
      </c>
      <c r="AM7" s="177">
        <f t="shared" si="4"/>
        <v>2.4440677966101694</v>
      </c>
      <c r="AN7" s="276">
        <v>1</v>
      </c>
      <c r="AO7" s="101">
        <f t="shared" si="5"/>
        <v>244.40677966101694</v>
      </c>
      <c r="AP7" s="187">
        <f t="shared" si="6"/>
        <v>244.40677966101694</v>
      </c>
      <c r="AQ7" s="1018">
        <f>VLOOKUP(AJ7,Marination_Ordering!$A:$J,6,FALSE)</f>
        <v>1</v>
      </c>
      <c r="AR7" s="1018">
        <f>VLOOKUP(AJ7,Marination_Ordering!$A:$J,10,FALSE)</f>
        <v>10.5</v>
      </c>
      <c r="AS7" s="156">
        <f t="shared" ref="AS7:AS12" si="9">AP7/AQ7</f>
        <v>244.40677966101694</v>
      </c>
      <c r="AT7" s="1018">
        <f t="shared" ref="AT7:AT12" si="10">AR7*(AS7/1000)</f>
        <v>2.566271186440678</v>
      </c>
    </row>
    <row r="8" spans="1:46" ht="14.25" customHeight="1" x14ac:dyDescent="0.2">
      <c r="A8" s="1460"/>
      <c r="B8" s="200" t="s">
        <v>146</v>
      </c>
      <c r="C8" s="106" t="s">
        <v>14</v>
      </c>
      <c r="D8" s="98">
        <v>50</v>
      </c>
      <c r="E8" s="98">
        <f>$I$1</f>
        <v>3.4430769230769269</v>
      </c>
      <c r="F8" s="109">
        <v>1</v>
      </c>
      <c r="G8" s="101">
        <f t="shared" si="0"/>
        <v>172.15384615384636</v>
      </c>
      <c r="H8" s="102">
        <f t="shared" si="1"/>
        <v>172.15384615384636</v>
      </c>
      <c r="I8" s="65">
        <f>VLOOKUP(B8,All_Ingredients!$A$1:$F$156,6,FALSE())</f>
        <v>1</v>
      </c>
      <c r="J8" s="101">
        <f>VLOOKUP(B8,All_Ingredients!$A$1:$J$156,10,FALSE())</f>
        <v>12</v>
      </c>
      <c r="K8" s="104">
        <f t="shared" si="7"/>
        <v>0.17215384615384635</v>
      </c>
      <c r="L8" s="104">
        <f t="shared" si="8"/>
        <v>2.0658461538461563</v>
      </c>
      <c r="M8" s="112"/>
      <c r="N8" s="112"/>
      <c r="AI8" s="14" t="s">
        <v>204</v>
      </c>
      <c r="AJ8" s="271" t="s">
        <v>212</v>
      </c>
      <c r="AK8" s="310" t="s">
        <v>160</v>
      </c>
      <c r="AL8" s="201">
        <v>350</v>
      </c>
      <c r="AM8" s="177">
        <f t="shared" si="4"/>
        <v>2.4440677966101694</v>
      </c>
      <c r="AN8" s="276">
        <v>1</v>
      </c>
      <c r="AO8" s="101">
        <f t="shared" si="5"/>
        <v>855.42372881355925</v>
      </c>
      <c r="AP8" s="187">
        <f t="shared" si="6"/>
        <v>855.42372881355925</v>
      </c>
      <c r="AQ8" s="1018">
        <f>VLOOKUP(AJ8,Marination_Ordering!$A:$J,6,FALSE)</f>
        <v>1</v>
      </c>
      <c r="AR8" s="1018">
        <f>VLOOKUP(AJ8,Marination_Ordering!$A:$J,10,FALSE)</f>
        <v>5</v>
      </c>
      <c r="AS8" s="156">
        <f t="shared" si="9"/>
        <v>855.42372881355925</v>
      </c>
      <c r="AT8" s="1018">
        <f t="shared" si="10"/>
        <v>4.2771186440677962</v>
      </c>
    </row>
    <row r="9" spans="1:46" ht="14.25" customHeight="1" x14ac:dyDescent="0.25">
      <c r="A9" s="1460"/>
      <c r="B9" s="200" t="s">
        <v>198</v>
      </c>
      <c r="C9" s="906" t="s">
        <v>160</v>
      </c>
      <c r="D9" s="98">
        <v>300</v>
      </c>
      <c r="E9" s="98">
        <f>$I$1</f>
        <v>3.4430769230769269</v>
      </c>
      <c r="F9" s="109">
        <v>1</v>
      </c>
      <c r="G9" s="101">
        <f t="shared" si="0"/>
        <v>1032.923076923078</v>
      </c>
      <c r="H9" s="102">
        <f t="shared" si="1"/>
        <v>1032.923076923078</v>
      </c>
      <c r="I9" s="65">
        <f>VLOOKUP(B9,All_Ingredients!$A$1:$F$156,6,FALSE())</f>
        <v>1</v>
      </c>
      <c r="J9" s="101">
        <f>VLOOKUP(B9,All_Ingredients!$A$1:$J$156,10,FALSE())</f>
        <v>3.25</v>
      </c>
      <c r="K9" s="104">
        <f t="shared" si="7"/>
        <v>1.0329230769230779</v>
      </c>
      <c r="L9" s="104">
        <f t="shared" si="8"/>
        <v>3.3570000000000033</v>
      </c>
      <c r="M9" s="112"/>
      <c r="N9" s="112"/>
      <c r="AI9" s="14" t="s">
        <v>204</v>
      </c>
      <c r="AJ9" s="271" t="s">
        <v>208</v>
      </c>
      <c r="AK9" s="106" t="s">
        <v>160</v>
      </c>
      <c r="AL9" s="98">
        <v>70</v>
      </c>
      <c r="AM9" s="177">
        <f t="shared" si="4"/>
        <v>2.4440677966101694</v>
      </c>
      <c r="AN9" s="276">
        <v>1</v>
      </c>
      <c r="AO9" s="101">
        <f t="shared" si="5"/>
        <v>171.08474576271186</v>
      </c>
      <c r="AP9" s="187">
        <f t="shared" si="6"/>
        <v>171.08474576271186</v>
      </c>
      <c r="AQ9" s="1018">
        <f>VLOOKUP(AJ9,Marination_Ordering!$A:$J,6,FALSE)</f>
        <v>1</v>
      </c>
      <c r="AR9" s="1018">
        <f>VLOOKUP(AJ9,Marination_Ordering!$A:$J,10,FALSE)</f>
        <v>2.1621621621621623</v>
      </c>
      <c r="AS9" s="156">
        <f t="shared" si="9"/>
        <v>171.08474576271186</v>
      </c>
      <c r="AT9" s="1018">
        <f t="shared" si="10"/>
        <v>0.36991296381126887</v>
      </c>
    </row>
    <row r="10" spans="1:46" ht="14.25" customHeight="1" x14ac:dyDescent="0.2">
      <c r="A10" s="1460"/>
      <c r="B10" s="200" t="s">
        <v>192</v>
      </c>
      <c r="C10" s="106" t="s">
        <v>160</v>
      </c>
      <c r="D10" s="98">
        <v>100</v>
      </c>
      <c r="E10" s="98">
        <f>$I$1</f>
        <v>3.4430769230769269</v>
      </c>
      <c r="F10" s="109">
        <v>1</v>
      </c>
      <c r="G10" s="101">
        <f t="shared" si="0"/>
        <v>344.30769230769272</v>
      </c>
      <c r="H10" s="102">
        <f t="shared" si="1"/>
        <v>344.30769230769272</v>
      </c>
      <c r="I10" s="65">
        <f>VLOOKUP(B10,All_Ingredients!$A$1:$F$156,6,FALSE())</f>
        <v>1</v>
      </c>
      <c r="J10" s="101">
        <f>VLOOKUP(B10,All_Ingredients!$A$1:$J$156,10,FALSE())</f>
        <v>58.685446009389672</v>
      </c>
      <c r="K10" s="104">
        <f t="shared" si="7"/>
        <v>0.3443076923076927</v>
      </c>
      <c r="L10" s="104">
        <f t="shared" si="8"/>
        <v>20.205850487540651</v>
      </c>
      <c r="M10" s="112"/>
      <c r="N10" s="112"/>
      <c r="AI10" s="14" t="s">
        <v>94</v>
      </c>
      <c r="AJ10" s="271" t="s">
        <v>93</v>
      </c>
      <c r="AK10" s="310" t="s">
        <v>14</v>
      </c>
      <c r="AL10" s="98">
        <v>2</v>
      </c>
      <c r="AM10" s="177">
        <f t="shared" si="4"/>
        <v>2.4440677966101694</v>
      </c>
      <c r="AN10" s="276">
        <v>1</v>
      </c>
      <c r="AO10" s="101">
        <f t="shared" si="5"/>
        <v>4.8881355932203387</v>
      </c>
      <c r="AP10" s="187">
        <f t="shared" si="6"/>
        <v>4.8881355932203387</v>
      </c>
      <c r="AQ10" s="1018">
        <f>VLOOKUP(AJ10,Marination_Ordering!$A:$J,6,FALSE)</f>
        <v>1</v>
      </c>
      <c r="AR10" s="1018">
        <f>VLOOKUP(AJ10,Marination_Ordering!$A:$J,10,FALSE)</f>
        <v>0.74</v>
      </c>
      <c r="AS10" s="156">
        <f t="shared" si="9"/>
        <v>4.8881355932203387</v>
      </c>
      <c r="AT10" s="1018">
        <f t="shared" si="10"/>
        <v>3.6172203389830504E-3</v>
      </c>
    </row>
    <row r="11" spans="1:46" ht="14.25" customHeight="1" x14ac:dyDescent="0.2">
      <c r="A11" s="1461"/>
      <c r="B11" s="299" t="s">
        <v>839</v>
      </c>
      <c r="C11" s="106" t="s">
        <v>230</v>
      </c>
      <c r="D11" s="98">
        <v>1</v>
      </c>
      <c r="E11" s="98">
        <f>$Z$1+$AB$1</f>
        <v>108</v>
      </c>
      <c r="F11" s="109">
        <v>1</v>
      </c>
      <c r="G11" s="103">
        <f>D11*($Z$1+$AB$1)</f>
        <v>108</v>
      </c>
      <c r="H11" s="102">
        <f>G11*F11</f>
        <v>108</v>
      </c>
      <c r="I11" s="65">
        <f>VLOOKUP(B11,All_Ingredients!$A$1:$F$156,6,FALSE())</f>
        <v>1</v>
      </c>
      <c r="J11" s="101">
        <f>VLOOKUP(B11,All_Ingredients!$A$1:$J$156,10,FALSE())</f>
        <v>1</v>
      </c>
      <c r="K11" s="156">
        <f>H11*I11</f>
        <v>108</v>
      </c>
      <c r="L11" s="104">
        <f>K11*J11</f>
        <v>108</v>
      </c>
      <c r="R11" s="495"/>
      <c r="AI11" s="14" t="s">
        <v>94</v>
      </c>
      <c r="AJ11" s="271" t="s">
        <v>99</v>
      </c>
      <c r="AK11" s="310" t="s">
        <v>14</v>
      </c>
      <c r="AL11" s="98">
        <v>3</v>
      </c>
      <c r="AM11" s="177">
        <f t="shared" si="4"/>
        <v>2.4440677966101694</v>
      </c>
      <c r="AN11" s="276">
        <v>1</v>
      </c>
      <c r="AO11" s="101">
        <f t="shared" si="5"/>
        <v>7.3322033898305081</v>
      </c>
      <c r="AP11" s="187">
        <f t="shared" si="6"/>
        <v>7.3322033898305081</v>
      </c>
      <c r="AQ11" s="1018">
        <f>VLOOKUP(AJ11,Marination_Ordering!$A:$J,6,FALSE)</f>
        <v>1</v>
      </c>
      <c r="AR11" s="1018">
        <f>VLOOKUP(AJ11,Marination_Ordering!$A:$J,10,FALSE)</f>
        <v>31</v>
      </c>
      <c r="AS11" s="156">
        <f t="shared" si="9"/>
        <v>7.3322033898305081</v>
      </c>
      <c r="AT11" s="1018">
        <f t="shared" si="10"/>
        <v>0.22729830508474574</v>
      </c>
    </row>
    <row r="12" spans="1:46" ht="14.25" customHeight="1" x14ac:dyDescent="0.2">
      <c r="A12" s="1461"/>
      <c r="B12" s="325"/>
      <c r="C12" s="114"/>
      <c r="D12" s="232"/>
      <c r="E12" s="203"/>
      <c r="F12" s="117"/>
      <c r="G12" s="121"/>
      <c r="H12" s="119"/>
      <c r="I12" s="76"/>
      <c r="J12" s="120"/>
      <c r="AI12" s="14" t="s">
        <v>190</v>
      </c>
      <c r="AJ12" s="271" t="s">
        <v>189</v>
      </c>
      <c r="AK12" s="310" t="s">
        <v>160</v>
      </c>
      <c r="AL12" s="107">
        <v>50</v>
      </c>
      <c r="AM12" s="177">
        <f t="shared" si="4"/>
        <v>2.4440677966101694</v>
      </c>
      <c r="AN12" s="276">
        <v>1</v>
      </c>
      <c r="AO12" s="101">
        <f t="shared" si="5"/>
        <v>122.20338983050847</v>
      </c>
      <c r="AP12" s="187">
        <f t="shared" si="6"/>
        <v>122.20338983050847</v>
      </c>
      <c r="AQ12" s="1018">
        <f>VLOOKUP(AJ12,Marination_Ordering!$A:$J,6,FALSE)</f>
        <v>1</v>
      </c>
      <c r="AR12" s="1018">
        <f>VLOOKUP(AJ12,Marination_Ordering!$A:$J,10,FALSE)</f>
        <v>17.480211081794195</v>
      </c>
      <c r="AS12" s="156">
        <f t="shared" si="9"/>
        <v>122.20338983050847</v>
      </c>
      <c r="AT12" s="1018">
        <f t="shared" si="10"/>
        <v>2.1361410491480703</v>
      </c>
    </row>
    <row r="13" spans="1:46" x14ac:dyDescent="0.2">
      <c r="A13" s="1461"/>
    </row>
    <row r="14" spans="1:46" x14ac:dyDescent="0.2">
      <c r="A14" s="1461"/>
    </row>
    <row r="15" spans="1:46" x14ac:dyDescent="0.2">
      <c r="A15" s="1461"/>
    </row>
    <row r="16" spans="1:46" x14ac:dyDescent="0.2">
      <c r="A16" s="1461"/>
    </row>
    <row r="17" spans="1:32" x14ac:dyDescent="0.2">
      <c r="A17" s="1461"/>
    </row>
    <row r="18" spans="1:32" x14ac:dyDescent="0.2">
      <c r="A18" s="1461"/>
    </row>
    <row r="19" spans="1:32" x14ac:dyDescent="0.2">
      <c r="A19" s="1461"/>
    </row>
    <row r="20" spans="1:32" x14ac:dyDescent="0.2">
      <c r="A20" s="1461"/>
    </row>
    <row r="21" spans="1:32" x14ac:dyDescent="0.2">
      <c r="A21" s="1461"/>
    </row>
    <row r="22" spans="1:32" x14ac:dyDescent="0.2">
      <c r="A22" s="1461"/>
    </row>
    <row r="23" spans="1:32" x14ac:dyDescent="0.2">
      <c r="A23" s="1461"/>
      <c r="U23" s="14" t="s">
        <v>431</v>
      </c>
    </row>
    <row r="24" spans="1:32" ht="12.75" customHeight="1" x14ac:dyDescent="0.2">
      <c r="A24" s="1461"/>
      <c r="Z24" s="1073"/>
    </row>
    <row r="25" spans="1:32" ht="14.25" customHeight="1" x14ac:dyDescent="0.2">
      <c r="A25" s="1461"/>
      <c r="B25" s="11"/>
      <c r="C25" s="312"/>
      <c r="D25" s="313"/>
      <c r="E25" s="312"/>
      <c r="F25" s="312"/>
      <c r="G25" s="312"/>
      <c r="H25" s="312"/>
      <c r="R25" s="1662" t="s">
        <v>432</v>
      </c>
      <c r="S25" s="1633"/>
      <c r="T25" s="1633"/>
      <c r="U25" s="1633"/>
      <c r="V25" s="997"/>
      <c r="Z25" s="122" t="s">
        <v>252</v>
      </c>
      <c r="AA25" s="123">
        <v>1</v>
      </c>
      <c r="AB25" s="122" t="s">
        <v>249</v>
      </c>
      <c r="AC25" s="124">
        <f>AF30*AA25</f>
        <v>5.2292548026394083</v>
      </c>
    </row>
    <row r="26" spans="1:32" ht="14.25" customHeight="1" x14ac:dyDescent="0.2">
      <c r="A26" s="1461"/>
      <c r="B26" s="11"/>
      <c r="C26" s="312"/>
      <c r="D26" s="313"/>
      <c r="E26" s="312"/>
      <c r="F26" s="312"/>
      <c r="G26" s="312"/>
      <c r="H26" s="312"/>
      <c r="R26" s="1672" t="s">
        <v>297</v>
      </c>
      <c r="S26" s="1639"/>
      <c r="T26" s="1639"/>
      <c r="U26" s="1639"/>
      <c r="V26" s="997"/>
    </row>
    <row r="27" spans="1:32" ht="14.25" customHeight="1" thickBot="1" x14ac:dyDescent="0.25">
      <c r="A27" s="1461"/>
      <c r="B27" s="11"/>
      <c r="C27" s="312"/>
      <c r="D27" s="313"/>
      <c r="E27" s="84"/>
      <c r="F27" s="84"/>
      <c r="R27" s="126" t="s">
        <v>254</v>
      </c>
      <c r="S27" s="126" t="s">
        <v>358</v>
      </c>
      <c r="T27" s="126" t="s">
        <v>256</v>
      </c>
      <c r="U27" s="126" t="s">
        <v>257</v>
      </c>
      <c r="V27" s="127" t="s">
        <v>772</v>
      </c>
      <c r="W27" s="127" t="s">
        <v>785</v>
      </c>
      <c r="X27" s="127" t="s">
        <v>780</v>
      </c>
      <c r="Z27" s="122" t="s">
        <v>258</v>
      </c>
      <c r="AA27" s="128" t="s">
        <v>772</v>
      </c>
      <c r="AB27" s="128" t="s">
        <v>259</v>
      </c>
      <c r="AC27" s="128" t="s">
        <v>260</v>
      </c>
      <c r="AD27" s="128" t="s">
        <v>783</v>
      </c>
      <c r="AE27" s="128" t="s">
        <v>780</v>
      </c>
      <c r="AF27" s="128" t="s">
        <v>262</v>
      </c>
    </row>
    <row r="28" spans="1:32" ht="14.25" customHeight="1" thickBot="1" x14ac:dyDescent="0.25">
      <c r="A28" s="1461"/>
      <c r="R28" s="126" t="s">
        <v>263</v>
      </c>
      <c r="S28" s="722">
        <f>U28*S40</f>
        <v>11092.30769230769</v>
      </c>
      <c r="T28" s="722">
        <f>U28*U40</f>
        <v>3327.6923076923113</v>
      </c>
      <c r="U28" s="720">
        <f>$Z$1*140</f>
        <v>14420</v>
      </c>
      <c r="V28" s="130">
        <f>SUM(AP5:AP13)</f>
        <v>1796.3898305084747</v>
      </c>
      <c r="W28" s="130">
        <f>SUM(K16:K18)</f>
        <v>0</v>
      </c>
      <c r="X28" s="130">
        <f>K11</f>
        <v>108</v>
      </c>
      <c r="Z28" s="132"/>
      <c r="AA28" s="1051"/>
      <c r="AB28" s="133">
        <f>AA25*$S$40</f>
        <v>0.76923076923076905</v>
      </c>
      <c r="AC28" s="133">
        <f>AA25-AB28</f>
        <v>0.23076923076923095</v>
      </c>
      <c r="AD28" s="1051"/>
      <c r="AE28" s="1051"/>
      <c r="AF28" s="135">
        <f>SUM(AB28:AD28)</f>
        <v>1</v>
      </c>
    </row>
    <row r="29" spans="1:32" ht="14.25" customHeight="1" thickBot="1" x14ac:dyDescent="0.25">
      <c r="A29" s="1461"/>
      <c r="R29" s="126" t="s">
        <v>264</v>
      </c>
      <c r="S29" s="723"/>
      <c r="T29" s="722"/>
      <c r="U29" s="315">
        <f>T29</f>
        <v>0</v>
      </c>
      <c r="V29" s="130"/>
      <c r="W29" s="130"/>
      <c r="X29" s="130"/>
      <c r="Z29" s="132"/>
      <c r="AA29" s="1051"/>
      <c r="AB29" s="137">
        <f>AB28/$AF$28</f>
        <v>0.76923076923076905</v>
      </c>
      <c r="AC29" s="137">
        <f>AC28/$AF$28</f>
        <v>0.23076923076923095</v>
      </c>
      <c r="AD29" s="1051"/>
      <c r="AE29" s="1051"/>
      <c r="AF29" s="137">
        <f>AF28/$AF$28</f>
        <v>1</v>
      </c>
    </row>
    <row r="30" spans="1:32" ht="14.25" customHeight="1" thickBot="1" x14ac:dyDescent="0.25">
      <c r="A30" s="1461"/>
      <c r="R30" s="126" t="s">
        <v>265</v>
      </c>
      <c r="S30" s="1179">
        <f>U30*S40</f>
        <v>384.61538461538453</v>
      </c>
      <c r="T30" s="722">
        <f>U30*U40</f>
        <v>115.3846153846155</v>
      </c>
      <c r="U30" s="720">
        <f>$AB$1*100</f>
        <v>500</v>
      </c>
      <c r="V30" s="989"/>
      <c r="W30" s="989"/>
      <c r="X30" s="989"/>
      <c r="Z30" s="122" t="s">
        <v>266</v>
      </c>
      <c r="AA30" s="991">
        <f>V35/$AF$1</f>
        <v>0.1160194107851886</v>
      </c>
      <c r="AB30" s="138">
        <f>S35/(AF1)</f>
        <v>3.5813549215204712</v>
      </c>
      <c r="AC30" s="1050">
        <f>T35/AF1</f>
        <v>0.53188047033374863</v>
      </c>
      <c r="AD30" s="275">
        <f>W35/AF1</f>
        <v>0</v>
      </c>
      <c r="AE30" s="991">
        <f>X35/$AF$1</f>
        <v>1</v>
      </c>
      <c r="AF30" s="994">
        <f>AA30+AB30+AC30+AD30+AE30</f>
        <v>5.2292548026394083</v>
      </c>
    </row>
    <row r="31" spans="1:32" ht="14.25" customHeight="1" thickBot="1" x14ac:dyDescent="0.25">
      <c r="A31" s="1461"/>
      <c r="R31" s="126" t="s">
        <v>267</v>
      </c>
      <c r="S31" s="271"/>
      <c r="T31" s="315"/>
      <c r="U31" s="315"/>
      <c r="V31" s="130"/>
      <c r="W31" s="130"/>
      <c r="X31" s="130"/>
    </row>
    <row r="32" spans="1:32" ht="14.25" customHeight="1" thickBot="1" x14ac:dyDescent="0.25">
      <c r="A32" s="1461"/>
      <c r="R32" s="127" t="s">
        <v>257</v>
      </c>
      <c r="S32" s="316">
        <f>SUM(S28:S30)</f>
        <v>11476.923076923074</v>
      </c>
      <c r="T32" s="316">
        <f>SUM(T28:T30)</f>
        <v>3443.076923076927</v>
      </c>
      <c r="U32" s="316">
        <f>SUM(U28:U30)</f>
        <v>14920</v>
      </c>
      <c r="V32" s="130"/>
      <c r="W32" s="130"/>
      <c r="X32" s="130"/>
    </row>
    <row r="33" spans="1:24" ht="14.25" customHeight="1" thickBot="1" x14ac:dyDescent="0.3">
      <c r="A33" s="1461"/>
      <c r="R33" s="317" t="s">
        <v>268</v>
      </c>
      <c r="S33" s="318"/>
      <c r="T33" s="318"/>
      <c r="U33" s="319"/>
      <c r="V33" s="136"/>
      <c r="W33" s="136"/>
      <c r="X33" s="136"/>
    </row>
    <row r="34" spans="1:24" ht="14.25" customHeight="1" thickBot="1" x14ac:dyDescent="0.25">
      <c r="A34" s="1461"/>
      <c r="R34" s="159" t="s">
        <v>269</v>
      </c>
      <c r="S34" s="320"/>
      <c r="T34" s="321"/>
      <c r="U34" s="320"/>
      <c r="V34" s="136"/>
      <c r="W34" s="136"/>
      <c r="X34" s="136"/>
    </row>
    <row r="35" spans="1:24" ht="12.75" customHeight="1" thickBot="1" x14ac:dyDescent="0.25">
      <c r="A35" s="1461"/>
      <c r="R35" s="144" t="s">
        <v>249</v>
      </c>
      <c r="S35" s="990">
        <f>$L$5</f>
        <v>386.78633152421088</v>
      </c>
      <c r="T35" s="990">
        <f>SUM(L6:L10)</f>
        <v>57.443090796044856</v>
      </c>
      <c r="U35" s="1049">
        <f>S35+T35+V35+X35</f>
        <v>564.75951868505604</v>
      </c>
      <c r="V35" s="990">
        <f>SUM(AT6:AT12)</f>
        <v>12.530096364800368</v>
      </c>
      <c r="W35" s="990"/>
      <c r="X35" s="990">
        <f>L11</f>
        <v>108</v>
      </c>
    </row>
    <row r="36" spans="1:24" ht="14.25" customHeight="1" x14ac:dyDescent="0.2">
      <c r="A36" s="1461"/>
    </row>
    <row r="37" spans="1:24" ht="14.25" customHeight="1" x14ac:dyDescent="0.2">
      <c r="A37" s="1461"/>
    </row>
    <row r="38" spans="1:24" x14ac:dyDescent="0.2">
      <c r="A38" s="1461"/>
    </row>
    <row r="39" spans="1:24" x14ac:dyDescent="0.2">
      <c r="A39" s="1461"/>
    </row>
    <row r="40" spans="1:24" ht="18" customHeight="1" x14ac:dyDescent="0.2">
      <c r="A40" s="1461"/>
      <c r="R40" s="146" t="s">
        <v>270</v>
      </c>
      <c r="S40" s="147">
        <v>0.76923076923076905</v>
      </c>
      <c r="T40" s="146" t="s">
        <v>271</v>
      </c>
      <c r="U40" s="148">
        <v>0.230769230769231</v>
      </c>
      <c r="V40" s="149">
        <f>S40+U40</f>
        <v>1</v>
      </c>
    </row>
    <row r="41" spans="1:24" ht="12.75" customHeight="1" x14ac:dyDescent="0.2">
      <c r="A41" s="1461"/>
      <c r="U41" s="150"/>
    </row>
    <row r="42" spans="1:24" ht="14.25" customHeight="1" x14ac:dyDescent="0.2">
      <c r="A42" s="1461"/>
      <c r="B42" s="84"/>
      <c r="C42" s="188"/>
      <c r="D42" s="189"/>
      <c r="E42" s="84"/>
      <c r="F42" s="84"/>
    </row>
    <row r="43" spans="1:24" ht="12.75" customHeight="1" x14ac:dyDescent="0.2">
      <c r="A43" s="1461"/>
      <c r="B43" s="84"/>
      <c r="E43" s="84"/>
      <c r="F43" s="84"/>
      <c r="Q43" s="151" t="s">
        <v>272</v>
      </c>
      <c r="R43" s="151" t="s">
        <v>273</v>
      </c>
      <c r="S43" s="151" t="s">
        <v>274</v>
      </c>
      <c r="T43" s="151" t="s">
        <v>275</v>
      </c>
      <c r="U43" s="151" t="s">
        <v>276</v>
      </c>
      <c r="V43" s="151" t="s">
        <v>277</v>
      </c>
      <c r="W43" s="235" t="s">
        <v>278</v>
      </c>
    </row>
    <row r="44" spans="1:24" ht="14.25" customHeight="1" x14ac:dyDescent="0.2">
      <c r="A44" s="1461"/>
      <c r="B44" s="84"/>
      <c r="C44" s="84"/>
      <c r="D44" s="322"/>
      <c r="E44" s="84"/>
      <c r="F44" s="84"/>
      <c r="G44" s="84"/>
      <c r="H44" s="84"/>
      <c r="I44" s="84"/>
      <c r="J44" s="84"/>
      <c r="Q44" s="153">
        <v>43334</v>
      </c>
      <c r="R44" s="154">
        <f>D51</f>
        <v>10000</v>
      </c>
      <c r="S44" s="155">
        <v>1</v>
      </c>
      <c r="T44" s="155">
        <v>0</v>
      </c>
      <c r="U44" s="220">
        <f>R44*S44</f>
        <v>10000</v>
      </c>
      <c r="V44" s="157">
        <f>R44*T44</f>
        <v>0</v>
      </c>
      <c r="W44" s="237">
        <f>Q44-U44</f>
        <v>33334</v>
      </c>
    </row>
    <row r="45" spans="1:24" ht="12.75" customHeight="1" x14ac:dyDescent="0.2">
      <c r="A45" s="1461"/>
      <c r="B45" s="84"/>
      <c r="C45" s="84"/>
      <c r="D45" s="84"/>
      <c r="E45" s="84"/>
      <c r="F45" s="84"/>
      <c r="G45" s="84"/>
      <c r="H45" s="84"/>
      <c r="I45" s="84"/>
      <c r="J45" s="84"/>
    </row>
    <row r="46" spans="1:24" ht="18" customHeight="1" x14ac:dyDescent="0.2">
      <c r="A46" s="1461"/>
      <c r="B46" s="1671"/>
      <c r="C46" s="1655"/>
      <c r="D46" s="1655"/>
      <c r="E46" s="1655"/>
      <c r="F46" s="1655"/>
      <c r="G46" s="1655"/>
      <c r="H46" s="1655"/>
      <c r="I46" s="1655"/>
      <c r="J46" s="1655"/>
    </row>
    <row r="47" spans="1:24" ht="18" customHeight="1" x14ac:dyDescent="0.2">
      <c r="A47" s="1461"/>
      <c r="B47" s="1660"/>
      <c r="C47" s="1655"/>
      <c r="D47" s="1655"/>
      <c r="E47" s="1655"/>
      <c r="F47" s="1655"/>
      <c r="G47" s="1655"/>
      <c r="H47" s="1655"/>
      <c r="I47" s="1655"/>
      <c r="J47" s="1655"/>
    </row>
    <row r="48" spans="1:24" ht="14.25" customHeight="1" x14ac:dyDescent="0.2">
      <c r="A48" s="1461"/>
    </row>
    <row r="49" spans="1:21" ht="14.25" customHeight="1" x14ac:dyDescent="0.2">
      <c r="A49" s="1461"/>
      <c r="U49" s="465"/>
    </row>
    <row r="50" spans="1:21" ht="14.25" customHeight="1" x14ac:dyDescent="0.2">
      <c r="A50" s="1461"/>
      <c r="B50" s="204"/>
      <c r="C50" s="204" t="s">
        <v>233</v>
      </c>
      <c r="D50" s="204" t="s">
        <v>279</v>
      </c>
      <c r="E50" s="84"/>
      <c r="F50" s="84"/>
      <c r="G50" s="126" t="s">
        <v>280</v>
      </c>
      <c r="H50" s="126" t="s">
        <v>233</v>
      </c>
      <c r="I50" s="126" t="s">
        <v>281</v>
      </c>
      <c r="J50" s="126" t="s">
        <v>282</v>
      </c>
    </row>
    <row r="51" spans="1:21" ht="14.25" customHeight="1" x14ac:dyDescent="0.2">
      <c r="A51" s="1461"/>
      <c r="B51" s="161" t="s">
        <v>283</v>
      </c>
      <c r="C51" s="162">
        <f>10/$K$1</f>
        <v>10</v>
      </c>
      <c r="D51" s="163">
        <f>$C$1*10</f>
        <v>10000</v>
      </c>
      <c r="E51" s="84"/>
      <c r="F51" s="84"/>
      <c r="G51" s="161" t="s">
        <v>283</v>
      </c>
      <c r="H51" s="254">
        <f>I51/$D$5</f>
        <v>10</v>
      </c>
      <c r="I51" s="162">
        <f>J51/$R$1</f>
        <v>56498.305084745763</v>
      </c>
      <c r="J51" s="162">
        <f>$W$44</f>
        <v>33334</v>
      </c>
    </row>
    <row r="52" spans="1:21" ht="14.25" customHeight="1" x14ac:dyDescent="0.2">
      <c r="A52" s="1461"/>
      <c r="B52" s="209" t="s">
        <v>262</v>
      </c>
      <c r="C52" s="210">
        <f>$I$1</f>
        <v>3.4430769230769269</v>
      </c>
      <c r="D52" s="211">
        <f>$E$1</f>
        <v>3443.076923076927</v>
      </c>
      <c r="E52" s="84"/>
      <c r="F52" s="84"/>
      <c r="G52" s="129" t="s">
        <v>262</v>
      </c>
      <c r="H52" s="190">
        <f>I52/$D$5</f>
        <v>3.4430080629156645</v>
      </c>
      <c r="I52" s="157">
        <f>J52/$R$1</f>
        <v>19452.411994784874</v>
      </c>
      <c r="J52" s="165">
        <f>$S$32</f>
        <v>11476.923076923074</v>
      </c>
    </row>
    <row r="53" spans="1:21" ht="14.25" customHeight="1" x14ac:dyDescent="0.2">
      <c r="A53" s="1461"/>
      <c r="B53" s="209" t="s">
        <v>284</v>
      </c>
      <c r="C53" s="212">
        <f>MIN(C52, C51)</f>
        <v>3.4430769230769269</v>
      </c>
      <c r="D53" s="211">
        <f>(C53*$K$1)*$C$1</f>
        <v>3443.076923076927</v>
      </c>
      <c r="E53" s="84"/>
      <c r="F53" s="84"/>
      <c r="G53" s="129" t="s">
        <v>284</v>
      </c>
      <c r="H53" s="168">
        <f>MIN(H52,H51)</f>
        <v>3.4430080629156645</v>
      </c>
      <c r="I53" s="157">
        <f>J53/$R$1</f>
        <v>19452.411994784874</v>
      </c>
      <c r="J53" s="157">
        <f>MIN(J52,J51)</f>
        <v>11476.923076923074</v>
      </c>
    </row>
    <row r="54" spans="1:21" ht="14.25" x14ac:dyDescent="0.2">
      <c r="A54" s="1461"/>
      <c r="B54" s="209" t="s">
        <v>285</v>
      </c>
      <c r="C54" s="212">
        <f>MIN(MAX(C52-C53,0),C51)</f>
        <v>0</v>
      </c>
      <c r="D54" s="211">
        <f>(C54*$K$1)*$C$1</f>
        <v>0</v>
      </c>
      <c r="E54" s="84"/>
      <c r="F54" s="84"/>
      <c r="G54" s="129" t="s">
        <v>285</v>
      </c>
      <c r="H54" s="168">
        <f>MIN(MAX(H52-H53),H51)</f>
        <v>0</v>
      </c>
      <c r="I54" s="157">
        <f>J54/$R$1</f>
        <v>0</v>
      </c>
      <c r="J54" s="157">
        <f>MIN(MAX(J52-J53),J51)</f>
        <v>0</v>
      </c>
    </row>
    <row r="55" spans="1:21" ht="14.25" x14ac:dyDescent="0.2">
      <c r="A55" s="1461"/>
      <c r="B55" s="209" t="s">
        <v>286</v>
      </c>
      <c r="C55" s="212">
        <f>MIN(MAX(C52-C53-C54,0),C51)</f>
        <v>0</v>
      </c>
      <c r="D55" s="211">
        <f>(C55*$K$1)*$C$1</f>
        <v>0</v>
      </c>
      <c r="E55" s="84"/>
      <c r="F55" s="84"/>
      <c r="G55" s="126" t="s">
        <v>286</v>
      </c>
      <c r="H55" s="168">
        <f>MIN(MAX(H52-H53-H54),H51)</f>
        <v>0</v>
      </c>
      <c r="I55" s="157">
        <f>J55/$R$1</f>
        <v>0</v>
      </c>
      <c r="J55" s="157">
        <f>MIN(MAX(J52-J53-J54),J51)</f>
        <v>0</v>
      </c>
    </row>
    <row r="56" spans="1:21" x14ac:dyDescent="0.2">
      <c r="A56" s="1461"/>
    </row>
    <row r="57" spans="1:21" x14ac:dyDescent="0.2">
      <c r="A57" s="1461"/>
    </row>
    <row r="58" spans="1:21" x14ac:dyDescent="0.2">
      <c r="A58" s="1461"/>
    </row>
    <row r="59" spans="1:21" x14ac:dyDescent="0.2">
      <c r="A59" s="1461"/>
    </row>
    <row r="60" spans="1:21" x14ac:dyDescent="0.2">
      <c r="A60" s="1461"/>
    </row>
    <row r="61" spans="1:21" ht="18" customHeight="1" x14ac:dyDescent="0.2">
      <c r="A61" s="1461"/>
      <c r="B61" s="1671"/>
      <c r="C61" s="1655"/>
      <c r="D61" s="1655"/>
      <c r="E61" s="1655"/>
      <c r="F61" s="1655"/>
      <c r="G61" s="1655"/>
      <c r="H61" s="1655"/>
      <c r="I61" s="1655"/>
      <c r="J61" s="1655"/>
    </row>
    <row r="62" spans="1:21" ht="18" customHeight="1" x14ac:dyDescent="0.2">
      <c r="A62" s="1464"/>
      <c r="B62" s="1678" t="str">
        <f>" ساندوتش تشيكن باربيكيو 1 / " &amp; COUNTIF($C$53:$C$55, "&gt;0")</f>
        <v xml:space="preserve"> ساندوتش تشيكن باربيكيو 1 / 1</v>
      </c>
      <c r="C62" s="1656"/>
      <c r="D62" s="1656"/>
      <c r="E62" s="1656"/>
      <c r="F62" s="1656"/>
      <c r="G62" s="1656"/>
      <c r="H62" s="1656"/>
    </row>
    <row r="63" spans="1:21" ht="18" customHeight="1" x14ac:dyDescent="0.2">
      <c r="A63" s="1464"/>
      <c r="B63" s="1678" t="str">
        <f>" BBQ Chicken Sandwitch 1 / " &amp; COUNTIF($C$53:$C$55, "&gt;0")</f>
        <v xml:space="preserve"> BBQ Chicken Sandwitch 1 / 1</v>
      </c>
      <c r="C63" s="1656"/>
      <c r="D63" s="1656"/>
      <c r="E63" s="1656"/>
      <c r="F63" s="1656"/>
      <c r="G63" s="1656"/>
      <c r="H63" s="1656"/>
    </row>
    <row r="64" spans="1:21" ht="25.5" customHeight="1" x14ac:dyDescent="0.2">
      <c r="A64" s="1457"/>
      <c r="B64" s="221" t="s">
        <v>241</v>
      </c>
      <c r="C64" s="222" t="s">
        <v>242</v>
      </c>
      <c r="D64" s="223" t="s">
        <v>231</v>
      </c>
      <c r="E64" s="197" t="s">
        <v>234</v>
      </c>
      <c r="F64" s="197" t="s">
        <v>243</v>
      </c>
      <c r="G64" s="223" t="s">
        <v>244</v>
      </c>
      <c r="H64" s="197" t="s">
        <v>245</v>
      </c>
    </row>
    <row r="65" spans="1:10" ht="14.25" customHeight="1" x14ac:dyDescent="0.2">
      <c r="A65" s="1461"/>
      <c r="B65" s="299" t="str">
        <f t="shared" ref="B65:D69" si="11">B5</f>
        <v>Chicken - دجاج</v>
      </c>
      <c r="C65" s="106" t="str">
        <f t="shared" si="11"/>
        <v>gm</v>
      </c>
      <c r="D65" s="98">
        <f t="shared" si="11"/>
        <v>5649.8305084745762</v>
      </c>
      <c r="E65" s="327">
        <f>H53</f>
        <v>3.4430080629156645</v>
      </c>
      <c r="F65" s="109">
        <f t="shared" ref="F65:F71" si="12">F5</f>
        <v>1</v>
      </c>
      <c r="G65" s="101">
        <f t="shared" ref="G65:G69" si="13">D65*E65</f>
        <v>19452.411994784874</v>
      </c>
      <c r="H65" s="102">
        <f t="shared" ref="H65:H69" si="14">G65*F65</f>
        <v>19452.411994784874</v>
      </c>
    </row>
    <row r="66" spans="1:10" ht="14.25" customHeight="1" x14ac:dyDescent="0.2">
      <c r="A66" s="1461"/>
      <c r="B66" s="299" t="str">
        <f t="shared" si="11"/>
        <v>BBQ Sauce - صوص باربيكيو</v>
      </c>
      <c r="C66" s="106" t="str">
        <f t="shared" si="11"/>
        <v>ml</v>
      </c>
      <c r="D66" s="98">
        <f t="shared" si="11"/>
        <v>500</v>
      </c>
      <c r="E66" s="327">
        <f>$C$53</f>
        <v>3.4430769230769269</v>
      </c>
      <c r="F66" s="109">
        <f t="shared" si="12"/>
        <v>1</v>
      </c>
      <c r="G66" s="101">
        <f t="shared" si="13"/>
        <v>1721.5384615384635</v>
      </c>
      <c r="H66" s="102">
        <f t="shared" si="14"/>
        <v>1721.5384615384635</v>
      </c>
    </row>
    <row r="67" spans="1:10" ht="14.25" customHeight="1" x14ac:dyDescent="0.2">
      <c r="A67" s="1460"/>
      <c r="B67" s="299" t="str">
        <f t="shared" si="11"/>
        <v>Garlic Powder - ثوم بودرة</v>
      </c>
      <c r="C67" s="106" t="str">
        <f t="shared" si="11"/>
        <v>gm</v>
      </c>
      <c r="D67" s="98">
        <f t="shared" si="11"/>
        <v>50</v>
      </c>
      <c r="E67" s="327">
        <f>$C$53</f>
        <v>3.4430769230769269</v>
      </c>
      <c r="F67" s="109">
        <f t="shared" si="12"/>
        <v>1</v>
      </c>
      <c r="G67" s="101">
        <f t="shared" si="13"/>
        <v>172.15384615384636</v>
      </c>
      <c r="H67" s="102">
        <f t="shared" si="14"/>
        <v>172.15384615384636</v>
      </c>
    </row>
    <row r="68" spans="1:10" ht="14.25" customHeight="1" x14ac:dyDescent="0.2">
      <c r="A68" s="1460"/>
      <c r="B68" s="299" t="str">
        <f t="shared" si="11"/>
        <v>Onion Powder - بصل بودرة</v>
      </c>
      <c r="C68" s="106" t="str">
        <f t="shared" si="11"/>
        <v>gm</v>
      </c>
      <c r="D68" s="98">
        <f t="shared" si="11"/>
        <v>50</v>
      </c>
      <c r="E68" s="327">
        <f>$C$53</f>
        <v>3.4430769230769269</v>
      </c>
      <c r="F68" s="109">
        <f t="shared" si="12"/>
        <v>1</v>
      </c>
      <c r="G68" s="101">
        <f t="shared" si="13"/>
        <v>172.15384615384636</v>
      </c>
      <c r="H68" s="102">
        <f t="shared" si="14"/>
        <v>172.15384615384636</v>
      </c>
    </row>
    <row r="69" spans="1:10" ht="14.25" customHeight="1" x14ac:dyDescent="0.2">
      <c r="A69" s="1460"/>
      <c r="B69" s="299" t="str">
        <f t="shared" si="11"/>
        <v>Tomato Ketchup - كاتشب طماطم</v>
      </c>
      <c r="C69" s="106" t="str">
        <f t="shared" si="11"/>
        <v>ml</v>
      </c>
      <c r="D69" s="98">
        <f t="shared" si="11"/>
        <v>300</v>
      </c>
      <c r="E69" s="327">
        <f>$C$53</f>
        <v>3.4430769230769269</v>
      </c>
      <c r="F69" s="109">
        <f t="shared" si="12"/>
        <v>1</v>
      </c>
      <c r="G69" s="101">
        <f t="shared" si="13"/>
        <v>1032.923076923078</v>
      </c>
      <c r="H69" s="102">
        <f t="shared" si="14"/>
        <v>1032.923076923078</v>
      </c>
    </row>
    <row r="70" spans="1:10" ht="14.25" customHeight="1" x14ac:dyDescent="0.2">
      <c r="A70" s="1460"/>
      <c r="B70" s="299" t="str">
        <f t="shared" ref="B70:D70" si="15">B10</f>
        <v>Sriracha Sauce - صوص سريراتشا</v>
      </c>
      <c r="C70" s="106" t="str">
        <f t="shared" si="15"/>
        <v>ml</v>
      </c>
      <c r="D70" s="98">
        <f t="shared" si="15"/>
        <v>100</v>
      </c>
      <c r="E70" s="327">
        <f t="shared" ref="E70" si="16">$C$53</f>
        <v>3.4430769230769269</v>
      </c>
      <c r="F70" s="109">
        <f t="shared" si="12"/>
        <v>1</v>
      </c>
      <c r="G70" s="101">
        <f t="shared" ref="G70:G71" si="17">D70*E70</f>
        <v>344.30769230769272</v>
      </c>
      <c r="H70" s="102">
        <f t="shared" ref="H70:H71" si="18">G70*F70</f>
        <v>344.30769230769272</v>
      </c>
    </row>
    <row r="71" spans="1:10" ht="20.25" customHeight="1" x14ac:dyDescent="0.3">
      <c r="A71" s="1460"/>
      <c r="B71" s="299" t="str">
        <f t="shared" ref="B71:C71" si="19">B11</f>
        <v>Whole Wheat Oat Ciabatta - شيباتا اسمر شوفان</v>
      </c>
      <c r="C71" s="106" t="str">
        <f t="shared" si="19"/>
        <v>Piece</v>
      </c>
      <c r="D71" s="98">
        <f>D11</f>
        <v>1</v>
      </c>
      <c r="E71" s="327">
        <f>E11</f>
        <v>108</v>
      </c>
      <c r="F71" s="109">
        <f t="shared" si="12"/>
        <v>1</v>
      </c>
      <c r="G71" s="101">
        <f t="shared" si="17"/>
        <v>108</v>
      </c>
      <c r="H71" s="102">
        <f t="shared" si="18"/>
        <v>108</v>
      </c>
      <c r="I71" s="184"/>
      <c r="J71" s="183"/>
    </row>
    <row r="72" spans="1:10" ht="18" x14ac:dyDescent="0.25">
      <c r="A72" s="1458"/>
      <c r="B72" s="178" t="s">
        <v>287</v>
      </c>
      <c r="C72" s="180" t="s">
        <v>273</v>
      </c>
      <c r="E72" s="180" t="s">
        <v>288</v>
      </c>
      <c r="G72" s="804" t="s">
        <v>264</v>
      </c>
      <c r="H72" s="804" t="s">
        <v>673</v>
      </c>
    </row>
    <row r="73" spans="1:10" ht="20.25" x14ac:dyDescent="0.3">
      <c r="A73" s="1458"/>
      <c r="B73" s="179">
        <f>$J$53</f>
        <v>11476.923076923074</v>
      </c>
      <c r="C73" s="179">
        <f>E73+G73</f>
        <v>3443.076923076927</v>
      </c>
      <c r="D73" s="839"/>
      <c r="E73" s="179">
        <f>$D$53*$S$44</f>
        <v>3443.076923076927</v>
      </c>
      <c r="F73" s="843"/>
      <c r="G73" s="179">
        <f>$D$53*$T$44</f>
        <v>0</v>
      </c>
      <c r="H73" s="179">
        <f>B73+E73</f>
        <v>14920.000000000002</v>
      </c>
    </row>
    <row r="74" spans="1:10" x14ac:dyDescent="0.2">
      <c r="A74" s="1461"/>
    </row>
    <row r="75" spans="1:10" x14ac:dyDescent="0.2">
      <c r="A75" s="1461"/>
    </row>
    <row r="76" spans="1:10" x14ac:dyDescent="0.2">
      <c r="A76" s="1461"/>
    </row>
    <row r="77" spans="1:10" x14ac:dyDescent="0.2">
      <c r="A77" s="1461"/>
    </row>
    <row r="78" spans="1:10" x14ac:dyDescent="0.2">
      <c r="A78" s="1461"/>
    </row>
    <row r="79" spans="1:10" x14ac:dyDescent="0.2">
      <c r="A79" s="1461"/>
    </row>
    <row r="80" spans="1:10" x14ac:dyDescent="0.2">
      <c r="A80" s="1461"/>
    </row>
    <row r="81" spans="1:1" x14ac:dyDescent="0.2">
      <c r="A81" s="1461"/>
    </row>
    <row r="82" spans="1:1" x14ac:dyDescent="0.2">
      <c r="A82" s="1461"/>
    </row>
    <row r="83" spans="1:1" x14ac:dyDescent="0.2">
      <c r="A83" s="1461"/>
    </row>
    <row r="84" spans="1:1" x14ac:dyDescent="0.2">
      <c r="A84" s="1461"/>
    </row>
    <row r="85" spans="1:1" x14ac:dyDescent="0.2">
      <c r="A85" s="1461"/>
    </row>
    <row r="86" spans="1:1" x14ac:dyDescent="0.2">
      <c r="A86" s="1461"/>
    </row>
    <row r="87" spans="1:1" x14ac:dyDescent="0.2">
      <c r="A87" s="1461"/>
    </row>
    <row r="88" spans="1:1" x14ac:dyDescent="0.2">
      <c r="A88" s="1461"/>
    </row>
    <row r="89" spans="1:1" x14ac:dyDescent="0.2">
      <c r="A89" s="1461"/>
    </row>
    <row r="90" spans="1:1" x14ac:dyDescent="0.2">
      <c r="A90" s="1461"/>
    </row>
    <row r="91" spans="1:1" x14ac:dyDescent="0.2">
      <c r="A91" s="1461"/>
    </row>
    <row r="92" spans="1:1" x14ac:dyDescent="0.2">
      <c r="A92" s="1461"/>
    </row>
    <row r="93" spans="1:1" x14ac:dyDescent="0.2">
      <c r="A93" s="1461"/>
    </row>
    <row r="94" spans="1:1" x14ac:dyDescent="0.2">
      <c r="A94" s="1461"/>
    </row>
    <row r="95" spans="1:1" x14ac:dyDescent="0.2">
      <c r="A95" s="1461"/>
    </row>
    <row r="96" spans="1:1" x14ac:dyDescent="0.2">
      <c r="A96" s="1461"/>
    </row>
    <row r="97" spans="1:1" x14ac:dyDescent="0.2">
      <c r="A97" s="1461"/>
    </row>
    <row r="98" spans="1:1" x14ac:dyDescent="0.2">
      <c r="A98" s="1461"/>
    </row>
    <row r="99" spans="1:1" x14ac:dyDescent="0.2">
      <c r="A99" s="1461"/>
    </row>
    <row r="100" spans="1:1" x14ac:dyDescent="0.2">
      <c r="A100" s="1461"/>
    </row>
    <row r="101" spans="1:1" x14ac:dyDescent="0.2">
      <c r="A101" s="1461"/>
    </row>
    <row r="102" spans="1:1" x14ac:dyDescent="0.2">
      <c r="A102" s="1461"/>
    </row>
    <row r="103" spans="1:1" x14ac:dyDescent="0.2">
      <c r="A103" s="1461"/>
    </row>
    <row r="104" spans="1:1" x14ac:dyDescent="0.2">
      <c r="A104" s="1461"/>
    </row>
    <row r="105" spans="1:1" x14ac:dyDescent="0.2">
      <c r="A105" s="1461"/>
    </row>
    <row r="106" spans="1:1" x14ac:dyDescent="0.2">
      <c r="A106" s="1461"/>
    </row>
    <row r="107" spans="1:1" x14ac:dyDescent="0.2">
      <c r="A107" s="1461"/>
    </row>
    <row r="108" spans="1:1" x14ac:dyDescent="0.2">
      <c r="A108" s="1461"/>
    </row>
    <row r="109" spans="1:1" x14ac:dyDescent="0.2">
      <c r="A109" s="1461"/>
    </row>
    <row r="110" spans="1:1" x14ac:dyDescent="0.2">
      <c r="A110" s="1461"/>
    </row>
    <row r="111" spans="1:1" x14ac:dyDescent="0.2">
      <c r="A111" s="1461"/>
    </row>
    <row r="112" spans="1:1" x14ac:dyDescent="0.2">
      <c r="A112" s="1461"/>
    </row>
    <row r="113" spans="1:1" x14ac:dyDescent="0.2">
      <c r="A113" s="1461"/>
    </row>
    <row r="114" spans="1:1" x14ac:dyDescent="0.2">
      <c r="A114" s="1461"/>
    </row>
    <row r="115" spans="1:1" x14ac:dyDescent="0.2">
      <c r="A115" s="1461"/>
    </row>
    <row r="116" spans="1:1" x14ac:dyDescent="0.2">
      <c r="A116" s="1461"/>
    </row>
    <row r="117" spans="1:1" x14ac:dyDescent="0.2">
      <c r="A117" s="1461"/>
    </row>
    <row r="118" spans="1:1" x14ac:dyDescent="0.2">
      <c r="A118" s="1461"/>
    </row>
    <row r="119" spans="1:1" x14ac:dyDescent="0.2">
      <c r="A119" s="1461"/>
    </row>
    <row r="120" spans="1:1" x14ac:dyDescent="0.2">
      <c r="A120" s="1461"/>
    </row>
    <row r="121" spans="1:1" x14ac:dyDescent="0.2">
      <c r="A121" s="1461"/>
    </row>
    <row r="122" spans="1:1" x14ac:dyDescent="0.2">
      <c r="A122" s="1461"/>
    </row>
    <row r="123" spans="1:1" x14ac:dyDescent="0.2">
      <c r="A123" s="1461"/>
    </row>
    <row r="124" spans="1:1" x14ac:dyDescent="0.2">
      <c r="A124" s="1461"/>
    </row>
    <row r="125" spans="1:1" x14ac:dyDescent="0.2">
      <c r="A125" s="1461"/>
    </row>
    <row r="126" spans="1:1" x14ac:dyDescent="0.2">
      <c r="A126" s="1461"/>
    </row>
    <row r="127" spans="1:1" x14ac:dyDescent="0.2">
      <c r="A127" s="1461"/>
    </row>
    <row r="128" spans="1:1" x14ac:dyDescent="0.2">
      <c r="A128" s="1461"/>
    </row>
    <row r="129" spans="1:1" x14ac:dyDescent="0.2">
      <c r="A129" s="1461"/>
    </row>
    <row r="130" spans="1:1" x14ac:dyDescent="0.2">
      <c r="A130" s="1461"/>
    </row>
    <row r="131" spans="1:1" x14ac:dyDescent="0.2">
      <c r="A131" s="1461"/>
    </row>
    <row r="132" spans="1:1" x14ac:dyDescent="0.2">
      <c r="A132" s="1461"/>
    </row>
    <row r="133" spans="1:1" x14ac:dyDescent="0.2">
      <c r="A133" s="1461"/>
    </row>
    <row r="134" spans="1:1" x14ac:dyDescent="0.2">
      <c r="A134" s="1461"/>
    </row>
    <row r="135" spans="1:1" x14ac:dyDescent="0.2">
      <c r="A135" s="1461"/>
    </row>
    <row r="136" spans="1:1" x14ac:dyDescent="0.2">
      <c r="A136" s="1461"/>
    </row>
    <row r="137" spans="1:1" x14ac:dyDescent="0.2">
      <c r="A137" s="1461"/>
    </row>
    <row r="138" spans="1:1" x14ac:dyDescent="0.2">
      <c r="A138" s="1461"/>
    </row>
    <row r="139" spans="1:1" x14ac:dyDescent="0.2">
      <c r="A139" s="1461"/>
    </row>
    <row r="140" spans="1:1" x14ac:dyDescent="0.2">
      <c r="A140" s="1461"/>
    </row>
    <row r="141" spans="1:1" x14ac:dyDescent="0.2">
      <c r="A141" s="1461"/>
    </row>
    <row r="142" spans="1:1" x14ac:dyDescent="0.2">
      <c r="A142" s="1461"/>
    </row>
    <row r="143" spans="1:1" x14ac:dyDescent="0.2">
      <c r="A143" s="1461"/>
    </row>
    <row r="144" spans="1:1"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11">
    <mergeCell ref="AN2:AN3"/>
    <mergeCell ref="R25:U25"/>
    <mergeCell ref="B62:H62"/>
    <mergeCell ref="B2:K3"/>
    <mergeCell ref="B47:J47"/>
    <mergeCell ref="AK2:AM2"/>
    <mergeCell ref="B63:H63"/>
    <mergeCell ref="AE2:AG3"/>
    <mergeCell ref="B61:J61"/>
    <mergeCell ref="B46:J46"/>
    <mergeCell ref="R26:U26"/>
  </mergeCells>
  <printOptions horizontalCentered="1"/>
  <pageMargins left="0.4" right="0.4" top="1" bottom="0.5" header="0.3" footer="0.511811023622047"/>
  <pageSetup paperSize="9" scale="45" orientation="landscape" r:id="rId1"/>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950A7-DB0B-48BD-9930-66EBB40004AE}">
  <sheetPr codeName="Sheet96">
    <tabColor rgb="FFFF0000"/>
    <pageSetUpPr fitToPage="1"/>
  </sheetPr>
  <dimension ref="A1:AT971"/>
  <sheetViews>
    <sheetView topLeftCell="D1" zoomScale="85" zoomScaleNormal="85" workbookViewId="0">
      <selection activeCell="G32" sqref="G32"/>
    </sheetView>
  </sheetViews>
  <sheetFormatPr defaultColWidth="12.5" defaultRowHeight="12.75" x14ac:dyDescent="0.2"/>
  <cols>
    <col min="1" max="1" width="12.5" style="14" customWidth="1"/>
    <col min="2" max="2" width="38.375" style="14"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75" style="14" customWidth="1"/>
    <col min="15" max="15" width="16.75" style="14" customWidth="1"/>
    <col min="16" max="18" width="12.5" style="14" customWidth="1"/>
    <col min="19" max="19" width="15.875" style="14" customWidth="1"/>
    <col min="20" max="26" width="12.5" style="14" customWidth="1"/>
    <col min="27" max="27" width="11.125" style="14" bestFit="1" customWidth="1"/>
    <col min="28" max="28" width="11.875" style="14" bestFit="1" customWidth="1"/>
    <col min="29" max="29" width="13.375" style="14" bestFit="1" customWidth="1"/>
    <col min="30" max="30" width="12.375" style="14" bestFit="1" customWidth="1"/>
    <col min="31" max="31" width="8.375" style="14" customWidth="1"/>
    <col min="32" max="32" width="7.625" style="14" customWidth="1"/>
    <col min="33" max="35" width="2.875" style="14" customWidth="1"/>
    <col min="36" max="36" width="38.375" style="14" customWidth="1"/>
    <col min="37" max="37" width="12.5" style="14" customWidth="1"/>
    <col min="38" max="41" width="12.5" style="14"/>
    <col min="42" max="42" width="18.375" style="14" customWidth="1"/>
    <col min="43" max="16384" width="12.5" style="14"/>
  </cols>
  <sheetData>
    <row r="1" spans="1:46" ht="41.25" customHeight="1" x14ac:dyDescent="0.2">
      <c r="B1" s="64" t="s">
        <v>331</v>
      </c>
      <c r="C1" s="65">
        <v>1</v>
      </c>
      <c r="D1" s="66" t="s">
        <v>232</v>
      </c>
      <c r="E1" s="99">
        <f>U32</f>
        <v>157</v>
      </c>
      <c r="F1" s="64" t="s">
        <v>233</v>
      </c>
      <c r="G1" s="99">
        <f>E1/C1</f>
        <v>157</v>
      </c>
      <c r="H1" s="64" t="s">
        <v>234</v>
      </c>
      <c r="I1" s="99"/>
      <c r="J1" s="302" t="s">
        <v>235</v>
      </c>
      <c r="K1" s="303">
        <v>1</v>
      </c>
      <c r="L1" s="84"/>
      <c r="M1" s="84"/>
      <c r="N1" s="84"/>
      <c r="O1" s="75" t="s">
        <v>236</v>
      </c>
      <c r="P1" s="76" t="s">
        <v>299</v>
      </c>
      <c r="Q1" s="77" t="s">
        <v>238</v>
      </c>
      <c r="R1" s="76">
        <v>0.89</v>
      </c>
      <c r="S1" s="77" t="s">
        <v>333</v>
      </c>
      <c r="T1" s="304">
        <v>84</v>
      </c>
      <c r="U1" s="84"/>
      <c r="V1" s="84"/>
      <c r="Y1" s="75" t="s">
        <v>453</v>
      </c>
      <c r="Z1" s="766">
        <v>152</v>
      </c>
      <c r="AA1" s="75" t="s">
        <v>556</v>
      </c>
      <c r="AB1" s="766">
        <v>5</v>
      </c>
      <c r="AC1" s="75" t="s">
        <v>546</v>
      </c>
      <c r="AD1" s="766">
        <v>152</v>
      </c>
      <c r="AE1" s="75" t="s">
        <v>538</v>
      </c>
      <c r="AF1" s="766">
        <f>Z1+AB1</f>
        <v>157</v>
      </c>
      <c r="AJ1" s="78" t="s">
        <v>250</v>
      </c>
      <c r="AK1" s="78">
        <v>10000</v>
      </c>
      <c r="AL1" s="561" t="s">
        <v>848</v>
      </c>
      <c r="AM1" s="562">
        <f>$S$32*$T$1</f>
        <v>13188</v>
      </c>
      <c r="AN1" s="78" t="s">
        <v>239</v>
      </c>
      <c r="AO1" s="1614">
        <f>((S32*$T$1)/$R$1)/$AK$1</f>
        <v>1.4817977528089887</v>
      </c>
      <c r="AP1" s="79"/>
    </row>
    <row r="2" spans="1:46" ht="12.75" customHeight="1" x14ac:dyDescent="0.2">
      <c r="A2" s="306"/>
      <c r="B2" s="1644" t="s">
        <v>885</v>
      </c>
      <c r="C2" s="1644"/>
      <c r="D2" s="1644"/>
      <c r="E2" s="1644"/>
      <c r="F2" s="1644"/>
      <c r="G2" s="1644"/>
      <c r="H2" s="1644"/>
      <c r="I2" s="580"/>
      <c r="J2" s="580"/>
      <c r="K2" s="580"/>
      <c r="L2" s="270"/>
      <c r="M2" s="84"/>
      <c r="N2" s="84"/>
      <c r="O2" s="84"/>
      <c r="P2" s="84"/>
      <c r="Q2" s="84"/>
      <c r="R2" s="84"/>
      <c r="S2" s="84"/>
      <c r="T2" s="84"/>
      <c r="U2" s="84"/>
      <c r="AJ2" s="85"/>
      <c r="AK2" s="1631" t="s">
        <v>885</v>
      </c>
      <c r="AL2" s="1631"/>
      <c r="AM2" s="1631"/>
      <c r="AN2" s="1631"/>
      <c r="AO2" s="85"/>
      <c r="AP2" s="85"/>
    </row>
    <row r="3" spans="1:46" ht="12.75" customHeight="1" x14ac:dyDescent="0.2">
      <c r="A3" s="306"/>
      <c r="B3" s="1645"/>
      <c r="C3" s="1645"/>
      <c r="D3" s="1645"/>
      <c r="E3" s="1645"/>
      <c r="F3" s="1645"/>
      <c r="G3" s="1645"/>
      <c r="H3" s="1645"/>
      <c r="I3" s="581"/>
      <c r="J3" s="581"/>
      <c r="K3" s="581"/>
      <c r="L3" s="270"/>
      <c r="M3" s="84"/>
      <c r="N3" s="84"/>
      <c r="O3" s="84"/>
      <c r="P3" s="84"/>
      <c r="Q3" s="84"/>
      <c r="R3" s="84"/>
      <c r="S3" s="84"/>
      <c r="T3" s="84"/>
      <c r="U3" s="84"/>
      <c r="AJ3" s="88"/>
      <c r="AK3" s="88"/>
      <c r="AL3" s="1670"/>
      <c r="AM3" s="1670"/>
      <c r="AN3" s="89"/>
      <c r="AO3" s="88"/>
      <c r="AP3" s="88"/>
    </row>
    <row r="4" spans="1:46" ht="69"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347"/>
      <c r="N4" s="84"/>
      <c r="O4" s="84"/>
      <c r="P4" s="84"/>
      <c r="Q4" s="84"/>
      <c r="R4" s="84"/>
      <c r="S4" s="84"/>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260"/>
      <c r="B5" s="299" t="s">
        <v>860</v>
      </c>
      <c r="C5" s="1261" t="s">
        <v>14</v>
      </c>
      <c r="D5" s="1262">
        <v>100</v>
      </c>
      <c r="E5" s="98">
        <f>$G$1</f>
        <v>157</v>
      </c>
      <c r="F5" s="109">
        <v>1</v>
      </c>
      <c r="G5" s="101">
        <f>D5*E5</f>
        <v>15700</v>
      </c>
      <c r="H5" s="102">
        <f>G5*F5</f>
        <v>15700</v>
      </c>
      <c r="I5" s="65">
        <f>VLOOKUP(B5,All_Ingredients!$A$1:$F$156,6,FALSE())</f>
        <v>0.95</v>
      </c>
      <c r="J5" s="101">
        <f>VLOOKUP(B5,All_Ingredients!$A$1:$J$156,10,FALSE())</f>
        <v>17.100000000000001</v>
      </c>
      <c r="K5" s="104">
        <f t="shared" ref="K5" si="0">(H5/I5)/1000</f>
        <v>16.526315789473685</v>
      </c>
      <c r="L5" s="104">
        <f t="shared" ref="L5" si="1">K5*J5</f>
        <v>282.60000000000002</v>
      </c>
      <c r="M5" s="112"/>
      <c r="AJ5" s="299" t="s">
        <v>220</v>
      </c>
      <c r="AK5" s="106" t="s">
        <v>227</v>
      </c>
      <c r="AL5" s="1262">
        <v>10</v>
      </c>
      <c r="AM5" s="1263">
        <f t="shared" ref="AM5:AM14" si="2">$AO$1</f>
        <v>1.4817977528089887</v>
      </c>
      <c r="AN5" s="109">
        <v>1</v>
      </c>
      <c r="AO5" s="103">
        <f t="shared" ref="AO5:AO14" si="3">AL5*AM5</f>
        <v>14.817977528089887</v>
      </c>
      <c r="AP5" s="102">
        <f t="shared" ref="AP5:AP14" si="4">AO5*AN5</f>
        <v>14.817977528089887</v>
      </c>
      <c r="AQ5" s="272"/>
      <c r="AR5" s="1017"/>
      <c r="AS5" s="156"/>
      <c r="AT5" s="1018"/>
    </row>
    <row r="6" spans="1:46" ht="14.25" customHeight="1" x14ac:dyDescent="0.2">
      <c r="A6" s="1469"/>
      <c r="B6" s="106" t="s">
        <v>805</v>
      </c>
      <c r="C6" s="106" t="s">
        <v>230</v>
      </c>
      <c r="D6" s="1262">
        <v>1</v>
      </c>
      <c r="E6" s="98">
        <f>$G$1</f>
        <v>157</v>
      </c>
      <c r="F6" s="109">
        <v>1</v>
      </c>
      <c r="G6" s="101">
        <f>D6*E6</f>
        <v>157</v>
      </c>
      <c r="H6" s="102">
        <f>G6*F6</f>
        <v>157</v>
      </c>
      <c r="I6" s="65">
        <f>VLOOKUP(B6,All_Ingredients!$A$1:$F$156,6,FALSE())</f>
        <v>1</v>
      </c>
      <c r="J6" s="101">
        <f>VLOOKUP(B6,All_Ingredients!$A$1:$J$156,10,FALSE())</f>
        <v>0.6</v>
      </c>
      <c r="K6" s="104">
        <f t="shared" ref="K6:K7" si="5">(H6/I6)/1000</f>
        <v>0.157</v>
      </c>
      <c r="L6" s="104">
        <f t="shared" ref="L6:L7" si="6">K6*J6</f>
        <v>9.4199999999999992E-2</v>
      </c>
      <c r="M6" s="112"/>
      <c r="AJ6" s="299" t="s">
        <v>868</v>
      </c>
      <c r="AK6" s="106" t="s">
        <v>14</v>
      </c>
      <c r="AL6" s="1262">
        <v>800</v>
      </c>
      <c r="AM6" s="1263">
        <f t="shared" si="2"/>
        <v>1.4817977528089887</v>
      </c>
      <c r="AN6" s="109">
        <v>1</v>
      </c>
      <c r="AO6" s="1371">
        <f t="shared" si="3"/>
        <v>1185.4382022471909</v>
      </c>
      <c r="AP6" s="102">
        <f t="shared" si="4"/>
        <v>1185.4382022471909</v>
      </c>
      <c r="AQ6" s="1018">
        <f>VLOOKUP(AJ6,Marination_Ordering!$A:$J,6,FALSE)</f>
        <v>1</v>
      </c>
      <c r="AR6" s="1018">
        <f>VLOOKUP(AJ6,Marination_Ordering!$A:$J,10,FALSE)</f>
        <v>0</v>
      </c>
      <c r="AS6" s="156">
        <f>AP6/AQ6</f>
        <v>1185.4382022471909</v>
      </c>
      <c r="AT6" s="1018">
        <f>AR6*(AS6/1000)</f>
        <v>0</v>
      </c>
    </row>
    <row r="7" spans="1:46" ht="14.25" customHeight="1" x14ac:dyDescent="0.2">
      <c r="A7" s="1461"/>
      <c r="B7" s="106" t="s">
        <v>836</v>
      </c>
      <c r="C7" s="106" t="s">
        <v>230</v>
      </c>
      <c r="D7" s="1262">
        <v>1</v>
      </c>
      <c r="E7" s="98">
        <f t="shared" ref="E7" si="7">$G$1</f>
        <v>157</v>
      </c>
      <c r="F7" s="109">
        <v>1</v>
      </c>
      <c r="G7" s="103">
        <f>D7*($Z$1+$AB$1)</f>
        <v>157</v>
      </c>
      <c r="H7" s="102">
        <f>G7*F7</f>
        <v>157</v>
      </c>
      <c r="I7" s="65">
        <f>VLOOKUP(B7,All_Ingredients!$A$1:$F$156,6,FALSE())</f>
        <v>1</v>
      </c>
      <c r="J7" s="101">
        <f>VLOOKUP(B7,All_Ingredients!$A$1:$J$156,10,FALSE())</f>
        <v>0.58333333333333337</v>
      </c>
      <c r="K7" s="104">
        <f t="shared" si="5"/>
        <v>0.157</v>
      </c>
      <c r="L7" s="104">
        <f t="shared" si="6"/>
        <v>9.1583333333333336E-2</v>
      </c>
      <c r="M7" s="112"/>
      <c r="AJ7" s="299" t="s">
        <v>93</v>
      </c>
      <c r="AK7" s="106" t="s">
        <v>14</v>
      </c>
      <c r="AL7" s="1262">
        <v>35</v>
      </c>
      <c r="AM7" s="1263">
        <f t="shared" si="2"/>
        <v>1.4817977528089887</v>
      </c>
      <c r="AN7" s="109">
        <v>1</v>
      </c>
      <c r="AO7" s="1371">
        <f t="shared" si="3"/>
        <v>51.862921348314607</v>
      </c>
      <c r="AP7" s="102">
        <f t="shared" si="4"/>
        <v>51.862921348314607</v>
      </c>
      <c r="AQ7" s="1018">
        <f>VLOOKUP(AJ7,Marination_Ordering!$A:$J,6,FALSE)</f>
        <v>1</v>
      </c>
      <c r="AR7" s="1018">
        <f>VLOOKUP(AJ7,Marination_Ordering!$A:$J,10,FALSE)</f>
        <v>0.74</v>
      </c>
      <c r="AS7" s="156">
        <f t="shared" ref="AS7:AS15" si="8">AP7/AQ7</f>
        <v>51.862921348314607</v>
      </c>
      <c r="AT7" s="1018">
        <f t="shared" ref="AT7:AT15" si="9">AR7*(AS7/1000)</f>
        <v>3.8378561797752807E-2</v>
      </c>
    </row>
    <row r="8" spans="1:46" ht="14.25" customHeight="1" x14ac:dyDescent="0.2">
      <c r="A8" s="1461"/>
      <c r="B8" s="106"/>
      <c r="C8" s="1261"/>
      <c r="D8" s="1262"/>
      <c r="E8" s="98"/>
      <c r="F8" s="109"/>
      <c r="G8" s="101"/>
      <c r="H8" s="102"/>
      <c r="I8" s="65"/>
      <c r="J8" s="101"/>
      <c r="K8" s="104"/>
      <c r="L8" s="104"/>
      <c r="M8" s="112"/>
      <c r="AJ8" s="299" t="s">
        <v>99</v>
      </c>
      <c r="AK8" s="106" t="s">
        <v>14</v>
      </c>
      <c r="AL8" s="1262">
        <v>20</v>
      </c>
      <c r="AM8" s="1263">
        <f t="shared" si="2"/>
        <v>1.4817977528089887</v>
      </c>
      <c r="AN8" s="109">
        <v>1</v>
      </c>
      <c r="AO8" s="1371">
        <f t="shared" si="3"/>
        <v>29.635955056179775</v>
      </c>
      <c r="AP8" s="102">
        <f t="shared" si="4"/>
        <v>29.635955056179775</v>
      </c>
      <c r="AQ8" s="1018">
        <f>VLOOKUP(AJ8,Marination_Ordering!$A:$J,6,FALSE)</f>
        <v>1</v>
      </c>
      <c r="AR8" s="1018">
        <f>VLOOKUP(AJ8,Marination_Ordering!$A:$J,10,FALSE)</f>
        <v>31</v>
      </c>
      <c r="AS8" s="156">
        <f t="shared" si="8"/>
        <v>29.635955056179775</v>
      </c>
      <c r="AT8" s="1018">
        <f t="shared" si="9"/>
        <v>0.91871460674157301</v>
      </c>
    </row>
    <row r="9" spans="1:46" ht="14.25" customHeight="1" x14ac:dyDescent="0.2">
      <c r="A9" s="1461"/>
      <c r="B9" s="325"/>
      <c r="C9" s="325"/>
      <c r="D9" s="309"/>
      <c r="E9" s="309"/>
      <c r="F9" s="117"/>
      <c r="G9" s="118"/>
      <c r="H9" s="119"/>
      <c r="I9" s="76"/>
      <c r="J9" s="118"/>
      <c r="K9" s="112"/>
      <c r="L9" s="112"/>
      <c r="M9" s="112"/>
      <c r="AJ9" s="299" t="s">
        <v>149</v>
      </c>
      <c r="AK9" s="106" t="s">
        <v>14</v>
      </c>
      <c r="AL9" s="1262">
        <v>120</v>
      </c>
      <c r="AM9" s="1263">
        <f t="shared" si="2"/>
        <v>1.4817977528089887</v>
      </c>
      <c r="AN9" s="109">
        <v>1</v>
      </c>
      <c r="AO9" s="1371">
        <f t="shared" si="3"/>
        <v>177.81573033707866</v>
      </c>
      <c r="AP9" s="102">
        <f t="shared" si="4"/>
        <v>177.81573033707866</v>
      </c>
      <c r="AQ9" s="1018">
        <f>VLOOKUP(AJ9,Marination_Ordering!$A:$J,6,FALSE)</f>
        <v>1</v>
      </c>
      <c r="AR9" s="1018">
        <f>VLOOKUP(AJ9,Marination_Ordering!$A:$J,10,FALSE)</f>
        <v>10</v>
      </c>
      <c r="AS9" s="156">
        <f t="shared" si="8"/>
        <v>177.81573033707866</v>
      </c>
      <c r="AT9" s="1018">
        <f t="shared" si="9"/>
        <v>1.7781573033707867</v>
      </c>
    </row>
    <row r="10" spans="1:46" ht="14.25" customHeight="1" x14ac:dyDescent="0.2">
      <c r="A10" s="1461"/>
      <c r="B10" s="325"/>
      <c r="C10" s="325"/>
      <c r="D10" s="309"/>
      <c r="E10" s="309"/>
      <c r="F10" s="117"/>
      <c r="G10" s="118"/>
      <c r="H10" s="119"/>
      <c r="I10" s="76"/>
      <c r="J10" s="118"/>
      <c r="K10" s="112"/>
      <c r="L10" s="112"/>
      <c r="M10" s="112"/>
      <c r="AJ10" s="299" t="s">
        <v>146</v>
      </c>
      <c r="AK10" s="106" t="s">
        <v>14</v>
      </c>
      <c r="AL10" s="1262">
        <v>100</v>
      </c>
      <c r="AM10" s="1263">
        <f t="shared" si="2"/>
        <v>1.4817977528089887</v>
      </c>
      <c r="AN10" s="109">
        <v>1</v>
      </c>
      <c r="AO10" s="1371">
        <f t="shared" si="3"/>
        <v>148.17977528089887</v>
      </c>
      <c r="AP10" s="102">
        <f t="shared" si="4"/>
        <v>148.17977528089887</v>
      </c>
      <c r="AQ10" s="1018">
        <f>VLOOKUP(AJ10,Marination_Ordering!$A:$J,6,FALSE)</f>
        <v>1</v>
      </c>
      <c r="AR10" s="1018">
        <f>VLOOKUP(AJ10,Marination_Ordering!$A:$J,10,FALSE)</f>
        <v>12</v>
      </c>
      <c r="AS10" s="156">
        <f t="shared" si="8"/>
        <v>148.17977528089887</v>
      </c>
      <c r="AT10" s="1018">
        <f t="shared" si="9"/>
        <v>1.7781573033707865</v>
      </c>
    </row>
    <row r="11" spans="1:46" ht="14.25" customHeight="1" x14ac:dyDescent="0.2">
      <c r="A11" s="1461"/>
      <c r="B11" s="325"/>
      <c r="C11" s="325"/>
      <c r="D11" s="309"/>
      <c r="E11" s="309"/>
      <c r="F11" s="117"/>
      <c r="G11" s="118"/>
      <c r="H11" s="119"/>
      <c r="I11" s="76"/>
      <c r="J11" s="118"/>
      <c r="K11" s="112"/>
      <c r="L11" s="112"/>
      <c r="M11" s="112"/>
      <c r="AJ11" s="299" t="s">
        <v>850</v>
      </c>
      <c r="AK11" s="106" t="s">
        <v>14</v>
      </c>
      <c r="AL11" s="1262">
        <v>100</v>
      </c>
      <c r="AM11" s="1263">
        <f t="shared" si="2"/>
        <v>1.4817977528089887</v>
      </c>
      <c r="AN11" s="109">
        <v>1</v>
      </c>
      <c r="AO11" s="1371">
        <f t="shared" si="3"/>
        <v>148.17977528089887</v>
      </c>
      <c r="AP11" s="102">
        <f t="shared" si="4"/>
        <v>148.17977528089887</v>
      </c>
      <c r="AQ11" s="1018">
        <f>VLOOKUP(AJ11,Marination_Ordering!$A:$J,6,FALSE)</f>
        <v>1</v>
      </c>
      <c r="AR11" s="1018">
        <f>VLOOKUP(AJ11,Marination_Ordering!$A:$J,10,FALSE)</f>
        <v>96.916299559471369</v>
      </c>
      <c r="AS11" s="156">
        <f t="shared" si="8"/>
        <v>148.17977528089887</v>
      </c>
      <c r="AT11" s="1018">
        <f t="shared" si="9"/>
        <v>14.361035489778747</v>
      </c>
    </row>
    <row r="12" spans="1:46" ht="14.25" customHeight="1" x14ac:dyDescent="0.2">
      <c r="A12" s="1461"/>
      <c r="B12" s="325"/>
      <c r="C12" s="325"/>
      <c r="D12" s="309"/>
      <c r="E12" s="309"/>
      <c r="F12" s="117"/>
      <c r="G12" s="118"/>
      <c r="H12" s="119"/>
      <c r="I12" s="76"/>
      <c r="J12" s="118"/>
      <c r="K12" s="112"/>
      <c r="L12" s="112"/>
      <c r="M12" s="112"/>
      <c r="AJ12" s="299" t="s">
        <v>202</v>
      </c>
      <c r="AK12" s="106" t="s">
        <v>14</v>
      </c>
      <c r="AL12" s="1262">
        <v>300</v>
      </c>
      <c r="AM12" s="1263">
        <f t="shared" si="2"/>
        <v>1.4817977528089887</v>
      </c>
      <c r="AN12" s="109">
        <v>1</v>
      </c>
      <c r="AO12" s="1371">
        <f t="shared" si="3"/>
        <v>444.5393258426966</v>
      </c>
      <c r="AP12" s="102">
        <f t="shared" si="4"/>
        <v>444.5393258426966</v>
      </c>
      <c r="AQ12" s="1018">
        <f>VLOOKUP(AJ12,Marination_Ordering!$A:$J,6,FALSE)</f>
        <v>1</v>
      </c>
      <c r="AR12" s="1018">
        <f>VLOOKUP(AJ12,Marination_Ordering!$A:$J,10,FALSE)</f>
        <v>11.243386243386244</v>
      </c>
      <c r="AS12" s="156">
        <f t="shared" si="8"/>
        <v>444.5393258426966</v>
      </c>
      <c r="AT12" s="1018">
        <f t="shared" si="9"/>
        <v>4.9981273408239701</v>
      </c>
    </row>
    <row r="13" spans="1:46" ht="14.25" customHeight="1" x14ac:dyDescent="0.2">
      <c r="A13" s="1461"/>
      <c r="B13" s="325"/>
      <c r="C13" s="325"/>
      <c r="D13" s="309"/>
      <c r="E13" s="309"/>
      <c r="F13" s="117"/>
      <c r="G13" s="118"/>
      <c r="H13" s="119"/>
      <c r="I13" s="76"/>
      <c r="J13" s="118"/>
      <c r="K13" s="112"/>
      <c r="L13" s="112"/>
      <c r="M13" s="112"/>
      <c r="AJ13" s="299" t="s">
        <v>229</v>
      </c>
      <c r="AK13" s="106" t="s">
        <v>230</v>
      </c>
      <c r="AL13" s="1262">
        <v>15</v>
      </c>
      <c r="AM13" s="1263">
        <f t="shared" si="2"/>
        <v>1.4817977528089887</v>
      </c>
      <c r="AN13" s="109">
        <v>1</v>
      </c>
      <c r="AO13" s="1371">
        <f t="shared" si="3"/>
        <v>22.226966292134833</v>
      </c>
      <c r="AP13" s="102">
        <f t="shared" si="4"/>
        <v>22.226966292134833</v>
      </c>
      <c r="AQ13" s="1018">
        <f>VLOOKUP(AJ13,Marination_Ordering!$A:$J,6,FALSE)</f>
        <v>1</v>
      </c>
      <c r="AR13" s="1018">
        <f>VLOOKUP(AJ13,Marination_Ordering!$A:$J,10,FALSE)</f>
        <v>0.43333333333333335</v>
      </c>
      <c r="AS13" s="156">
        <f t="shared" si="8"/>
        <v>22.226966292134833</v>
      </c>
      <c r="AT13" s="1018">
        <f t="shared" si="9"/>
        <v>9.6316853932584285E-3</v>
      </c>
    </row>
    <row r="14" spans="1:46" ht="14.25" customHeight="1" x14ac:dyDescent="0.2">
      <c r="A14" s="1461"/>
      <c r="B14" s="325"/>
      <c r="C14" s="325"/>
      <c r="D14" s="309"/>
      <c r="E14" s="309"/>
      <c r="F14" s="117"/>
      <c r="G14" s="118"/>
      <c r="H14" s="119"/>
      <c r="I14" s="76"/>
      <c r="J14" s="118"/>
      <c r="K14" s="112"/>
      <c r="L14" s="112"/>
      <c r="M14" s="112"/>
      <c r="AJ14" s="299" t="s">
        <v>188</v>
      </c>
      <c r="AK14" s="106" t="s">
        <v>14</v>
      </c>
      <c r="AL14" s="1262">
        <v>1000</v>
      </c>
      <c r="AM14" s="1263">
        <f t="shared" si="2"/>
        <v>1.4817977528089887</v>
      </c>
      <c r="AN14" s="109">
        <v>1</v>
      </c>
      <c r="AO14" s="1371">
        <f t="shared" si="3"/>
        <v>1481.7977528089887</v>
      </c>
      <c r="AP14" s="102">
        <f t="shared" si="4"/>
        <v>1481.7977528089887</v>
      </c>
      <c r="AQ14" s="1018">
        <f>VLOOKUP(AJ14,Marination_Ordering!$A:$J,6,FALSE)</f>
        <v>1</v>
      </c>
      <c r="AR14" s="1018">
        <f>VLOOKUP(AJ14,Marination_Ordering!$A:$J,10,FALSE)</f>
        <v>8.5</v>
      </c>
      <c r="AS14" s="156">
        <f t="shared" si="8"/>
        <v>1481.7977528089887</v>
      </c>
      <c r="AT14" s="1018">
        <f t="shared" si="9"/>
        <v>12.595280898876403</v>
      </c>
    </row>
    <row r="15" spans="1:46" ht="14.25" customHeight="1" x14ac:dyDescent="0.2">
      <c r="A15" s="1461"/>
      <c r="B15" s="325"/>
      <c r="C15" s="325"/>
      <c r="D15" s="309"/>
      <c r="E15" s="309"/>
      <c r="F15" s="117"/>
      <c r="G15" s="118"/>
      <c r="H15" s="119"/>
      <c r="I15" s="76"/>
      <c r="J15" s="118"/>
      <c r="K15" s="112"/>
      <c r="L15" s="112"/>
      <c r="M15" s="112"/>
      <c r="AJ15" s="299" t="s">
        <v>222</v>
      </c>
      <c r="AK15" s="106" t="s">
        <v>14</v>
      </c>
      <c r="AL15" s="1262">
        <v>500</v>
      </c>
      <c r="AM15" s="1263">
        <f>$AO$1</f>
        <v>1.4817977528089887</v>
      </c>
      <c r="AN15" s="109">
        <v>1</v>
      </c>
      <c r="AO15" s="1371">
        <f>AL15*AM15</f>
        <v>740.89887640449433</v>
      </c>
      <c r="AP15" s="102">
        <f>AO15*AN15</f>
        <v>740.89887640449433</v>
      </c>
      <c r="AQ15" s="1018">
        <f>VLOOKUP(AJ15,Marination_Ordering!$A:$J,6,FALSE)</f>
        <v>1</v>
      </c>
      <c r="AR15" s="1018">
        <f>VLOOKUP(AJ15,Marination_Ordering!$A:$J,10,FALSE)</f>
        <v>30</v>
      </c>
      <c r="AS15" s="156">
        <f t="shared" si="8"/>
        <v>740.89887640449433</v>
      </c>
      <c r="AT15" s="1018">
        <f t="shared" si="9"/>
        <v>22.226966292134833</v>
      </c>
    </row>
    <row r="16" spans="1:46" ht="14.25" customHeight="1" x14ac:dyDescent="0.2">
      <c r="A16" s="1461"/>
      <c r="B16" s="325"/>
      <c r="C16" s="325"/>
      <c r="D16" s="309"/>
      <c r="E16" s="309"/>
      <c r="F16" s="117"/>
      <c r="G16" s="118"/>
      <c r="H16" s="119"/>
      <c r="I16" s="76"/>
      <c r="J16" s="118"/>
      <c r="K16" s="112"/>
      <c r="L16" s="112"/>
      <c r="M16" s="112"/>
    </row>
    <row r="17" spans="1:31" ht="14.25" customHeight="1" x14ac:dyDescent="0.2">
      <c r="A17" s="1461"/>
      <c r="B17" s="376"/>
      <c r="C17" s="376"/>
      <c r="D17" s="309"/>
      <c r="E17" s="309"/>
      <c r="F17" s="117"/>
      <c r="G17" s="118"/>
      <c r="H17" s="119"/>
      <c r="I17" s="76"/>
      <c r="J17" s="118"/>
      <c r="K17" s="112"/>
      <c r="L17" s="112"/>
      <c r="M17" s="112"/>
    </row>
    <row r="18" spans="1:31" ht="14.25" customHeight="1" x14ac:dyDescent="0.2">
      <c r="A18" s="1461"/>
      <c r="B18" s="325"/>
      <c r="C18" s="325"/>
      <c r="D18" s="309"/>
      <c r="E18" s="309"/>
      <c r="F18" s="117"/>
      <c r="G18" s="118"/>
      <c r="H18" s="119"/>
      <c r="I18" s="76"/>
      <c r="J18" s="118"/>
      <c r="K18" s="112"/>
      <c r="L18" s="112"/>
      <c r="M18" s="118"/>
      <c r="N18" s="112"/>
      <c r="O18" s="112"/>
    </row>
    <row r="19" spans="1:31" ht="14.25" customHeight="1" x14ac:dyDescent="0.2">
      <c r="A19" s="1461"/>
      <c r="B19" s="11"/>
      <c r="C19" s="11"/>
      <c r="D19" s="313"/>
      <c r="E19" s="84"/>
      <c r="F19" s="84"/>
      <c r="K19" s="120"/>
      <c r="L19" s="76"/>
      <c r="M19" s="118"/>
      <c r="N19" s="112"/>
      <c r="O19" s="112"/>
    </row>
    <row r="20" spans="1:31" ht="14.25" customHeight="1" x14ac:dyDescent="0.2">
      <c r="A20" s="1461"/>
      <c r="B20" s="11"/>
      <c r="C20" s="312"/>
      <c r="D20" s="313"/>
      <c r="E20" s="84"/>
      <c r="F20" s="84"/>
      <c r="K20" s="120"/>
      <c r="L20" s="76"/>
      <c r="M20" s="118"/>
      <c r="N20" s="112"/>
      <c r="O20" s="112"/>
    </row>
    <row r="21" spans="1:31" ht="12.75" customHeight="1" x14ac:dyDescent="0.2">
      <c r="A21" s="1461"/>
      <c r="B21" s="11"/>
      <c r="C21" s="312"/>
      <c r="D21" s="313"/>
      <c r="E21" s="84"/>
      <c r="F21" s="84"/>
      <c r="K21" s="120"/>
      <c r="L21" s="76"/>
      <c r="M21" s="118"/>
      <c r="N21" s="112"/>
      <c r="O21" s="112"/>
    </row>
    <row r="22" spans="1:31" ht="12.75" customHeight="1" x14ac:dyDescent="0.2">
      <c r="A22" s="1461"/>
      <c r="B22" s="84"/>
      <c r="E22" s="84"/>
      <c r="F22" s="84"/>
      <c r="K22" s="120"/>
      <c r="L22" s="76"/>
      <c r="M22" s="118"/>
      <c r="N22" s="112"/>
      <c r="O22" s="112"/>
    </row>
    <row r="23" spans="1:31" ht="12.75" customHeight="1" x14ac:dyDescent="0.2">
      <c r="A23" s="1461"/>
      <c r="B23" s="84"/>
      <c r="E23" s="84"/>
      <c r="F23" s="84"/>
      <c r="K23" s="120"/>
      <c r="L23" s="76"/>
    </row>
    <row r="24" spans="1:31" ht="12.75" customHeight="1" x14ac:dyDescent="0.2">
      <c r="A24" s="1461"/>
      <c r="Z24" s="1073"/>
    </row>
    <row r="25" spans="1:31" ht="12.75" customHeight="1" x14ac:dyDescent="0.2">
      <c r="A25" s="1461"/>
      <c r="R25" s="1662" t="s">
        <v>885</v>
      </c>
      <c r="S25" s="1633"/>
      <c r="T25" s="1633"/>
      <c r="U25" s="1633"/>
      <c r="V25" s="997"/>
      <c r="Z25" s="122" t="s">
        <v>252</v>
      </c>
      <c r="AA25" s="123">
        <v>1</v>
      </c>
      <c r="AB25" s="122" t="s">
        <v>249</v>
      </c>
      <c r="AC25" s="124">
        <f>AE30*AA25</f>
        <v>1.9532992714943327</v>
      </c>
    </row>
    <row r="26" spans="1:31" ht="12.75" customHeight="1" x14ac:dyDescent="0.2">
      <c r="A26" s="1461"/>
      <c r="R26" s="1646" t="s">
        <v>291</v>
      </c>
      <c r="S26" s="1655"/>
      <c r="T26" s="1655"/>
      <c r="U26" s="1655"/>
      <c r="V26" s="997"/>
    </row>
    <row r="27" spans="1:31" ht="14.25" customHeight="1" thickBot="1" x14ac:dyDescent="0.25">
      <c r="A27" s="1461"/>
      <c r="R27" s="126" t="s">
        <v>254</v>
      </c>
      <c r="S27" s="126" t="s">
        <v>358</v>
      </c>
      <c r="T27" s="126" t="s">
        <v>256</v>
      </c>
      <c r="U27" s="126" t="s">
        <v>262</v>
      </c>
      <c r="V27" s="127" t="s">
        <v>772</v>
      </c>
      <c r="W27" s="127" t="s">
        <v>795</v>
      </c>
      <c r="X27" s="127" t="s">
        <v>794</v>
      </c>
      <c r="Z27" s="122" t="s">
        <v>258</v>
      </c>
      <c r="AA27" s="128" t="s">
        <v>772</v>
      </c>
      <c r="AB27" s="128" t="s">
        <v>259</v>
      </c>
      <c r="AC27" s="128" t="s">
        <v>783</v>
      </c>
      <c r="AD27" s="128" t="s">
        <v>780</v>
      </c>
      <c r="AE27" s="128" t="s">
        <v>262</v>
      </c>
    </row>
    <row r="28" spans="1:31" ht="14.25" customHeight="1" thickBot="1" x14ac:dyDescent="0.25">
      <c r="A28" s="1461"/>
      <c r="M28" s="314"/>
      <c r="R28" s="126" t="s">
        <v>263</v>
      </c>
      <c r="S28" s="1206">
        <f>$Z$1</f>
        <v>152</v>
      </c>
      <c r="T28" s="1216"/>
      <c r="U28" s="1216">
        <f>S28</f>
        <v>152</v>
      </c>
      <c r="V28" s="130">
        <f>SUM(AP5:AP13)</f>
        <v>2222.696629213483</v>
      </c>
      <c r="W28" s="130">
        <f>SUM(L6)</f>
        <v>9.4199999999999992E-2</v>
      </c>
      <c r="X28" s="130">
        <f>K13</f>
        <v>0</v>
      </c>
      <c r="Z28" s="132"/>
      <c r="AA28" s="1051"/>
      <c r="AB28" s="133">
        <f>AA25*$S$40</f>
        <v>1</v>
      </c>
      <c r="AC28" s="1051"/>
      <c r="AD28" s="1051"/>
      <c r="AE28" s="135">
        <f>SUM(AB28:AB28)</f>
        <v>1</v>
      </c>
    </row>
    <row r="29" spans="1:31" ht="14.25" customHeight="1" thickBot="1" x14ac:dyDescent="0.25">
      <c r="A29" s="1461"/>
      <c r="R29" s="126" t="s">
        <v>264</v>
      </c>
      <c r="S29" s="1224"/>
      <c r="T29" s="315"/>
      <c r="U29" s="1216">
        <f>T29</f>
        <v>0</v>
      </c>
      <c r="V29" s="130"/>
      <c r="W29" s="130"/>
      <c r="X29" s="130"/>
      <c r="Z29" s="132"/>
      <c r="AA29" s="1051"/>
      <c r="AB29" s="137">
        <f>AB28/$AE$28</f>
        <v>1</v>
      </c>
      <c r="AC29" s="1051"/>
      <c r="AD29" s="1051"/>
      <c r="AE29" s="137">
        <f>AE28/$AE$28</f>
        <v>1</v>
      </c>
    </row>
    <row r="30" spans="1:31" ht="14.25" customHeight="1" thickBot="1" x14ac:dyDescent="0.25">
      <c r="A30" s="1461"/>
      <c r="R30" s="126" t="s">
        <v>265</v>
      </c>
      <c r="S30" s="1207">
        <f>$AB$1</f>
        <v>5</v>
      </c>
      <c r="T30" s="1216"/>
      <c r="U30" s="1216"/>
      <c r="V30" s="989"/>
      <c r="W30" s="989"/>
      <c r="X30" s="989"/>
      <c r="Z30" s="122" t="s">
        <v>266</v>
      </c>
      <c r="AA30" s="991">
        <f>V35/$AF$1</f>
        <v>0.15211593816099922</v>
      </c>
      <c r="AB30" s="138">
        <f>S35/(AF1)</f>
        <v>1.8</v>
      </c>
      <c r="AC30" s="991">
        <f>W35/AF1</f>
        <v>5.9999999999999995E-4</v>
      </c>
      <c r="AD30" s="991">
        <f>X35/$AF$1</f>
        <v>5.8333333333333338E-4</v>
      </c>
      <c r="AE30" s="1048">
        <f>AB30+AD30+AC30+AA30</f>
        <v>1.9532992714943327</v>
      </c>
    </row>
    <row r="31" spans="1:31" ht="14.25" customHeight="1" thickBot="1" x14ac:dyDescent="0.25">
      <c r="A31" s="1461"/>
      <c r="R31" s="126" t="s">
        <v>267</v>
      </c>
      <c r="S31" s="271" t="s">
        <v>310</v>
      </c>
      <c r="T31" s="315"/>
      <c r="U31" s="315"/>
      <c r="V31" s="130"/>
      <c r="W31" s="130"/>
      <c r="X31" s="130"/>
    </row>
    <row r="32" spans="1:31" ht="14.25" customHeight="1" thickBot="1" x14ac:dyDescent="0.3">
      <c r="A32" s="1461"/>
      <c r="R32" s="127" t="s">
        <v>257</v>
      </c>
      <c r="S32" s="1116">
        <f>S28+S30</f>
        <v>157</v>
      </c>
      <c r="T32" s="316">
        <f>SUM(T28:T30)</f>
        <v>0</v>
      </c>
      <c r="U32" s="316">
        <f>T32+S32</f>
        <v>157</v>
      </c>
      <c r="V32" s="130"/>
      <c r="W32" s="130"/>
      <c r="X32" s="130"/>
    </row>
    <row r="33" spans="1:24" ht="14.25" customHeight="1" thickBot="1" x14ac:dyDescent="0.3">
      <c r="A33" s="1461"/>
      <c r="R33" s="317" t="s">
        <v>254</v>
      </c>
      <c r="S33" s="318"/>
      <c r="T33" s="318">
        <f>F40+F59</f>
        <v>0</v>
      </c>
      <c r="U33" s="319"/>
      <c r="V33" s="136"/>
      <c r="W33" s="136"/>
      <c r="X33" s="136"/>
    </row>
    <row r="34" spans="1:24" ht="14.25" customHeight="1" thickBot="1" x14ac:dyDescent="0.25">
      <c r="A34" s="1461"/>
      <c r="R34" s="159" t="s">
        <v>269</v>
      </c>
      <c r="S34" s="320"/>
      <c r="T34" s="321">
        <f>T33-(T28+T29)</f>
        <v>0</v>
      </c>
      <c r="U34" s="320"/>
      <c r="V34" s="136"/>
      <c r="W34" s="136"/>
      <c r="X34" s="136"/>
    </row>
    <row r="35" spans="1:24" ht="12.75" customHeight="1" thickBot="1" x14ac:dyDescent="0.25">
      <c r="A35" s="1461"/>
      <c r="R35" s="144" t="s">
        <v>249</v>
      </c>
      <c r="S35" s="990">
        <f>L5</f>
        <v>282.60000000000002</v>
      </c>
      <c r="T35" s="990">
        <f>SUM(O6:O19)</f>
        <v>0</v>
      </c>
      <c r="U35" s="1049">
        <f>S35+T35+V35+W35+X35</f>
        <v>306.66798562461025</v>
      </c>
      <c r="V35" s="990">
        <f>SUM(AT6:AT13)</f>
        <v>23.882202291276876</v>
      </c>
      <c r="W35" s="990">
        <f>L6</f>
        <v>9.4199999999999992E-2</v>
      </c>
      <c r="X35" s="990">
        <f>L7</f>
        <v>9.1583333333333336E-2</v>
      </c>
    </row>
    <row r="36" spans="1:24" ht="12.75" customHeight="1" x14ac:dyDescent="0.2">
      <c r="A36" s="1461"/>
    </row>
    <row r="37" spans="1:24" ht="12.75" customHeight="1" x14ac:dyDescent="0.2">
      <c r="A37" s="1461"/>
    </row>
    <row r="38" spans="1:24" ht="12.75" customHeight="1" x14ac:dyDescent="0.2">
      <c r="A38" s="1461"/>
    </row>
    <row r="39" spans="1:24" ht="12.75" customHeight="1" x14ac:dyDescent="0.2">
      <c r="A39" s="1461"/>
      <c r="B39" s="84"/>
      <c r="E39" s="84"/>
      <c r="F39" s="84"/>
    </row>
    <row r="40" spans="1:24" ht="46.5" customHeight="1" x14ac:dyDescent="0.2">
      <c r="A40" s="1461"/>
      <c r="B40" s="84"/>
      <c r="C40" s="84"/>
      <c r="D40" s="322"/>
      <c r="E40" s="84"/>
      <c r="F40" s="84"/>
      <c r="G40" s="84"/>
      <c r="H40" s="84"/>
      <c r="I40" s="84"/>
      <c r="J40" s="84"/>
      <c r="R40" s="146" t="s">
        <v>270</v>
      </c>
      <c r="S40" s="147">
        <v>1</v>
      </c>
      <c r="T40" s="146" t="s">
        <v>271</v>
      </c>
      <c r="U40" s="148">
        <v>0</v>
      </c>
      <c r="V40" s="149">
        <f>S40+U40</f>
        <v>1</v>
      </c>
    </row>
    <row r="41" spans="1:24" ht="18" customHeight="1" x14ac:dyDescent="0.2">
      <c r="A41" s="1461"/>
      <c r="B41" s="84"/>
      <c r="C41" s="84"/>
      <c r="D41" s="84"/>
      <c r="E41" s="84"/>
      <c r="F41" s="84"/>
      <c r="G41" s="84"/>
      <c r="H41" s="84"/>
      <c r="I41" s="84"/>
      <c r="J41" s="84"/>
      <c r="U41" s="150"/>
    </row>
    <row r="42" spans="1:24" ht="18" customHeight="1" x14ac:dyDescent="0.2">
      <c r="A42" s="1461"/>
      <c r="B42" s="1671"/>
      <c r="C42" s="1655"/>
      <c r="D42" s="1655"/>
      <c r="E42" s="1655"/>
      <c r="F42" s="1655"/>
      <c r="G42" s="1655"/>
      <c r="H42" s="1655"/>
      <c r="I42" s="1655"/>
      <c r="J42" s="1655"/>
    </row>
    <row r="43" spans="1:24" ht="12.75" customHeight="1" x14ac:dyDescent="0.2">
      <c r="A43" s="1461"/>
      <c r="B43" s="1660"/>
      <c r="C43" s="1655"/>
      <c r="D43" s="1655"/>
      <c r="E43" s="1655"/>
      <c r="F43" s="1655"/>
      <c r="G43" s="1655"/>
      <c r="H43" s="1655"/>
      <c r="I43" s="1655"/>
      <c r="J43" s="1655"/>
      <c r="Q43" s="151" t="s">
        <v>272</v>
      </c>
      <c r="R43" s="151" t="s">
        <v>273</v>
      </c>
      <c r="S43" s="151" t="s">
        <v>274</v>
      </c>
      <c r="T43" s="151" t="s">
        <v>275</v>
      </c>
      <c r="U43" s="151" t="s">
        <v>276</v>
      </c>
      <c r="V43" s="151" t="s">
        <v>277</v>
      </c>
      <c r="W43" s="151" t="s">
        <v>278</v>
      </c>
    </row>
    <row r="44" spans="1:24" ht="14.25" customHeight="1" x14ac:dyDescent="0.2">
      <c r="A44" s="1461"/>
      <c r="B44" s="323"/>
      <c r="C44" s="324"/>
      <c r="D44" s="323"/>
      <c r="E44" s="323"/>
      <c r="F44" s="323"/>
      <c r="G44" s="323"/>
      <c r="H44" s="323"/>
      <c r="I44" s="323"/>
      <c r="J44" s="323"/>
      <c r="Q44" s="153">
        <v>18841</v>
      </c>
      <c r="R44" s="154">
        <f>E51</f>
        <v>0</v>
      </c>
      <c r="S44" s="155">
        <v>0</v>
      </c>
      <c r="T44" s="155">
        <v>0</v>
      </c>
      <c r="U44" s="220">
        <f>R44*S44</f>
        <v>0</v>
      </c>
      <c r="V44" s="157">
        <f>R44*T44</f>
        <v>0</v>
      </c>
      <c r="W44" s="157">
        <f>Q44-U44</f>
        <v>18841</v>
      </c>
    </row>
    <row r="45" spans="1:24" ht="14.25" customHeight="1" x14ac:dyDescent="0.2">
      <c r="A45" s="1461"/>
      <c r="B45" s="325"/>
      <c r="C45" s="325"/>
      <c r="D45" s="309"/>
      <c r="E45" s="309"/>
      <c r="F45" s="117"/>
      <c r="G45" s="118"/>
      <c r="H45" s="119"/>
      <c r="I45" s="76"/>
      <c r="J45" s="120"/>
    </row>
    <row r="46" spans="1:24" ht="14.25" customHeight="1" x14ac:dyDescent="0.2">
      <c r="A46" s="1461"/>
      <c r="B46" s="325"/>
      <c r="C46" s="325"/>
      <c r="D46" s="309"/>
      <c r="E46" s="309"/>
      <c r="F46" s="117"/>
      <c r="G46" s="118"/>
      <c r="H46" s="119"/>
      <c r="I46" s="76"/>
      <c r="J46" s="120"/>
    </row>
    <row r="47" spans="1:24" ht="14.25" customHeight="1" x14ac:dyDescent="0.2">
      <c r="A47" s="1461"/>
      <c r="B47" s="325"/>
      <c r="C47" s="325"/>
      <c r="D47" s="309"/>
      <c r="E47" s="309"/>
      <c r="F47" s="117"/>
      <c r="G47" s="118"/>
      <c r="H47" s="119"/>
      <c r="I47" s="76"/>
      <c r="J47" s="120"/>
    </row>
    <row r="48" spans="1:24" ht="14.25" customHeight="1" x14ac:dyDescent="0.2">
      <c r="A48" s="1461"/>
      <c r="B48" s="325"/>
      <c r="C48" s="325"/>
      <c r="D48" s="309"/>
      <c r="E48" s="309"/>
      <c r="F48" s="117"/>
      <c r="G48" s="118"/>
      <c r="H48" s="119"/>
      <c r="I48" s="76"/>
      <c r="J48" s="120"/>
    </row>
    <row r="49" spans="1:14" ht="14.25" customHeight="1" x14ac:dyDescent="0.2">
      <c r="A49" s="1461"/>
      <c r="B49" s="325"/>
      <c r="C49" s="325"/>
      <c r="D49" s="309"/>
      <c r="E49" s="309"/>
      <c r="F49" s="117"/>
      <c r="G49" s="118"/>
      <c r="H49" s="119"/>
      <c r="I49" s="76"/>
      <c r="J49" s="120"/>
    </row>
    <row r="50" spans="1:14" ht="14.25" customHeight="1" x14ac:dyDescent="0.2">
      <c r="A50" s="1461"/>
      <c r="B50" s="326"/>
      <c r="C50" s="159" t="s">
        <v>233</v>
      </c>
      <c r="D50" s="159" t="s">
        <v>279</v>
      </c>
      <c r="E50" s="84"/>
      <c r="F50" s="84"/>
      <c r="G50" s="126" t="s">
        <v>280</v>
      </c>
      <c r="H50" s="126" t="s">
        <v>233</v>
      </c>
      <c r="I50" s="159" t="s">
        <v>281</v>
      </c>
      <c r="J50" s="159" t="s">
        <v>282</v>
      </c>
    </row>
    <row r="51" spans="1:14" ht="14.25" customHeight="1" x14ac:dyDescent="0.2">
      <c r="A51" s="1461"/>
      <c r="B51" s="161" t="s">
        <v>283</v>
      </c>
      <c r="C51" s="162">
        <f>10/$K$1</f>
        <v>10</v>
      </c>
      <c r="D51" s="163">
        <f>$C$1*10</f>
        <v>10</v>
      </c>
      <c r="E51" s="164"/>
      <c r="F51" s="84"/>
      <c r="G51" s="161" t="s">
        <v>283</v>
      </c>
      <c r="H51" s="254">
        <f>I51/$D$5</f>
        <v>211.69662921348313</v>
      </c>
      <c r="I51" s="162">
        <f>J51/$R$1</f>
        <v>21169.662921348314</v>
      </c>
      <c r="J51" s="162">
        <f>$W$44</f>
        <v>18841</v>
      </c>
    </row>
    <row r="52" spans="1:14" ht="14.25" customHeight="1" x14ac:dyDescent="0.2">
      <c r="A52" s="1461"/>
      <c r="B52" s="209" t="s">
        <v>262</v>
      </c>
      <c r="C52" s="210">
        <f>$I$1</f>
        <v>0</v>
      </c>
      <c r="D52" s="211">
        <f>$E$1</f>
        <v>157</v>
      </c>
      <c r="E52" s="84"/>
      <c r="F52" s="84"/>
      <c r="G52" s="129" t="s">
        <v>262</v>
      </c>
      <c r="H52" s="97">
        <f>I52/$D$5</f>
        <v>118.54382022471911</v>
      </c>
      <c r="I52" s="157">
        <f>J52/$R$1</f>
        <v>11854.382022471911</v>
      </c>
      <c r="J52" s="165">
        <f>$U$32*$T$1*0.8</f>
        <v>10550.400000000001</v>
      </c>
    </row>
    <row r="53" spans="1:14" ht="14.25" customHeight="1" x14ac:dyDescent="0.2">
      <c r="A53" s="1461"/>
      <c r="B53" s="209" t="s">
        <v>284</v>
      </c>
      <c r="C53" s="212">
        <f>MIN(C52, C51)</f>
        <v>0</v>
      </c>
      <c r="D53" s="211">
        <f>(C53*$K$1)*$C$1</f>
        <v>0</v>
      </c>
      <c r="E53" s="84"/>
      <c r="F53" s="84"/>
      <c r="G53" s="129" t="s">
        <v>284</v>
      </c>
      <c r="H53" s="168">
        <f>MIN(H52,H51)</f>
        <v>118.54382022471911</v>
      </c>
      <c r="I53" s="157">
        <f>J53/$R$1</f>
        <v>11854.382022471911</v>
      </c>
      <c r="J53" s="157">
        <f>MIN(J52,J51)</f>
        <v>10550.400000000001</v>
      </c>
    </row>
    <row r="54" spans="1:14" ht="14.25" customHeight="1" x14ac:dyDescent="0.2">
      <c r="A54" s="1461"/>
      <c r="B54" s="209" t="s">
        <v>285</v>
      </c>
      <c r="C54" s="212">
        <f>MIN(MAX(C52-C53,0),C51)</f>
        <v>0</v>
      </c>
      <c r="D54" s="211">
        <f>(C54*$K$1)*$C$1</f>
        <v>0</v>
      </c>
      <c r="E54" s="84"/>
      <c r="F54" s="84"/>
      <c r="G54" s="129" t="s">
        <v>285</v>
      </c>
      <c r="H54" s="168">
        <f>MIN(MAX(H52-H53),H51)</f>
        <v>0</v>
      </c>
      <c r="I54" s="157">
        <f>J54/$R$1</f>
        <v>0</v>
      </c>
      <c r="J54" s="157">
        <f>MIN(MAX(J52-J53),J51)</f>
        <v>0</v>
      </c>
    </row>
    <row r="55" spans="1:14" ht="14.25" customHeight="1" x14ac:dyDescent="0.2">
      <c r="A55" s="1461"/>
      <c r="B55" s="209" t="s">
        <v>286</v>
      </c>
      <c r="C55" s="212">
        <f>MIN(MAX(C52-C53-C54,0),C51)</f>
        <v>0</v>
      </c>
      <c r="D55" s="211">
        <f>(C55*$K$1)*$C$1</f>
        <v>0</v>
      </c>
      <c r="E55" s="84"/>
      <c r="F55" s="84"/>
      <c r="G55" s="126" t="s">
        <v>286</v>
      </c>
      <c r="H55" s="168">
        <f>MIN(MAX(H52-H53-H54),H51)</f>
        <v>0</v>
      </c>
      <c r="I55" s="157">
        <f>J55/$R$1</f>
        <v>0</v>
      </c>
      <c r="J55" s="157">
        <f>MIN(MAX(J52-J53-J54),J51)</f>
        <v>0</v>
      </c>
    </row>
    <row r="56" spans="1:14" ht="14.25" customHeight="1" x14ac:dyDescent="0.2">
      <c r="A56" s="1461"/>
    </row>
    <row r="57" spans="1:14" ht="18" customHeight="1" x14ac:dyDescent="0.2">
      <c r="A57" s="1461"/>
    </row>
    <row r="58" spans="1:14" ht="12.75" customHeight="1" x14ac:dyDescent="0.2">
      <c r="A58" s="1461"/>
      <c r="B58" s="1660"/>
      <c r="C58" s="1655"/>
      <c r="D58" s="1655"/>
      <c r="E58" s="1655"/>
      <c r="F58" s="1655"/>
      <c r="G58" s="1655"/>
      <c r="H58" s="1655"/>
      <c r="I58" s="1655"/>
      <c r="J58" s="1655"/>
    </row>
    <row r="59" spans="1:14" ht="14.25" customHeight="1" x14ac:dyDescent="0.2">
      <c r="A59" s="1461"/>
      <c r="B59" s="323"/>
      <c r="C59" s="324"/>
      <c r="D59" s="323"/>
      <c r="E59" s="323"/>
      <c r="F59" s="323"/>
      <c r="G59" s="323"/>
      <c r="H59" s="323"/>
      <c r="I59" s="323"/>
      <c r="J59" s="323"/>
    </row>
    <row r="60" spans="1:14" ht="14.25" customHeight="1" x14ac:dyDescent="0.2">
      <c r="A60" s="1461"/>
      <c r="B60" s="325"/>
      <c r="C60" s="325"/>
      <c r="D60" s="325"/>
      <c r="E60" s="309"/>
      <c r="F60" s="117"/>
      <c r="G60" s="118"/>
      <c r="H60" s="119"/>
      <c r="I60" s="76"/>
      <c r="J60" s="120"/>
    </row>
    <row r="61" spans="1:14" ht="14.25" customHeight="1" x14ac:dyDescent="0.2">
      <c r="A61" s="1461"/>
      <c r="B61" s="325"/>
      <c r="C61" s="325"/>
      <c r="D61" s="325"/>
      <c r="E61" s="309"/>
      <c r="F61" s="117"/>
      <c r="G61" s="118"/>
      <c r="H61" s="119"/>
      <c r="I61" s="76"/>
      <c r="J61" s="120"/>
    </row>
    <row r="62" spans="1:14" ht="18" customHeight="1" x14ac:dyDescent="0.2">
      <c r="A62" s="1464"/>
      <c r="B62" s="1642"/>
      <c r="C62" s="1656"/>
      <c r="D62" s="1656"/>
      <c r="E62" s="1656"/>
      <c r="F62" s="1656"/>
      <c r="G62" s="1656"/>
      <c r="H62" s="1656"/>
    </row>
    <row r="63" spans="1:14" ht="14.25" x14ac:dyDescent="0.2">
      <c r="A63" s="1464"/>
      <c r="B63" s="1636" t="s">
        <v>885</v>
      </c>
      <c r="C63" s="1637"/>
      <c r="D63" s="1637"/>
      <c r="E63" s="1637"/>
      <c r="F63" s="1637"/>
      <c r="G63" s="1637"/>
      <c r="H63" s="1637"/>
    </row>
    <row r="64" spans="1:14" ht="39" customHeight="1" x14ac:dyDescent="0.2">
      <c r="A64" s="1457"/>
      <c r="B64" s="221" t="s">
        <v>241</v>
      </c>
      <c r="C64" s="222" t="s">
        <v>242</v>
      </c>
      <c r="D64" s="223" t="s">
        <v>231</v>
      </c>
      <c r="E64" s="197" t="s">
        <v>234</v>
      </c>
      <c r="F64" s="197" t="s">
        <v>243</v>
      </c>
      <c r="G64" s="223" t="s">
        <v>244</v>
      </c>
      <c r="H64" s="197" t="s">
        <v>245</v>
      </c>
      <c r="M64" s="112"/>
      <c r="N64" s="112"/>
    </row>
    <row r="65" spans="1:12" ht="14.25" customHeight="1" x14ac:dyDescent="0.2">
      <c r="A65" s="1460"/>
      <c r="B65" s="299" t="str">
        <f t="shared" ref="B65:D67" si="10">B5</f>
        <v>Chicken Minced - دجاج مفروم</v>
      </c>
      <c r="C65" s="20" t="str">
        <f t="shared" si="10"/>
        <v>gm</v>
      </c>
      <c r="D65" s="717">
        <f t="shared" si="10"/>
        <v>100</v>
      </c>
      <c r="E65" s="98">
        <f>$D$52</f>
        <v>157</v>
      </c>
      <c r="F65" s="109">
        <f>F5</f>
        <v>1</v>
      </c>
      <c r="G65" s="103">
        <f>D65*E65</f>
        <v>15700</v>
      </c>
      <c r="H65" s="102">
        <f>G65*F65</f>
        <v>15700</v>
      </c>
      <c r="I65" s="76"/>
      <c r="J65" s="118"/>
      <c r="K65" s="76"/>
      <c r="L65" s="118"/>
    </row>
    <row r="66" spans="1:12" ht="14.25" customHeight="1" x14ac:dyDescent="0.2">
      <c r="A66" s="1460"/>
      <c r="B66" s="299" t="str">
        <f t="shared" si="10"/>
        <v>Whole Wheat Burger Buns 70gm - خبز برجر بني</v>
      </c>
      <c r="C66" s="20" t="str">
        <f t="shared" si="10"/>
        <v>Piece</v>
      </c>
      <c r="D66" s="717">
        <f t="shared" si="10"/>
        <v>1</v>
      </c>
      <c r="E66" s="98">
        <f t="shared" ref="E66:E67" si="11">$D$52</f>
        <v>157</v>
      </c>
      <c r="F66" s="109">
        <f t="shared" ref="F66:F67" si="12">F6</f>
        <v>1</v>
      </c>
      <c r="G66" s="103">
        <f t="shared" ref="G66:G67" si="13">D66*E66</f>
        <v>157</v>
      </c>
      <c r="H66" s="102">
        <f t="shared" ref="H66:H67" si="14">G66*F66</f>
        <v>157</v>
      </c>
    </row>
    <row r="67" spans="1:12" ht="14.25" customHeight="1" x14ac:dyDescent="0.2">
      <c r="A67" s="1461"/>
      <c r="B67" s="299" t="str">
        <f t="shared" si="10"/>
        <v>Sliced cheese - جبنة شرائح</v>
      </c>
      <c r="C67" s="20" t="str">
        <f t="shared" si="10"/>
        <v>Piece</v>
      </c>
      <c r="D67" s="717">
        <f t="shared" si="10"/>
        <v>1</v>
      </c>
      <c r="E67" s="98">
        <f t="shared" si="11"/>
        <v>157</v>
      </c>
      <c r="F67" s="109">
        <f t="shared" si="12"/>
        <v>1</v>
      </c>
      <c r="G67" s="103">
        <f t="shared" si="13"/>
        <v>157</v>
      </c>
      <c r="H67" s="102">
        <f t="shared" si="14"/>
        <v>157</v>
      </c>
    </row>
    <row r="68" spans="1:12" ht="18" x14ac:dyDescent="0.25">
      <c r="A68" s="1458"/>
      <c r="B68" s="178" t="s">
        <v>287</v>
      </c>
      <c r="C68" s="851" t="s">
        <v>273</v>
      </c>
      <c r="D68" s="850"/>
      <c r="E68" s="851" t="s">
        <v>288</v>
      </c>
      <c r="F68" s="850"/>
      <c r="G68" s="852" t="s">
        <v>264</v>
      </c>
      <c r="H68" s="852" t="s">
        <v>673</v>
      </c>
    </row>
    <row r="69" spans="1:12" ht="21" customHeight="1" x14ac:dyDescent="0.3">
      <c r="A69" s="1461"/>
      <c r="B69" s="179">
        <f>$J$53</f>
        <v>10550.400000000001</v>
      </c>
      <c r="C69" s="179">
        <f>E69+G69</f>
        <v>0</v>
      </c>
      <c r="D69" s="839"/>
      <c r="E69" s="179">
        <f>$C$53*$S$44</f>
        <v>0</v>
      </c>
      <c r="F69" s="843"/>
      <c r="G69" s="179">
        <f>$D$53*$T$44</f>
        <v>0</v>
      </c>
      <c r="H69" s="179">
        <f>B69+E69</f>
        <v>10550.400000000001</v>
      </c>
    </row>
    <row r="70" spans="1:12" ht="20.25" customHeight="1" x14ac:dyDescent="0.2">
      <c r="A70" s="1461"/>
      <c r="E70" s="84"/>
      <c r="F70" s="84"/>
    </row>
    <row r="71" spans="1:12" ht="14.25" customHeight="1" x14ac:dyDescent="0.2">
      <c r="A71" s="1461"/>
      <c r="B71" s="84"/>
      <c r="E71" s="84"/>
      <c r="F71" s="84"/>
    </row>
    <row r="72" spans="1:12" ht="24.75" customHeight="1" x14ac:dyDescent="0.2">
      <c r="A72" s="1461"/>
      <c r="B72" s="84"/>
      <c r="E72" s="84"/>
      <c r="F72" s="84"/>
    </row>
    <row r="73" spans="1:12" ht="14.25" customHeight="1" x14ac:dyDescent="0.2">
      <c r="A73" s="1461"/>
      <c r="B73" s="84"/>
      <c r="E73" s="84"/>
      <c r="F73" s="84"/>
    </row>
    <row r="74" spans="1:12" ht="12.75" customHeight="1" x14ac:dyDescent="0.2">
      <c r="A74" s="1461"/>
      <c r="B74" s="84"/>
    </row>
    <row r="75" spans="1:12" x14ac:dyDescent="0.2">
      <c r="A75" s="1461"/>
    </row>
    <row r="76" spans="1:12" ht="12.75" customHeight="1" x14ac:dyDescent="0.2">
      <c r="A76" s="1461"/>
      <c r="E76" s="84"/>
      <c r="F76" s="84"/>
    </row>
    <row r="77" spans="1:12" ht="12.75" customHeight="1" x14ac:dyDescent="0.2">
      <c r="A77" s="1461"/>
      <c r="E77" s="84"/>
      <c r="F77" s="84"/>
    </row>
    <row r="78" spans="1:12" ht="12.75" customHeight="1" x14ac:dyDescent="0.2">
      <c r="A78" s="1461"/>
      <c r="B78" s="84"/>
      <c r="E78" s="84"/>
      <c r="F78" s="84"/>
    </row>
    <row r="79" spans="1:12" ht="12.75" customHeight="1" x14ac:dyDescent="0.2">
      <c r="A79" s="1461"/>
      <c r="B79" s="84"/>
      <c r="E79" s="84"/>
      <c r="F79" s="84"/>
    </row>
    <row r="80" spans="1:12" ht="12.75" customHeight="1" x14ac:dyDescent="0.2">
      <c r="A80" s="1461"/>
      <c r="B80" s="84"/>
      <c r="E80" s="84"/>
      <c r="F80" s="84"/>
    </row>
    <row r="81" spans="1:6" ht="12.75" customHeight="1" x14ac:dyDescent="0.2">
      <c r="A81" s="1461"/>
      <c r="B81" s="84"/>
      <c r="E81" s="84"/>
      <c r="F81" s="84"/>
    </row>
    <row r="82" spans="1:6" ht="12.75" customHeight="1" x14ac:dyDescent="0.2">
      <c r="A82" s="1461"/>
      <c r="B82" s="84"/>
      <c r="E82" s="84"/>
      <c r="F82" s="84"/>
    </row>
    <row r="83" spans="1:6" ht="12.75" customHeight="1" x14ac:dyDescent="0.2">
      <c r="A83" s="1461"/>
      <c r="B83" s="84"/>
      <c r="E83" s="84"/>
      <c r="F83" s="84"/>
    </row>
    <row r="84" spans="1:6" ht="12.75" customHeight="1" x14ac:dyDescent="0.2">
      <c r="A84" s="1461"/>
      <c r="B84" s="84"/>
      <c r="E84" s="84"/>
      <c r="F84" s="84"/>
    </row>
    <row r="85" spans="1:6" ht="12.75" customHeight="1" x14ac:dyDescent="0.2">
      <c r="A85" s="1461"/>
      <c r="B85" s="84"/>
      <c r="E85" s="84"/>
      <c r="F85" s="84"/>
    </row>
    <row r="86" spans="1:6" ht="12.75" customHeight="1" x14ac:dyDescent="0.2">
      <c r="A86" s="1461"/>
      <c r="B86" s="84"/>
      <c r="E86" s="84"/>
      <c r="F86" s="84"/>
    </row>
    <row r="87" spans="1:6" ht="12.75" customHeight="1" x14ac:dyDescent="0.2">
      <c r="A87" s="1461"/>
      <c r="B87" s="84"/>
      <c r="E87" s="84"/>
      <c r="F87" s="84"/>
    </row>
    <row r="88" spans="1:6" ht="12.75" customHeight="1" x14ac:dyDescent="0.2">
      <c r="A88" s="1461"/>
      <c r="B88" s="84"/>
      <c r="E88" s="84"/>
      <c r="F88" s="84"/>
    </row>
    <row r="89" spans="1:6" ht="12.75" customHeight="1" x14ac:dyDescent="0.2">
      <c r="A89" s="1461"/>
      <c r="B89" s="84"/>
      <c r="E89" s="84"/>
      <c r="F89" s="84"/>
    </row>
    <row r="90" spans="1:6" ht="12.75" customHeight="1" x14ac:dyDescent="0.2">
      <c r="A90" s="1461"/>
      <c r="B90" s="84"/>
      <c r="E90" s="84"/>
      <c r="F90" s="84"/>
    </row>
    <row r="91" spans="1:6" ht="12.75" customHeight="1" x14ac:dyDescent="0.2">
      <c r="A91" s="1461"/>
      <c r="B91" s="84"/>
      <c r="E91" s="84"/>
      <c r="F91" s="84"/>
    </row>
    <row r="92" spans="1:6" ht="12.75" customHeight="1" x14ac:dyDescent="0.2">
      <c r="A92" s="1461"/>
      <c r="B92" s="84"/>
      <c r="E92" s="84"/>
      <c r="F92" s="84"/>
    </row>
    <row r="93" spans="1:6" ht="12.75" customHeight="1" x14ac:dyDescent="0.2">
      <c r="A93" s="1461"/>
      <c r="B93" s="84"/>
      <c r="E93" s="84"/>
      <c r="F93" s="84"/>
    </row>
    <row r="94" spans="1:6" ht="12.75" customHeight="1" x14ac:dyDescent="0.2">
      <c r="A94" s="1461"/>
      <c r="B94" s="84"/>
      <c r="E94" s="84"/>
      <c r="F94" s="84"/>
    </row>
    <row r="95" spans="1:6" ht="12.75" customHeight="1" x14ac:dyDescent="0.2">
      <c r="A95" s="1461"/>
      <c r="B95" s="84"/>
      <c r="E95" s="84"/>
      <c r="F95" s="84"/>
    </row>
    <row r="96" spans="1:6" ht="12.75" customHeight="1" x14ac:dyDescent="0.2">
      <c r="A96" s="1461"/>
      <c r="B96" s="84"/>
      <c r="E96" s="84"/>
      <c r="F96" s="84"/>
    </row>
    <row r="97" spans="1:6" ht="12.75" customHeight="1" x14ac:dyDescent="0.2">
      <c r="A97" s="1461"/>
      <c r="B97" s="84"/>
      <c r="E97" s="84"/>
      <c r="F97" s="84"/>
    </row>
    <row r="98" spans="1:6" ht="12.75" customHeight="1" x14ac:dyDescent="0.2">
      <c r="A98" s="1461"/>
      <c r="B98" s="84"/>
      <c r="E98" s="84"/>
      <c r="F98" s="84"/>
    </row>
    <row r="99" spans="1:6" ht="12.75" customHeight="1" x14ac:dyDescent="0.2">
      <c r="A99" s="1461"/>
      <c r="B99" s="84"/>
      <c r="E99" s="84"/>
      <c r="F99" s="84"/>
    </row>
    <row r="100" spans="1:6" ht="12.75" customHeight="1" x14ac:dyDescent="0.2">
      <c r="A100" s="1461"/>
      <c r="B100" s="84"/>
      <c r="E100" s="84"/>
      <c r="F100" s="84"/>
    </row>
    <row r="101" spans="1:6" ht="12.75" customHeight="1" x14ac:dyDescent="0.2">
      <c r="A101" s="1461"/>
      <c r="B101" s="84"/>
      <c r="E101" s="84"/>
      <c r="F101" s="84"/>
    </row>
    <row r="102" spans="1:6" ht="12.75" customHeight="1" x14ac:dyDescent="0.2">
      <c r="A102" s="1461"/>
      <c r="B102" s="84"/>
      <c r="E102" s="84"/>
      <c r="F102" s="84"/>
    </row>
    <row r="103" spans="1:6" ht="12.75" customHeight="1" x14ac:dyDescent="0.2">
      <c r="A103" s="1461"/>
      <c r="B103" s="84"/>
      <c r="E103" s="84"/>
      <c r="F103" s="84"/>
    </row>
    <row r="104" spans="1:6" ht="12.75" customHeight="1" x14ac:dyDescent="0.2">
      <c r="A104" s="1461"/>
      <c r="B104" s="84"/>
      <c r="E104" s="84"/>
      <c r="F104" s="84"/>
    </row>
    <row r="105" spans="1:6" ht="12.75" customHeight="1" x14ac:dyDescent="0.2">
      <c r="A105" s="1461"/>
      <c r="B105" s="84"/>
      <c r="E105" s="84"/>
      <c r="F105" s="84"/>
    </row>
    <row r="106" spans="1:6" ht="12.75" customHeight="1" x14ac:dyDescent="0.2">
      <c r="A106" s="1461"/>
      <c r="B106" s="84"/>
      <c r="E106" s="84"/>
      <c r="F106" s="84"/>
    </row>
    <row r="107" spans="1:6" ht="12.75" customHeight="1" x14ac:dyDescent="0.2">
      <c r="A107" s="1461"/>
      <c r="B107" s="84"/>
      <c r="E107" s="84"/>
      <c r="F107" s="84"/>
    </row>
    <row r="108" spans="1:6" ht="12.75" customHeight="1" x14ac:dyDescent="0.2">
      <c r="A108" s="1461"/>
      <c r="B108" s="84"/>
      <c r="E108" s="84"/>
      <c r="F108" s="84"/>
    </row>
    <row r="109" spans="1:6" ht="12.75" customHeight="1" x14ac:dyDescent="0.2">
      <c r="A109" s="1461"/>
      <c r="B109" s="84"/>
      <c r="E109" s="84"/>
      <c r="F109" s="84"/>
    </row>
    <row r="110" spans="1:6" ht="12.75" customHeight="1" x14ac:dyDescent="0.2">
      <c r="A110" s="1461"/>
      <c r="B110" s="84"/>
      <c r="E110" s="84"/>
      <c r="F110" s="84"/>
    </row>
    <row r="111" spans="1:6" ht="12.75" customHeight="1" x14ac:dyDescent="0.2">
      <c r="A111" s="1461"/>
      <c r="B111" s="84"/>
      <c r="E111" s="84"/>
      <c r="F111" s="84"/>
    </row>
    <row r="112" spans="1:6" ht="12.75" customHeight="1" x14ac:dyDescent="0.2">
      <c r="A112" s="1461"/>
      <c r="B112" s="84"/>
      <c r="E112" s="84"/>
      <c r="F112" s="84"/>
    </row>
    <row r="113" spans="1:6" ht="12.75" customHeight="1" x14ac:dyDescent="0.2">
      <c r="A113" s="1461"/>
      <c r="B113" s="84"/>
      <c r="E113" s="84"/>
      <c r="F113" s="84"/>
    </row>
    <row r="114" spans="1:6" ht="12.75" customHeight="1" x14ac:dyDescent="0.2">
      <c r="A114" s="1461"/>
      <c r="B114" s="84"/>
      <c r="E114" s="84"/>
      <c r="F114" s="84"/>
    </row>
    <row r="115" spans="1:6" ht="12.75" customHeight="1" x14ac:dyDescent="0.2">
      <c r="A115" s="1461"/>
      <c r="B115" s="84"/>
      <c r="E115" s="84"/>
      <c r="F115" s="84"/>
    </row>
    <row r="116" spans="1:6" ht="12.75" customHeight="1" x14ac:dyDescent="0.2">
      <c r="A116" s="1461"/>
      <c r="B116" s="84"/>
      <c r="E116" s="84"/>
      <c r="F116" s="84"/>
    </row>
    <row r="117" spans="1:6" ht="12.75" customHeight="1" x14ac:dyDescent="0.2">
      <c r="A117" s="1461"/>
      <c r="B117" s="84"/>
      <c r="E117" s="84"/>
      <c r="F117" s="84"/>
    </row>
    <row r="118" spans="1:6" ht="12.75" customHeight="1" x14ac:dyDescent="0.2">
      <c r="A118" s="1461"/>
      <c r="B118" s="84"/>
      <c r="E118" s="84"/>
      <c r="F118" s="84"/>
    </row>
    <row r="119" spans="1:6" ht="12.75" customHeight="1" x14ac:dyDescent="0.2">
      <c r="A119" s="1461"/>
      <c r="B119" s="84"/>
      <c r="E119" s="84"/>
      <c r="F119" s="84"/>
    </row>
    <row r="120" spans="1:6" ht="12.75" customHeight="1" x14ac:dyDescent="0.2">
      <c r="A120" s="1461"/>
      <c r="B120" s="84"/>
      <c r="E120" s="84"/>
      <c r="F120" s="84"/>
    </row>
    <row r="121" spans="1:6" ht="12.75" customHeight="1" x14ac:dyDescent="0.2">
      <c r="A121" s="1461"/>
      <c r="B121" s="84"/>
      <c r="E121" s="84"/>
      <c r="F121" s="84"/>
    </row>
    <row r="122" spans="1:6" ht="12.75" customHeight="1" x14ac:dyDescent="0.2">
      <c r="A122" s="1461"/>
      <c r="B122" s="84"/>
      <c r="E122" s="84"/>
      <c r="F122" s="84"/>
    </row>
    <row r="123" spans="1:6" ht="12.75" customHeight="1" x14ac:dyDescent="0.2">
      <c r="A123" s="1461"/>
      <c r="B123" s="84"/>
      <c r="E123" s="84"/>
      <c r="F123" s="84"/>
    </row>
    <row r="124" spans="1:6" ht="12.75" customHeight="1" x14ac:dyDescent="0.2">
      <c r="A124" s="1461"/>
      <c r="B124" s="84"/>
      <c r="E124" s="84"/>
      <c r="F124" s="84"/>
    </row>
    <row r="125" spans="1:6" ht="12.75" customHeight="1" x14ac:dyDescent="0.2">
      <c r="A125" s="1461"/>
      <c r="B125" s="84"/>
      <c r="E125" s="84"/>
      <c r="F125" s="84"/>
    </row>
    <row r="126" spans="1:6" ht="12.75" customHeight="1" x14ac:dyDescent="0.2">
      <c r="A126" s="1461"/>
      <c r="B126" s="84"/>
      <c r="E126" s="84"/>
      <c r="F126" s="84"/>
    </row>
    <row r="127" spans="1:6" ht="12.75" customHeight="1" x14ac:dyDescent="0.2">
      <c r="A127" s="1461"/>
      <c r="B127" s="84"/>
      <c r="E127" s="84"/>
      <c r="F127" s="84"/>
    </row>
    <row r="128" spans="1:6" ht="12.75" customHeight="1" x14ac:dyDescent="0.2">
      <c r="A128" s="1461"/>
      <c r="B128" s="84"/>
      <c r="E128" s="84"/>
      <c r="F128" s="84"/>
    </row>
    <row r="129" spans="1:6" ht="12.75" customHeight="1" x14ac:dyDescent="0.2">
      <c r="A129" s="1461"/>
      <c r="B129" s="84"/>
      <c r="E129" s="84"/>
      <c r="F129" s="84"/>
    </row>
    <row r="130" spans="1:6" ht="12.75" customHeight="1" x14ac:dyDescent="0.2">
      <c r="A130" s="1461"/>
      <c r="B130" s="84"/>
      <c r="E130" s="84"/>
      <c r="F130" s="84"/>
    </row>
    <row r="131" spans="1:6" ht="12.75" customHeight="1" x14ac:dyDescent="0.2">
      <c r="A131" s="1461"/>
      <c r="B131" s="84"/>
      <c r="E131" s="84"/>
      <c r="F131" s="84"/>
    </row>
    <row r="132" spans="1:6" ht="12.75" customHeight="1" x14ac:dyDescent="0.2">
      <c r="A132" s="1461"/>
      <c r="B132" s="84"/>
      <c r="E132" s="84"/>
      <c r="F132" s="84"/>
    </row>
    <row r="133" spans="1:6" ht="12.75" customHeight="1" x14ac:dyDescent="0.2">
      <c r="A133" s="1461"/>
      <c r="B133" s="84"/>
      <c r="E133" s="84"/>
      <c r="F133" s="84"/>
    </row>
    <row r="134" spans="1:6" ht="12.75" customHeight="1" x14ac:dyDescent="0.2">
      <c r="A134" s="1461"/>
      <c r="B134" s="84"/>
      <c r="E134" s="84"/>
      <c r="F134" s="84"/>
    </row>
    <row r="135" spans="1:6" ht="12.75" customHeight="1" x14ac:dyDescent="0.2">
      <c r="A135" s="1461"/>
      <c r="B135" s="84"/>
      <c r="E135" s="84"/>
      <c r="F135" s="84"/>
    </row>
    <row r="136" spans="1:6" ht="12.75" customHeight="1" x14ac:dyDescent="0.2">
      <c r="A136" s="1461"/>
      <c r="B136" s="84"/>
      <c r="E136" s="84"/>
      <c r="F136" s="84"/>
    </row>
    <row r="137" spans="1:6" ht="12.75" customHeight="1" x14ac:dyDescent="0.2">
      <c r="A137" s="1461"/>
      <c r="B137" s="84"/>
      <c r="E137" s="84"/>
      <c r="F137" s="84"/>
    </row>
    <row r="138" spans="1:6" ht="12.75" customHeight="1" x14ac:dyDescent="0.2">
      <c r="A138" s="1461"/>
      <c r="B138" s="84"/>
      <c r="E138" s="84"/>
      <c r="F138" s="84"/>
    </row>
    <row r="139" spans="1:6" ht="12.75" customHeight="1" x14ac:dyDescent="0.2">
      <c r="A139" s="1461"/>
      <c r="B139" s="84"/>
      <c r="E139" s="84"/>
      <c r="F139" s="84"/>
    </row>
    <row r="140" spans="1:6" ht="12.75" customHeight="1" x14ac:dyDescent="0.2">
      <c r="A140" s="1461"/>
      <c r="B140" s="84"/>
      <c r="E140" s="84"/>
      <c r="F140" s="84"/>
    </row>
    <row r="141" spans="1:6" ht="12.75" customHeight="1" x14ac:dyDescent="0.2">
      <c r="A141" s="1461"/>
      <c r="B141" s="84"/>
      <c r="E141" s="84"/>
      <c r="F141" s="84"/>
    </row>
    <row r="142" spans="1:6" ht="12.75" customHeight="1" x14ac:dyDescent="0.2">
      <c r="A142" s="1461"/>
      <c r="B142" s="84"/>
      <c r="E142" s="84"/>
      <c r="F142" s="84"/>
    </row>
    <row r="143" spans="1:6" ht="12.75" customHeight="1" x14ac:dyDescent="0.2">
      <c r="A143" s="1461"/>
      <c r="B143" s="84"/>
      <c r="E143" s="84"/>
      <c r="F143" s="84"/>
    </row>
    <row r="144" spans="1:6" ht="12.75" customHeight="1" x14ac:dyDescent="0.2">
      <c r="A144" s="1461"/>
      <c r="B144" s="84"/>
      <c r="E144" s="84"/>
      <c r="F144" s="84"/>
    </row>
    <row r="145" spans="1:6" ht="12.75" customHeight="1" x14ac:dyDescent="0.2">
      <c r="A145" s="1461"/>
      <c r="B145" s="84"/>
      <c r="E145" s="84"/>
      <c r="F145" s="84"/>
    </row>
    <row r="146" spans="1:6" ht="12.75" customHeight="1" x14ac:dyDescent="0.2">
      <c r="A146" s="1461"/>
      <c r="B146" s="84"/>
      <c r="E146" s="84"/>
      <c r="F146" s="84"/>
    </row>
    <row r="147" spans="1:6" ht="12.75" customHeight="1" x14ac:dyDescent="0.2">
      <c r="A147" s="1461"/>
      <c r="B147" s="84"/>
      <c r="E147" s="84"/>
      <c r="F147" s="84"/>
    </row>
    <row r="148" spans="1:6" ht="12.75" customHeight="1" x14ac:dyDescent="0.2">
      <c r="A148" s="1461"/>
      <c r="B148" s="84"/>
      <c r="E148" s="84"/>
      <c r="F148" s="84"/>
    </row>
    <row r="149" spans="1:6" ht="12.75" customHeight="1" x14ac:dyDescent="0.2">
      <c r="A149" s="1461"/>
      <c r="B149" s="84"/>
      <c r="E149" s="84"/>
      <c r="F149" s="84"/>
    </row>
    <row r="150" spans="1:6" ht="12.75" customHeight="1" x14ac:dyDescent="0.2">
      <c r="A150" s="1461"/>
      <c r="B150" s="84"/>
      <c r="E150" s="84"/>
      <c r="F150" s="84"/>
    </row>
    <row r="151" spans="1:6" ht="12.75" customHeight="1" x14ac:dyDescent="0.2">
      <c r="A151" s="1461"/>
      <c r="B151" s="84"/>
      <c r="E151" s="84"/>
      <c r="F151" s="84"/>
    </row>
    <row r="152" spans="1:6" ht="12.75" customHeight="1" x14ac:dyDescent="0.2">
      <c r="A152" s="1461"/>
      <c r="B152" s="84"/>
      <c r="E152" s="84"/>
      <c r="F152" s="84"/>
    </row>
    <row r="153" spans="1:6" ht="12.75" customHeight="1" x14ac:dyDescent="0.2">
      <c r="A153" s="1461"/>
      <c r="B153" s="84"/>
      <c r="E153" s="84"/>
      <c r="F153" s="84"/>
    </row>
    <row r="154" spans="1:6" ht="12.75" customHeight="1" x14ac:dyDescent="0.2">
      <c r="A154" s="1461"/>
      <c r="B154" s="84"/>
      <c r="E154" s="84"/>
      <c r="F154" s="84"/>
    </row>
    <row r="155" spans="1:6" ht="12.75" customHeight="1" x14ac:dyDescent="0.2">
      <c r="A155" s="1461"/>
      <c r="B155" s="84"/>
      <c r="E155" s="84"/>
      <c r="F155" s="84"/>
    </row>
    <row r="156" spans="1:6" ht="12.75" customHeight="1" x14ac:dyDescent="0.2">
      <c r="A156" s="1461"/>
      <c r="B156" s="84"/>
      <c r="E156" s="84"/>
      <c r="F156" s="84"/>
    </row>
    <row r="157" spans="1:6" ht="12.75" customHeight="1" x14ac:dyDescent="0.2">
      <c r="A157" s="1461"/>
      <c r="B157" s="84"/>
      <c r="E157" s="84"/>
      <c r="F157" s="84"/>
    </row>
    <row r="158" spans="1:6" ht="12.75" customHeight="1" x14ac:dyDescent="0.2">
      <c r="A158" s="1461"/>
      <c r="B158" s="84"/>
      <c r="E158" s="84"/>
      <c r="F158" s="84"/>
    </row>
    <row r="159" spans="1:6" ht="12.75" customHeight="1" x14ac:dyDescent="0.2">
      <c r="A159" s="1461"/>
      <c r="B159" s="84"/>
      <c r="E159" s="84"/>
      <c r="F159" s="84"/>
    </row>
    <row r="160" spans="1:6" ht="12.75" customHeight="1" x14ac:dyDescent="0.2">
      <c r="A160" s="1461"/>
      <c r="B160" s="84"/>
      <c r="E160" s="84"/>
      <c r="F160" s="84"/>
    </row>
    <row r="161" spans="1:6" ht="12.75" customHeight="1" x14ac:dyDescent="0.2">
      <c r="A161" s="1461"/>
      <c r="B161" s="84"/>
      <c r="E161" s="84"/>
      <c r="F161" s="84"/>
    </row>
    <row r="162" spans="1:6" ht="12.75" customHeight="1" x14ac:dyDescent="0.2">
      <c r="A162" s="1461"/>
      <c r="B162" s="84"/>
      <c r="E162" s="84"/>
      <c r="F162" s="84"/>
    </row>
    <row r="163" spans="1:6" ht="12.75" customHeight="1" x14ac:dyDescent="0.2">
      <c r="A163" s="1461"/>
      <c r="B163" s="84"/>
      <c r="E163" s="84"/>
      <c r="F163" s="84"/>
    </row>
    <row r="164" spans="1:6" ht="12.75" customHeight="1" x14ac:dyDescent="0.2">
      <c r="A164" s="1461"/>
      <c r="B164" s="84"/>
      <c r="E164" s="84"/>
      <c r="F164" s="84"/>
    </row>
    <row r="165" spans="1:6" ht="12.75" customHeight="1" x14ac:dyDescent="0.2">
      <c r="A165" s="1461"/>
      <c r="B165" s="84"/>
      <c r="E165" s="84"/>
      <c r="F165" s="84"/>
    </row>
    <row r="166" spans="1:6" ht="12.75" customHeight="1" x14ac:dyDescent="0.2">
      <c r="A166" s="1461"/>
      <c r="B166" s="84"/>
      <c r="E166" s="84"/>
      <c r="F166" s="84"/>
    </row>
    <row r="167" spans="1:6" ht="12.75" customHeight="1" x14ac:dyDescent="0.2">
      <c r="A167" s="1461"/>
      <c r="B167" s="84"/>
      <c r="E167" s="84"/>
      <c r="F167" s="84"/>
    </row>
    <row r="168" spans="1:6" ht="12.75" customHeight="1" x14ac:dyDescent="0.2">
      <c r="A168" s="1461"/>
      <c r="B168" s="84"/>
      <c r="E168" s="84"/>
      <c r="F168" s="84"/>
    </row>
    <row r="169" spans="1:6" ht="12.75" customHeight="1" x14ac:dyDescent="0.2">
      <c r="A169" s="1461"/>
      <c r="B169" s="84"/>
      <c r="E169" s="84"/>
      <c r="F169" s="84"/>
    </row>
    <row r="170" spans="1:6" ht="12.75" customHeight="1" x14ac:dyDescent="0.2">
      <c r="A170" s="1461"/>
      <c r="B170" s="84"/>
      <c r="E170" s="84"/>
      <c r="F170" s="84"/>
    </row>
    <row r="171" spans="1:6" ht="12.75" customHeight="1" x14ac:dyDescent="0.2">
      <c r="A171" s="1461"/>
      <c r="B171" s="84"/>
      <c r="E171" s="84"/>
      <c r="F171" s="84"/>
    </row>
    <row r="172" spans="1:6" ht="12.75" customHeight="1" x14ac:dyDescent="0.2">
      <c r="A172" s="1461"/>
      <c r="B172" s="84"/>
      <c r="E172" s="84"/>
      <c r="F172" s="84"/>
    </row>
    <row r="173" spans="1:6" ht="12.75" customHeight="1" x14ac:dyDescent="0.2">
      <c r="A173" s="1461"/>
      <c r="B173" s="84"/>
      <c r="E173" s="84"/>
      <c r="F173" s="84"/>
    </row>
    <row r="174" spans="1:6" ht="12.75" customHeight="1" x14ac:dyDescent="0.2">
      <c r="A174" s="1461"/>
      <c r="B174" s="84"/>
      <c r="E174" s="84"/>
      <c r="F174" s="84"/>
    </row>
    <row r="175" spans="1:6" ht="12.75" customHeight="1" x14ac:dyDescent="0.2">
      <c r="B175" s="84"/>
      <c r="E175" s="84"/>
      <c r="F175" s="84"/>
    </row>
    <row r="176" spans="1: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sheetData>
  <mergeCells count="10">
    <mergeCell ref="B43:J43"/>
    <mergeCell ref="B58:J58"/>
    <mergeCell ref="B62:H62"/>
    <mergeCell ref="B63:H63"/>
    <mergeCell ref="B2:H3"/>
    <mergeCell ref="AK2:AN2"/>
    <mergeCell ref="AL3:AM3"/>
    <mergeCell ref="R25:U25"/>
    <mergeCell ref="R26:U26"/>
    <mergeCell ref="B42:J42"/>
  </mergeCells>
  <printOptions horizontalCentered="1"/>
  <pageMargins left="0.4" right="0.4" top="1" bottom="0.5" header="0.3" footer="0.511811023622047"/>
  <pageSetup paperSize="9" scale="46" orientation="landscape"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E8320-4BB8-417B-95EB-84262B7B50F1}">
  <sheetPr codeName="Sheet97">
    <tabColor theme="6" tint="-0.249977111117893"/>
    <pageSetUpPr fitToPage="1"/>
  </sheetPr>
  <dimension ref="A1:AT174"/>
  <sheetViews>
    <sheetView topLeftCell="AB1" zoomScale="70" zoomScaleNormal="70" workbookViewId="0">
      <selection activeCell="K64" sqref="K64"/>
    </sheetView>
  </sheetViews>
  <sheetFormatPr defaultColWidth="12.5" defaultRowHeight="15" x14ac:dyDescent="0.25"/>
  <cols>
    <col min="1" max="1" width="12.5" style="63" customWidth="1"/>
    <col min="2" max="2" width="32" style="27"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75" style="14" customWidth="1"/>
    <col min="15" max="17" width="12.5" style="14" customWidth="1"/>
    <col min="18" max="18" width="32.875" style="14" customWidth="1"/>
    <col min="19" max="27" width="12.5" style="14" customWidth="1"/>
    <col min="28" max="28" width="13.125" style="14" bestFit="1" customWidth="1"/>
    <col min="29" max="29" width="9.875" style="14" bestFit="1" customWidth="1"/>
    <col min="30" max="30" width="10.125" style="14" bestFit="1" customWidth="1"/>
    <col min="31" max="31" width="9.875" style="14" bestFit="1" customWidth="1"/>
    <col min="32" max="32" width="8.875" style="14" bestFit="1" customWidth="1"/>
    <col min="33" max="35" width="4.125" style="14" customWidth="1"/>
    <col min="36" max="36" width="41.375" style="14" customWidth="1"/>
    <col min="37" max="37" width="12.5" style="14" customWidth="1"/>
    <col min="38" max="38" width="16.125" style="14" customWidth="1"/>
    <col min="39" max="41" width="12.5" style="14"/>
    <col min="42" max="42" width="24.25" style="14" customWidth="1"/>
    <col min="43" max="16384" width="12.5" style="14"/>
  </cols>
  <sheetData>
    <row r="1" spans="1:46" s="228" customFormat="1" ht="53.25" customHeight="1" x14ac:dyDescent="0.2">
      <c r="A1" s="226"/>
      <c r="B1" s="277" t="s">
        <v>231</v>
      </c>
      <c r="C1" s="65">
        <v>1000</v>
      </c>
      <c r="D1" s="66" t="s">
        <v>232</v>
      </c>
      <c r="E1" s="99">
        <f>U32</f>
        <v>24690</v>
      </c>
      <c r="F1" s="64" t="s">
        <v>233</v>
      </c>
      <c r="G1" s="99">
        <f>E1/C1</f>
        <v>24.69</v>
      </c>
      <c r="H1" s="64" t="s">
        <v>234</v>
      </c>
      <c r="I1" s="227">
        <f>(G1/K1)</f>
        <v>25.065989847715738</v>
      </c>
      <c r="J1" s="70" t="s">
        <v>235</v>
      </c>
      <c r="K1" s="65">
        <v>0.98499999999999999</v>
      </c>
      <c r="L1" s="76"/>
      <c r="M1" s="73"/>
      <c r="N1" s="74"/>
      <c r="O1" s="75" t="s">
        <v>236</v>
      </c>
      <c r="P1" s="1266" t="s">
        <v>299</v>
      </c>
      <c r="Q1" s="880" t="s">
        <v>238</v>
      </c>
      <c r="R1" s="1372">
        <v>0.5</v>
      </c>
      <c r="Y1" s="75" t="s">
        <v>453</v>
      </c>
      <c r="Z1" s="766">
        <v>23190</v>
      </c>
      <c r="AA1" s="75" t="s">
        <v>556</v>
      </c>
      <c r="AB1" s="766">
        <v>1500</v>
      </c>
      <c r="AC1" s="75" t="s">
        <v>546</v>
      </c>
      <c r="AD1" s="766">
        <v>157</v>
      </c>
      <c r="AF1" s="230"/>
      <c r="AG1" s="76"/>
      <c r="AJ1" s="78" t="s">
        <v>250</v>
      </c>
      <c r="AK1" s="78">
        <v>10000</v>
      </c>
      <c r="AL1" s="561" t="s">
        <v>483</v>
      </c>
      <c r="AM1" s="562">
        <f>$S$32</f>
        <v>24690</v>
      </c>
      <c r="AN1" s="78" t="s">
        <v>239</v>
      </c>
      <c r="AO1" s="305">
        <f>(($S$32)/$R$1)/$AK$1</f>
        <v>4.9379999999999997</v>
      </c>
      <c r="AP1" s="79"/>
    </row>
    <row r="2" spans="1:46" ht="12.75" customHeight="1" x14ac:dyDescent="0.25">
      <c r="A2" s="81"/>
      <c r="B2" s="1632" t="s">
        <v>886</v>
      </c>
      <c r="C2" s="1661"/>
      <c r="D2" s="1661"/>
      <c r="E2" s="1661"/>
      <c r="F2" s="1661"/>
      <c r="G2" s="1661"/>
      <c r="H2" s="1661"/>
      <c r="I2" s="82"/>
      <c r="J2" s="82"/>
      <c r="K2" s="82"/>
      <c r="L2" s="82"/>
      <c r="P2" s="84"/>
      <c r="Q2" s="84"/>
      <c r="R2" s="84"/>
      <c r="AC2" s="83"/>
      <c r="AD2" s="83"/>
      <c r="AE2" s="1652"/>
      <c r="AF2" s="1655"/>
      <c r="AG2" s="1655"/>
      <c r="AJ2" s="85"/>
      <c r="AK2" s="85"/>
      <c r="AL2" s="1631" t="s">
        <v>886</v>
      </c>
      <c r="AM2" s="1631"/>
      <c r="AN2" s="86"/>
      <c r="AO2" s="85"/>
      <c r="AP2" s="85"/>
    </row>
    <row r="3" spans="1:46" ht="12.75" customHeight="1" x14ac:dyDescent="0.25">
      <c r="A3" s="81"/>
      <c r="B3" s="1633"/>
      <c r="C3" s="1633"/>
      <c r="D3" s="1633"/>
      <c r="E3" s="1633"/>
      <c r="F3" s="1633"/>
      <c r="G3" s="1633"/>
      <c r="H3" s="1633"/>
      <c r="I3" s="87"/>
      <c r="J3" s="87"/>
      <c r="K3" s="87"/>
      <c r="L3" s="87"/>
      <c r="P3" s="84"/>
      <c r="Q3" s="84"/>
      <c r="R3" s="84"/>
      <c r="AC3" s="83"/>
      <c r="AD3" s="83"/>
      <c r="AE3" s="1655"/>
      <c r="AF3" s="1655"/>
      <c r="AG3" s="1655"/>
      <c r="AJ3" s="88"/>
      <c r="AK3" s="88"/>
      <c r="AL3" s="89"/>
      <c r="AM3" s="89"/>
      <c r="AN3" s="89"/>
      <c r="AO3" s="88"/>
      <c r="AP3" s="88"/>
    </row>
    <row r="4" spans="1:46" ht="69" customHeight="1" x14ac:dyDescent="0.2">
      <c r="A4" s="75" t="s">
        <v>903</v>
      </c>
      <c r="B4" s="75" t="s">
        <v>241</v>
      </c>
      <c r="C4" s="90" t="s">
        <v>242</v>
      </c>
      <c r="D4" s="75" t="s">
        <v>231</v>
      </c>
      <c r="E4" s="91" t="s">
        <v>234</v>
      </c>
      <c r="F4" s="91" t="s">
        <v>243</v>
      </c>
      <c r="G4" s="75" t="s">
        <v>244</v>
      </c>
      <c r="H4" s="92" t="s">
        <v>245</v>
      </c>
      <c r="I4" s="75" t="s">
        <v>246</v>
      </c>
      <c r="J4" s="75" t="s">
        <v>247</v>
      </c>
      <c r="K4" s="75" t="s">
        <v>248</v>
      </c>
      <c r="L4" s="75" t="s">
        <v>249</v>
      </c>
      <c r="P4" s="84"/>
      <c r="AA4" s="229"/>
      <c r="AB4" s="231"/>
      <c r="AC4" s="229"/>
      <c r="AD4" s="229"/>
      <c r="AE4" s="229"/>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454"/>
      <c r="B5" s="96" t="s">
        <v>220</v>
      </c>
      <c r="C5" s="106" t="s">
        <v>14</v>
      </c>
      <c r="D5" s="1268">
        <f>1000/R1</f>
        <v>2000</v>
      </c>
      <c r="E5" s="69">
        <f>H52</f>
        <v>24.69</v>
      </c>
      <c r="F5" s="109">
        <v>1</v>
      </c>
      <c r="G5" s="103">
        <f>D5*E5</f>
        <v>49380</v>
      </c>
      <c r="H5" s="102">
        <f>G5*F5</f>
        <v>49380</v>
      </c>
      <c r="I5" s="65">
        <f>VLOOKUP(B5,All_Ingredients!$A$1:$F$156,6,FALSE())</f>
        <v>0.86</v>
      </c>
      <c r="J5" s="101">
        <f>VLOOKUP(B5,All_Ingredients!$A$1:$J$156,10,FALSE())</f>
        <v>17.100000000000001</v>
      </c>
      <c r="K5" s="104">
        <f t="shared" ref="K5" si="0">(H5/I5)/1000</f>
        <v>57.418604651162795</v>
      </c>
      <c r="L5" s="104">
        <f t="shared" ref="L5" si="1">K5*J5</f>
        <v>981.85813953488389</v>
      </c>
      <c r="P5" s="84"/>
      <c r="AA5" s="76"/>
      <c r="AB5" s="114"/>
      <c r="AC5" s="232"/>
      <c r="AD5" s="116"/>
      <c r="AE5" s="117"/>
      <c r="AJ5" s="105" t="s">
        <v>220</v>
      </c>
      <c r="AK5" s="106" t="s">
        <v>227</v>
      </c>
      <c r="AL5" s="107">
        <v>10</v>
      </c>
      <c r="AM5" s="177">
        <f>$AO$1</f>
        <v>4.9379999999999997</v>
      </c>
      <c r="AN5" s="109">
        <v>1</v>
      </c>
      <c r="AO5" s="101">
        <f>AL5*AM5</f>
        <v>49.379999999999995</v>
      </c>
      <c r="AP5" s="102">
        <f>AN5*AO5</f>
        <v>49.379999999999995</v>
      </c>
      <c r="AQ5" s="272"/>
      <c r="AR5" s="1017"/>
      <c r="AS5" s="156"/>
      <c r="AT5" s="1018"/>
    </row>
    <row r="6" spans="1:46" ht="14.25" customHeight="1" x14ac:dyDescent="0.25">
      <c r="A6" s="1472"/>
      <c r="B6" s="278"/>
      <c r="E6" s="84"/>
      <c r="F6" s="84"/>
      <c r="I6" s="63"/>
      <c r="J6" s="278"/>
      <c r="M6" s="84"/>
      <c r="N6" s="84"/>
      <c r="AJ6" s="1373" t="s">
        <v>193</v>
      </c>
      <c r="AK6" s="1374" t="s">
        <v>14</v>
      </c>
      <c r="AL6" s="1375">
        <v>240</v>
      </c>
      <c r="AM6" s="1263">
        <f t="shared" ref="AM6:AM12" si="2">$AO$1</f>
        <v>4.9379999999999997</v>
      </c>
      <c r="AN6" s="109">
        <v>1</v>
      </c>
      <c r="AO6" s="101">
        <f t="shared" ref="AO6:AO12" si="3">AL6*AM6</f>
        <v>1185.1199999999999</v>
      </c>
      <c r="AP6" s="102">
        <f t="shared" ref="AP6:AP12" si="4">AN6*AO6</f>
        <v>1185.1199999999999</v>
      </c>
      <c r="AQ6" s="1018">
        <f>VLOOKUP(AJ6,Marination_Ordering!$A:$J,6,FALSE)</f>
        <v>1</v>
      </c>
      <c r="AR6" s="1018">
        <f>VLOOKUP(AJ6,Marination_Ordering!$A:$J,10,FALSE)</f>
        <v>37.001287001286997</v>
      </c>
      <c r="AS6" s="156">
        <f>AP6/AQ6</f>
        <v>1185.1199999999999</v>
      </c>
      <c r="AT6" s="1018">
        <f>AR6*(AS6/1000)</f>
        <v>43.850965250965245</v>
      </c>
    </row>
    <row r="7" spans="1:46" ht="14.25" customHeight="1" x14ac:dyDescent="0.25">
      <c r="A7" s="1472"/>
      <c r="B7" s="278"/>
      <c r="E7" s="84"/>
      <c r="F7" s="63"/>
      <c r="G7" s="278"/>
      <c r="I7" s="63"/>
      <c r="J7" s="278"/>
      <c r="M7" s="84"/>
      <c r="N7" s="84"/>
      <c r="AJ7" s="1373" t="s">
        <v>196</v>
      </c>
      <c r="AK7" s="1374" t="s">
        <v>14</v>
      </c>
      <c r="AL7" s="1375">
        <v>200</v>
      </c>
      <c r="AM7" s="1263">
        <f t="shared" si="2"/>
        <v>4.9379999999999997</v>
      </c>
      <c r="AN7" s="109">
        <v>1</v>
      </c>
      <c r="AO7" s="101">
        <f t="shared" si="3"/>
        <v>987.59999999999991</v>
      </c>
      <c r="AP7" s="102">
        <f t="shared" si="4"/>
        <v>987.59999999999991</v>
      </c>
      <c r="AQ7" s="1018">
        <f>VLOOKUP(AJ7,Marination_Ordering!$A:$J,6,FALSE)</f>
        <v>1</v>
      </c>
      <c r="AR7" s="1018">
        <f>VLOOKUP(AJ7,Marination_Ordering!$A:$J,10,FALSE)</f>
        <v>14.861111111111111</v>
      </c>
      <c r="AS7" s="156">
        <f t="shared" ref="AS7:AS12" si="5">AP7/AQ7</f>
        <v>987.59999999999991</v>
      </c>
      <c r="AT7" s="1018">
        <f t="shared" ref="AT7:AT12" si="6">AR7*(AS7/1000)</f>
        <v>14.676833333333331</v>
      </c>
    </row>
    <row r="8" spans="1:46" ht="14.25" customHeight="1" x14ac:dyDescent="0.25">
      <c r="A8" s="1472"/>
      <c r="B8" s="278"/>
      <c r="E8" s="84"/>
      <c r="F8" s="63"/>
      <c r="G8" s="278"/>
      <c r="I8" s="63"/>
      <c r="J8" s="278"/>
      <c r="M8" s="84"/>
      <c r="N8" s="84"/>
      <c r="AJ8" s="1373" t="s">
        <v>187</v>
      </c>
      <c r="AK8" s="1374" t="s">
        <v>14</v>
      </c>
      <c r="AL8" s="1375">
        <v>200</v>
      </c>
      <c r="AM8" s="1263">
        <f t="shared" si="2"/>
        <v>4.9379999999999997</v>
      </c>
      <c r="AN8" s="109">
        <v>1</v>
      </c>
      <c r="AO8" s="101">
        <f t="shared" si="3"/>
        <v>987.59999999999991</v>
      </c>
      <c r="AP8" s="102">
        <f t="shared" si="4"/>
        <v>987.59999999999991</v>
      </c>
      <c r="AQ8" s="1018">
        <f>VLOOKUP(AJ8,Marination_Ordering!$A:$J,6,FALSE)</f>
        <v>0.9</v>
      </c>
      <c r="AR8" s="1018">
        <f>VLOOKUP(AJ8,Marination_Ordering!$A:$J,10,FALSE)</f>
        <v>2.3199999999999998</v>
      </c>
      <c r="AS8" s="156">
        <f t="shared" si="5"/>
        <v>1097.3333333333333</v>
      </c>
      <c r="AT8" s="1018">
        <f t="shared" si="6"/>
        <v>2.5458133333333328</v>
      </c>
    </row>
    <row r="9" spans="1:46" ht="14.25" customHeight="1" x14ac:dyDescent="0.25">
      <c r="A9" s="1472"/>
      <c r="B9" s="278"/>
      <c r="E9" s="84"/>
      <c r="F9" s="63"/>
      <c r="G9" s="27"/>
      <c r="I9" s="63"/>
      <c r="J9" s="27"/>
      <c r="AJ9" s="1373" t="s">
        <v>149</v>
      </c>
      <c r="AK9" s="1374" t="s">
        <v>14</v>
      </c>
      <c r="AL9" s="1375">
        <v>150</v>
      </c>
      <c r="AM9" s="1263">
        <f t="shared" si="2"/>
        <v>4.9379999999999997</v>
      </c>
      <c r="AN9" s="109">
        <v>1</v>
      </c>
      <c r="AO9" s="101">
        <f t="shared" si="3"/>
        <v>740.69999999999993</v>
      </c>
      <c r="AP9" s="102">
        <f t="shared" si="4"/>
        <v>740.69999999999993</v>
      </c>
      <c r="AQ9" s="1018">
        <f>VLOOKUP(AJ9,Marination_Ordering!$A:$J,6,FALSE)</f>
        <v>1</v>
      </c>
      <c r="AR9" s="1018">
        <f>VLOOKUP(AJ9,Marination_Ordering!$A:$J,10,FALSE)</f>
        <v>10</v>
      </c>
      <c r="AS9" s="156">
        <f t="shared" si="5"/>
        <v>740.69999999999993</v>
      </c>
      <c r="AT9" s="1018">
        <f t="shared" si="6"/>
        <v>7.4069999999999991</v>
      </c>
    </row>
    <row r="10" spans="1:46" ht="14.25" customHeight="1" x14ac:dyDescent="0.25">
      <c r="A10" s="1472"/>
      <c r="I10" s="63"/>
      <c r="J10" s="27"/>
      <c r="AJ10" s="1373" t="s">
        <v>54</v>
      </c>
      <c r="AK10" s="1374" t="s">
        <v>14</v>
      </c>
      <c r="AL10" s="1375">
        <v>50</v>
      </c>
      <c r="AM10" s="1263">
        <f t="shared" si="2"/>
        <v>4.9379999999999997</v>
      </c>
      <c r="AN10" s="109">
        <v>1</v>
      </c>
      <c r="AO10" s="101">
        <f t="shared" si="3"/>
        <v>246.89999999999998</v>
      </c>
      <c r="AP10" s="102">
        <f t="shared" si="4"/>
        <v>246.89999999999998</v>
      </c>
      <c r="AQ10" s="1018">
        <f>VLOOKUP(AJ10,Marination_Ordering!$A:$J,6,FALSE)</f>
        <v>0.87</v>
      </c>
      <c r="AR10" s="1018">
        <f>VLOOKUP(AJ10,Marination_Ordering!$A:$J,10,FALSE)</f>
        <v>7</v>
      </c>
      <c r="AS10" s="156">
        <f t="shared" si="5"/>
        <v>283.79310344827582</v>
      </c>
      <c r="AT10" s="1018">
        <f t="shared" si="6"/>
        <v>1.9865517241379305</v>
      </c>
    </row>
    <row r="11" spans="1:46" x14ac:dyDescent="0.25">
      <c r="A11" s="1472"/>
      <c r="I11" s="63"/>
      <c r="J11" s="27"/>
      <c r="AJ11" s="1373" t="s">
        <v>101</v>
      </c>
      <c r="AK11" s="1374" t="s">
        <v>14</v>
      </c>
      <c r="AL11" s="1375">
        <v>15</v>
      </c>
      <c r="AM11" s="1263">
        <f t="shared" si="2"/>
        <v>4.9379999999999997</v>
      </c>
      <c r="AN11" s="109">
        <v>1</v>
      </c>
      <c r="AO11" s="101">
        <f t="shared" si="3"/>
        <v>74.069999999999993</v>
      </c>
      <c r="AP11" s="102">
        <f t="shared" si="4"/>
        <v>74.069999999999993</v>
      </c>
      <c r="AQ11" s="1018">
        <f>VLOOKUP(AJ11,Marination_Ordering!$A:$J,6,FALSE)</f>
        <v>1</v>
      </c>
      <c r="AR11" s="1018">
        <f>VLOOKUP(AJ11,Marination_Ordering!$A:$J,10,FALSE)</f>
        <v>47</v>
      </c>
      <c r="AS11" s="156">
        <f t="shared" si="5"/>
        <v>74.069999999999993</v>
      </c>
      <c r="AT11" s="1018">
        <f t="shared" si="6"/>
        <v>3.48129</v>
      </c>
    </row>
    <row r="12" spans="1:46" ht="14.25" customHeight="1" x14ac:dyDescent="0.25">
      <c r="A12" s="1472"/>
      <c r="I12" s="63"/>
      <c r="J12" s="27"/>
      <c r="AJ12" s="1376" t="s">
        <v>203</v>
      </c>
      <c r="AK12" s="1377" t="s">
        <v>14</v>
      </c>
      <c r="AL12" s="1378">
        <v>400</v>
      </c>
      <c r="AM12" s="1369">
        <f t="shared" si="2"/>
        <v>4.9379999999999997</v>
      </c>
      <c r="AN12" s="415">
        <v>1</v>
      </c>
      <c r="AO12" s="422">
        <f t="shared" si="3"/>
        <v>1975.1999999999998</v>
      </c>
      <c r="AP12" s="417">
        <f t="shared" si="4"/>
        <v>1975.1999999999998</v>
      </c>
      <c r="AQ12" s="1018">
        <f>VLOOKUP(AJ12,Marination_Ordering!$A:$J,6,FALSE)</f>
        <v>1</v>
      </c>
      <c r="AR12" s="1018">
        <f>VLOOKUP(AJ12,Marination_Ordering!$A:$J,10,FALSE)</f>
        <v>0</v>
      </c>
      <c r="AS12" s="156">
        <f t="shared" si="5"/>
        <v>1975.1999999999998</v>
      </c>
      <c r="AT12" s="1018">
        <f t="shared" si="6"/>
        <v>0</v>
      </c>
    </row>
    <row r="13" spans="1:46" ht="14.25" customHeight="1" x14ac:dyDescent="0.25">
      <c r="A13" s="1472"/>
      <c r="AJ13" s="1379"/>
      <c r="AK13" s="333"/>
      <c r="AL13" s="334"/>
      <c r="AM13" s="1272"/>
      <c r="AN13" s="336"/>
      <c r="AO13" s="438"/>
      <c r="AP13" s="338"/>
      <c r="AQ13" s="1273"/>
      <c r="AR13" s="1273"/>
      <c r="AS13" s="1274"/>
      <c r="AT13" s="1273"/>
    </row>
    <row r="14" spans="1:46" ht="14.25" customHeight="1" x14ac:dyDescent="0.25">
      <c r="A14" s="1472"/>
      <c r="B14" s="278"/>
      <c r="E14" s="84"/>
      <c r="F14" s="63"/>
      <c r="G14" s="278"/>
      <c r="J14" s="84"/>
      <c r="K14" s="84"/>
      <c r="AJ14" s="113"/>
      <c r="AK14" s="114"/>
      <c r="AL14" s="232"/>
      <c r="AM14" s="273"/>
      <c r="AN14" s="117"/>
      <c r="AO14" s="118"/>
      <c r="AP14" s="119"/>
      <c r="AQ14" s="991"/>
      <c r="AR14" s="991"/>
      <c r="AS14" s="514"/>
      <c r="AT14" s="991"/>
    </row>
    <row r="15" spans="1:46" ht="14.25" customHeight="1" x14ac:dyDescent="0.25">
      <c r="A15" s="1472"/>
      <c r="B15" s="278"/>
      <c r="E15" s="84"/>
      <c r="F15" s="63"/>
      <c r="G15" s="278"/>
      <c r="J15" s="84"/>
      <c r="K15" s="84"/>
      <c r="AJ15" s="113"/>
      <c r="AK15" s="114"/>
      <c r="AL15" s="232"/>
      <c r="AM15" s="273"/>
      <c r="AN15" s="117"/>
      <c r="AO15" s="118"/>
      <c r="AP15" s="119"/>
      <c r="AQ15" s="991"/>
      <c r="AR15" s="991"/>
      <c r="AS15" s="514"/>
      <c r="AT15" s="991"/>
    </row>
    <row r="16" spans="1:46" ht="14.25" customHeight="1" x14ac:dyDescent="0.25">
      <c r="A16" s="1472"/>
      <c r="B16" s="278"/>
      <c r="E16" s="84"/>
      <c r="F16" s="63"/>
      <c r="G16" s="278"/>
      <c r="J16" s="84"/>
      <c r="K16" s="84"/>
      <c r="AJ16" s="113"/>
      <c r="AK16" s="114"/>
      <c r="AL16" s="232"/>
      <c r="AM16" s="273"/>
      <c r="AN16" s="117"/>
      <c r="AO16" s="118"/>
      <c r="AP16" s="119"/>
      <c r="AQ16" s="991"/>
      <c r="AR16" s="991"/>
      <c r="AS16" s="514"/>
      <c r="AT16" s="991"/>
    </row>
    <row r="17" spans="1:46" ht="14.25" customHeight="1" x14ac:dyDescent="0.25">
      <c r="A17" s="1472"/>
      <c r="B17" s="278"/>
      <c r="E17" s="84"/>
      <c r="F17" s="63"/>
      <c r="G17" s="27"/>
      <c r="AJ17" s="113"/>
      <c r="AK17" s="114"/>
      <c r="AL17" s="232"/>
      <c r="AM17" s="273"/>
      <c r="AN17" s="117"/>
      <c r="AO17" s="118"/>
      <c r="AP17" s="119"/>
      <c r="AQ17" s="991"/>
      <c r="AR17" s="991"/>
      <c r="AS17" s="514"/>
      <c r="AT17" s="991"/>
    </row>
    <row r="18" spans="1:46" ht="14.25" customHeight="1" x14ac:dyDescent="0.25">
      <c r="A18" s="1472"/>
      <c r="F18" s="63"/>
      <c r="G18" s="27"/>
      <c r="AJ18" s="113"/>
      <c r="AK18" s="114"/>
      <c r="AL18" s="232"/>
      <c r="AM18" s="273"/>
      <c r="AN18" s="117"/>
      <c r="AO18" s="118"/>
      <c r="AP18" s="119"/>
      <c r="AQ18" s="991"/>
      <c r="AR18" s="991"/>
      <c r="AS18" s="514"/>
      <c r="AT18" s="991"/>
    </row>
    <row r="19" spans="1:46" ht="14.25" customHeight="1" x14ac:dyDescent="0.25">
      <c r="A19" s="1472"/>
      <c r="F19" s="63"/>
      <c r="G19" s="27"/>
      <c r="AJ19" s="113"/>
      <c r="AK19" s="114"/>
      <c r="AL19" s="232"/>
      <c r="AM19" s="273"/>
      <c r="AN19" s="117"/>
      <c r="AO19" s="118"/>
      <c r="AP19" s="119"/>
      <c r="AQ19" s="991"/>
      <c r="AR19" s="991"/>
      <c r="AS19" s="514"/>
      <c r="AT19" s="991"/>
    </row>
    <row r="20" spans="1:46" ht="14.25" customHeight="1" x14ac:dyDescent="0.25">
      <c r="A20" s="1472"/>
      <c r="F20" s="63"/>
      <c r="G20" s="27"/>
      <c r="AJ20" s="113"/>
      <c r="AK20" s="114"/>
      <c r="AL20" s="232"/>
      <c r="AM20" s="273"/>
      <c r="AN20" s="117"/>
      <c r="AO20" s="118"/>
      <c r="AP20" s="119"/>
      <c r="AQ20" s="991"/>
      <c r="AR20" s="991"/>
      <c r="AS20" s="514"/>
      <c r="AT20" s="991"/>
    </row>
    <row r="21" spans="1:46" ht="14.25" customHeight="1" x14ac:dyDescent="0.25">
      <c r="A21" s="1472"/>
      <c r="L21" s="274"/>
    </row>
    <row r="22" spans="1:46" ht="14.25" customHeight="1" x14ac:dyDescent="0.25">
      <c r="A22" s="1472"/>
      <c r="L22" s="274"/>
      <c r="S22" s="280"/>
    </row>
    <row r="23" spans="1:46" ht="14.25" customHeight="1" x14ac:dyDescent="0.25">
      <c r="A23" s="1472"/>
      <c r="L23" s="274"/>
    </row>
    <row r="24" spans="1:46" ht="14.25" customHeight="1" x14ac:dyDescent="0.25">
      <c r="A24" s="1472"/>
      <c r="L24" s="274"/>
      <c r="Z24" s="1073"/>
    </row>
    <row r="25" spans="1:46" ht="14.25" customHeight="1" x14ac:dyDescent="0.25">
      <c r="A25" s="1472"/>
      <c r="L25" s="274"/>
      <c r="R25" s="1640" t="s">
        <v>886</v>
      </c>
      <c r="S25" s="1633"/>
      <c r="T25" s="1633"/>
      <c r="U25" s="1633"/>
      <c r="V25" s="997"/>
      <c r="Z25" s="122" t="s">
        <v>252</v>
      </c>
      <c r="AA25" s="123">
        <v>1</v>
      </c>
      <c r="AB25" s="122" t="s">
        <v>249</v>
      </c>
      <c r="AC25" s="124">
        <f>(AA25*AF30)+(AA30*(AB28/R1))</f>
        <v>4.282610745956475E-2</v>
      </c>
    </row>
    <row r="26" spans="1:46" ht="15.75" customHeight="1" x14ac:dyDescent="0.25">
      <c r="A26" s="1472"/>
      <c r="R26" s="1659" t="s">
        <v>291</v>
      </c>
      <c r="S26" s="1639"/>
      <c r="T26" s="1639"/>
      <c r="U26" s="1639"/>
      <c r="V26" s="997"/>
    </row>
    <row r="27" spans="1:46" ht="14.25" customHeight="1" thickBot="1" x14ac:dyDescent="0.3">
      <c r="A27" s="1472"/>
      <c r="R27" s="126" t="s">
        <v>254</v>
      </c>
      <c r="S27" s="127" t="s">
        <v>255</v>
      </c>
      <c r="T27" s="127" t="s">
        <v>312</v>
      </c>
      <c r="U27" s="127" t="s">
        <v>257</v>
      </c>
      <c r="V27" s="127" t="s">
        <v>772</v>
      </c>
      <c r="W27" s="127" t="s">
        <v>779</v>
      </c>
      <c r="Z27" s="122" t="s">
        <v>258</v>
      </c>
      <c r="AA27" s="1031" t="s">
        <v>312</v>
      </c>
      <c r="AB27" s="128" t="s">
        <v>259</v>
      </c>
      <c r="AC27" s="128" t="s">
        <v>260</v>
      </c>
      <c r="AD27" s="128" t="s">
        <v>261</v>
      </c>
      <c r="AE27" s="1032" t="s">
        <v>779</v>
      </c>
      <c r="AF27" s="128" t="s">
        <v>262</v>
      </c>
    </row>
    <row r="28" spans="1:46" ht="14.25" customHeight="1" thickBot="1" x14ac:dyDescent="0.3">
      <c r="A28" s="1472"/>
      <c r="B28" s="278"/>
      <c r="E28" s="84"/>
      <c r="F28" s="84"/>
      <c r="R28" s="129" t="s">
        <v>263</v>
      </c>
      <c r="S28" s="1186">
        <f>$Z$1</f>
        <v>23190</v>
      </c>
      <c r="T28" s="1215"/>
      <c r="U28" s="1174">
        <f>S28</f>
        <v>23190</v>
      </c>
      <c r="V28" s="130">
        <f>SUM(AP5:AP13)</f>
        <v>6246.5699999999988</v>
      </c>
      <c r="W28" s="130">
        <f>SUM(H37:H38)</f>
        <v>157</v>
      </c>
      <c r="Z28" s="132"/>
      <c r="AA28" s="1034"/>
      <c r="AB28" s="1046">
        <f>AA25*$S$40</f>
        <v>1</v>
      </c>
      <c r="AC28" s="133"/>
      <c r="AD28" s="134"/>
      <c r="AE28" s="1034"/>
      <c r="AF28" s="135">
        <f>SUM(AB28:AD28)</f>
        <v>1</v>
      </c>
    </row>
    <row r="29" spans="1:46" ht="14.25" customHeight="1" thickBot="1" x14ac:dyDescent="0.25">
      <c r="A29" s="1461"/>
      <c r="B29" s="14"/>
      <c r="R29" s="129" t="s">
        <v>264</v>
      </c>
      <c r="S29" s="1218"/>
      <c r="T29" s="130"/>
      <c r="U29" s="1215">
        <f>T29</f>
        <v>0</v>
      </c>
      <c r="V29" s="130"/>
      <c r="W29" s="130"/>
      <c r="Z29" s="132"/>
      <c r="AA29" s="1038"/>
      <c r="AB29" s="137">
        <f>AB28/$AF$28</f>
        <v>1</v>
      </c>
      <c r="AC29" s="137">
        <v>0</v>
      </c>
      <c r="AD29" s="137">
        <v>0</v>
      </c>
      <c r="AE29" s="1038"/>
      <c r="AF29" s="137">
        <f>AF28/$AF$28</f>
        <v>1</v>
      </c>
    </row>
    <row r="30" spans="1:46" ht="21.75" customHeight="1" thickBot="1" x14ac:dyDescent="0.3">
      <c r="A30" s="1472"/>
      <c r="B30" s="278"/>
      <c r="E30" s="84"/>
      <c r="F30" s="84"/>
      <c r="R30" s="129" t="s">
        <v>265</v>
      </c>
      <c r="S30" s="1218">
        <f>$AB$1</f>
        <v>1500</v>
      </c>
      <c r="T30" s="1215"/>
      <c r="U30" s="1218">
        <f>S30</f>
        <v>1500</v>
      </c>
      <c r="V30" s="989"/>
      <c r="W30" s="989"/>
      <c r="Z30" s="122" t="s">
        <v>266</v>
      </c>
      <c r="AA30" s="1042">
        <f>V35/(S32/R1)</f>
        <v>1.4975385508661371E-3</v>
      </c>
      <c r="AB30" s="138">
        <f>S35/(S32)</f>
        <v>3.9767441860465123E-2</v>
      </c>
      <c r="AC30" s="139"/>
      <c r="AD30" s="139"/>
      <c r="AE30" s="1045">
        <f>W35/U32</f>
        <v>6.3588497367355202E-5</v>
      </c>
      <c r="AF30" s="1047">
        <f>SUMPRODUCT(AB30:AD30,AB29:AD29)+AE30</f>
        <v>3.9831030357832475E-2</v>
      </c>
    </row>
    <row r="31" spans="1:46" ht="26.25" customHeight="1" thickBot="1" x14ac:dyDescent="0.3">
      <c r="A31" s="1472"/>
      <c r="B31" s="278"/>
      <c r="E31" s="84"/>
      <c r="F31" s="84"/>
      <c r="R31" s="129" t="s">
        <v>267</v>
      </c>
      <c r="S31" s="136"/>
      <c r="T31" s="130"/>
      <c r="U31" s="130">
        <f>T31</f>
        <v>0</v>
      </c>
      <c r="V31" s="130"/>
      <c r="W31" s="130"/>
    </row>
    <row r="32" spans="1:46" ht="14.25" customHeight="1" thickBot="1" x14ac:dyDescent="0.3">
      <c r="A32" s="1472"/>
      <c r="B32" s="278"/>
      <c r="E32" s="84"/>
      <c r="F32" s="84"/>
      <c r="R32" s="141" t="s">
        <v>257</v>
      </c>
      <c r="S32" s="130">
        <f>S28+S30</f>
        <v>24690</v>
      </c>
      <c r="T32" s="130"/>
      <c r="U32" s="130">
        <f>S32</f>
        <v>24690</v>
      </c>
      <c r="V32" s="130"/>
      <c r="W32" s="130">
        <f>SUM(W28:W30)</f>
        <v>157</v>
      </c>
    </row>
    <row r="33" spans="1:23" ht="14.25" customHeight="1" thickBot="1" x14ac:dyDescent="0.3">
      <c r="A33" s="1472"/>
      <c r="R33" s="142" t="s">
        <v>268</v>
      </c>
      <c r="S33" s="136"/>
      <c r="T33" s="136"/>
      <c r="U33" s="136"/>
      <c r="V33" s="136"/>
      <c r="W33" s="136"/>
    </row>
    <row r="34" spans="1:23" ht="14.25" customHeight="1" thickBot="1" x14ac:dyDescent="0.3">
      <c r="A34" s="1472"/>
      <c r="R34" s="143" t="s">
        <v>269</v>
      </c>
      <c r="S34" s="136"/>
      <c r="T34" s="130"/>
      <c r="U34" s="136"/>
      <c r="V34" s="136"/>
      <c r="W34" s="136"/>
    </row>
    <row r="35" spans="1:23" ht="14.25" customHeight="1" thickBot="1" x14ac:dyDescent="0.3">
      <c r="A35" s="1472"/>
      <c r="B35" s="1641" t="s">
        <v>887</v>
      </c>
      <c r="C35" s="1641"/>
      <c r="D35" s="1641"/>
      <c r="E35" s="1641"/>
      <c r="F35" s="1641"/>
      <c r="G35" s="803"/>
      <c r="H35" s="803"/>
      <c r="I35" s="803"/>
      <c r="J35" s="803"/>
      <c r="K35" s="803"/>
      <c r="L35" s="803"/>
      <c r="R35" s="144" t="s">
        <v>249</v>
      </c>
      <c r="S35" s="990">
        <f>$L$5</f>
        <v>981.85813953488389</v>
      </c>
      <c r="T35" s="990"/>
      <c r="U35" s="990">
        <f>S35+T35+V35+W35</f>
        <v>1057.3765931766536</v>
      </c>
      <c r="V35" s="990">
        <f>SUM(AT6:AT20)</f>
        <v>73.948453641769845</v>
      </c>
      <c r="W35" s="1049">
        <f>SUM(L37:L38)</f>
        <v>1.57</v>
      </c>
    </row>
    <row r="36" spans="1:23" ht="61.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1472"/>
      <c r="B37" s="773" t="s">
        <v>888</v>
      </c>
      <c r="C37" s="773" t="s">
        <v>14</v>
      </c>
      <c r="D37" s="774">
        <v>1</v>
      </c>
      <c r="E37" s="772">
        <f>$AD$1</f>
        <v>157</v>
      </c>
      <c r="F37" s="772">
        <f>D37*E37</f>
        <v>157</v>
      </c>
      <c r="G37"/>
      <c r="H37" s="772">
        <f>F37</f>
        <v>157</v>
      </c>
      <c r="I37" s="772">
        <f>VLOOKUP(B37,All_Ingredients!$A$1:$F$156,6,FALSE())</f>
        <v>1</v>
      </c>
      <c r="J37" s="772">
        <f>VLOOKUP(B37,All_Ingredients!$A$1:$J$156,10,FALSE())</f>
        <v>10</v>
      </c>
      <c r="K37" s="772">
        <f t="shared" ref="K37" si="7">(H37/I37)/1000</f>
        <v>0.157</v>
      </c>
      <c r="L37" s="772">
        <f t="shared" ref="L37" si="8">K37*J37</f>
        <v>1.57</v>
      </c>
    </row>
    <row r="38" spans="1:23" x14ac:dyDescent="0.25">
      <c r="A38" s="1472"/>
    </row>
    <row r="39" spans="1:23" x14ac:dyDescent="0.25">
      <c r="A39" s="1472"/>
    </row>
    <row r="40" spans="1:23" ht="19.5" customHeight="1" x14ac:dyDescent="0.25">
      <c r="A40" s="1472"/>
      <c r="R40" s="146" t="s">
        <v>270</v>
      </c>
      <c r="S40" s="217">
        <v>1</v>
      </c>
      <c r="T40" s="146" t="s">
        <v>271</v>
      </c>
      <c r="U40" s="217">
        <v>0</v>
      </c>
      <c r="V40" s="149">
        <f>S40+U40</f>
        <v>1</v>
      </c>
    </row>
    <row r="41" spans="1:23" ht="14.25" customHeight="1" x14ac:dyDescent="0.25">
      <c r="A41" s="1472"/>
      <c r="U41" s="150"/>
    </row>
    <row r="42" spans="1:23" ht="14.25" customHeight="1"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10000</v>
      </c>
      <c r="R44" s="154">
        <f>D51</f>
        <v>10000</v>
      </c>
      <c r="S44" s="155">
        <v>0</v>
      </c>
      <c r="T44" s="155">
        <v>0</v>
      </c>
      <c r="U44" s="220">
        <f>R44*S44</f>
        <v>0</v>
      </c>
      <c r="V44" s="157">
        <f>R44*T44</f>
        <v>0</v>
      </c>
      <c r="W44" s="237">
        <f>Q44-U44</f>
        <v>10000</v>
      </c>
    </row>
    <row r="45" spans="1:23" x14ac:dyDescent="0.25">
      <c r="A45" s="1472"/>
    </row>
    <row r="46" spans="1:23" x14ac:dyDescent="0.25">
      <c r="A46" s="1472"/>
    </row>
    <row r="47" spans="1:23" x14ac:dyDescent="0.25">
      <c r="A47" s="1472"/>
    </row>
    <row r="48" spans="1:23" x14ac:dyDescent="0.25">
      <c r="A48" s="1472"/>
    </row>
    <row r="49" spans="1:10" x14ac:dyDescent="0.25">
      <c r="A49" s="1472"/>
    </row>
    <row r="50" spans="1:10" x14ac:dyDescent="0.25">
      <c r="A50" s="1472"/>
      <c r="B50" s="279"/>
      <c r="C50" s="126" t="s">
        <v>233</v>
      </c>
      <c r="D50" s="126" t="s">
        <v>279</v>
      </c>
      <c r="E50" s="164"/>
      <c r="F50" s="84"/>
      <c r="G50" s="126" t="s">
        <v>280</v>
      </c>
      <c r="H50" s="126" t="s">
        <v>233</v>
      </c>
      <c r="I50" s="126" t="s">
        <v>281</v>
      </c>
      <c r="J50" s="126" t="s">
        <v>282</v>
      </c>
    </row>
    <row r="51" spans="1:10" ht="14.25" customHeight="1" x14ac:dyDescent="0.25">
      <c r="A51" s="1472"/>
      <c r="B51" s="161" t="s">
        <v>283</v>
      </c>
      <c r="C51" s="162">
        <f>10/$K$1</f>
        <v>10.152284263959391</v>
      </c>
      <c r="D51" s="163">
        <f>$C$1*10</f>
        <v>10000</v>
      </c>
      <c r="E51" s="164"/>
      <c r="F51" s="84"/>
      <c r="G51" s="161" t="s">
        <v>283</v>
      </c>
      <c r="H51" s="254">
        <v>10</v>
      </c>
      <c r="I51" s="162">
        <f>J51/$R$1</f>
        <v>20000</v>
      </c>
      <c r="J51" s="162">
        <f>$W$44</f>
        <v>10000</v>
      </c>
    </row>
    <row r="52" spans="1:10" ht="14.25" customHeight="1" x14ac:dyDescent="0.25">
      <c r="A52" s="1472"/>
      <c r="B52" s="209" t="s">
        <v>262</v>
      </c>
      <c r="C52" s="210">
        <f>$I$1</f>
        <v>25.065989847715738</v>
      </c>
      <c r="D52" s="211">
        <f>$E$1</f>
        <v>24690</v>
      </c>
      <c r="E52" s="84"/>
      <c r="F52" s="84"/>
      <c r="G52" s="129" t="s">
        <v>262</v>
      </c>
      <c r="H52" s="190">
        <f>I52/$D$5</f>
        <v>24.69</v>
      </c>
      <c r="I52" s="157">
        <f>J52/$R$1</f>
        <v>49380</v>
      </c>
      <c r="J52" s="165">
        <f>$S$32</f>
        <v>24690</v>
      </c>
    </row>
    <row r="53" spans="1:10" x14ac:dyDescent="0.25">
      <c r="A53" s="1472"/>
      <c r="B53" s="209" t="s">
        <v>284</v>
      </c>
      <c r="C53" s="212">
        <f>MIN(C52, C51)</f>
        <v>10.152284263959391</v>
      </c>
      <c r="D53" s="211">
        <f>(C53*$K$1)*$C$1</f>
        <v>10000</v>
      </c>
      <c r="E53" s="84"/>
      <c r="F53" s="84"/>
      <c r="G53" s="129" t="s">
        <v>284</v>
      </c>
      <c r="H53" s="168">
        <f>MIN(H52,H51)</f>
        <v>10</v>
      </c>
      <c r="I53" s="157">
        <f>J53/$R$1</f>
        <v>20000</v>
      </c>
      <c r="J53" s="157">
        <f>MIN(J52,J51)</f>
        <v>10000</v>
      </c>
    </row>
    <row r="54" spans="1:10" x14ac:dyDescent="0.25">
      <c r="A54" s="1472"/>
      <c r="B54" s="209" t="s">
        <v>285</v>
      </c>
      <c r="C54" s="212">
        <f>MIN(MAX(C52-C53,0),C51)</f>
        <v>10.152284263959391</v>
      </c>
      <c r="D54" s="211">
        <f>(C54*$K$1)*$C$1</f>
        <v>10000</v>
      </c>
      <c r="E54" s="84"/>
      <c r="F54" s="84"/>
      <c r="G54" s="129" t="s">
        <v>285</v>
      </c>
      <c r="H54" s="168">
        <f>MIN(MAX(H52-H53),H51)</f>
        <v>10</v>
      </c>
      <c r="I54" s="157">
        <f>J54/$R$1</f>
        <v>20000</v>
      </c>
      <c r="J54" s="157">
        <f>MIN(MAX(J52-J53),J51)</f>
        <v>10000</v>
      </c>
    </row>
    <row r="55" spans="1:10" x14ac:dyDescent="0.25">
      <c r="A55" s="1472"/>
      <c r="B55" s="209" t="s">
        <v>286</v>
      </c>
      <c r="C55" s="212">
        <f>MIN(MAX(C52-C53-C54,0),C51)</f>
        <v>4.7614213197969555</v>
      </c>
      <c r="D55" s="211">
        <f>(C55*$K$1)*$C$1</f>
        <v>4690.0000000000009</v>
      </c>
      <c r="E55" s="84"/>
      <c r="F55" s="84"/>
      <c r="G55" s="126" t="s">
        <v>286</v>
      </c>
      <c r="H55" s="168">
        <f>MIN(MAX(H52-H53-H54),H51)</f>
        <v>4.6900000000000013</v>
      </c>
      <c r="I55" s="157">
        <f>J55/$R$1</f>
        <v>9380</v>
      </c>
      <c r="J55" s="157">
        <f>MIN(MAX(J52-J53-J54),J51)</f>
        <v>4690</v>
      </c>
    </row>
    <row r="56" spans="1:10" ht="14.25" customHeight="1" x14ac:dyDescent="0.25">
      <c r="A56" s="1472"/>
    </row>
    <row r="57" spans="1:10" ht="14.25" customHeight="1" x14ac:dyDescent="0.25">
      <c r="A57" s="1472"/>
    </row>
    <row r="58" spans="1:10" ht="14.25" customHeight="1" x14ac:dyDescent="0.25">
      <c r="A58" s="1472"/>
    </row>
    <row r="59" spans="1:10" x14ac:dyDescent="0.25">
      <c r="A59" s="1472"/>
    </row>
    <row r="60" spans="1:10" ht="48.75" customHeight="1" x14ac:dyDescent="0.25">
      <c r="A60" s="1472"/>
    </row>
    <row r="61" spans="1:10" x14ac:dyDescent="0.25">
      <c r="A61" s="1472"/>
    </row>
    <row r="62" spans="1:10" ht="18" customHeight="1" x14ac:dyDescent="0.25">
      <c r="A62" s="1473"/>
      <c r="B62" s="1642" t="s">
        <v>886</v>
      </c>
      <c r="C62" s="1642"/>
      <c r="D62" s="1642"/>
      <c r="E62" s="1642"/>
      <c r="F62" s="1642"/>
      <c r="G62" s="1642"/>
      <c r="H62" s="1642"/>
    </row>
    <row r="63" spans="1:10" ht="14.25" customHeight="1" x14ac:dyDescent="0.25">
      <c r="A63" s="1473"/>
      <c r="B63" s="1636"/>
      <c r="C63" s="1636"/>
      <c r="D63" s="1636"/>
      <c r="E63" s="1636"/>
      <c r="F63" s="1636"/>
      <c r="G63" s="1636"/>
      <c r="H63" s="1636"/>
    </row>
    <row r="64" spans="1:10" ht="42" customHeight="1" x14ac:dyDescent="0.2">
      <c r="A64" s="1457"/>
      <c r="B64" s="75" t="s">
        <v>241</v>
      </c>
      <c r="C64" s="90" t="s">
        <v>242</v>
      </c>
      <c r="D64" s="75" t="s">
        <v>231</v>
      </c>
      <c r="E64" s="91" t="s">
        <v>234</v>
      </c>
      <c r="F64" s="91" t="s">
        <v>243</v>
      </c>
      <c r="G64" s="75" t="s">
        <v>244</v>
      </c>
      <c r="H64" s="92" t="s">
        <v>245</v>
      </c>
    </row>
    <row r="65" spans="1:10" ht="14.25" customHeight="1" x14ac:dyDescent="0.25">
      <c r="A65" s="1471"/>
      <c r="B65" s="246" t="str">
        <f>B5</f>
        <v>Chicken - دجاج</v>
      </c>
      <c r="C65" s="106" t="str">
        <f>C5</f>
        <v>gm</v>
      </c>
      <c r="D65" s="98">
        <f>D5</f>
        <v>2000</v>
      </c>
      <c r="E65" s="108">
        <f>H52</f>
        <v>24.69</v>
      </c>
      <c r="F65" s="109">
        <f>F5</f>
        <v>1</v>
      </c>
      <c r="G65" s="101">
        <f>D65*E65</f>
        <v>49380</v>
      </c>
      <c r="H65" s="102">
        <f>G65*F65</f>
        <v>49380</v>
      </c>
    </row>
    <row r="66" spans="1:10" ht="14.25" customHeight="1" x14ac:dyDescent="0.25">
      <c r="A66" s="1471"/>
      <c r="B66" s="246"/>
      <c r="C66" s="106"/>
      <c r="D66" s="107"/>
      <c r="E66" s="108"/>
      <c r="F66" s="109"/>
      <c r="G66" s="101"/>
      <c r="H66" s="102"/>
    </row>
    <row r="67" spans="1:10" ht="31.5" customHeight="1" x14ac:dyDescent="0.3">
      <c r="A67" s="1480"/>
      <c r="B67" s="450"/>
      <c r="C67" s="451"/>
      <c r="D67" s="452"/>
      <c r="E67" s="451"/>
      <c r="F67" s="452"/>
      <c r="G67" s="451"/>
      <c r="H67" s="453"/>
    </row>
    <row r="68" spans="1:10" ht="14.25" customHeight="1" x14ac:dyDescent="0.25">
      <c r="A68" s="1472"/>
      <c r="B68" s="811"/>
      <c r="C68" s="114"/>
      <c r="D68" s="232"/>
      <c r="E68" s="116"/>
      <c r="F68" s="117"/>
      <c r="G68" s="118"/>
      <c r="H68" s="119"/>
    </row>
    <row r="69" spans="1:10" ht="14.25" customHeight="1" x14ac:dyDescent="0.25">
      <c r="A69" s="1472"/>
      <c r="B69" s="811"/>
      <c r="C69" s="114"/>
      <c r="D69" s="232"/>
      <c r="E69" s="116"/>
      <c r="F69" s="117"/>
      <c r="G69" s="118"/>
      <c r="H69" s="119"/>
    </row>
    <row r="70" spans="1:10" ht="14.25" customHeight="1" x14ac:dyDescent="0.25">
      <c r="A70" s="1472"/>
      <c r="B70" s="811"/>
      <c r="C70" s="114"/>
      <c r="D70" s="232"/>
      <c r="E70" s="116"/>
      <c r="F70" s="117"/>
      <c r="G70" s="118"/>
      <c r="H70" s="119"/>
    </row>
    <row r="71" spans="1:10" ht="14.25" customHeight="1" x14ac:dyDescent="0.25">
      <c r="A71" s="1472"/>
      <c r="B71" s="811"/>
      <c r="C71" s="114"/>
      <c r="D71" s="232"/>
      <c r="E71" s="116"/>
      <c r="F71" s="117"/>
      <c r="G71" s="118"/>
      <c r="H71" s="119"/>
    </row>
    <row r="72" spans="1:10" ht="14.25" customHeight="1" x14ac:dyDescent="0.25">
      <c r="A72" s="1472"/>
      <c r="B72" s="811"/>
      <c r="C72" s="114"/>
      <c r="D72" s="232"/>
      <c r="E72" s="116"/>
      <c r="F72" s="117"/>
      <c r="G72" s="118"/>
      <c r="H72" s="119"/>
    </row>
    <row r="73" spans="1:10" ht="14.25" customHeight="1" x14ac:dyDescent="0.25">
      <c r="A73" s="1472"/>
      <c r="B73" s="811"/>
      <c r="C73" s="114"/>
      <c r="D73" s="232"/>
      <c r="E73" s="116"/>
      <c r="F73" s="117"/>
      <c r="G73" s="118"/>
      <c r="H73" s="119"/>
    </row>
    <row r="74" spans="1:10" ht="14.25" customHeight="1" x14ac:dyDescent="0.25">
      <c r="A74" s="1472"/>
      <c r="B74" s="811"/>
      <c r="C74" s="114"/>
      <c r="D74" s="232"/>
      <c r="E74" s="116"/>
      <c r="F74" s="117"/>
      <c r="G74" s="118"/>
      <c r="H74" s="119"/>
    </row>
    <row r="75" spans="1:10" ht="14.25" customHeight="1" x14ac:dyDescent="0.25">
      <c r="A75" s="1472"/>
      <c r="B75" s="811"/>
      <c r="C75" s="114"/>
      <c r="D75" s="232"/>
      <c r="E75" s="116"/>
      <c r="F75" s="117"/>
      <c r="G75" s="118"/>
      <c r="H75" s="119"/>
    </row>
    <row r="76" spans="1:10" ht="20.25" customHeight="1" x14ac:dyDescent="0.3">
      <c r="A76" s="1472"/>
      <c r="B76" s="811"/>
      <c r="C76" s="114"/>
      <c r="D76" s="232"/>
      <c r="E76" s="116"/>
      <c r="F76" s="117"/>
      <c r="G76" s="118"/>
      <c r="H76" s="119"/>
      <c r="I76" s="184"/>
      <c r="J76" s="183"/>
    </row>
    <row r="77" spans="1:10" ht="14.25" customHeight="1" x14ac:dyDescent="0.25">
      <c r="A77" s="1472"/>
      <c r="B77" s="811"/>
      <c r="C77" s="114"/>
      <c r="D77" s="232"/>
      <c r="E77" s="116"/>
      <c r="F77" s="117"/>
      <c r="G77" s="118"/>
      <c r="H77" s="119"/>
    </row>
    <row r="78" spans="1:10" ht="14.25" customHeight="1" x14ac:dyDescent="0.25">
      <c r="A78" s="1472"/>
      <c r="B78" s="811"/>
      <c r="C78" s="114"/>
      <c r="D78" s="232"/>
      <c r="E78" s="116"/>
      <c r="F78" s="117"/>
      <c r="G78" s="118"/>
      <c r="H78" s="119"/>
    </row>
    <row r="79" spans="1:10" ht="14.25" customHeight="1" x14ac:dyDescent="0.25">
      <c r="A79" s="1472"/>
      <c r="B79" s="811"/>
      <c r="C79" s="114"/>
      <c r="D79" s="232"/>
      <c r="E79" s="116"/>
      <c r="F79" s="117"/>
      <c r="G79" s="118"/>
      <c r="H79" s="119"/>
    </row>
    <row r="80" spans="1:10" ht="14.25" customHeight="1" x14ac:dyDescent="0.25">
      <c r="A80" s="1472"/>
      <c r="B80" s="811"/>
      <c r="C80" s="114"/>
      <c r="D80" s="232"/>
      <c r="E80" s="116"/>
      <c r="F80" s="117"/>
      <c r="G80" s="118"/>
      <c r="H80" s="119"/>
    </row>
    <row r="81" spans="1:8" ht="20.25" customHeight="1" x14ac:dyDescent="0.3">
      <c r="A81" s="1472"/>
      <c r="H81" s="183"/>
    </row>
    <row r="82" spans="1:8" ht="14.25" customHeight="1" x14ac:dyDescent="0.25">
      <c r="A82" s="1472"/>
      <c r="B82" s="84"/>
      <c r="C82" s="188"/>
      <c r="D82" s="189"/>
      <c r="E82" s="84"/>
      <c r="F82" s="84"/>
    </row>
    <row r="83" spans="1:8" ht="14.25" customHeight="1" x14ac:dyDescent="0.25">
      <c r="A83" s="1472"/>
      <c r="B83" s="278"/>
      <c r="E83" s="84"/>
      <c r="F83" s="84"/>
    </row>
    <row r="84" spans="1:8" ht="14.25" customHeight="1" x14ac:dyDescent="0.25">
      <c r="A84" s="1472"/>
      <c r="B84" s="278"/>
      <c r="C84" s="84"/>
      <c r="D84" s="84"/>
      <c r="E84" s="84"/>
      <c r="F84" s="84"/>
      <c r="G84" s="84"/>
      <c r="H84" s="84"/>
    </row>
    <row r="85" spans="1:8" ht="14.25" customHeight="1" x14ac:dyDescent="0.25">
      <c r="A85" s="1472"/>
      <c r="B85" s="278"/>
      <c r="C85" s="84"/>
      <c r="D85" s="84"/>
      <c r="E85" s="84"/>
      <c r="F85" s="84"/>
      <c r="G85" s="84"/>
      <c r="H85" s="84"/>
    </row>
    <row r="86" spans="1:8" ht="18" customHeight="1" x14ac:dyDescent="0.25">
      <c r="A86" s="1472"/>
      <c r="B86" s="1660"/>
      <c r="C86" s="1655"/>
      <c r="D86" s="1655"/>
      <c r="E86" s="1655"/>
      <c r="F86" s="1655"/>
      <c r="G86" s="1655"/>
      <c r="H86" s="1655"/>
    </row>
    <row r="87" spans="1:8" ht="18" customHeight="1" x14ac:dyDescent="0.25">
      <c r="A87" s="1472"/>
      <c r="B87" s="1660"/>
      <c r="C87" s="1653"/>
      <c r="D87" s="1653"/>
      <c r="E87" s="1653"/>
      <c r="F87" s="1653"/>
      <c r="G87" s="1653"/>
      <c r="H87" s="1653"/>
    </row>
    <row r="88" spans="1:8" ht="25.5" customHeight="1" x14ac:dyDescent="0.2">
      <c r="A88" s="1470"/>
      <c r="B88" s="347"/>
      <c r="C88" s="324"/>
      <c r="D88" s="347"/>
      <c r="E88" s="347"/>
      <c r="F88" s="347"/>
      <c r="G88" s="347"/>
      <c r="H88" s="323"/>
    </row>
    <row r="89" spans="1:8" ht="14.25" customHeight="1" x14ac:dyDescent="0.25">
      <c r="A89" s="1472"/>
      <c r="B89" s="811"/>
      <c r="C89" s="76"/>
      <c r="D89" s="118"/>
      <c r="E89" s="116"/>
      <c r="F89" s="117"/>
      <c r="G89" s="118"/>
      <c r="H89" s="119"/>
    </row>
    <row r="90" spans="1:8" ht="14.25" customHeight="1" x14ac:dyDescent="0.25">
      <c r="A90" s="1472"/>
      <c r="B90" s="811"/>
      <c r="C90" s="76"/>
      <c r="D90" s="76"/>
      <c r="E90" s="116"/>
      <c r="F90" s="117"/>
      <c r="G90" s="118"/>
      <c r="H90" s="119"/>
    </row>
    <row r="91" spans="1:8" ht="14.25" customHeight="1" x14ac:dyDescent="0.25">
      <c r="A91" s="1472"/>
      <c r="B91" s="811"/>
      <c r="C91" s="76"/>
      <c r="D91" s="76"/>
      <c r="E91" s="116"/>
      <c r="F91" s="117"/>
      <c r="G91" s="118"/>
      <c r="H91" s="119"/>
    </row>
    <row r="92" spans="1:8" ht="14.25" customHeight="1" x14ac:dyDescent="0.25">
      <c r="A92" s="1472"/>
      <c r="B92" s="811"/>
      <c r="C92" s="76"/>
      <c r="D92" s="76"/>
      <c r="E92" s="116"/>
      <c r="F92" s="117"/>
      <c r="G92" s="118"/>
      <c r="H92" s="119"/>
    </row>
    <row r="93" spans="1:8" ht="14.25" customHeight="1" x14ac:dyDescent="0.25">
      <c r="A93" s="1472"/>
      <c r="B93" s="811"/>
      <c r="C93" s="76"/>
      <c r="D93" s="76"/>
      <c r="E93" s="116"/>
      <c r="F93" s="117"/>
      <c r="G93" s="118"/>
      <c r="H93" s="119"/>
    </row>
    <row r="94" spans="1:8" ht="14.25" customHeight="1" x14ac:dyDescent="0.25">
      <c r="A94" s="1472"/>
      <c r="B94" s="811"/>
      <c r="C94" s="76"/>
      <c r="D94" s="76"/>
      <c r="E94" s="116"/>
      <c r="F94" s="117"/>
      <c r="G94" s="118"/>
      <c r="H94" s="119"/>
    </row>
    <row r="95" spans="1:8" ht="14.25" customHeight="1" x14ac:dyDescent="0.25">
      <c r="A95" s="1472"/>
      <c r="B95" s="811"/>
      <c r="C95" s="76"/>
      <c r="D95" s="76"/>
      <c r="E95" s="116"/>
      <c r="F95" s="117"/>
      <c r="G95" s="118"/>
      <c r="H95" s="119"/>
    </row>
    <row r="96" spans="1:8" ht="14.25" customHeight="1" x14ac:dyDescent="0.25">
      <c r="A96" s="1472"/>
      <c r="B96" s="811"/>
      <c r="C96" s="76"/>
      <c r="D96" s="76"/>
      <c r="E96" s="116"/>
      <c r="F96" s="117"/>
      <c r="G96" s="118"/>
      <c r="H96" s="119"/>
    </row>
    <row r="97" spans="1:8" ht="14.25" customHeight="1" x14ac:dyDescent="0.25">
      <c r="A97" s="1472"/>
      <c r="B97" s="811"/>
      <c r="C97" s="76"/>
      <c r="D97" s="76"/>
      <c r="E97" s="116"/>
      <c r="F97" s="117"/>
      <c r="G97" s="118"/>
      <c r="H97" s="119"/>
    </row>
    <row r="98" spans="1:8" ht="14.25" customHeight="1" x14ac:dyDescent="0.25">
      <c r="A98" s="1472"/>
      <c r="B98" s="811"/>
      <c r="C98" s="76"/>
      <c r="D98" s="76"/>
      <c r="E98" s="116"/>
      <c r="F98" s="117"/>
      <c r="G98" s="118"/>
      <c r="H98" s="119"/>
    </row>
    <row r="99" spans="1:8" ht="14.25" customHeight="1" x14ac:dyDescent="0.25">
      <c r="A99" s="1472"/>
      <c r="B99" s="811"/>
      <c r="C99" s="76"/>
      <c r="D99" s="76"/>
      <c r="E99" s="116"/>
      <c r="F99" s="117"/>
      <c r="G99" s="118"/>
      <c r="H99" s="119"/>
    </row>
    <row r="100" spans="1:8" ht="14.25" customHeight="1" x14ac:dyDescent="0.25">
      <c r="A100" s="1472"/>
      <c r="B100" s="811"/>
      <c r="C100" s="76"/>
      <c r="D100" s="76"/>
      <c r="E100" s="116"/>
      <c r="F100" s="117"/>
      <c r="G100" s="118"/>
      <c r="H100" s="119"/>
    </row>
    <row r="101" spans="1:8" ht="14.25" customHeight="1" x14ac:dyDescent="0.25">
      <c r="A101" s="1472"/>
      <c r="B101" s="811"/>
      <c r="C101" s="76"/>
      <c r="D101" s="76"/>
      <c r="E101" s="116"/>
      <c r="F101" s="117"/>
      <c r="G101" s="118"/>
      <c r="H101" s="119"/>
    </row>
    <row r="102" spans="1:8" ht="14.25" customHeight="1" x14ac:dyDescent="0.25">
      <c r="A102" s="1472"/>
      <c r="B102" s="811"/>
      <c r="C102" s="76"/>
      <c r="D102" s="76"/>
      <c r="E102" s="116"/>
      <c r="F102" s="117"/>
      <c r="G102" s="118"/>
      <c r="H102" s="119"/>
    </row>
    <row r="103" spans="1:8" ht="14.25" customHeight="1" x14ac:dyDescent="0.25">
      <c r="A103" s="1472"/>
      <c r="B103" s="811"/>
      <c r="C103" s="76"/>
      <c r="D103" s="76"/>
      <c r="E103" s="116"/>
      <c r="F103" s="117"/>
      <c r="G103" s="118"/>
      <c r="H103" s="119"/>
    </row>
    <row r="104" spans="1:8" ht="14.25" customHeight="1" x14ac:dyDescent="0.25">
      <c r="A104" s="1472"/>
      <c r="B104" s="811"/>
      <c r="C104" s="76"/>
      <c r="D104" s="76"/>
      <c r="E104" s="116"/>
      <c r="F104" s="117"/>
      <c r="G104" s="118"/>
      <c r="H104" s="119"/>
    </row>
    <row r="105" spans="1:8" ht="20.25" customHeight="1" x14ac:dyDescent="0.3">
      <c r="A105" s="1472"/>
      <c r="B105" s="184"/>
      <c r="C105" s="450"/>
      <c r="D105" s="451"/>
      <c r="E105" s="452"/>
      <c r="F105" s="451"/>
      <c r="G105" s="453"/>
      <c r="H105" s="183"/>
    </row>
    <row r="106" spans="1:8" x14ac:dyDescent="0.25">
      <c r="A106" s="1472"/>
    </row>
    <row r="107" spans="1:8" x14ac:dyDescent="0.25">
      <c r="A107" s="1472"/>
    </row>
    <row r="108" spans="1:8" x14ac:dyDescent="0.25">
      <c r="A108" s="1472"/>
    </row>
    <row r="109" spans="1:8" x14ac:dyDescent="0.25">
      <c r="A109" s="1472"/>
    </row>
    <row r="110" spans="1:8" x14ac:dyDescent="0.25">
      <c r="A110" s="1472"/>
    </row>
    <row r="111" spans="1:8" x14ac:dyDescent="0.25">
      <c r="A111" s="1472"/>
    </row>
    <row r="112" spans="1:8"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9">
    <mergeCell ref="B86:H86"/>
    <mergeCell ref="B87:H87"/>
    <mergeCell ref="B2:H3"/>
    <mergeCell ref="AE2:AG3"/>
    <mergeCell ref="AL2:AM2"/>
    <mergeCell ref="R25:U25"/>
    <mergeCell ref="R26:U26"/>
    <mergeCell ref="B35:F35"/>
    <mergeCell ref="B62:H63"/>
  </mergeCells>
  <printOptions horizontalCentered="1"/>
  <pageMargins left="0.4" right="0.4" top="1" bottom="0.5" header="0.3" footer="0.511811023622047"/>
  <pageSetup paperSize="9" scale="48" orientation="landscape" r:id="rId1"/>
  <legacy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CB556-3C52-4776-B528-0B2E57B26D7F}">
  <sheetPr codeName="Sheet98">
    <tabColor rgb="FFFFFF00"/>
    <outlinePr summaryBelow="0" summaryRight="0"/>
    <pageSetUpPr fitToPage="1"/>
  </sheetPr>
  <dimension ref="A1:AD960"/>
  <sheetViews>
    <sheetView topLeftCell="A2" zoomScale="70" zoomScaleNormal="70" zoomScaleSheetLayoutView="55" workbookViewId="0">
      <selection activeCell="E18" sqref="E18"/>
    </sheetView>
  </sheetViews>
  <sheetFormatPr defaultColWidth="12.5" defaultRowHeight="12.75" x14ac:dyDescent="0.2"/>
  <cols>
    <col min="1" max="1" width="12.5" style="599"/>
    <col min="2" max="2" width="31.375" style="599" bestFit="1" customWidth="1"/>
    <col min="3" max="3" width="24" style="599" customWidth="1"/>
    <col min="4" max="4" width="19" style="599" customWidth="1"/>
    <col min="5" max="5" width="16.125" style="599" bestFit="1" customWidth="1"/>
    <col min="6" max="6" width="23" style="599" customWidth="1"/>
    <col min="7" max="7" width="25.125" style="599" customWidth="1"/>
    <col min="8" max="8" width="36.125" style="599" bestFit="1" customWidth="1"/>
    <col min="9" max="10" width="12.5" style="599"/>
    <col min="11" max="11" width="7.125" style="599" customWidth="1"/>
    <col min="12" max="12" width="8.375" style="599" customWidth="1"/>
    <col min="13" max="14" width="2.375" style="599" customWidth="1"/>
    <col min="15" max="15" width="13.875" style="599" bestFit="1" customWidth="1"/>
    <col min="16" max="16" width="6.625" style="599" customWidth="1"/>
    <col min="17" max="17" width="10.25" style="599" customWidth="1"/>
    <col min="18" max="19" width="12.5" style="599"/>
    <col min="20" max="24" width="2.375" style="599" customWidth="1"/>
    <col min="25" max="16384" width="12.5" style="599"/>
  </cols>
  <sheetData>
    <row r="1" spans="1:30" ht="28.5" customHeight="1" x14ac:dyDescent="0.2">
      <c r="A1" s="14"/>
      <c r="B1" s="590" t="s">
        <v>231</v>
      </c>
      <c r="C1" s="595">
        <v>1000</v>
      </c>
      <c r="D1" s="596" t="s">
        <v>232</v>
      </c>
      <c r="E1" s="597">
        <f>S29</f>
        <v>24190</v>
      </c>
      <c r="F1" s="590" t="s">
        <v>233</v>
      </c>
      <c r="G1" s="597">
        <f>E1/C1</f>
        <v>24.19</v>
      </c>
      <c r="H1" s="590" t="s">
        <v>234</v>
      </c>
      <c r="I1" s="1380">
        <f>G1/K1</f>
        <v>23.950495049504951</v>
      </c>
      <c r="J1" s="701" t="s">
        <v>235</v>
      </c>
      <c r="K1" s="702">
        <v>1.01</v>
      </c>
      <c r="L1" s="598"/>
      <c r="M1" s="598"/>
      <c r="N1" s="598"/>
      <c r="O1" s="1381" t="s">
        <v>236</v>
      </c>
      <c r="P1" s="1266" t="s">
        <v>289</v>
      </c>
      <c r="Q1" s="880" t="s">
        <v>889</v>
      </c>
      <c r="R1" s="1372">
        <v>2.5</v>
      </c>
      <c r="S1" s="598"/>
      <c r="T1" s="598"/>
      <c r="U1" s="598"/>
      <c r="V1" s="598"/>
      <c r="Y1" s="75" t="s">
        <v>453</v>
      </c>
      <c r="Z1" s="766">
        <v>23190</v>
      </c>
      <c r="AA1" s="75" t="s">
        <v>556</v>
      </c>
      <c r="AB1" s="766">
        <v>1000</v>
      </c>
      <c r="AC1" s="75" t="s">
        <v>546</v>
      </c>
      <c r="AD1" s="766">
        <v>157</v>
      </c>
    </row>
    <row r="2" spans="1:30" ht="12.75" customHeight="1" x14ac:dyDescent="0.2">
      <c r="A2" s="306"/>
      <c r="B2" s="1675" t="s">
        <v>890</v>
      </c>
      <c r="C2" s="1675"/>
      <c r="D2" s="1675"/>
      <c r="E2" s="1675"/>
      <c r="F2" s="1675"/>
      <c r="G2" s="1675"/>
      <c r="H2" s="1675"/>
      <c r="I2" s="703"/>
      <c r="J2" s="703"/>
      <c r="K2" s="703"/>
      <c r="L2" s="598"/>
      <c r="M2" s="598"/>
      <c r="N2" s="598"/>
      <c r="O2" s="598"/>
      <c r="P2" s="598"/>
      <c r="Q2" s="598"/>
      <c r="R2" s="598"/>
      <c r="S2" s="598"/>
      <c r="T2" s="598"/>
      <c r="U2" s="598"/>
    </row>
    <row r="3" spans="1:30" ht="12.75" customHeight="1" x14ac:dyDescent="0.2">
      <c r="A3" s="306"/>
      <c r="B3" s="1676"/>
      <c r="C3" s="1676"/>
      <c r="D3" s="1676"/>
      <c r="E3" s="1676"/>
      <c r="F3" s="1676"/>
      <c r="G3" s="1676"/>
      <c r="H3" s="1676"/>
      <c r="I3" s="703"/>
      <c r="J3" s="703"/>
      <c r="K3" s="703"/>
      <c r="L3" s="598"/>
      <c r="M3" s="598"/>
      <c r="N3" s="598"/>
      <c r="O3" s="598"/>
      <c r="P3" s="598"/>
      <c r="Q3" s="598"/>
      <c r="R3" s="598"/>
      <c r="S3" s="598"/>
      <c r="T3" s="598"/>
      <c r="U3" s="598"/>
    </row>
    <row r="4" spans="1:30" ht="69" customHeight="1" x14ac:dyDescent="0.2">
      <c r="A4" s="75" t="s">
        <v>903</v>
      </c>
      <c r="B4" s="600" t="s">
        <v>241</v>
      </c>
      <c r="C4" s="601" t="s">
        <v>242</v>
      </c>
      <c r="D4" s="600" t="s">
        <v>231</v>
      </c>
      <c r="E4" s="1382" t="s">
        <v>234</v>
      </c>
      <c r="F4" s="603" t="s">
        <v>243</v>
      </c>
      <c r="G4" s="600" t="s">
        <v>244</v>
      </c>
      <c r="H4" s="1383" t="s">
        <v>512</v>
      </c>
      <c r="I4" s="75" t="s">
        <v>246</v>
      </c>
      <c r="J4" s="75" t="s">
        <v>247</v>
      </c>
      <c r="K4" s="75" t="s">
        <v>248</v>
      </c>
      <c r="L4" s="75" t="s">
        <v>249</v>
      </c>
      <c r="M4" s="598"/>
      <c r="N4" s="598"/>
      <c r="O4" s="598"/>
      <c r="P4" s="598"/>
      <c r="Q4" s="598"/>
      <c r="R4" s="598"/>
      <c r="S4" s="598"/>
      <c r="T4" s="598"/>
      <c r="U4" s="598"/>
    </row>
    <row r="5" spans="1:30" ht="16.5" x14ac:dyDescent="0.35">
      <c r="A5" s="1459"/>
      <c r="B5" s="1384"/>
      <c r="C5" s="1385"/>
      <c r="D5" s="1386"/>
      <c r="E5" s="1387"/>
      <c r="F5" s="704"/>
      <c r="G5" s="704"/>
      <c r="H5" s="1388"/>
      <c r="I5" s="65"/>
      <c r="J5" s="101"/>
      <c r="K5" s="104"/>
      <c r="L5" s="104"/>
    </row>
    <row r="6" spans="1:30" ht="16.5" x14ac:dyDescent="0.35">
      <c r="A6" s="844"/>
      <c r="B6" s="1384" t="s">
        <v>890</v>
      </c>
      <c r="C6" s="1385" t="s">
        <v>14</v>
      </c>
      <c r="D6" s="1386">
        <f>1000/R1</f>
        <v>400</v>
      </c>
      <c r="E6" s="1389">
        <f>$I$1</f>
        <v>23.950495049504951</v>
      </c>
      <c r="F6" s="1390">
        <v>1</v>
      </c>
      <c r="G6" s="1391">
        <f>D6*E6</f>
        <v>9580.198019801981</v>
      </c>
      <c r="H6" s="1392">
        <f>G6*F6</f>
        <v>9580.198019801981</v>
      </c>
      <c r="I6" s="65">
        <f>VLOOKUP(B6,All_Ingredients!$A$1:$F$156,6,FALSE())</f>
        <v>1</v>
      </c>
      <c r="J6" s="101">
        <f>VLOOKUP(B6,All_Ingredients!$A$1:$J$156,10,FALSE())</f>
        <v>37.5</v>
      </c>
      <c r="K6" s="104">
        <f t="shared" ref="K6" si="0">(H6/I6)/1000</f>
        <v>9.5801980198019816</v>
      </c>
      <c r="L6" s="104">
        <f t="shared" ref="L6" si="1">K6*J6</f>
        <v>359.2574257425743</v>
      </c>
    </row>
    <row r="7" spans="1:30" ht="15" x14ac:dyDescent="0.2">
      <c r="A7" s="844"/>
      <c r="B7" s="1393" t="s">
        <v>152</v>
      </c>
      <c r="C7" s="1394" t="s">
        <v>14</v>
      </c>
      <c r="D7" s="1395">
        <v>10</v>
      </c>
      <c r="E7" s="1396">
        <f>$I$1</f>
        <v>23.950495049504951</v>
      </c>
      <c r="F7" s="1397">
        <v>1</v>
      </c>
      <c r="G7" s="1398">
        <f>D7*E7</f>
        <v>239.50495049504951</v>
      </c>
      <c r="H7" s="1399">
        <f>G7*F7</f>
        <v>239.50495049504951</v>
      </c>
      <c r="I7" s="65">
        <f>VLOOKUP(B7,All_Ingredients!$A$1:$F$156,6,FALSE())</f>
        <v>1</v>
      </c>
      <c r="J7" s="101">
        <f>VLOOKUP(B7,All_Ingredients!$A$1:$J$156,10,FALSE())</f>
        <v>30</v>
      </c>
      <c r="K7" s="104">
        <f t="shared" ref="K7" si="2">(H7/I7)/1000</f>
        <v>0.23950495049504952</v>
      </c>
      <c r="L7" s="104">
        <f t="shared" ref="L7" si="3">K7*J7</f>
        <v>7.1851485148514858</v>
      </c>
    </row>
    <row r="8" spans="1:30" ht="15" x14ac:dyDescent="0.2">
      <c r="A8" s="1400"/>
      <c r="B8" s="1401"/>
      <c r="C8" s="1402"/>
      <c r="D8" s="1403"/>
      <c r="E8" s="1403"/>
      <c r="F8" s="1404"/>
      <c r="G8" s="1405"/>
      <c r="H8" s="1406"/>
      <c r="I8" s="392"/>
      <c r="J8" s="438"/>
      <c r="K8" s="439"/>
      <c r="L8" s="439"/>
    </row>
    <row r="9" spans="1:30" ht="15" x14ac:dyDescent="0.2">
      <c r="A9" s="1400"/>
      <c r="B9" s="1407"/>
      <c r="C9" s="1408"/>
      <c r="D9" s="1409"/>
      <c r="E9" s="1409"/>
      <c r="F9" s="1410"/>
      <c r="G9" s="1411"/>
      <c r="H9" s="1412"/>
      <c r="I9" s="76"/>
      <c r="J9" s="118"/>
      <c r="K9" s="112"/>
      <c r="L9" s="112"/>
    </row>
    <row r="10" spans="1:30" ht="15" x14ac:dyDescent="0.2">
      <c r="B10" s="1407"/>
      <c r="C10" s="1408"/>
      <c r="D10" s="1413"/>
      <c r="E10" s="1414"/>
      <c r="F10" s="1410"/>
      <c r="G10" s="1415"/>
      <c r="H10" s="1412"/>
    </row>
    <row r="11" spans="1:30" x14ac:dyDescent="0.2">
      <c r="E11" s="598"/>
      <c r="F11" s="598"/>
    </row>
    <row r="12" spans="1:30" x14ac:dyDescent="0.2">
      <c r="E12" s="598"/>
      <c r="F12" s="598"/>
    </row>
    <row r="13" spans="1:30" x14ac:dyDescent="0.2">
      <c r="E13" s="598"/>
      <c r="F13" s="598"/>
    </row>
    <row r="14" spans="1:30" x14ac:dyDescent="0.2">
      <c r="E14" s="598"/>
      <c r="F14" s="598"/>
    </row>
    <row r="15" spans="1:30" x14ac:dyDescent="0.2">
      <c r="E15" s="598"/>
      <c r="F15" s="598"/>
    </row>
    <row r="16" spans="1:30" x14ac:dyDescent="0.2">
      <c r="E16" s="598"/>
      <c r="F16" s="598"/>
    </row>
    <row r="17" spans="2:29" x14ac:dyDescent="0.2">
      <c r="E17" s="598"/>
      <c r="F17" s="598"/>
    </row>
    <row r="18" spans="2:29" x14ac:dyDescent="0.2">
      <c r="B18" s="598"/>
      <c r="E18" s="598"/>
      <c r="F18" s="598"/>
    </row>
    <row r="24" spans="2:29" x14ac:dyDescent="0.2">
      <c r="Z24" s="1130"/>
    </row>
    <row r="25" spans="2:29" ht="14.25" x14ac:dyDescent="0.2">
      <c r="R25" s="1727" t="s">
        <v>890</v>
      </c>
      <c r="S25" s="1727"/>
      <c r="Z25" s="122" t="s">
        <v>14</v>
      </c>
      <c r="AA25" s="123">
        <v>1</v>
      </c>
      <c r="AB25" s="122" t="s">
        <v>249</v>
      </c>
      <c r="AC25" s="124">
        <f>(S33/S29)*AA25</f>
        <v>1.5148514851485152E-2</v>
      </c>
    </row>
    <row r="26" spans="2:29" ht="14.25" x14ac:dyDescent="0.2">
      <c r="R26" s="1416" t="s">
        <v>254</v>
      </c>
      <c r="S26" s="1416" t="s">
        <v>547</v>
      </c>
    </row>
    <row r="27" spans="2:29" ht="14.25" x14ac:dyDescent="0.2">
      <c r="R27" s="1416" t="s">
        <v>511</v>
      </c>
      <c r="S27" s="1417">
        <f>Z1</f>
        <v>23190</v>
      </c>
    </row>
    <row r="28" spans="2:29" ht="14.25" x14ac:dyDescent="0.2">
      <c r="R28" s="1416" t="s">
        <v>265</v>
      </c>
      <c r="S28" s="1418">
        <f>AB1</f>
        <v>1000</v>
      </c>
    </row>
    <row r="29" spans="2:29" ht="15" x14ac:dyDescent="0.2">
      <c r="R29" s="1416" t="s">
        <v>257</v>
      </c>
      <c r="S29" s="1419">
        <f>S27+S28</f>
        <v>24190</v>
      </c>
    </row>
    <row r="32" spans="2:29" ht="13.5" thickBot="1" x14ac:dyDescent="0.25"/>
    <row r="33" spans="18:19" ht="13.5" thickBot="1" x14ac:dyDescent="0.25">
      <c r="R33" s="144" t="s">
        <v>249</v>
      </c>
      <c r="S33" s="990">
        <f>SUM(L5:L9)</f>
        <v>366.4425742574258</v>
      </c>
    </row>
    <row r="35" spans="18:19" ht="14.25" customHeight="1" x14ac:dyDescent="0.2"/>
    <row r="36" spans="18:19" ht="14.25" customHeight="1" x14ac:dyDescent="0.2"/>
    <row r="50" spans="1:8" ht="15" x14ac:dyDescent="0.25">
      <c r="B50" s="1420"/>
      <c r="C50" s="1420" t="s">
        <v>233</v>
      </c>
      <c r="D50" s="1420" t="s">
        <v>279</v>
      </c>
    </row>
    <row r="51" spans="1:8" ht="14.25" x14ac:dyDescent="0.2">
      <c r="B51" s="161" t="s">
        <v>283</v>
      </c>
      <c r="C51" s="162">
        <f>10/$K$1</f>
        <v>9.9009900990099009</v>
      </c>
      <c r="D51" s="163">
        <f>$C$1*10</f>
        <v>10000</v>
      </c>
    </row>
    <row r="52" spans="1:8" ht="15" x14ac:dyDescent="0.25">
      <c r="B52" s="1421" t="s">
        <v>257</v>
      </c>
      <c r="C52" s="591">
        <f>G1</f>
        <v>24.19</v>
      </c>
      <c r="D52" s="591">
        <f>E1</f>
        <v>24190</v>
      </c>
    </row>
    <row r="53" spans="1:8" ht="15" x14ac:dyDescent="0.25">
      <c r="B53" s="1421" t="s">
        <v>284</v>
      </c>
      <c r="C53" s="592">
        <f>MIN($C$52, C51)</f>
        <v>9.9009900990099009</v>
      </c>
      <c r="D53" s="837">
        <f>(C53*$K$1)*$C$1</f>
        <v>10000</v>
      </c>
    </row>
    <row r="54" spans="1:8" ht="15" x14ac:dyDescent="0.25">
      <c r="B54" s="1421" t="s">
        <v>285</v>
      </c>
      <c r="C54" s="592">
        <f>MIN(MAX($C$52-C53,0),$C$51)</f>
        <v>9.9009900990099009</v>
      </c>
      <c r="D54" s="837">
        <f>(C54*$K$1)*$C$1</f>
        <v>10000</v>
      </c>
    </row>
    <row r="55" spans="1:8" ht="15" x14ac:dyDescent="0.25">
      <c r="B55" s="1421" t="s">
        <v>286</v>
      </c>
      <c r="C55" s="592">
        <f>MIN(MAX($C$52-C53-C54,0),$C$51)</f>
        <v>4.3880198019801995</v>
      </c>
      <c r="D55" s="837">
        <f>(C55*$K$1)*$C$1</f>
        <v>4431.9000000000015</v>
      </c>
    </row>
    <row r="56" spans="1:8" ht="15" x14ac:dyDescent="0.25">
      <c r="B56" s="1421" t="s">
        <v>293</v>
      </c>
      <c r="C56" s="592">
        <f>MIN(MAX($C$52-C53-C54-C55,0),$C$51)</f>
        <v>0</v>
      </c>
      <c r="D56" s="593">
        <f>C56*$K$1</f>
        <v>0</v>
      </c>
    </row>
    <row r="57" spans="1:8" ht="14.25" customHeight="1" x14ac:dyDescent="0.2"/>
    <row r="58" spans="1:8" ht="14.25" customHeight="1" x14ac:dyDescent="0.2"/>
    <row r="62" spans="1:8" ht="14.25" customHeight="1" x14ac:dyDescent="0.2">
      <c r="A62" s="1464"/>
      <c r="B62" s="1636"/>
      <c r="C62" s="1637"/>
      <c r="D62" s="1637"/>
      <c r="E62" s="1637"/>
      <c r="F62" s="1637"/>
      <c r="G62" s="1637"/>
      <c r="H62" s="1637"/>
    </row>
    <row r="63" spans="1:8" ht="14.25" customHeight="1" x14ac:dyDescent="0.2">
      <c r="A63" s="1464"/>
      <c r="B63" s="1636" t="s">
        <v>890</v>
      </c>
      <c r="C63" s="1637"/>
      <c r="D63" s="1637"/>
      <c r="E63" s="1637"/>
      <c r="F63" s="1637"/>
      <c r="G63" s="1637"/>
      <c r="H63" s="1637"/>
    </row>
    <row r="64" spans="1:8" ht="25.5" x14ac:dyDescent="0.2">
      <c r="A64" s="1457"/>
      <c r="B64" s="221" t="s">
        <v>241</v>
      </c>
      <c r="C64" s="222" t="s">
        <v>242</v>
      </c>
      <c r="D64" s="223" t="s">
        <v>231</v>
      </c>
      <c r="E64" s="197" t="s">
        <v>234</v>
      </c>
      <c r="F64" s="197" t="s">
        <v>243</v>
      </c>
      <c r="G64" s="223" t="s">
        <v>244</v>
      </c>
      <c r="H64" s="197" t="s">
        <v>245</v>
      </c>
    </row>
    <row r="65" spans="1:8" ht="15" x14ac:dyDescent="0.2">
      <c r="A65" s="844"/>
      <c r="B65" s="1422" t="str">
        <f t="shared" ref="B65:D66" si="4">B6</f>
        <v>Noodles - نودلز</v>
      </c>
      <c r="C65" s="1423" t="str">
        <f t="shared" si="4"/>
        <v>gm</v>
      </c>
      <c r="D65" s="1424">
        <f t="shared" si="4"/>
        <v>400</v>
      </c>
      <c r="E65" s="1425">
        <f>$C$52</f>
        <v>24.19</v>
      </c>
      <c r="F65" s="1390">
        <f>F6</f>
        <v>1</v>
      </c>
      <c r="G65" s="1391">
        <f>D65*E65</f>
        <v>9676</v>
      </c>
      <c r="H65" s="1426">
        <f>G65*F65</f>
        <v>9676</v>
      </c>
    </row>
    <row r="66" spans="1:8" ht="15" x14ac:dyDescent="0.2">
      <c r="A66" s="844"/>
      <c r="B66" s="1422" t="str">
        <f t="shared" si="4"/>
        <v>Butter - زبدة</v>
      </c>
      <c r="C66" s="1423" t="str">
        <f t="shared" si="4"/>
        <v>gm</v>
      </c>
      <c r="D66" s="1424">
        <f t="shared" si="4"/>
        <v>10</v>
      </c>
      <c r="E66" s="1425">
        <f t="shared" ref="E66" si="5">$C$52</f>
        <v>24.19</v>
      </c>
      <c r="F66" s="1390">
        <f>F7</f>
        <v>1</v>
      </c>
      <c r="G66" s="1391">
        <f>D66*E66</f>
        <v>241.9</v>
      </c>
      <c r="H66" s="1426">
        <f>G66*F66</f>
        <v>241.9</v>
      </c>
    </row>
    <row r="67" spans="1:8" ht="15.75" x14ac:dyDescent="0.2">
      <c r="B67" s="178" t="s">
        <v>702</v>
      </c>
      <c r="C67" s="598"/>
      <c r="D67" s="598"/>
      <c r="E67" s="598"/>
      <c r="F67" s="598"/>
    </row>
    <row r="68" spans="1:8" ht="20.25" x14ac:dyDescent="0.3">
      <c r="B68" s="179">
        <f>$D$52</f>
        <v>24190</v>
      </c>
      <c r="F68" s="1427"/>
    </row>
    <row r="69" spans="1:8" x14ac:dyDescent="0.2">
      <c r="B69" s="598"/>
      <c r="E69" s="598"/>
      <c r="F69" s="598"/>
    </row>
    <row r="70" spans="1:8" x14ac:dyDescent="0.2">
      <c r="A70" s="1465"/>
      <c r="B70" s="1091"/>
      <c r="C70" s="1091"/>
      <c r="D70" s="1091"/>
      <c r="E70" s="1091"/>
      <c r="F70" s="1091"/>
      <c r="G70" s="1091"/>
      <c r="H70" s="1091"/>
    </row>
    <row r="71" spans="1:8" ht="18" x14ac:dyDescent="0.2">
      <c r="A71" s="1462"/>
      <c r="B71" s="1673"/>
      <c r="C71" s="1674"/>
      <c r="D71" s="1674"/>
      <c r="E71" s="1674"/>
      <c r="F71" s="1674"/>
      <c r="G71" s="1674"/>
      <c r="H71" s="1674"/>
    </row>
    <row r="72" spans="1:8" ht="18" x14ac:dyDescent="0.2">
      <c r="A72" s="1462"/>
      <c r="B72" s="1673"/>
      <c r="C72" s="1674"/>
      <c r="D72" s="1674"/>
      <c r="E72" s="1674"/>
      <c r="F72" s="1674"/>
      <c r="G72" s="1674"/>
      <c r="H72" s="1674"/>
    </row>
    <row r="73" spans="1:8" ht="14.25" customHeight="1" x14ac:dyDescent="0.2">
      <c r="A73" s="1463"/>
      <c r="B73" s="1428"/>
      <c r="C73" s="1429"/>
      <c r="D73" s="1428"/>
      <c r="E73" s="1428"/>
      <c r="F73" s="1428"/>
      <c r="G73" s="1428"/>
      <c r="H73" s="1428"/>
    </row>
    <row r="74" spans="1:8" ht="14.25" customHeight="1" x14ac:dyDescent="0.2">
      <c r="A74" s="1465"/>
      <c r="B74" s="1430"/>
      <c r="C74" s="1430"/>
      <c r="D74" s="1430"/>
      <c r="E74" s="1431"/>
      <c r="F74" s="1432"/>
      <c r="G74" s="1433"/>
      <c r="H74" s="1434"/>
    </row>
    <row r="75" spans="1:8" ht="15" x14ac:dyDescent="0.2">
      <c r="A75" s="1465"/>
      <c r="B75" s="1430"/>
      <c r="C75" s="1430"/>
      <c r="D75" s="1430"/>
      <c r="E75" s="1431"/>
      <c r="F75" s="1432"/>
      <c r="G75" s="1433"/>
      <c r="H75" s="1434"/>
    </row>
    <row r="76" spans="1:8" ht="15" x14ac:dyDescent="0.2">
      <c r="A76" s="1465"/>
      <c r="B76" s="1430"/>
      <c r="C76" s="1430"/>
      <c r="D76" s="1430"/>
      <c r="E76" s="1431"/>
      <c r="F76" s="1432"/>
      <c r="G76" s="1433"/>
      <c r="H76" s="1434"/>
    </row>
    <row r="77" spans="1:8" ht="15" x14ac:dyDescent="0.2">
      <c r="A77" s="1465"/>
      <c r="B77" s="1430"/>
      <c r="C77" s="1430"/>
      <c r="D77" s="1430"/>
      <c r="E77" s="1431"/>
      <c r="F77" s="1432"/>
      <c r="G77" s="1433"/>
      <c r="H77" s="1434"/>
    </row>
    <row r="78" spans="1:8" ht="15.75" x14ac:dyDescent="0.2">
      <c r="A78" s="1465"/>
      <c r="B78" s="814"/>
      <c r="C78" s="1090"/>
      <c r="D78" s="1090"/>
      <c r="E78" s="1091"/>
      <c r="F78" s="1091"/>
      <c r="G78" s="1090"/>
      <c r="H78" s="1090"/>
    </row>
    <row r="79" spans="1:8" ht="20.25" x14ac:dyDescent="0.3">
      <c r="A79" s="1465"/>
      <c r="B79" s="815"/>
      <c r="C79" s="1091"/>
      <c r="D79" s="1091"/>
      <c r="E79" s="1091"/>
      <c r="F79" s="1435"/>
      <c r="G79" s="1090"/>
      <c r="H79" s="1090"/>
    </row>
    <row r="80" spans="1:8" x14ac:dyDescent="0.2">
      <c r="A80" s="1465"/>
      <c r="B80" s="1091"/>
      <c r="C80" s="1091"/>
      <c r="D80" s="1091"/>
      <c r="E80" s="1091"/>
      <c r="F80" s="1091"/>
      <c r="G80" s="1091"/>
      <c r="H80" s="1091"/>
    </row>
    <row r="81" spans="1:8" x14ac:dyDescent="0.2">
      <c r="A81" s="1465"/>
      <c r="B81" s="1091"/>
      <c r="C81" s="1091"/>
      <c r="D81" s="1091"/>
      <c r="E81" s="1091"/>
      <c r="F81" s="1091"/>
      <c r="G81" s="1091"/>
      <c r="H81" s="1091"/>
    </row>
    <row r="82" spans="1:8" ht="18" x14ac:dyDescent="0.2">
      <c r="A82" s="1462"/>
      <c r="B82" s="1673"/>
      <c r="C82" s="1674"/>
      <c r="D82" s="1674"/>
      <c r="E82" s="1674"/>
      <c r="F82" s="1674"/>
      <c r="G82" s="1674"/>
      <c r="H82" s="1674"/>
    </row>
    <row r="83" spans="1:8" ht="18" x14ac:dyDescent="0.2">
      <c r="A83" s="1462"/>
      <c r="B83" s="1673"/>
      <c r="C83" s="1674"/>
      <c r="D83" s="1674"/>
      <c r="E83" s="1674"/>
      <c r="F83" s="1674"/>
      <c r="G83" s="1674"/>
      <c r="H83" s="1674"/>
    </row>
    <row r="84" spans="1:8" ht="14.25" customHeight="1" x14ac:dyDescent="0.2">
      <c r="A84" s="1463"/>
      <c r="B84" s="1428"/>
      <c r="C84" s="1429"/>
      <c r="D84" s="1428"/>
      <c r="E84" s="1428"/>
      <c r="F84" s="1428"/>
      <c r="G84" s="1428"/>
      <c r="H84" s="1428"/>
    </row>
    <row r="85" spans="1:8" ht="14.25" customHeight="1" x14ac:dyDescent="0.2">
      <c r="A85" s="1465"/>
      <c r="B85" s="1430"/>
      <c r="C85" s="1430"/>
      <c r="D85" s="1430"/>
      <c r="E85" s="1436"/>
      <c r="F85" s="1437"/>
      <c r="G85" s="1433"/>
      <c r="H85" s="1434"/>
    </row>
    <row r="86" spans="1:8" ht="15" x14ac:dyDescent="0.2">
      <c r="A86" s="1465"/>
      <c r="B86" s="1430"/>
      <c r="C86" s="1430"/>
      <c r="D86" s="1430"/>
      <c r="E86" s="1436"/>
      <c r="F86" s="1437"/>
      <c r="G86" s="1433"/>
      <c r="H86" s="1434"/>
    </row>
    <row r="87" spans="1:8" ht="15" x14ac:dyDescent="0.2">
      <c r="A87" s="1465"/>
      <c r="B87" s="1430"/>
      <c r="C87" s="1430"/>
      <c r="D87" s="1430"/>
      <c r="E87" s="1436"/>
      <c r="F87" s="1437"/>
      <c r="G87" s="1433"/>
      <c r="H87" s="1434"/>
    </row>
    <row r="88" spans="1:8" ht="15" x14ac:dyDescent="0.2">
      <c r="A88" s="1465"/>
      <c r="B88" s="1430"/>
      <c r="C88" s="1430"/>
      <c r="D88" s="1430"/>
      <c r="E88" s="1436"/>
      <c r="F88" s="1437"/>
      <c r="G88" s="1433"/>
      <c r="H88" s="1434"/>
    </row>
    <row r="89" spans="1:8" ht="15.75" x14ac:dyDescent="0.2">
      <c r="A89" s="1465"/>
      <c r="B89" s="814"/>
      <c r="C89" s="1090"/>
      <c r="D89" s="1090"/>
      <c r="E89" s="1091"/>
      <c r="F89" s="1091"/>
      <c r="G89" s="1090"/>
      <c r="H89" s="1090"/>
    </row>
    <row r="90" spans="1:8" ht="20.25" x14ac:dyDescent="0.3">
      <c r="A90" s="1465"/>
      <c r="B90" s="815"/>
      <c r="C90" s="1090"/>
      <c r="D90" s="1090"/>
      <c r="E90" s="1090"/>
      <c r="F90" s="1090"/>
      <c r="G90" s="1090"/>
      <c r="H90" s="1090"/>
    </row>
    <row r="91" spans="1:8" ht="18" x14ac:dyDescent="0.2">
      <c r="A91" s="1462"/>
      <c r="B91" s="1673"/>
      <c r="C91" s="1674"/>
      <c r="D91" s="1674"/>
      <c r="E91" s="1674"/>
      <c r="F91" s="1674"/>
      <c r="G91" s="1674"/>
      <c r="H91" s="1674"/>
    </row>
    <row r="92" spans="1:8" ht="18" x14ac:dyDescent="0.2">
      <c r="A92" s="1462"/>
      <c r="B92" s="1673"/>
      <c r="C92" s="1674"/>
      <c r="D92" s="1674"/>
      <c r="E92" s="1674"/>
      <c r="F92" s="1674"/>
      <c r="G92" s="1674"/>
      <c r="H92" s="1674"/>
    </row>
    <row r="93" spans="1:8" ht="14.25" customHeight="1" x14ac:dyDescent="0.2">
      <c r="A93" s="1463"/>
      <c r="B93" s="1428"/>
      <c r="C93" s="1429"/>
      <c r="D93" s="1428"/>
      <c r="E93" s="1428"/>
      <c r="F93" s="1428"/>
      <c r="G93" s="1428"/>
      <c r="H93" s="1428"/>
    </row>
    <row r="94" spans="1:8" ht="14.25" customHeight="1" x14ac:dyDescent="0.2">
      <c r="A94" s="1465"/>
      <c r="B94" s="1430"/>
      <c r="C94" s="1430"/>
      <c r="D94" s="1430"/>
      <c r="E94" s="1436"/>
      <c r="F94" s="1437"/>
      <c r="G94" s="1433"/>
      <c r="H94" s="1434"/>
    </row>
    <row r="95" spans="1:8" ht="15" x14ac:dyDescent="0.2">
      <c r="A95" s="1465"/>
      <c r="B95" s="1430"/>
      <c r="C95" s="1430"/>
      <c r="D95" s="1430"/>
      <c r="E95" s="1436"/>
      <c r="F95" s="1437"/>
      <c r="G95" s="1433"/>
      <c r="H95" s="1434"/>
    </row>
    <row r="96" spans="1:8" ht="15" x14ac:dyDescent="0.2">
      <c r="A96" s="1465"/>
      <c r="B96" s="1430"/>
      <c r="C96" s="1430"/>
      <c r="D96" s="1430"/>
      <c r="E96" s="1436"/>
      <c r="F96" s="1437"/>
      <c r="G96" s="1433"/>
      <c r="H96" s="1434"/>
    </row>
    <row r="97" spans="1:8" ht="15" x14ac:dyDescent="0.2">
      <c r="A97" s="1465"/>
      <c r="B97" s="1430"/>
      <c r="C97" s="1430"/>
      <c r="D97" s="1430"/>
      <c r="E97" s="1436"/>
      <c r="F97" s="1437"/>
      <c r="G97" s="1433"/>
      <c r="H97" s="1434"/>
    </row>
    <row r="98" spans="1:8" ht="15.75" x14ac:dyDescent="0.2">
      <c r="A98" s="1465"/>
      <c r="B98" s="814"/>
      <c r="C98" s="1090"/>
      <c r="D98" s="1090"/>
      <c r="E98" s="1091"/>
      <c r="F98" s="1091"/>
      <c r="G98" s="1090"/>
      <c r="H98" s="1090"/>
    </row>
    <row r="99" spans="1:8" ht="20.25" x14ac:dyDescent="0.3">
      <c r="A99" s="1465"/>
      <c r="B99" s="815"/>
      <c r="C99" s="1090"/>
      <c r="D99" s="1090"/>
      <c r="E99" s="1091"/>
      <c r="F99" s="1091"/>
      <c r="G99" s="1090"/>
      <c r="H99" s="1090"/>
    </row>
    <row r="100" spans="1:8" x14ac:dyDescent="0.2">
      <c r="A100" s="1465"/>
      <c r="B100" s="1091"/>
      <c r="C100" s="1090"/>
      <c r="D100" s="1090"/>
      <c r="E100" s="1091"/>
      <c r="F100" s="1091"/>
      <c r="G100" s="1090"/>
      <c r="H100" s="1090"/>
    </row>
    <row r="101" spans="1:8" x14ac:dyDescent="0.2">
      <c r="A101" s="1465"/>
      <c r="B101" s="1091"/>
      <c r="C101" s="1090"/>
      <c r="D101" s="1090"/>
      <c r="E101" s="1091"/>
      <c r="F101" s="1091"/>
      <c r="G101" s="1090"/>
      <c r="H101" s="1090"/>
    </row>
    <row r="102" spans="1:8" x14ac:dyDescent="0.2">
      <c r="A102" s="1465"/>
      <c r="B102" s="1091"/>
      <c r="C102" s="1090"/>
      <c r="D102" s="1090"/>
      <c r="E102" s="1091"/>
      <c r="F102" s="1091"/>
      <c r="G102" s="1090"/>
      <c r="H102" s="1090"/>
    </row>
    <row r="103" spans="1:8" x14ac:dyDescent="0.2">
      <c r="A103" s="1465"/>
      <c r="B103" s="1091"/>
      <c r="C103" s="1090"/>
      <c r="D103" s="1090"/>
      <c r="E103" s="1091"/>
      <c r="F103" s="1091"/>
      <c r="G103" s="1090"/>
      <c r="H103" s="1090"/>
    </row>
    <row r="104" spans="1:8" x14ac:dyDescent="0.2">
      <c r="A104" s="1465"/>
      <c r="B104" s="1091"/>
      <c r="C104" s="1090"/>
      <c r="D104" s="1090"/>
      <c r="E104" s="1091"/>
      <c r="F104" s="1091"/>
      <c r="G104" s="1090"/>
      <c r="H104" s="1090"/>
    </row>
    <row r="105" spans="1:8" x14ac:dyDescent="0.2">
      <c r="A105" s="1465"/>
      <c r="B105" s="1091"/>
      <c r="C105" s="1090"/>
      <c r="D105" s="1090"/>
      <c r="E105" s="1091"/>
      <c r="F105" s="1091"/>
      <c r="G105" s="1090"/>
      <c r="H105" s="1090"/>
    </row>
    <row r="106" spans="1:8" x14ac:dyDescent="0.2">
      <c r="A106" s="1465"/>
      <c r="B106" s="1091"/>
      <c r="C106" s="1090"/>
      <c r="D106" s="1090"/>
      <c r="E106" s="1091"/>
      <c r="F106" s="1091"/>
      <c r="G106" s="1090"/>
      <c r="H106" s="1090"/>
    </row>
    <row r="107" spans="1:8" x14ac:dyDescent="0.2">
      <c r="A107" s="1465"/>
      <c r="B107" s="1091"/>
      <c r="C107" s="1090"/>
      <c r="D107" s="1090"/>
      <c r="E107" s="1091"/>
      <c r="F107" s="1091"/>
      <c r="G107" s="1090"/>
      <c r="H107" s="1090"/>
    </row>
    <row r="108" spans="1:8" x14ac:dyDescent="0.2">
      <c r="A108" s="1465"/>
      <c r="B108" s="1091"/>
      <c r="C108" s="1090"/>
      <c r="D108" s="1090"/>
      <c r="E108" s="1091"/>
      <c r="F108" s="1091"/>
      <c r="G108" s="1090"/>
      <c r="H108" s="1090"/>
    </row>
    <row r="109" spans="1:8" x14ac:dyDescent="0.2">
      <c r="A109" s="1465"/>
      <c r="B109" s="1091"/>
      <c r="C109" s="1090"/>
      <c r="D109" s="1090"/>
      <c r="E109" s="1091"/>
      <c r="F109" s="1091"/>
      <c r="G109" s="1090"/>
      <c r="H109" s="1090"/>
    </row>
    <row r="110" spans="1:8" x14ac:dyDescent="0.2">
      <c r="A110" s="1465"/>
      <c r="B110" s="1091"/>
      <c r="C110" s="1090"/>
      <c r="D110" s="1090"/>
      <c r="E110" s="1091"/>
      <c r="F110" s="1091"/>
      <c r="G110" s="1090"/>
      <c r="H110" s="1090"/>
    </row>
    <row r="111" spans="1:8" x14ac:dyDescent="0.2">
      <c r="A111" s="1465"/>
      <c r="B111" s="1091"/>
      <c r="C111" s="1090"/>
      <c r="D111" s="1090"/>
      <c r="E111" s="1091"/>
      <c r="F111" s="1091"/>
      <c r="G111" s="1090"/>
      <c r="H111" s="1090"/>
    </row>
    <row r="112" spans="1:8" x14ac:dyDescent="0.2">
      <c r="A112" s="1465"/>
      <c r="B112" s="1091"/>
      <c r="C112" s="1090"/>
      <c r="D112" s="1090"/>
      <c r="E112" s="1091"/>
      <c r="F112" s="1091"/>
      <c r="G112" s="1090"/>
      <c r="H112" s="1090"/>
    </row>
    <row r="113" spans="1:8" x14ac:dyDescent="0.2">
      <c r="A113" s="1465"/>
      <c r="B113" s="1091"/>
      <c r="C113" s="1090"/>
      <c r="D113" s="1090"/>
      <c r="E113" s="1091"/>
      <c r="F113" s="1091"/>
      <c r="G113" s="1090"/>
      <c r="H113" s="1090"/>
    </row>
    <row r="114" spans="1:8" x14ac:dyDescent="0.2">
      <c r="A114" s="1465"/>
      <c r="B114" s="1091"/>
      <c r="C114" s="1090"/>
      <c r="D114" s="1090"/>
      <c r="E114" s="1091"/>
      <c r="F114" s="1091"/>
      <c r="G114" s="1090"/>
      <c r="H114" s="1090"/>
    </row>
    <row r="115" spans="1:8" x14ac:dyDescent="0.2">
      <c r="A115" s="1465"/>
      <c r="B115" s="1091"/>
      <c r="C115" s="1090"/>
      <c r="D115" s="1090"/>
      <c r="E115" s="1091"/>
      <c r="F115" s="1091"/>
      <c r="G115" s="1090"/>
      <c r="H115" s="1090"/>
    </row>
    <row r="116" spans="1:8" x14ac:dyDescent="0.2">
      <c r="A116" s="1465"/>
      <c r="B116" s="1091"/>
      <c r="C116" s="1090"/>
      <c r="D116" s="1090"/>
      <c r="E116" s="1091"/>
      <c r="F116" s="1091"/>
      <c r="G116" s="1090"/>
      <c r="H116" s="1090"/>
    </row>
    <row r="117" spans="1:8" x14ac:dyDescent="0.2">
      <c r="A117" s="1465"/>
      <c r="B117" s="1091"/>
      <c r="C117" s="1090"/>
      <c r="D117" s="1090"/>
      <c r="E117" s="1091"/>
      <c r="F117" s="1091"/>
      <c r="G117" s="1090"/>
      <c r="H117" s="1090"/>
    </row>
    <row r="118" spans="1:8" x14ac:dyDescent="0.2">
      <c r="A118" s="1465"/>
      <c r="B118" s="1091"/>
      <c r="C118" s="1090"/>
      <c r="D118" s="1090"/>
      <c r="E118" s="1091"/>
      <c r="F118" s="1091"/>
      <c r="G118" s="1090"/>
      <c r="H118" s="1090"/>
    </row>
    <row r="119" spans="1:8" x14ac:dyDescent="0.2">
      <c r="A119" s="1465"/>
      <c r="B119" s="1091"/>
      <c r="C119" s="1090"/>
      <c r="D119" s="1090"/>
      <c r="E119" s="1091"/>
      <c r="F119" s="1091"/>
      <c r="G119" s="1090"/>
      <c r="H119" s="1090"/>
    </row>
    <row r="120" spans="1:8" x14ac:dyDescent="0.2">
      <c r="A120" s="1465"/>
      <c r="B120" s="1091"/>
      <c r="C120" s="1090"/>
      <c r="D120" s="1090"/>
      <c r="E120" s="1091"/>
      <c r="F120" s="1091"/>
      <c r="G120" s="1090"/>
      <c r="H120" s="1090"/>
    </row>
    <row r="121" spans="1:8" x14ac:dyDescent="0.2">
      <c r="A121" s="1465"/>
      <c r="B121" s="1091"/>
      <c r="C121" s="1090"/>
      <c r="D121" s="1090"/>
      <c r="E121" s="1091"/>
      <c r="F121" s="1091"/>
      <c r="G121" s="1090"/>
      <c r="H121" s="1090"/>
    </row>
    <row r="122" spans="1:8" x14ac:dyDescent="0.2">
      <c r="A122" s="1465"/>
      <c r="B122" s="1091"/>
      <c r="C122" s="1090"/>
      <c r="D122" s="1090"/>
      <c r="E122" s="1091"/>
      <c r="F122" s="1091"/>
      <c r="G122" s="1090"/>
      <c r="H122" s="1090"/>
    </row>
    <row r="123" spans="1:8" x14ac:dyDescent="0.2">
      <c r="A123" s="1465"/>
      <c r="B123" s="1091"/>
      <c r="C123" s="1090"/>
      <c r="D123" s="1090"/>
      <c r="E123" s="1091"/>
      <c r="F123" s="1091"/>
      <c r="G123" s="1090"/>
      <c r="H123" s="1090"/>
    </row>
    <row r="124" spans="1:8" x14ac:dyDescent="0.2">
      <c r="A124" s="1465"/>
      <c r="B124" s="1091"/>
      <c r="C124" s="1090"/>
      <c r="D124" s="1090"/>
      <c r="E124" s="1091"/>
      <c r="F124" s="1091"/>
      <c r="G124" s="1090"/>
      <c r="H124" s="1090"/>
    </row>
    <row r="125" spans="1:8" x14ac:dyDescent="0.2">
      <c r="A125" s="1465"/>
      <c r="B125" s="1091"/>
      <c r="C125" s="1090"/>
      <c r="D125" s="1090"/>
      <c r="E125" s="1091"/>
      <c r="F125" s="1091"/>
      <c r="G125" s="1090"/>
      <c r="H125" s="1090"/>
    </row>
    <row r="126" spans="1:8" x14ac:dyDescent="0.2">
      <c r="A126" s="1465"/>
      <c r="B126" s="1091"/>
      <c r="C126" s="1090"/>
      <c r="D126" s="1090"/>
      <c r="E126" s="1091"/>
      <c r="F126" s="1091"/>
      <c r="G126" s="1090"/>
      <c r="H126" s="1090"/>
    </row>
    <row r="127" spans="1:8" x14ac:dyDescent="0.2">
      <c r="A127" s="1465"/>
      <c r="B127" s="1091"/>
      <c r="C127" s="1090"/>
      <c r="D127" s="1090"/>
      <c r="E127" s="1091"/>
      <c r="F127" s="1091"/>
      <c r="G127" s="1090"/>
      <c r="H127" s="1090"/>
    </row>
    <row r="128" spans="1:8" x14ac:dyDescent="0.2">
      <c r="A128" s="1465"/>
      <c r="B128" s="1091"/>
      <c r="C128" s="1090"/>
      <c r="D128" s="1090"/>
      <c r="E128" s="1091"/>
      <c r="F128" s="1091"/>
      <c r="G128" s="1090"/>
      <c r="H128" s="1090"/>
    </row>
    <row r="129" spans="1:8" x14ac:dyDescent="0.2">
      <c r="A129" s="1465"/>
      <c r="B129" s="1091"/>
      <c r="C129" s="1090"/>
      <c r="D129" s="1090"/>
      <c r="E129" s="1091"/>
      <c r="F129" s="1091"/>
      <c r="G129" s="1090"/>
      <c r="H129" s="1090"/>
    </row>
    <row r="130" spans="1:8" x14ac:dyDescent="0.2">
      <c r="A130" s="1465"/>
      <c r="B130" s="1091"/>
      <c r="C130" s="1090"/>
      <c r="D130" s="1090"/>
      <c r="E130" s="1091"/>
      <c r="F130" s="1091"/>
      <c r="G130" s="1090"/>
      <c r="H130" s="1090"/>
    </row>
    <row r="131" spans="1:8" x14ac:dyDescent="0.2">
      <c r="A131" s="1465"/>
      <c r="B131" s="1091"/>
      <c r="C131" s="1090"/>
      <c r="D131" s="1090"/>
      <c r="E131" s="1091"/>
      <c r="F131" s="1091"/>
      <c r="G131" s="1090"/>
      <c r="H131" s="1090"/>
    </row>
    <row r="132" spans="1:8" x14ac:dyDescent="0.2">
      <c r="A132" s="1465"/>
      <c r="B132" s="1091"/>
      <c r="C132" s="1090"/>
      <c r="D132" s="1090"/>
      <c r="E132" s="1091"/>
      <c r="F132" s="1091"/>
      <c r="G132" s="1090"/>
      <c r="H132" s="1090"/>
    </row>
    <row r="133" spans="1:8" x14ac:dyDescent="0.2">
      <c r="A133" s="1465"/>
      <c r="B133" s="1091"/>
      <c r="C133" s="1090"/>
      <c r="D133" s="1090"/>
      <c r="E133" s="1091"/>
      <c r="F133" s="1091"/>
      <c r="G133" s="1090"/>
      <c r="H133" s="1090"/>
    </row>
    <row r="134" spans="1:8" x14ac:dyDescent="0.2">
      <c r="A134" s="1465"/>
      <c r="B134" s="1091"/>
      <c r="C134" s="1090"/>
      <c r="D134" s="1090"/>
      <c r="E134" s="1091"/>
      <c r="F134" s="1091"/>
      <c r="G134" s="1090"/>
      <c r="H134" s="1090"/>
    </row>
    <row r="135" spans="1:8" x14ac:dyDescent="0.2">
      <c r="A135" s="1465"/>
      <c r="B135" s="1091"/>
      <c r="C135" s="1090"/>
      <c r="D135" s="1090"/>
      <c r="E135" s="1091"/>
      <c r="F135" s="1091"/>
      <c r="G135" s="1090"/>
      <c r="H135" s="1090"/>
    </row>
    <row r="136" spans="1:8" x14ac:dyDescent="0.2">
      <c r="A136" s="1465"/>
      <c r="B136" s="1091"/>
      <c r="C136" s="1090"/>
      <c r="D136" s="1090"/>
      <c r="E136" s="1091"/>
      <c r="F136" s="1091"/>
      <c r="G136" s="1090"/>
      <c r="H136" s="1090"/>
    </row>
    <row r="137" spans="1:8" x14ac:dyDescent="0.2">
      <c r="A137" s="1465"/>
      <c r="B137" s="1091"/>
      <c r="C137" s="1090"/>
      <c r="D137" s="1090"/>
      <c r="E137" s="1091"/>
      <c r="F137" s="1091"/>
      <c r="G137" s="1090"/>
      <c r="H137" s="1090"/>
    </row>
    <row r="138" spans="1:8" x14ac:dyDescent="0.2">
      <c r="A138" s="1465"/>
      <c r="B138" s="1091"/>
      <c r="C138" s="1090"/>
      <c r="D138" s="1090"/>
      <c r="E138" s="1091"/>
      <c r="F138" s="1091"/>
      <c r="G138" s="1090"/>
      <c r="H138" s="1090"/>
    </row>
    <row r="139" spans="1:8" x14ac:dyDescent="0.2">
      <c r="A139" s="1465"/>
      <c r="B139" s="1091"/>
      <c r="C139" s="1090"/>
      <c r="D139" s="1090"/>
      <c r="E139" s="1091"/>
      <c r="F139" s="1091"/>
      <c r="G139" s="1090"/>
      <c r="H139" s="1090"/>
    </row>
    <row r="140" spans="1:8" x14ac:dyDescent="0.2">
      <c r="A140" s="1465"/>
      <c r="B140" s="1091"/>
      <c r="C140" s="1090"/>
      <c r="D140" s="1090"/>
      <c r="E140" s="1091"/>
      <c r="F140" s="1091"/>
      <c r="G140" s="1090"/>
      <c r="H140" s="1090"/>
    </row>
    <row r="141" spans="1:8" x14ac:dyDescent="0.2">
      <c r="A141" s="1465"/>
      <c r="B141" s="1091"/>
      <c r="C141" s="1090"/>
      <c r="D141" s="1090"/>
      <c r="E141" s="1091"/>
      <c r="F141" s="1091"/>
      <c r="G141" s="1090"/>
      <c r="H141" s="1090"/>
    </row>
    <row r="142" spans="1:8" x14ac:dyDescent="0.2">
      <c r="A142" s="1465"/>
      <c r="B142" s="1091"/>
      <c r="C142" s="1090"/>
      <c r="D142" s="1090"/>
      <c r="E142" s="1091"/>
      <c r="F142" s="1091"/>
      <c r="G142" s="1090"/>
      <c r="H142" s="1090"/>
    </row>
    <row r="143" spans="1:8" x14ac:dyDescent="0.2">
      <c r="A143" s="1465"/>
      <c r="B143" s="1091"/>
      <c r="C143" s="1090"/>
      <c r="D143" s="1090"/>
      <c r="E143" s="1091"/>
      <c r="F143" s="1091"/>
      <c r="G143" s="1090"/>
      <c r="H143" s="1090"/>
    </row>
    <row r="144" spans="1:8" x14ac:dyDescent="0.2">
      <c r="A144" s="1465"/>
      <c r="B144" s="1091"/>
      <c r="C144" s="1090"/>
      <c r="D144" s="1090"/>
      <c r="E144" s="1091"/>
      <c r="F144" s="1091"/>
      <c r="G144" s="1090"/>
      <c r="H144" s="1090"/>
    </row>
    <row r="145" spans="1:8" x14ac:dyDescent="0.2">
      <c r="A145" s="1465"/>
      <c r="B145" s="1091"/>
      <c r="C145" s="1090"/>
      <c r="D145" s="1090"/>
      <c r="E145" s="1091"/>
      <c r="F145" s="1091"/>
      <c r="G145" s="1090"/>
      <c r="H145" s="1090"/>
    </row>
    <row r="146" spans="1:8" x14ac:dyDescent="0.2">
      <c r="A146" s="1465"/>
      <c r="B146" s="1091"/>
      <c r="C146" s="1090"/>
      <c r="D146" s="1090"/>
      <c r="E146" s="1091"/>
      <c r="F146" s="1091"/>
      <c r="G146" s="1090"/>
      <c r="H146" s="1090"/>
    </row>
    <row r="147" spans="1:8" x14ac:dyDescent="0.2">
      <c r="A147" s="1465"/>
      <c r="B147" s="1091"/>
      <c r="C147" s="1090"/>
      <c r="D147" s="1090"/>
      <c r="E147" s="1091"/>
      <c r="F147" s="1091"/>
      <c r="G147" s="1090"/>
      <c r="H147" s="1090"/>
    </row>
    <row r="148" spans="1:8" x14ac:dyDescent="0.2">
      <c r="A148" s="1465"/>
      <c r="B148" s="1091"/>
      <c r="C148" s="1090"/>
      <c r="D148" s="1090"/>
      <c r="E148" s="1091"/>
      <c r="F148" s="1091"/>
      <c r="G148" s="1090"/>
      <c r="H148" s="1090"/>
    </row>
    <row r="149" spans="1:8" x14ac:dyDescent="0.2">
      <c r="A149" s="1465"/>
      <c r="B149" s="1091"/>
      <c r="C149" s="1090"/>
      <c r="D149" s="1090"/>
      <c r="E149" s="1091"/>
      <c r="F149" s="1091"/>
      <c r="G149" s="1090"/>
      <c r="H149" s="1090"/>
    </row>
    <row r="150" spans="1:8" x14ac:dyDescent="0.2">
      <c r="A150" s="1465"/>
      <c r="B150" s="1091"/>
      <c r="C150" s="1090"/>
      <c r="D150" s="1090"/>
      <c r="E150" s="1091"/>
      <c r="F150" s="1091"/>
      <c r="G150" s="1090"/>
      <c r="H150" s="1090"/>
    </row>
    <row r="151" spans="1:8" x14ac:dyDescent="0.2">
      <c r="A151" s="1465"/>
      <c r="B151" s="1091"/>
      <c r="C151" s="1090"/>
      <c r="D151" s="1090"/>
      <c r="E151" s="1091"/>
      <c r="F151" s="1091"/>
      <c r="G151" s="1090"/>
      <c r="H151" s="1090"/>
    </row>
    <row r="152" spans="1:8" x14ac:dyDescent="0.2">
      <c r="A152" s="1465"/>
      <c r="B152" s="1091"/>
      <c r="C152" s="1090"/>
      <c r="D152" s="1090"/>
      <c r="E152" s="1091"/>
      <c r="F152" s="1091"/>
      <c r="G152" s="1090"/>
      <c r="H152" s="1090"/>
    </row>
    <row r="153" spans="1:8" x14ac:dyDescent="0.2">
      <c r="A153" s="1465"/>
      <c r="B153" s="1091"/>
      <c r="C153" s="1090"/>
      <c r="D153" s="1090"/>
      <c r="E153" s="1091"/>
      <c r="F153" s="1091"/>
      <c r="G153" s="1090"/>
      <c r="H153" s="1090"/>
    </row>
    <row r="154" spans="1:8" x14ac:dyDescent="0.2">
      <c r="A154" s="1465"/>
      <c r="B154" s="1091"/>
      <c r="C154" s="1090"/>
      <c r="D154" s="1090"/>
      <c r="E154" s="1091"/>
      <c r="F154" s="1091"/>
      <c r="G154" s="1090"/>
      <c r="H154" s="1090"/>
    </row>
    <row r="155" spans="1:8" x14ac:dyDescent="0.2">
      <c r="A155" s="1465"/>
      <c r="B155" s="1091"/>
      <c r="C155" s="1090"/>
      <c r="D155" s="1090"/>
      <c r="E155" s="1091"/>
      <c r="F155" s="1091"/>
      <c r="G155" s="1090"/>
      <c r="H155" s="1090"/>
    </row>
    <row r="156" spans="1:8" x14ac:dyDescent="0.2">
      <c r="A156" s="1465"/>
      <c r="B156" s="1091"/>
      <c r="C156" s="1090"/>
      <c r="D156" s="1090"/>
      <c r="E156" s="1091"/>
      <c r="F156" s="1091"/>
      <c r="G156" s="1090"/>
      <c r="H156" s="1090"/>
    </row>
    <row r="157" spans="1:8" x14ac:dyDescent="0.2">
      <c r="A157" s="1465"/>
      <c r="B157" s="1091"/>
      <c r="C157" s="1090"/>
      <c r="D157" s="1090"/>
      <c r="E157" s="1091"/>
      <c r="F157" s="1091"/>
      <c r="G157" s="1090"/>
      <c r="H157" s="1090"/>
    </row>
    <row r="158" spans="1:8" x14ac:dyDescent="0.2">
      <c r="A158" s="1465"/>
      <c r="B158" s="1091"/>
      <c r="C158" s="1090"/>
      <c r="D158" s="1090"/>
      <c r="E158" s="1091"/>
      <c r="F158" s="1091"/>
      <c r="G158" s="1090"/>
      <c r="H158" s="1090"/>
    </row>
    <row r="159" spans="1:8" x14ac:dyDescent="0.2">
      <c r="A159" s="1465"/>
      <c r="B159" s="1091"/>
      <c r="C159" s="1090"/>
      <c r="D159" s="1090"/>
      <c r="E159" s="1091"/>
      <c r="F159" s="1091"/>
      <c r="G159" s="1090"/>
      <c r="H159" s="1090"/>
    </row>
    <row r="160" spans="1:8" x14ac:dyDescent="0.2">
      <c r="A160" s="1465"/>
      <c r="B160" s="1091"/>
      <c r="C160" s="1090"/>
      <c r="D160" s="1090"/>
      <c r="E160" s="1091"/>
      <c r="F160" s="1091"/>
      <c r="G160" s="1090"/>
      <c r="H160" s="1090"/>
    </row>
    <row r="161" spans="1:8" x14ac:dyDescent="0.2">
      <c r="A161" s="1465"/>
      <c r="B161" s="1091"/>
      <c r="C161" s="1090"/>
      <c r="D161" s="1090"/>
      <c r="E161" s="1091"/>
      <c r="F161" s="1091"/>
      <c r="G161" s="1090"/>
      <c r="H161" s="1090"/>
    </row>
    <row r="162" spans="1:8" x14ac:dyDescent="0.2">
      <c r="A162" s="1465"/>
      <c r="B162" s="1091"/>
      <c r="C162" s="1090"/>
      <c r="D162" s="1090"/>
      <c r="E162" s="1091"/>
      <c r="F162" s="1091"/>
      <c r="G162" s="1090"/>
      <c r="H162" s="1090"/>
    </row>
    <row r="163" spans="1:8" x14ac:dyDescent="0.2">
      <c r="A163" s="1465"/>
      <c r="B163" s="1091"/>
      <c r="C163" s="1090"/>
      <c r="D163" s="1090"/>
      <c r="E163" s="1091"/>
      <c r="F163" s="1091"/>
      <c r="G163" s="1090"/>
      <c r="H163" s="1090"/>
    </row>
    <row r="164" spans="1:8" x14ac:dyDescent="0.2">
      <c r="A164" s="1465"/>
      <c r="B164" s="1091"/>
      <c r="C164" s="1090"/>
      <c r="D164" s="1090"/>
      <c r="E164" s="1091"/>
      <c r="F164" s="1091"/>
      <c r="G164" s="1090"/>
      <c r="H164" s="1090"/>
    </row>
    <row r="165" spans="1:8" x14ac:dyDescent="0.2">
      <c r="A165" s="1465"/>
      <c r="B165" s="1091"/>
      <c r="C165" s="1090"/>
      <c r="D165" s="1090"/>
      <c r="E165" s="1091"/>
      <c r="F165" s="1091"/>
      <c r="G165" s="1090"/>
      <c r="H165" s="1090"/>
    </row>
    <row r="166" spans="1:8" x14ac:dyDescent="0.2">
      <c r="A166" s="1465"/>
      <c r="B166" s="1091"/>
      <c r="C166" s="1090"/>
      <c r="D166" s="1090"/>
      <c r="E166" s="1091"/>
      <c r="F166" s="1091"/>
      <c r="G166" s="1090"/>
      <c r="H166" s="1090"/>
    </row>
    <row r="167" spans="1:8" x14ac:dyDescent="0.2">
      <c r="A167" s="1465"/>
      <c r="B167" s="1091"/>
      <c r="C167" s="1090"/>
      <c r="D167" s="1090"/>
      <c r="E167" s="1091"/>
      <c r="F167" s="1091"/>
      <c r="G167" s="1090"/>
      <c r="H167" s="1090"/>
    </row>
    <row r="168" spans="1:8" x14ac:dyDescent="0.2">
      <c r="A168" s="1465"/>
      <c r="B168" s="1091"/>
      <c r="C168" s="1090"/>
      <c r="D168" s="1090"/>
      <c r="E168" s="1091"/>
      <c r="F168" s="1091"/>
      <c r="G168" s="1090"/>
      <c r="H168" s="1090"/>
    </row>
    <row r="169" spans="1:8" x14ac:dyDescent="0.2">
      <c r="A169" s="1465"/>
      <c r="B169" s="1091"/>
      <c r="C169" s="1090"/>
      <c r="D169" s="1090"/>
      <c r="E169" s="1091"/>
      <c r="F169" s="1091"/>
      <c r="G169" s="1090"/>
      <c r="H169" s="1090"/>
    </row>
    <row r="170" spans="1:8" x14ac:dyDescent="0.2">
      <c r="A170" s="1465"/>
      <c r="B170" s="1091"/>
      <c r="C170" s="1090"/>
      <c r="D170" s="1090"/>
      <c r="E170" s="1091"/>
      <c r="F170" s="1091"/>
      <c r="G170" s="1090"/>
      <c r="H170" s="1090"/>
    </row>
    <row r="171" spans="1:8" x14ac:dyDescent="0.2">
      <c r="A171" s="1465"/>
      <c r="B171" s="1091"/>
      <c r="C171" s="1090"/>
      <c r="D171" s="1090"/>
      <c r="E171" s="1091"/>
      <c r="F171" s="1091"/>
      <c r="G171" s="1090"/>
      <c r="H171" s="1090"/>
    </row>
    <row r="172" spans="1:8" x14ac:dyDescent="0.2">
      <c r="A172" s="1465"/>
      <c r="B172" s="1091"/>
      <c r="C172" s="1090"/>
      <c r="D172" s="1090"/>
      <c r="E172" s="1091"/>
      <c r="F172" s="1091"/>
      <c r="G172" s="1090"/>
      <c r="H172" s="1090"/>
    </row>
    <row r="173" spans="1:8" x14ac:dyDescent="0.2">
      <c r="A173" s="1465"/>
      <c r="B173" s="1091"/>
      <c r="C173" s="1090"/>
      <c r="D173" s="1090"/>
      <c r="E173" s="1091"/>
      <c r="F173" s="1091"/>
      <c r="G173" s="1090"/>
      <c r="H173" s="1090"/>
    </row>
    <row r="174" spans="1:8" x14ac:dyDescent="0.2">
      <c r="A174" s="1465"/>
      <c r="B174" s="1091"/>
      <c r="C174" s="1090"/>
      <c r="D174" s="1090"/>
      <c r="E174" s="1091"/>
      <c r="F174" s="1091"/>
      <c r="G174" s="1090"/>
      <c r="H174" s="1090"/>
    </row>
    <row r="175" spans="1:8" x14ac:dyDescent="0.2">
      <c r="A175" s="1090"/>
      <c r="B175" s="1091"/>
      <c r="C175" s="1090"/>
      <c r="D175" s="1090"/>
      <c r="E175" s="1091"/>
      <c r="F175" s="1091"/>
      <c r="G175" s="1090"/>
      <c r="H175" s="1090"/>
    </row>
    <row r="176" spans="1:8" x14ac:dyDescent="0.2">
      <c r="A176" s="1090"/>
      <c r="B176" s="1091"/>
      <c r="C176" s="1090"/>
      <c r="D176" s="1090"/>
      <c r="E176" s="1091"/>
      <c r="F176" s="1091"/>
      <c r="G176" s="1090"/>
      <c r="H176" s="1090"/>
    </row>
    <row r="177" spans="1:8" x14ac:dyDescent="0.2">
      <c r="A177" s="1090"/>
      <c r="B177" s="1091"/>
      <c r="C177" s="1090"/>
      <c r="D177" s="1090"/>
      <c r="E177" s="1091"/>
      <c r="F177" s="1091"/>
      <c r="G177" s="1090"/>
      <c r="H177" s="1090"/>
    </row>
    <row r="178" spans="1:8" x14ac:dyDescent="0.2">
      <c r="A178" s="1090"/>
      <c r="B178" s="1091"/>
      <c r="C178" s="1090"/>
      <c r="D178" s="1090"/>
      <c r="E178" s="1091"/>
      <c r="F178" s="1091"/>
      <c r="G178" s="1090"/>
      <c r="H178" s="1090"/>
    </row>
    <row r="179" spans="1:8" x14ac:dyDescent="0.2">
      <c r="A179" s="1090"/>
      <c r="B179" s="1091"/>
      <c r="C179" s="1090"/>
      <c r="D179" s="1090"/>
      <c r="E179" s="1091"/>
      <c r="F179" s="1091"/>
      <c r="G179" s="1090"/>
      <c r="H179" s="1090"/>
    </row>
    <row r="180" spans="1:8" x14ac:dyDescent="0.2">
      <c r="A180" s="1090"/>
      <c r="B180" s="1091"/>
      <c r="C180" s="1090"/>
      <c r="D180" s="1090"/>
      <c r="E180" s="1091"/>
      <c r="F180" s="1091"/>
      <c r="G180" s="1090"/>
      <c r="H180" s="1090"/>
    </row>
    <row r="181" spans="1:8" x14ac:dyDescent="0.2">
      <c r="A181" s="1090"/>
      <c r="B181" s="1091"/>
      <c r="C181" s="1090"/>
      <c r="D181" s="1090"/>
      <c r="E181" s="1091"/>
      <c r="F181" s="1091"/>
      <c r="G181" s="1090"/>
      <c r="H181" s="1090"/>
    </row>
    <row r="182" spans="1:8" x14ac:dyDescent="0.2">
      <c r="A182" s="1090"/>
      <c r="B182" s="1091"/>
      <c r="C182" s="1090"/>
      <c r="D182" s="1090"/>
      <c r="E182" s="1091"/>
      <c r="F182" s="1091"/>
      <c r="G182" s="1090"/>
      <c r="H182" s="1090"/>
    </row>
    <row r="183" spans="1:8" x14ac:dyDescent="0.2">
      <c r="A183" s="1090"/>
      <c r="B183" s="1091"/>
      <c r="C183" s="1090"/>
      <c r="D183" s="1090"/>
      <c r="E183" s="1091"/>
      <c r="F183" s="1091"/>
      <c r="G183" s="1090"/>
      <c r="H183" s="1090"/>
    </row>
    <row r="184" spans="1:8" x14ac:dyDescent="0.2">
      <c r="A184" s="1090"/>
      <c r="B184" s="1091"/>
      <c r="C184" s="1090"/>
      <c r="D184" s="1090"/>
      <c r="E184" s="1091"/>
      <c r="F184" s="1091"/>
      <c r="G184" s="1090"/>
      <c r="H184" s="1090"/>
    </row>
    <row r="185" spans="1:8" x14ac:dyDescent="0.2">
      <c r="A185" s="1090"/>
      <c r="B185" s="1091"/>
      <c r="C185" s="1090"/>
      <c r="D185" s="1090"/>
      <c r="E185" s="1091"/>
      <c r="F185" s="1091"/>
      <c r="G185" s="1090"/>
      <c r="H185" s="1090"/>
    </row>
    <row r="186" spans="1:8" x14ac:dyDescent="0.2">
      <c r="A186" s="1090"/>
      <c r="B186" s="1091"/>
      <c r="C186" s="1090"/>
      <c r="D186" s="1090"/>
      <c r="E186" s="1091"/>
      <c r="F186" s="1091"/>
      <c r="G186" s="1090"/>
      <c r="H186" s="1090"/>
    </row>
    <row r="187" spans="1:8" x14ac:dyDescent="0.2">
      <c r="B187" s="598"/>
      <c r="E187" s="598"/>
      <c r="F187" s="598"/>
    </row>
    <row r="188" spans="1:8" x14ac:dyDescent="0.2">
      <c r="B188" s="598"/>
      <c r="E188" s="598"/>
      <c r="F188" s="598"/>
    </row>
    <row r="189" spans="1:8" x14ac:dyDescent="0.2">
      <c r="B189" s="598"/>
      <c r="E189" s="598"/>
      <c r="F189" s="598"/>
    </row>
    <row r="190" spans="1:8" x14ac:dyDescent="0.2">
      <c r="B190" s="598"/>
      <c r="E190" s="598"/>
      <c r="F190" s="598"/>
    </row>
    <row r="191" spans="1:8" x14ac:dyDescent="0.2">
      <c r="B191" s="598"/>
      <c r="E191" s="598"/>
      <c r="F191" s="598"/>
    </row>
    <row r="192" spans="1:8" x14ac:dyDescent="0.2">
      <c r="B192" s="598"/>
      <c r="E192" s="598"/>
      <c r="F192" s="598"/>
    </row>
    <row r="193" spans="2:6" x14ac:dyDescent="0.2">
      <c r="B193" s="598"/>
      <c r="E193" s="598"/>
      <c r="F193" s="598"/>
    </row>
    <row r="194" spans="2:6" x14ac:dyDescent="0.2">
      <c r="B194" s="598"/>
      <c r="E194" s="598"/>
      <c r="F194" s="598"/>
    </row>
    <row r="195" spans="2:6" x14ac:dyDescent="0.2">
      <c r="B195" s="598"/>
      <c r="E195" s="598"/>
      <c r="F195" s="598"/>
    </row>
    <row r="196" spans="2:6" x14ac:dyDescent="0.2">
      <c r="B196" s="598"/>
      <c r="E196" s="598"/>
      <c r="F196" s="598"/>
    </row>
    <row r="197" spans="2:6" x14ac:dyDescent="0.2">
      <c r="B197" s="598"/>
      <c r="E197" s="598"/>
      <c r="F197" s="598"/>
    </row>
    <row r="198" spans="2:6" x14ac:dyDescent="0.2">
      <c r="B198" s="598"/>
      <c r="E198" s="598"/>
      <c r="F198" s="598"/>
    </row>
    <row r="199" spans="2:6" x14ac:dyDescent="0.2">
      <c r="B199" s="598"/>
      <c r="E199" s="598"/>
      <c r="F199" s="598"/>
    </row>
    <row r="200" spans="2:6" x14ac:dyDescent="0.2">
      <c r="B200" s="598"/>
      <c r="E200" s="598"/>
      <c r="F200" s="598"/>
    </row>
    <row r="201" spans="2:6" x14ac:dyDescent="0.2">
      <c r="B201" s="598"/>
      <c r="E201" s="598"/>
      <c r="F201" s="598"/>
    </row>
    <row r="202" spans="2:6" x14ac:dyDescent="0.2">
      <c r="B202" s="598"/>
      <c r="E202" s="598"/>
      <c r="F202" s="598"/>
    </row>
    <row r="203" spans="2:6" x14ac:dyDescent="0.2">
      <c r="B203" s="598"/>
      <c r="E203" s="598"/>
      <c r="F203" s="598"/>
    </row>
    <row r="204" spans="2:6" x14ac:dyDescent="0.2">
      <c r="B204" s="598"/>
      <c r="E204" s="598"/>
      <c r="F204" s="598"/>
    </row>
    <row r="205" spans="2:6" x14ac:dyDescent="0.2">
      <c r="B205" s="598"/>
      <c r="E205" s="598"/>
      <c r="F205" s="598"/>
    </row>
    <row r="206" spans="2:6" x14ac:dyDescent="0.2">
      <c r="B206" s="598"/>
      <c r="E206" s="598"/>
      <c r="F206" s="598"/>
    </row>
    <row r="207" spans="2:6" x14ac:dyDescent="0.2">
      <c r="B207" s="598"/>
      <c r="E207" s="598"/>
      <c r="F207" s="598"/>
    </row>
    <row r="208" spans="2:6" x14ac:dyDescent="0.2">
      <c r="B208" s="598"/>
      <c r="E208" s="598"/>
      <c r="F208" s="598"/>
    </row>
    <row r="209" spans="2:6" x14ac:dyDescent="0.2">
      <c r="B209" s="598"/>
      <c r="E209" s="598"/>
      <c r="F209" s="598"/>
    </row>
    <row r="210" spans="2:6" x14ac:dyDescent="0.2">
      <c r="B210" s="598"/>
      <c r="E210" s="598"/>
      <c r="F210" s="598"/>
    </row>
    <row r="211" spans="2:6" x14ac:dyDescent="0.2">
      <c r="B211" s="598"/>
      <c r="E211" s="598"/>
      <c r="F211" s="598"/>
    </row>
    <row r="212" spans="2:6" x14ac:dyDescent="0.2">
      <c r="B212" s="598"/>
      <c r="E212" s="598"/>
      <c r="F212" s="598"/>
    </row>
    <row r="213" spans="2:6" x14ac:dyDescent="0.2">
      <c r="B213" s="598"/>
      <c r="E213" s="598"/>
      <c r="F213" s="598"/>
    </row>
    <row r="214" spans="2:6" x14ac:dyDescent="0.2">
      <c r="B214" s="598"/>
      <c r="E214" s="598"/>
      <c r="F214" s="598"/>
    </row>
    <row r="215" spans="2:6" x14ac:dyDescent="0.2">
      <c r="B215" s="598"/>
      <c r="E215" s="598"/>
      <c r="F215" s="598"/>
    </row>
    <row r="216" spans="2:6" x14ac:dyDescent="0.2">
      <c r="B216" s="598"/>
      <c r="E216" s="598"/>
      <c r="F216" s="598"/>
    </row>
    <row r="217" spans="2:6" x14ac:dyDescent="0.2">
      <c r="B217" s="598"/>
      <c r="E217" s="598"/>
      <c r="F217" s="598"/>
    </row>
    <row r="218" spans="2:6" x14ac:dyDescent="0.2">
      <c r="B218" s="598"/>
      <c r="E218" s="598"/>
      <c r="F218" s="598"/>
    </row>
    <row r="219" spans="2:6" x14ac:dyDescent="0.2">
      <c r="B219" s="598"/>
      <c r="E219" s="598"/>
      <c r="F219" s="598"/>
    </row>
    <row r="220" spans="2:6" x14ac:dyDescent="0.2">
      <c r="B220" s="598"/>
      <c r="E220" s="598"/>
      <c r="F220" s="598"/>
    </row>
    <row r="221" spans="2:6" x14ac:dyDescent="0.2">
      <c r="B221" s="598"/>
      <c r="E221" s="598"/>
      <c r="F221" s="598"/>
    </row>
    <row r="222" spans="2:6" x14ac:dyDescent="0.2">
      <c r="B222" s="598"/>
      <c r="E222" s="598"/>
      <c r="F222" s="598"/>
    </row>
    <row r="223" spans="2:6" x14ac:dyDescent="0.2">
      <c r="B223" s="598"/>
      <c r="E223" s="598"/>
      <c r="F223" s="598"/>
    </row>
    <row r="224" spans="2:6" x14ac:dyDescent="0.2">
      <c r="B224" s="598"/>
      <c r="E224" s="598"/>
      <c r="F224" s="598"/>
    </row>
    <row r="225" spans="2:6" x14ac:dyDescent="0.2">
      <c r="B225" s="598"/>
      <c r="E225" s="598"/>
      <c r="F225" s="598"/>
    </row>
    <row r="226" spans="2:6" x14ac:dyDescent="0.2">
      <c r="B226" s="598"/>
      <c r="E226" s="598"/>
      <c r="F226" s="598"/>
    </row>
    <row r="227" spans="2:6" x14ac:dyDescent="0.2">
      <c r="B227" s="598"/>
      <c r="E227" s="598"/>
      <c r="F227" s="598"/>
    </row>
    <row r="228" spans="2:6" x14ac:dyDescent="0.2">
      <c r="B228" s="598"/>
      <c r="E228" s="598"/>
      <c r="F228" s="598"/>
    </row>
    <row r="229" spans="2:6" x14ac:dyDescent="0.2">
      <c r="B229" s="598"/>
      <c r="E229" s="598"/>
      <c r="F229" s="598"/>
    </row>
    <row r="230" spans="2:6" x14ac:dyDescent="0.2">
      <c r="B230" s="598"/>
      <c r="E230" s="598"/>
      <c r="F230" s="598"/>
    </row>
    <row r="231" spans="2:6" x14ac:dyDescent="0.2">
      <c r="B231" s="598"/>
      <c r="E231" s="598"/>
      <c r="F231" s="598"/>
    </row>
    <row r="232" spans="2:6" x14ac:dyDescent="0.2">
      <c r="B232" s="598"/>
      <c r="E232" s="598"/>
      <c r="F232" s="598"/>
    </row>
    <row r="233" spans="2:6" x14ac:dyDescent="0.2">
      <c r="B233" s="598"/>
      <c r="E233" s="598"/>
      <c r="F233" s="598"/>
    </row>
    <row r="234" spans="2:6" x14ac:dyDescent="0.2">
      <c r="B234" s="598"/>
      <c r="E234" s="598"/>
      <c r="F234" s="598"/>
    </row>
    <row r="235" spans="2:6" x14ac:dyDescent="0.2">
      <c r="B235" s="598"/>
      <c r="E235" s="598"/>
      <c r="F235" s="598"/>
    </row>
    <row r="236" spans="2:6" x14ac:dyDescent="0.2">
      <c r="B236" s="598"/>
      <c r="E236" s="598"/>
      <c r="F236" s="598"/>
    </row>
    <row r="237" spans="2:6" x14ac:dyDescent="0.2">
      <c r="B237" s="598"/>
      <c r="E237" s="598"/>
      <c r="F237" s="598"/>
    </row>
    <row r="238" spans="2:6" x14ac:dyDescent="0.2">
      <c r="B238" s="598"/>
      <c r="E238" s="598"/>
      <c r="F238" s="598"/>
    </row>
    <row r="239" spans="2:6" x14ac:dyDescent="0.2">
      <c r="B239" s="598"/>
      <c r="E239" s="598"/>
      <c r="F239" s="598"/>
    </row>
    <row r="240" spans="2:6" x14ac:dyDescent="0.2">
      <c r="B240" s="598"/>
      <c r="E240" s="598"/>
      <c r="F240" s="598"/>
    </row>
    <row r="241" spans="2:6" x14ac:dyDescent="0.2">
      <c r="B241" s="598"/>
      <c r="E241" s="598"/>
      <c r="F241" s="598"/>
    </row>
    <row r="242" spans="2:6" x14ac:dyDescent="0.2">
      <c r="B242" s="598"/>
      <c r="E242" s="598"/>
      <c r="F242" s="598"/>
    </row>
    <row r="243" spans="2:6" x14ac:dyDescent="0.2">
      <c r="B243" s="598"/>
      <c r="E243" s="598"/>
      <c r="F243" s="598"/>
    </row>
    <row r="244" spans="2:6" x14ac:dyDescent="0.2">
      <c r="B244" s="598"/>
      <c r="E244" s="598"/>
      <c r="F244" s="598"/>
    </row>
    <row r="245" spans="2:6" x14ac:dyDescent="0.2">
      <c r="B245" s="598"/>
      <c r="E245" s="598"/>
      <c r="F245" s="598"/>
    </row>
    <row r="246" spans="2:6" x14ac:dyDescent="0.2">
      <c r="B246" s="598"/>
      <c r="E246" s="598"/>
      <c r="F246" s="598"/>
    </row>
    <row r="247" spans="2:6" x14ac:dyDescent="0.2">
      <c r="B247" s="598"/>
      <c r="E247" s="598"/>
      <c r="F247" s="598"/>
    </row>
    <row r="248" spans="2:6" x14ac:dyDescent="0.2">
      <c r="B248" s="598"/>
      <c r="E248" s="598"/>
      <c r="F248" s="598"/>
    </row>
    <row r="249" spans="2:6" x14ac:dyDescent="0.2">
      <c r="B249" s="598"/>
      <c r="E249" s="598"/>
      <c r="F249" s="598"/>
    </row>
    <row r="250" spans="2:6" x14ac:dyDescent="0.2">
      <c r="B250" s="598"/>
      <c r="E250" s="598"/>
      <c r="F250" s="598"/>
    </row>
    <row r="251" spans="2:6" x14ac:dyDescent="0.2">
      <c r="B251" s="598"/>
      <c r="E251" s="598"/>
      <c r="F251" s="598"/>
    </row>
    <row r="252" spans="2:6" x14ac:dyDescent="0.2">
      <c r="B252" s="598"/>
      <c r="E252" s="598"/>
      <c r="F252" s="598"/>
    </row>
    <row r="253" spans="2:6" x14ac:dyDescent="0.2">
      <c r="B253" s="598"/>
      <c r="E253" s="598"/>
      <c r="F253" s="598"/>
    </row>
    <row r="254" spans="2:6" x14ac:dyDescent="0.2">
      <c r="B254" s="598"/>
      <c r="E254" s="598"/>
      <c r="F254" s="598"/>
    </row>
    <row r="255" spans="2:6" x14ac:dyDescent="0.2">
      <c r="B255" s="598"/>
      <c r="E255" s="598"/>
      <c r="F255" s="598"/>
    </row>
    <row r="256" spans="2:6" x14ac:dyDescent="0.2">
      <c r="B256" s="598"/>
      <c r="E256" s="598"/>
      <c r="F256" s="598"/>
    </row>
    <row r="257" spans="2:6" x14ac:dyDescent="0.2">
      <c r="B257" s="598"/>
      <c r="E257" s="598"/>
      <c r="F257" s="598"/>
    </row>
    <row r="258" spans="2:6" x14ac:dyDescent="0.2">
      <c r="B258" s="598"/>
      <c r="E258" s="598"/>
      <c r="F258" s="598"/>
    </row>
    <row r="259" spans="2:6" x14ac:dyDescent="0.2">
      <c r="B259" s="598"/>
      <c r="E259" s="598"/>
      <c r="F259" s="598"/>
    </row>
    <row r="260" spans="2:6" x14ac:dyDescent="0.2">
      <c r="B260" s="598"/>
      <c r="E260" s="598"/>
      <c r="F260" s="598"/>
    </row>
    <row r="261" spans="2:6" x14ac:dyDescent="0.2">
      <c r="B261" s="598"/>
      <c r="E261" s="598"/>
      <c r="F261" s="598"/>
    </row>
    <row r="262" spans="2:6" x14ac:dyDescent="0.2">
      <c r="B262" s="598"/>
      <c r="E262" s="598"/>
      <c r="F262" s="598"/>
    </row>
    <row r="263" spans="2:6" x14ac:dyDescent="0.2">
      <c r="B263" s="598"/>
      <c r="E263" s="598"/>
      <c r="F263" s="598"/>
    </row>
    <row r="264" spans="2:6" x14ac:dyDescent="0.2">
      <c r="B264" s="598"/>
      <c r="E264" s="598"/>
      <c r="F264" s="598"/>
    </row>
    <row r="265" spans="2:6" x14ac:dyDescent="0.2">
      <c r="B265" s="598"/>
      <c r="E265" s="598"/>
      <c r="F265" s="598"/>
    </row>
    <row r="266" spans="2:6" x14ac:dyDescent="0.2">
      <c r="B266" s="598"/>
      <c r="E266" s="598"/>
      <c r="F266" s="598"/>
    </row>
    <row r="267" spans="2:6" x14ac:dyDescent="0.2">
      <c r="B267" s="598"/>
      <c r="E267" s="598"/>
      <c r="F267" s="598"/>
    </row>
    <row r="268" spans="2:6" x14ac:dyDescent="0.2">
      <c r="B268" s="598"/>
      <c r="E268" s="598"/>
      <c r="F268" s="598"/>
    </row>
    <row r="269" spans="2:6" x14ac:dyDescent="0.2">
      <c r="B269" s="598"/>
      <c r="E269" s="598"/>
      <c r="F269" s="598"/>
    </row>
    <row r="270" spans="2:6" x14ac:dyDescent="0.2">
      <c r="B270" s="598"/>
      <c r="E270" s="598"/>
      <c r="F270" s="598"/>
    </row>
    <row r="271" spans="2:6" x14ac:dyDescent="0.2">
      <c r="B271" s="598"/>
      <c r="E271" s="598"/>
      <c r="F271" s="598"/>
    </row>
    <row r="272" spans="2:6" x14ac:dyDescent="0.2">
      <c r="B272" s="598"/>
      <c r="E272" s="598"/>
      <c r="F272" s="598"/>
    </row>
    <row r="273" spans="2:6" x14ac:dyDescent="0.2">
      <c r="B273" s="598"/>
      <c r="E273" s="598"/>
      <c r="F273" s="598"/>
    </row>
    <row r="274" spans="2:6" x14ac:dyDescent="0.2">
      <c r="B274" s="598"/>
      <c r="E274" s="598"/>
      <c r="F274" s="598"/>
    </row>
    <row r="275" spans="2:6" x14ac:dyDescent="0.2">
      <c r="B275" s="598"/>
      <c r="E275" s="598"/>
      <c r="F275" s="598"/>
    </row>
    <row r="276" spans="2:6" x14ac:dyDescent="0.2">
      <c r="B276" s="598"/>
      <c r="E276" s="598"/>
      <c r="F276" s="598"/>
    </row>
    <row r="277" spans="2:6" x14ac:dyDescent="0.2">
      <c r="B277" s="598"/>
      <c r="E277" s="598"/>
      <c r="F277" s="598"/>
    </row>
    <row r="278" spans="2:6" x14ac:dyDescent="0.2">
      <c r="B278" s="598"/>
      <c r="E278" s="598"/>
      <c r="F278" s="598"/>
    </row>
    <row r="279" spans="2:6" x14ac:dyDescent="0.2">
      <c r="B279" s="598"/>
      <c r="E279" s="598"/>
      <c r="F279" s="598"/>
    </row>
    <row r="280" spans="2:6" x14ac:dyDescent="0.2">
      <c r="B280" s="598"/>
      <c r="E280" s="598"/>
      <c r="F280" s="598"/>
    </row>
    <row r="281" spans="2:6" x14ac:dyDescent="0.2">
      <c r="B281" s="598"/>
      <c r="E281" s="598"/>
      <c r="F281" s="598"/>
    </row>
    <row r="282" spans="2:6" x14ac:dyDescent="0.2">
      <c r="B282" s="598"/>
      <c r="E282" s="598"/>
      <c r="F282" s="598"/>
    </row>
    <row r="283" spans="2:6" x14ac:dyDescent="0.2">
      <c r="B283" s="598"/>
      <c r="E283" s="598"/>
      <c r="F283" s="598"/>
    </row>
    <row r="284" spans="2:6" x14ac:dyDescent="0.2">
      <c r="B284" s="598"/>
      <c r="E284" s="598"/>
      <c r="F284" s="598"/>
    </row>
    <row r="285" spans="2:6" x14ac:dyDescent="0.2">
      <c r="B285" s="598"/>
      <c r="E285" s="598"/>
      <c r="F285" s="598"/>
    </row>
    <row r="286" spans="2:6" x14ac:dyDescent="0.2">
      <c r="B286" s="598"/>
      <c r="E286" s="598"/>
      <c r="F286" s="598"/>
    </row>
    <row r="287" spans="2:6" x14ac:dyDescent="0.2">
      <c r="B287" s="598"/>
      <c r="E287" s="598"/>
      <c r="F287" s="598"/>
    </row>
    <row r="288" spans="2:6" x14ac:dyDescent="0.2">
      <c r="B288" s="598"/>
      <c r="E288" s="598"/>
      <c r="F288" s="598"/>
    </row>
    <row r="289" spans="2:6" x14ac:dyDescent="0.2">
      <c r="B289" s="598"/>
      <c r="E289" s="598"/>
      <c r="F289" s="598"/>
    </row>
    <row r="290" spans="2:6" x14ac:dyDescent="0.2">
      <c r="B290" s="598"/>
      <c r="E290" s="598"/>
      <c r="F290" s="598"/>
    </row>
    <row r="291" spans="2:6" x14ac:dyDescent="0.2">
      <c r="B291" s="598"/>
      <c r="E291" s="598"/>
      <c r="F291" s="598"/>
    </row>
    <row r="292" spans="2:6" x14ac:dyDescent="0.2">
      <c r="B292" s="598"/>
      <c r="E292" s="598"/>
      <c r="F292" s="598"/>
    </row>
    <row r="293" spans="2:6" x14ac:dyDescent="0.2">
      <c r="B293" s="598"/>
      <c r="E293" s="598"/>
      <c r="F293" s="598"/>
    </row>
    <row r="294" spans="2:6" x14ac:dyDescent="0.2">
      <c r="B294" s="598"/>
      <c r="E294" s="598"/>
      <c r="F294" s="598"/>
    </row>
    <row r="295" spans="2:6" x14ac:dyDescent="0.2">
      <c r="B295" s="598"/>
      <c r="E295" s="598"/>
      <c r="F295" s="598"/>
    </row>
    <row r="296" spans="2:6" x14ac:dyDescent="0.2">
      <c r="B296" s="598"/>
      <c r="E296" s="598"/>
      <c r="F296" s="598"/>
    </row>
    <row r="297" spans="2:6" x14ac:dyDescent="0.2">
      <c r="B297" s="598"/>
      <c r="E297" s="598"/>
      <c r="F297" s="598"/>
    </row>
    <row r="298" spans="2:6" x14ac:dyDescent="0.2">
      <c r="B298" s="598"/>
      <c r="E298" s="598"/>
      <c r="F298" s="598"/>
    </row>
    <row r="299" spans="2:6" x14ac:dyDescent="0.2">
      <c r="B299" s="598"/>
      <c r="E299" s="598"/>
      <c r="F299" s="598"/>
    </row>
    <row r="300" spans="2:6" x14ac:dyDescent="0.2">
      <c r="B300" s="598"/>
      <c r="E300" s="598"/>
      <c r="F300" s="598"/>
    </row>
    <row r="301" spans="2:6" x14ac:dyDescent="0.2">
      <c r="B301" s="598"/>
      <c r="E301" s="598"/>
      <c r="F301" s="598"/>
    </row>
    <row r="302" spans="2:6" x14ac:dyDescent="0.2">
      <c r="B302" s="598"/>
      <c r="E302" s="598"/>
      <c r="F302" s="598"/>
    </row>
    <row r="303" spans="2:6" x14ac:dyDescent="0.2">
      <c r="B303" s="598"/>
      <c r="E303" s="598"/>
      <c r="F303" s="598"/>
    </row>
    <row r="304" spans="2:6" x14ac:dyDescent="0.2">
      <c r="B304" s="598"/>
      <c r="E304" s="598"/>
      <c r="F304" s="598"/>
    </row>
    <row r="305" spans="2:6" x14ac:dyDescent="0.2">
      <c r="B305" s="598"/>
      <c r="E305" s="598"/>
      <c r="F305" s="598"/>
    </row>
    <row r="306" spans="2:6" x14ac:dyDescent="0.2">
      <c r="B306" s="598"/>
      <c r="E306" s="598"/>
      <c r="F306" s="598"/>
    </row>
    <row r="307" spans="2:6" x14ac:dyDescent="0.2">
      <c r="B307" s="598"/>
      <c r="E307" s="598"/>
      <c r="F307" s="598"/>
    </row>
    <row r="308" spans="2:6" x14ac:dyDescent="0.2">
      <c r="B308" s="598"/>
      <c r="E308" s="598"/>
      <c r="F308" s="598"/>
    </row>
    <row r="309" spans="2:6" x14ac:dyDescent="0.2">
      <c r="B309" s="598"/>
      <c r="E309" s="598"/>
      <c r="F309" s="598"/>
    </row>
    <row r="310" spans="2:6" x14ac:dyDescent="0.2">
      <c r="B310" s="598"/>
      <c r="E310" s="598"/>
      <c r="F310" s="598"/>
    </row>
    <row r="311" spans="2:6" x14ac:dyDescent="0.2">
      <c r="B311" s="598"/>
      <c r="E311" s="598"/>
      <c r="F311" s="598"/>
    </row>
    <row r="312" spans="2:6" x14ac:dyDescent="0.2">
      <c r="B312" s="598"/>
      <c r="E312" s="598"/>
      <c r="F312" s="598"/>
    </row>
    <row r="313" spans="2:6" x14ac:dyDescent="0.2">
      <c r="B313" s="598"/>
      <c r="E313" s="598"/>
      <c r="F313" s="598"/>
    </row>
    <row r="314" spans="2:6" x14ac:dyDescent="0.2">
      <c r="B314" s="598"/>
      <c r="E314" s="598"/>
      <c r="F314" s="598"/>
    </row>
    <row r="315" spans="2:6" x14ac:dyDescent="0.2">
      <c r="B315" s="598"/>
      <c r="E315" s="598"/>
      <c r="F315" s="598"/>
    </row>
    <row r="316" spans="2:6" x14ac:dyDescent="0.2">
      <c r="B316" s="598"/>
      <c r="E316" s="598"/>
      <c r="F316" s="598"/>
    </row>
    <row r="317" spans="2:6" x14ac:dyDescent="0.2">
      <c r="B317" s="598"/>
      <c r="E317" s="598"/>
      <c r="F317" s="598"/>
    </row>
    <row r="318" spans="2:6" x14ac:dyDescent="0.2">
      <c r="B318" s="598"/>
      <c r="E318" s="598"/>
      <c r="F318" s="598"/>
    </row>
    <row r="319" spans="2:6" x14ac:dyDescent="0.2">
      <c r="B319" s="598"/>
      <c r="E319" s="598"/>
      <c r="F319" s="598"/>
    </row>
    <row r="320" spans="2:6" x14ac:dyDescent="0.2">
      <c r="B320" s="598"/>
      <c r="E320" s="598"/>
      <c r="F320" s="598"/>
    </row>
    <row r="321" spans="2:6" x14ac:dyDescent="0.2">
      <c r="B321" s="598"/>
      <c r="E321" s="598"/>
      <c r="F321" s="598"/>
    </row>
    <row r="322" spans="2:6" x14ac:dyDescent="0.2">
      <c r="B322" s="598"/>
      <c r="E322" s="598"/>
      <c r="F322" s="598"/>
    </row>
    <row r="323" spans="2:6" x14ac:dyDescent="0.2">
      <c r="B323" s="598"/>
      <c r="E323" s="598"/>
      <c r="F323" s="598"/>
    </row>
    <row r="324" spans="2:6" x14ac:dyDescent="0.2">
      <c r="B324" s="598"/>
      <c r="E324" s="598"/>
      <c r="F324" s="598"/>
    </row>
    <row r="325" spans="2:6" x14ac:dyDescent="0.2">
      <c r="B325" s="598"/>
      <c r="E325" s="598"/>
      <c r="F325" s="598"/>
    </row>
    <row r="326" spans="2:6" x14ac:dyDescent="0.2">
      <c r="B326" s="598"/>
      <c r="E326" s="598"/>
      <c r="F326" s="598"/>
    </row>
    <row r="327" spans="2:6" x14ac:dyDescent="0.2">
      <c r="B327" s="598"/>
      <c r="E327" s="598"/>
      <c r="F327" s="598"/>
    </row>
    <row r="328" spans="2:6" x14ac:dyDescent="0.2">
      <c r="B328" s="598"/>
      <c r="E328" s="598"/>
      <c r="F328" s="598"/>
    </row>
    <row r="329" spans="2:6" x14ac:dyDescent="0.2">
      <c r="B329" s="598"/>
      <c r="E329" s="598"/>
      <c r="F329" s="598"/>
    </row>
    <row r="330" spans="2:6" x14ac:dyDescent="0.2">
      <c r="B330" s="598"/>
      <c r="E330" s="598"/>
      <c r="F330" s="598"/>
    </row>
    <row r="331" spans="2:6" x14ac:dyDescent="0.2">
      <c r="B331" s="598"/>
      <c r="E331" s="598"/>
      <c r="F331" s="598"/>
    </row>
    <row r="332" spans="2:6" x14ac:dyDescent="0.2">
      <c r="B332" s="598"/>
      <c r="E332" s="598"/>
      <c r="F332" s="598"/>
    </row>
    <row r="333" spans="2:6" x14ac:dyDescent="0.2">
      <c r="B333" s="598"/>
      <c r="E333" s="598"/>
      <c r="F333" s="598"/>
    </row>
    <row r="334" spans="2:6" x14ac:dyDescent="0.2">
      <c r="B334" s="598"/>
      <c r="E334" s="598"/>
      <c r="F334" s="598"/>
    </row>
    <row r="335" spans="2:6" x14ac:dyDescent="0.2">
      <c r="B335" s="598"/>
      <c r="E335" s="598"/>
      <c r="F335" s="598"/>
    </row>
    <row r="336" spans="2:6" x14ac:dyDescent="0.2">
      <c r="B336" s="598"/>
      <c r="E336" s="598"/>
      <c r="F336" s="598"/>
    </row>
    <row r="337" spans="2:6" x14ac:dyDescent="0.2">
      <c r="B337" s="598"/>
      <c r="E337" s="598"/>
      <c r="F337" s="598"/>
    </row>
    <row r="338" spans="2:6" x14ac:dyDescent="0.2">
      <c r="B338" s="598"/>
      <c r="E338" s="598"/>
      <c r="F338" s="598"/>
    </row>
    <row r="339" spans="2:6" x14ac:dyDescent="0.2">
      <c r="B339" s="598"/>
      <c r="E339" s="598"/>
      <c r="F339" s="598"/>
    </row>
    <row r="340" spans="2:6" x14ac:dyDescent="0.2">
      <c r="B340" s="598"/>
      <c r="E340" s="598"/>
      <c r="F340" s="598"/>
    </row>
    <row r="341" spans="2:6" x14ac:dyDescent="0.2">
      <c r="B341" s="598"/>
      <c r="E341" s="598"/>
      <c r="F341" s="598"/>
    </row>
    <row r="342" spans="2:6" x14ac:dyDescent="0.2">
      <c r="B342" s="598"/>
      <c r="E342" s="598"/>
      <c r="F342" s="598"/>
    </row>
    <row r="343" spans="2:6" x14ac:dyDescent="0.2">
      <c r="B343" s="598"/>
      <c r="E343" s="598"/>
      <c r="F343" s="598"/>
    </row>
    <row r="344" spans="2:6" x14ac:dyDescent="0.2">
      <c r="B344" s="598"/>
      <c r="E344" s="598"/>
      <c r="F344" s="598"/>
    </row>
    <row r="345" spans="2:6" x14ac:dyDescent="0.2">
      <c r="B345" s="598"/>
      <c r="E345" s="598"/>
      <c r="F345" s="598"/>
    </row>
    <row r="346" spans="2:6" x14ac:dyDescent="0.2">
      <c r="B346" s="598"/>
      <c r="E346" s="598"/>
      <c r="F346" s="598"/>
    </row>
    <row r="347" spans="2:6" x14ac:dyDescent="0.2">
      <c r="B347" s="598"/>
      <c r="E347" s="598"/>
      <c r="F347" s="598"/>
    </row>
    <row r="348" spans="2:6" x14ac:dyDescent="0.2">
      <c r="B348" s="598"/>
      <c r="E348" s="598"/>
      <c r="F348" s="598"/>
    </row>
    <row r="349" spans="2:6" x14ac:dyDescent="0.2">
      <c r="B349" s="598"/>
      <c r="E349" s="598"/>
      <c r="F349" s="598"/>
    </row>
    <row r="350" spans="2:6" x14ac:dyDescent="0.2">
      <c r="B350" s="598"/>
      <c r="E350" s="598"/>
      <c r="F350" s="598"/>
    </row>
    <row r="351" spans="2:6" x14ac:dyDescent="0.2">
      <c r="B351" s="598"/>
      <c r="E351" s="598"/>
      <c r="F351" s="598"/>
    </row>
    <row r="352" spans="2:6" x14ac:dyDescent="0.2">
      <c r="B352" s="598"/>
      <c r="E352" s="598"/>
      <c r="F352" s="598"/>
    </row>
    <row r="353" spans="2:6" x14ac:dyDescent="0.2">
      <c r="B353" s="598"/>
      <c r="E353" s="598"/>
      <c r="F353" s="598"/>
    </row>
    <row r="354" spans="2:6" x14ac:dyDescent="0.2">
      <c r="B354" s="598"/>
      <c r="E354" s="598"/>
      <c r="F354" s="598"/>
    </row>
    <row r="355" spans="2:6" x14ac:dyDescent="0.2">
      <c r="B355" s="598"/>
      <c r="E355" s="598"/>
      <c r="F355" s="598"/>
    </row>
    <row r="356" spans="2:6" x14ac:dyDescent="0.2">
      <c r="B356" s="598"/>
      <c r="E356" s="598"/>
      <c r="F356" s="598"/>
    </row>
    <row r="357" spans="2:6" x14ac:dyDescent="0.2">
      <c r="B357" s="598"/>
      <c r="E357" s="598"/>
      <c r="F357" s="598"/>
    </row>
    <row r="358" spans="2:6" x14ac:dyDescent="0.2">
      <c r="B358" s="598"/>
      <c r="E358" s="598"/>
      <c r="F358" s="598"/>
    </row>
    <row r="359" spans="2:6" x14ac:dyDescent="0.2">
      <c r="B359" s="598"/>
      <c r="E359" s="598"/>
      <c r="F359" s="598"/>
    </row>
    <row r="360" spans="2:6" x14ac:dyDescent="0.2">
      <c r="B360" s="598"/>
      <c r="E360" s="598"/>
      <c r="F360" s="598"/>
    </row>
    <row r="361" spans="2:6" x14ac:dyDescent="0.2">
      <c r="B361" s="598"/>
      <c r="E361" s="598"/>
      <c r="F361" s="598"/>
    </row>
    <row r="362" spans="2:6" x14ac:dyDescent="0.2">
      <c r="B362" s="598"/>
      <c r="E362" s="598"/>
      <c r="F362" s="598"/>
    </row>
    <row r="363" spans="2:6" x14ac:dyDescent="0.2">
      <c r="B363" s="598"/>
      <c r="E363" s="598"/>
      <c r="F363" s="598"/>
    </row>
    <row r="364" spans="2:6" x14ac:dyDescent="0.2">
      <c r="B364" s="598"/>
      <c r="E364" s="598"/>
      <c r="F364" s="598"/>
    </row>
    <row r="365" spans="2:6" x14ac:dyDescent="0.2">
      <c r="B365" s="598"/>
      <c r="E365" s="598"/>
      <c r="F365" s="598"/>
    </row>
    <row r="366" spans="2:6" x14ac:dyDescent="0.2">
      <c r="B366" s="598"/>
      <c r="E366" s="598"/>
      <c r="F366" s="598"/>
    </row>
    <row r="367" spans="2:6" x14ac:dyDescent="0.2">
      <c r="B367" s="598"/>
      <c r="E367" s="598"/>
      <c r="F367" s="598"/>
    </row>
    <row r="368" spans="2:6" x14ac:dyDescent="0.2">
      <c r="B368" s="598"/>
      <c r="E368" s="598"/>
      <c r="F368" s="598"/>
    </row>
    <row r="369" spans="2:6" x14ac:dyDescent="0.2">
      <c r="B369" s="598"/>
      <c r="E369" s="598"/>
      <c r="F369" s="598"/>
    </row>
    <row r="370" spans="2:6" x14ac:dyDescent="0.2">
      <c r="B370" s="598"/>
      <c r="E370" s="598"/>
      <c r="F370" s="598"/>
    </row>
    <row r="371" spans="2:6" x14ac:dyDescent="0.2">
      <c r="B371" s="598"/>
      <c r="E371" s="598"/>
      <c r="F371" s="598"/>
    </row>
    <row r="372" spans="2:6" x14ac:dyDescent="0.2">
      <c r="B372" s="598"/>
      <c r="E372" s="598"/>
      <c r="F372" s="598"/>
    </row>
    <row r="373" spans="2:6" x14ac:dyDescent="0.2">
      <c r="B373" s="598"/>
      <c r="E373" s="598"/>
      <c r="F373" s="598"/>
    </row>
    <row r="374" spans="2:6" x14ac:dyDescent="0.2">
      <c r="B374" s="598"/>
      <c r="E374" s="598"/>
      <c r="F374" s="598"/>
    </row>
    <row r="375" spans="2:6" x14ac:dyDescent="0.2">
      <c r="B375" s="598"/>
      <c r="E375" s="598"/>
      <c r="F375" s="598"/>
    </row>
    <row r="376" spans="2:6" x14ac:dyDescent="0.2">
      <c r="B376" s="598"/>
      <c r="E376" s="598"/>
      <c r="F376" s="598"/>
    </row>
    <row r="377" spans="2:6" x14ac:dyDescent="0.2">
      <c r="B377" s="598"/>
      <c r="E377" s="598"/>
      <c r="F377" s="598"/>
    </row>
    <row r="378" spans="2:6" x14ac:dyDescent="0.2">
      <c r="B378" s="598"/>
      <c r="E378" s="598"/>
      <c r="F378" s="598"/>
    </row>
    <row r="379" spans="2:6" x14ac:dyDescent="0.2">
      <c r="B379" s="598"/>
      <c r="E379" s="598"/>
      <c r="F379" s="598"/>
    </row>
    <row r="380" spans="2:6" x14ac:dyDescent="0.2">
      <c r="B380" s="598"/>
      <c r="E380" s="598"/>
      <c r="F380" s="598"/>
    </row>
    <row r="381" spans="2:6" x14ac:dyDescent="0.2">
      <c r="B381" s="598"/>
      <c r="E381" s="598"/>
      <c r="F381" s="598"/>
    </row>
    <row r="382" spans="2:6" x14ac:dyDescent="0.2">
      <c r="B382" s="598"/>
      <c r="E382" s="598"/>
      <c r="F382" s="598"/>
    </row>
    <row r="383" spans="2:6" x14ac:dyDescent="0.2">
      <c r="B383" s="598"/>
      <c r="E383" s="598"/>
      <c r="F383" s="598"/>
    </row>
    <row r="384" spans="2:6" x14ac:dyDescent="0.2">
      <c r="B384" s="598"/>
      <c r="E384" s="598"/>
      <c r="F384" s="598"/>
    </row>
    <row r="385" spans="2:6" x14ac:dyDescent="0.2">
      <c r="B385" s="598"/>
      <c r="E385" s="598"/>
      <c r="F385" s="598"/>
    </row>
    <row r="386" spans="2:6" x14ac:dyDescent="0.2">
      <c r="B386" s="598"/>
      <c r="E386" s="598"/>
      <c r="F386" s="598"/>
    </row>
    <row r="387" spans="2:6" x14ac:dyDescent="0.2">
      <c r="B387" s="598"/>
      <c r="E387" s="598"/>
      <c r="F387" s="598"/>
    </row>
    <row r="388" spans="2:6" x14ac:dyDescent="0.2">
      <c r="B388" s="598"/>
      <c r="E388" s="598"/>
      <c r="F388" s="598"/>
    </row>
    <row r="389" spans="2:6" x14ac:dyDescent="0.2">
      <c r="B389" s="598"/>
      <c r="E389" s="598"/>
      <c r="F389" s="598"/>
    </row>
    <row r="390" spans="2:6" x14ac:dyDescent="0.2">
      <c r="B390" s="598"/>
      <c r="E390" s="598"/>
      <c r="F390" s="598"/>
    </row>
    <row r="391" spans="2:6" x14ac:dyDescent="0.2">
      <c r="B391" s="598"/>
      <c r="E391" s="598"/>
      <c r="F391" s="598"/>
    </row>
    <row r="392" spans="2:6" x14ac:dyDescent="0.2">
      <c r="B392" s="598"/>
      <c r="E392" s="598"/>
      <c r="F392" s="598"/>
    </row>
    <row r="393" spans="2:6" x14ac:dyDescent="0.2">
      <c r="B393" s="598"/>
      <c r="E393" s="598"/>
      <c r="F393" s="598"/>
    </row>
    <row r="394" spans="2:6" x14ac:dyDescent="0.2">
      <c r="B394" s="598"/>
      <c r="E394" s="598"/>
      <c r="F394" s="598"/>
    </row>
    <row r="395" spans="2:6" x14ac:dyDescent="0.2">
      <c r="B395" s="598"/>
      <c r="E395" s="598"/>
      <c r="F395" s="598"/>
    </row>
    <row r="396" spans="2:6" x14ac:dyDescent="0.2">
      <c r="B396" s="598"/>
      <c r="E396" s="598"/>
      <c r="F396" s="598"/>
    </row>
    <row r="397" spans="2:6" x14ac:dyDescent="0.2">
      <c r="B397" s="598"/>
      <c r="E397" s="598"/>
      <c r="F397" s="598"/>
    </row>
    <row r="398" spans="2:6" x14ac:dyDescent="0.2">
      <c r="B398" s="598"/>
      <c r="E398" s="598"/>
      <c r="F398" s="598"/>
    </row>
    <row r="399" spans="2:6" x14ac:dyDescent="0.2">
      <c r="B399" s="598"/>
      <c r="E399" s="598"/>
      <c r="F399" s="598"/>
    </row>
    <row r="400" spans="2:6" x14ac:dyDescent="0.2">
      <c r="B400" s="598"/>
      <c r="E400" s="598"/>
      <c r="F400" s="598"/>
    </row>
    <row r="401" spans="2:6" x14ac:dyDescent="0.2">
      <c r="B401" s="598"/>
      <c r="E401" s="598"/>
      <c r="F401" s="598"/>
    </row>
    <row r="402" spans="2:6" x14ac:dyDescent="0.2">
      <c r="B402" s="598"/>
      <c r="E402" s="598"/>
      <c r="F402" s="598"/>
    </row>
    <row r="403" spans="2:6" x14ac:dyDescent="0.2">
      <c r="B403" s="598"/>
      <c r="E403" s="598"/>
      <c r="F403" s="598"/>
    </row>
    <row r="404" spans="2:6" x14ac:dyDescent="0.2">
      <c r="B404" s="598"/>
      <c r="E404" s="598"/>
      <c r="F404" s="598"/>
    </row>
    <row r="405" spans="2:6" x14ac:dyDescent="0.2">
      <c r="B405" s="598"/>
      <c r="E405" s="598"/>
      <c r="F405" s="598"/>
    </row>
    <row r="406" spans="2:6" x14ac:dyDescent="0.2">
      <c r="B406" s="598"/>
      <c r="E406" s="598"/>
      <c r="F406" s="598"/>
    </row>
    <row r="407" spans="2:6" x14ac:dyDescent="0.2">
      <c r="B407" s="598"/>
      <c r="E407" s="598"/>
      <c r="F407" s="598"/>
    </row>
    <row r="408" spans="2:6" x14ac:dyDescent="0.2">
      <c r="B408" s="598"/>
      <c r="E408" s="598"/>
      <c r="F408" s="598"/>
    </row>
    <row r="409" spans="2:6" x14ac:dyDescent="0.2">
      <c r="B409" s="598"/>
      <c r="E409" s="598"/>
      <c r="F409" s="598"/>
    </row>
    <row r="410" spans="2:6" x14ac:dyDescent="0.2">
      <c r="B410" s="598"/>
      <c r="E410" s="598"/>
      <c r="F410" s="598"/>
    </row>
    <row r="411" spans="2:6" x14ac:dyDescent="0.2">
      <c r="B411" s="598"/>
      <c r="E411" s="598"/>
      <c r="F411" s="598"/>
    </row>
    <row r="412" spans="2:6" x14ac:dyDescent="0.2">
      <c r="B412" s="598"/>
      <c r="E412" s="598"/>
      <c r="F412" s="598"/>
    </row>
    <row r="413" spans="2:6" x14ac:dyDescent="0.2">
      <c r="B413" s="598"/>
      <c r="E413" s="598"/>
      <c r="F413" s="598"/>
    </row>
    <row r="414" spans="2:6" x14ac:dyDescent="0.2">
      <c r="B414" s="598"/>
      <c r="E414" s="598"/>
      <c r="F414" s="598"/>
    </row>
    <row r="415" spans="2:6" x14ac:dyDescent="0.2">
      <c r="B415" s="598"/>
      <c r="E415" s="598"/>
      <c r="F415" s="598"/>
    </row>
    <row r="416" spans="2:6" x14ac:dyDescent="0.2">
      <c r="B416" s="598"/>
      <c r="E416" s="598"/>
      <c r="F416" s="598"/>
    </row>
    <row r="417" spans="2:6" x14ac:dyDescent="0.2">
      <c r="B417" s="598"/>
      <c r="E417" s="598"/>
      <c r="F417" s="598"/>
    </row>
    <row r="418" spans="2:6" x14ac:dyDescent="0.2">
      <c r="B418" s="598"/>
      <c r="E418" s="598"/>
      <c r="F418" s="598"/>
    </row>
    <row r="419" spans="2:6" x14ac:dyDescent="0.2">
      <c r="B419" s="598"/>
      <c r="E419" s="598"/>
      <c r="F419" s="598"/>
    </row>
    <row r="420" spans="2:6" x14ac:dyDescent="0.2">
      <c r="B420" s="598"/>
      <c r="E420" s="598"/>
      <c r="F420" s="598"/>
    </row>
    <row r="421" spans="2:6" x14ac:dyDescent="0.2">
      <c r="B421" s="598"/>
      <c r="E421" s="598"/>
      <c r="F421" s="598"/>
    </row>
    <row r="422" spans="2:6" x14ac:dyDescent="0.2">
      <c r="B422" s="598"/>
      <c r="E422" s="598"/>
      <c r="F422" s="598"/>
    </row>
    <row r="423" spans="2:6" x14ac:dyDescent="0.2">
      <c r="B423" s="598"/>
      <c r="E423" s="598"/>
      <c r="F423" s="598"/>
    </row>
    <row r="424" spans="2:6" x14ac:dyDescent="0.2">
      <c r="B424" s="598"/>
      <c r="E424" s="598"/>
      <c r="F424" s="598"/>
    </row>
    <row r="425" spans="2:6" x14ac:dyDescent="0.2">
      <c r="B425" s="598"/>
      <c r="E425" s="598"/>
      <c r="F425" s="598"/>
    </row>
    <row r="426" spans="2:6" x14ac:dyDescent="0.2">
      <c r="B426" s="598"/>
      <c r="E426" s="598"/>
      <c r="F426" s="598"/>
    </row>
    <row r="427" spans="2:6" x14ac:dyDescent="0.2">
      <c r="B427" s="598"/>
      <c r="E427" s="598"/>
      <c r="F427" s="598"/>
    </row>
    <row r="428" spans="2:6" x14ac:dyDescent="0.2">
      <c r="B428" s="598"/>
      <c r="E428" s="598"/>
      <c r="F428" s="598"/>
    </row>
    <row r="429" spans="2:6" x14ac:dyDescent="0.2">
      <c r="B429" s="598"/>
      <c r="E429" s="598"/>
      <c r="F429" s="598"/>
    </row>
    <row r="430" spans="2:6" x14ac:dyDescent="0.2">
      <c r="B430" s="598"/>
      <c r="E430" s="598"/>
      <c r="F430" s="598"/>
    </row>
    <row r="431" spans="2:6" x14ac:dyDescent="0.2">
      <c r="B431" s="598"/>
      <c r="E431" s="598"/>
      <c r="F431" s="598"/>
    </row>
    <row r="432" spans="2:6" x14ac:dyDescent="0.2">
      <c r="B432" s="598"/>
      <c r="E432" s="598"/>
      <c r="F432" s="598"/>
    </row>
    <row r="433" spans="2:6" x14ac:dyDescent="0.2">
      <c r="B433" s="598"/>
      <c r="E433" s="598"/>
      <c r="F433" s="598"/>
    </row>
    <row r="434" spans="2:6" x14ac:dyDescent="0.2">
      <c r="B434" s="598"/>
      <c r="E434" s="598"/>
      <c r="F434" s="598"/>
    </row>
    <row r="435" spans="2:6" x14ac:dyDescent="0.2">
      <c r="B435" s="598"/>
      <c r="E435" s="598"/>
      <c r="F435" s="598"/>
    </row>
    <row r="436" spans="2:6" x14ac:dyDescent="0.2">
      <c r="B436" s="598"/>
      <c r="E436" s="598"/>
      <c r="F436" s="598"/>
    </row>
    <row r="437" spans="2:6" x14ac:dyDescent="0.2">
      <c r="B437" s="598"/>
      <c r="E437" s="598"/>
      <c r="F437" s="598"/>
    </row>
    <row r="438" spans="2:6" x14ac:dyDescent="0.2">
      <c r="B438" s="598"/>
      <c r="E438" s="598"/>
      <c r="F438" s="598"/>
    </row>
    <row r="439" spans="2:6" x14ac:dyDescent="0.2">
      <c r="B439" s="598"/>
      <c r="E439" s="598"/>
      <c r="F439" s="598"/>
    </row>
    <row r="440" spans="2:6" x14ac:dyDescent="0.2">
      <c r="B440" s="598"/>
      <c r="E440" s="598"/>
      <c r="F440" s="598"/>
    </row>
    <row r="441" spans="2:6" x14ac:dyDescent="0.2">
      <c r="B441" s="598"/>
      <c r="E441" s="598"/>
      <c r="F441" s="598"/>
    </row>
    <row r="442" spans="2:6" x14ac:dyDescent="0.2">
      <c r="B442" s="598"/>
      <c r="E442" s="598"/>
      <c r="F442" s="598"/>
    </row>
    <row r="443" spans="2:6" x14ac:dyDescent="0.2">
      <c r="B443" s="598"/>
      <c r="E443" s="598"/>
      <c r="F443" s="598"/>
    </row>
    <row r="444" spans="2:6" x14ac:dyDescent="0.2">
      <c r="B444" s="598"/>
      <c r="E444" s="598"/>
      <c r="F444" s="598"/>
    </row>
    <row r="445" spans="2:6" x14ac:dyDescent="0.2">
      <c r="B445" s="598"/>
      <c r="E445" s="598"/>
      <c r="F445" s="598"/>
    </row>
    <row r="446" spans="2:6" x14ac:dyDescent="0.2">
      <c r="B446" s="598"/>
      <c r="E446" s="598"/>
      <c r="F446" s="598"/>
    </row>
    <row r="447" spans="2:6" x14ac:dyDescent="0.2">
      <c r="B447" s="598"/>
      <c r="E447" s="598"/>
      <c r="F447" s="598"/>
    </row>
    <row r="448" spans="2:6" x14ac:dyDescent="0.2">
      <c r="B448" s="598"/>
      <c r="E448" s="598"/>
      <c r="F448" s="598"/>
    </row>
    <row r="449" spans="2:6" x14ac:dyDescent="0.2">
      <c r="B449" s="598"/>
      <c r="E449" s="598"/>
      <c r="F449" s="598"/>
    </row>
    <row r="450" spans="2:6" x14ac:dyDescent="0.2">
      <c r="B450" s="598"/>
      <c r="E450" s="598"/>
      <c r="F450" s="598"/>
    </row>
    <row r="451" spans="2:6" x14ac:dyDescent="0.2">
      <c r="B451" s="598"/>
      <c r="E451" s="598"/>
      <c r="F451" s="598"/>
    </row>
    <row r="452" spans="2:6" x14ac:dyDescent="0.2">
      <c r="B452" s="598"/>
      <c r="E452" s="598"/>
      <c r="F452" s="598"/>
    </row>
    <row r="453" spans="2:6" x14ac:dyDescent="0.2">
      <c r="B453" s="598"/>
      <c r="E453" s="598"/>
      <c r="F453" s="598"/>
    </row>
    <row r="454" spans="2:6" x14ac:dyDescent="0.2">
      <c r="B454" s="598"/>
      <c r="E454" s="598"/>
      <c r="F454" s="598"/>
    </row>
    <row r="455" spans="2:6" x14ac:dyDescent="0.2">
      <c r="B455" s="598"/>
      <c r="E455" s="598"/>
      <c r="F455" s="598"/>
    </row>
    <row r="456" spans="2:6" x14ac:dyDescent="0.2">
      <c r="B456" s="598"/>
      <c r="E456" s="598"/>
      <c r="F456" s="598"/>
    </row>
    <row r="457" spans="2:6" x14ac:dyDescent="0.2">
      <c r="B457" s="598"/>
      <c r="E457" s="598"/>
      <c r="F457" s="598"/>
    </row>
    <row r="458" spans="2:6" x14ac:dyDescent="0.2">
      <c r="B458" s="598"/>
      <c r="E458" s="598"/>
      <c r="F458" s="598"/>
    </row>
    <row r="459" spans="2:6" x14ac:dyDescent="0.2">
      <c r="B459" s="598"/>
      <c r="E459" s="598"/>
      <c r="F459" s="598"/>
    </row>
    <row r="460" spans="2:6" x14ac:dyDescent="0.2">
      <c r="B460" s="598"/>
      <c r="E460" s="598"/>
      <c r="F460" s="598"/>
    </row>
    <row r="461" spans="2:6" x14ac:dyDescent="0.2">
      <c r="B461" s="598"/>
      <c r="E461" s="598"/>
      <c r="F461" s="598"/>
    </row>
    <row r="462" spans="2:6" x14ac:dyDescent="0.2">
      <c r="B462" s="598"/>
      <c r="E462" s="598"/>
      <c r="F462" s="598"/>
    </row>
    <row r="463" spans="2:6" x14ac:dyDescent="0.2">
      <c r="B463" s="598"/>
      <c r="E463" s="598"/>
      <c r="F463" s="598"/>
    </row>
    <row r="464" spans="2:6" x14ac:dyDescent="0.2">
      <c r="B464" s="598"/>
      <c r="E464" s="598"/>
      <c r="F464" s="598"/>
    </row>
    <row r="465" spans="2:6" x14ac:dyDescent="0.2">
      <c r="B465" s="598"/>
      <c r="E465" s="598"/>
      <c r="F465" s="598"/>
    </row>
    <row r="466" spans="2:6" x14ac:dyDescent="0.2">
      <c r="B466" s="598"/>
      <c r="E466" s="598"/>
      <c r="F466" s="598"/>
    </row>
    <row r="467" spans="2:6" x14ac:dyDescent="0.2">
      <c r="B467" s="598"/>
      <c r="E467" s="598"/>
      <c r="F467" s="598"/>
    </row>
    <row r="468" spans="2:6" x14ac:dyDescent="0.2">
      <c r="B468" s="598"/>
      <c r="E468" s="598"/>
      <c r="F468" s="598"/>
    </row>
    <row r="469" spans="2:6" x14ac:dyDescent="0.2">
      <c r="B469" s="598"/>
      <c r="E469" s="598"/>
      <c r="F469" s="598"/>
    </row>
    <row r="470" spans="2:6" x14ac:dyDescent="0.2">
      <c r="B470" s="598"/>
      <c r="E470" s="598"/>
      <c r="F470" s="598"/>
    </row>
    <row r="471" spans="2:6" x14ac:dyDescent="0.2">
      <c r="B471" s="598"/>
      <c r="E471" s="598"/>
      <c r="F471" s="598"/>
    </row>
    <row r="472" spans="2:6" x14ac:dyDescent="0.2">
      <c r="B472" s="598"/>
      <c r="E472" s="598"/>
      <c r="F472" s="598"/>
    </row>
    <row r="473" spans="2:6" x14ac:dyDescent="0.2">
      <c r="B473" s="598"/>
      <c r="E473" s="598"/>
      <c r="F473" s="598"/>
    </row>
    <row r="474" spans="2:6" x14ac:dyDescent="0.2">
      <c r="B474" s="598"/>
      <c r="E474" s="598"/>
      <c r="F474" s="598"/>
    </row>
    <row r="475" spans="2:6" x14ac:dyDescent="0.2">
      <c r="B475" s="598"/>
      <c r="E475" s="598"/>
      <c r="F475" s="598"/>
    </row>
    <row r="476" spans="2:6" x14ac:dyDescent="0.2">
      <c r="B476" s="598"/>
      <c r="E476" s="598"/>
      <c r="F476" s="598"/>
    </row>
    <row r="477" spans="2:6" x14ac:dyDescent="0.2">
      <c r="B477" s="598"/>
      <c r="E477" s="598"/>
      <c r="F477" s="598"/>
    </row>
    <row r="478" spans="2:6" x14ac:dyDescent="0.2">
      <c r="B478" s="598"/>
      <c r="E478" s="598"/>
      <c r="F478" s="598"/>
    </row>
    <row r="479" spans="2:6" x14ac:dyDescent="0.2">
      <c r="B479" s="598"/>
      <c r="E479" s="598"/>
      <c r="F479" s="598"/>
    </row>
    <row r="480" spans="2:6" x14ac:dyDescent="0.2">
      <c r="B480" s="598"/>
      <c r="E480" s="598"/>
      <c r="F480" s="598"/>
    </row>
    <row r="481" spans="2:6" x14ac:dyDescent="0.2">
      <c r="B481" s="598"/>
      <c r="E481" s="598"/>
      <c r="F481" s="598"/>
    </row>
    <row r="482" spans="2:6" x14ac:dyDescent="0.2">
      <c r="B482" s="598"/>
      <c r="E482" s="598"/>
      <c r="F482" s="598"/>
    </row>
    <row r="483" spans="2:6" x14ac:dyDescent="0.2">
      <c r="B483" s="598"/>
      <c r="E483" s="598"/>
      <c r="F483" s="598"/>
    </row>
    <row r="484" spans="2:6" x14ac:dyDescent="0.2">
      <c r="B484" s="598"/>
      <c r="E484" s="598"/>
      <c r="F484" s="598"/>
    </row>
    <row r="485" spans="2:6" x14ac:dyDescent="0.2">
      <c r="B485" s="598"/>
      <c r="E485" s="598"/>
      <c r="F485" s="598"/>
    </row>
    <row r="486" spans="2:6" x14ac:dyDescent="0.2">
      <c r="B486" s="598"/>
      <c r="E486" s="598"/>
      <c r="F486" s="598"/>
    </row>
    <row r="487" spans="2:6" x14ac:dyDescent="0.2">
      <c r="B487" s="598"/>
      <c r="E487" s="598"/>
      <c r="F487" s="598"/>
    </row>
    <row r="488" spans="2:6" x14ac:dyDescent="0.2">
      <c r="B488" s="598"/>
      <c r="E488" s="598"/>
      <c r="F488" s="598"/>
    </row>
    <row r="489" spans="2:6" x14ac:dyDescent="0.2">
      <c r="B489" s="598"/>
      <c r="E489" s="598"/>
      <c r="F489" s="598"/>
    </row>
    <row r="490" spans="2:6" x14ac:dyDescent="0.2">
      <c r="B490" s="598"/>
      <c r="E490" s="598"/>
      <c r="F490" s="598"/>
    </row>
    <row r="491" spans="2:6" x14ac:dyDescent="0.2">
      <c r="B491" s="598"/>
      <c r="E491" s="598"/>
      <c r="F491" s="598"/>
    </row>
    <row r="492" spans="2:6" x14ac:dyDescent="0.2">
      <c r="B492" s="598"/>
      <c r="E492" s="598"/>
      <c r="F492" s="598"/>
    </row>
    <row r="493" spans="2:6" x14ac:dyDescent="0.2">
      <c r="B493" s="598"/>
      <c r="E493" s="598"/>
      <c r="F493" s="598"/>
    </row>
    <row r="494" spans="2:6" x14ac:dyDescent="0.2">
      <c r="B494" s="598"/>
      <c r="E494" s="598"/>
      <c r="F494" s="598"/>
    </row>
    <row r="495" spans="2:6" x14ac:dyDescent="0.2">
      <c r="B495" s="598"/>
      <c r="E495" s="598"/>
      <c r="F495" s="598"/>
    </row>
    <row r="496" spans="2:6" x14ac:dyDescent="0.2">
      <c r="B496" s="598"/>
      <c r="E496" s="598"/>
      <c r="F496" s="598"/>
    </row>
    <row r="497" spans="2:6" x14ac:dyDescent="0.2">
      <c r="B497" s="598"/>
      <c r="E497" s="598"/>
      <c r="F497" s="598"/>
    </row>
    <row r="498" spans="2:6" x14ac:dyDescent="0.2">
      <c r="B498" s="598"/>
      <c r="E498" s="598"/>
      <c r="F498" s="598"/>
    </row>
    <row r="499" spans="2:6" x14ac:dyDescent="0.2">
      <c r="B499" s="598"/>
      <c r="E499" s="598"/>
      <c r="F499" s="598"/>
    </row>
    <row r="500" spans="2:6" x14ac:dyDescent="0.2">
      <c r="B500" s="598"/>
      <c r="E500" s="598"/>
      <c r="F500" s="598"/>
    </row>
    <row r="501" spans="2:6" x14ac:dyDescent="0.2">
      <c r="B501" s="598"/>
      <c r="E501" s="598"/>
      <c r="F501" s="598"/>
    </row>
    <row r="502" spans="2:6" x14ac:dyDescent="0.2">
      <c r="B502" s="598"/>
      <c r="E502" s="598"/>
      <c r="F502" s="598"/>
    </row>
    <row r="503" spans="2:6" x14ac:dyDescent="0.2">
      <c r="B503" s="598"/>
      <c r="E503" s="598"/>
      <c r="F503" s="598"/>
    </row>
    <row r="504" spans="2:6" x14ac:dyDescent="0.2">
      <c r="B504" s="598"/>
      <c r="E504" s="598"/>
      <c r="F504" s="598"/>
    </row>
    <row r="505" spans="2:6" x14ac:dyDescent="0.2">
      <c r="B505" s="598"/>
      <c r="E505" s="598"/>
      <c r="F505" s="598"/>
    </row>
    <row r="506" spans="2:6" x14ac:dyDescent="0.2">
      <c r="B506" s="598"/>
      <c r="E506" s="598"/>
      <c r="F506" s="598"/>
    </row>
    <row r="507" spans="2:6" x14ac:dyDescent="0.2">
      <c r="B507" s="598"/>
      <c r="E507" s="598"/>
      <c r="F507" s="598"/>
    </row>
    <row r="508" spans="2:6" x14ac:dyDescent="0.2">
      <c r="B508" s="598"/>
      <c r="E508" s="598"/>
      <c r="F508" s="598"/>
    </row>
    <row r="509" spans="2:6" x14ac:dyDescent="0.2">
      <c r="B509" s="598"/>
      <c r="E509" s="598"/>
      <c r="F509" s="598"/>
    </row>
    <row r="510" spans="2:6" x14ac:dyDescent="0.2">
      <c r="B510" s="598"/>
      <c r="E510" s="598"/>
      <c r="F510" s="598"/>
    </row>
    <row r="511" spans="2:6" x14ac:dyDescent="0.2">
      <c r="B511" s="598"/>
      <c r="E511" s="598"/>
      <c r="F511" s="598"/>
    </row>
    <row r="512" spans="2:6" x14ac:dyDescent="0.2">
      <c r="B512" s="598"/>
      <c r="E512" s="598"/>
      <c r="F512" s="598"/>
    </row>
    <row r="513" spans="2:6" x14ac:dyDescent="0.2">
      <c r="B513" s="598"/>
      <c r="E513" s="598"/>
      <c r="F513" s="598"/>
    </row>
    <row r="514" spans="2:6" x14ac:dyDescent="0.2">
      <c r="B514" s="598"/>
      <c r="E514" s="598"/>
      <c r="F514" s="598"/>
    </row>
    <row r="515" spans="2:6" x14ac:dyDescent="0.2">
      <c r="B515" s="598"/>
      <c r="E515" s="598"/>
      <c r="F515" s="598"/>
    </row>
    <row r="516" spans="2:6" x14ac:dyDescent="0.2">
      <c r="B516" s="598"/>
      <c r="E516" s="598"/>
      <c r="F516" s="598"/>
    </row>
    <row r="517" spans="2:6" x14ac:dyDescent="0.2">
      <c r="B517" s="598"/>
      <c r="E517" s="598"/>
      <c r="F517" s="598"/>
    </row>
    <row r="518" spans="2:6" x14ac:dyDescent="0.2">
      <c r="B518" s="598"/>
      <c r="E518" s="598"/>
      <c r="F518" s="598"/>
    </row>
    <row r="519" spans="2:6" x14ac:dyDescent="0.2">
      <c r="B519" s="598"/>
      <c r="E519" s="598"/>
      <c r="F519" s="598"/>
    </row>
    <row r="520" spans="2:6" x14ac:dyDescent="0.2">
      <c r="B520" s="598"/>
      <c r="E520" s="598"/>
      <c r="F520" s="598"/>
    </row>
    <row r="521" spans="2:6" x14ac:dyDescent="0.2">
      <c r="B521" s="598"/>
      <c r="E521" s="598"/>
      <c r="F521" s="598"/>
    </row>
    <row r="522" spans="2:6" x14ac:dyDescent="0.2">
      <c r="B522" s="598"/>
      <c r="E522" s="598"/>
      <c r="F522" s="598"/>
    </row>
    <row r="523" spans="2:6" x14ac:dyDescent="0.2">
      <c r="B523" s="598"/>
      <c r="E523" s="598"/>
      <c r="F523" s="598"/>
    </row>
    <row r="524" spans="2:6" x14ac:dyDescent="0.2">
      <c r="B524" s="598"/>
      <c r="E524" s="598"/>
      <c r="F524" s="598"/>
    </row>
    <row r="525" spans="2:6" x14ac:dyDescent="0.2">
      <c r="B525" s="598"/>
      <c r="E525" s="598"/>
      <c r="F525" s="598"/>
    </row>
    <row r="526" spans="2:6" x14ac:dyDescent="0.2">
      <c r="B526" s="598"/>
      <c r="E526" s="598"/>
      <c r="F526" s="598"/>
    </row>
    <row r="527" spans="2:6" x14ac:dyDescent="0.2">
      <c r="B527" s="598"/>
      <c r="E527" s="598"/>
      <c r="F527" s="598"/>
    </row>
    <row r="528" spans="2:6" x14ac:dyDescent="0.2">
      <c r="B528" s="598"/>
      <c r="E528" s="598"/>
      <c r="F528" s="598"/>
    </row>
    <row r="529" spans="2:6" x14ac:dyDescent="0.2">
      <c r="B529" s="598"/>
      <c r="E529" s="598"/>
      <c r="F529" s="598"/>
    </row>
    <row r="530" spans="2:6" x14ac:dyDescent="0.2">
      <c r="B530" s="598"/>
      <c r="E530" s="598"/>
      <c r="F530" s="598"/>
    </row>
    <row r="531" spans="2:6" x14ac:dyDescent="0.2">
      <c r="B531" s="598"/>
      <c r="E531" s="598"/>
      <c r="F531" s="598"/>
    </row>
    <row r="532" spans="2:6" x14ac:dyDescent="0.2">
      <c r="B532" s="598"/>
      <c r="E532" s="598"/>
      <c r="F532" s="598"/>
    </row>
    <row r="533" spans="2:6" x14ac:dyDescent="0.2">
      <c r="B533" s="598"/>
      <c r="E533" s="598"/>
      <c r="F533" s="598"/>
    </row>
    <row r="534" spans="2:6" x14ac:dyDescent="0.2">
      <c r="B534" s="598"/>
      <c r="E534" s="598"/>
      <c r="F534" s="598"/>
    </row>
    <row r="535" spans="2:6" x14ac:dyDescent="0.2">
      <c r="B535" s="598"/>
      <c r="E535" s="598"/>
      <c r="F535" s="598"/>
    </row>
    <row r="536" spans="2:6" x14ac:dyDescent="0.2">
      <c r="B536" s="598"/>
      <c r="E536" s="598"/>
      <c r="F536" s="598"/>
    </row>
    <row r="537" spans="2:6" x14ac:dyDescent="0.2">
      <c r="B537" s="598"/>
      <c r="E537" s="598"/>
      <c r="F537" s="598"/>
    </row>
    <row r="538" spans="2:6" x14ac:dyDescent="0.2">
      <c r="B538" s="598"/>
      <c r="E538" s="598"/>
      <c r="F538" s="598"/>
    </row>
    <row r="539" spans="2:6" x14ac:dyDescent="0.2">
      <c r="B539" s="598"/>
      <c r="E539" s="598"/>
      <c r="F539" s="598"/>
    </row>
    <row r="540" spans="2:6" x14ac:dyDescent="0.2">
      <c r="B540" s="598"/>
      <c r="E540" s="598"/>
      <c r="F540" s="598"/>
    </row>
    <row r="541" spans="2:6" x14ac:dyDescent="0.2">
      <c r="B541" s="598"/>
      <c r="E541" s="598"/>
      <c r="F541" s="598"/>
    </row>
    <row r="542" spans="2:6" x14ac:dyDescent="0.2">
      <c r="B542" s="598"/>
      <c r="E542" s="598"/>
      <c r="F542" s="598"/>
    </row>
    <row r="543" spans="2:6" x14ac:dyDescent="0.2">
      <c r="B543" s="598"/>
      <c r="E543" s="598"/>
      <c r="F543" s="598"/>
    </row>
    <row r="544" spans="2:6" x14ac:dyDescent="0.2">
      <c r="B544" s="598"/>
      <c r="E544" s="598"/>
      <c r="F544" s="598"/>
    </row>
    <row r="545" spans="2:6" x14ac:dyDescent="0.2">
      <c r="B545" s="598"/>
      <c r="E545" s="598"/>
      <c r="F545" s="598"/>
    </row>
    <row r="546" spans="2:6" x14ac:dyDescent="0.2">
      <c r="B546" s="598"/>
      <c r="E546" s="598"/>
      <c r="F546" s="598"/>
    </row>
    <row r="547" spans="2:6" x14ac:dyDescent="0.2">
      <c r="B547" s="598"/>
      <c r="E547" s="598"/>
      <c r="F547" s="598"/>
    </row>
    <row r="548" spans="2:6" x14ac:dyDescent="0.2">
      <c r="B548" s="598"/>
      <c r="E548" s="598"/>
      <c r="F548" s="598"/>
    </row>
    <row r="549" spans="2:6" x14ac:dyDescent="0.2">
      <c r="B549" s="598"/>
      <c r="E549" s="598"/>
      <c r="F549" s="598"/>
    </row>
    <row r="550" spans="2:6" x14ac:dyDescent="0.2">
      <c r="B550" s="598"/>
      <c r="E550" s="598"/>
      <c r="F550" s="598"/>
    </row>
    <row r="551" spans="2:6" x14ac:dyDescent="0.2">
      <c r="B551" s="598"/>
      <c r="E551" s="598"/>
      <c r="F551" s="598"/>
    </row>
    <row r="552" spans="2:6" x14ac:dyDescent="0.2">
      <c r="B552" s="598"/>
      <c r="E552" s="598"/>
      <c r="F552" s="598"/>
    </row>
    <row r="553" spans="2:6" x14ac:dyDescent="0.2">
      <c r="B553" s="598"/>
      <c r="E553" s="598"/>
      <c r="F553" s="598"/>
    </row>
    <row r="554" spans="2:6" x14ac:dyDescent="0.2">
      <c r="B554" s="598"/>
      <c r="E554" s="598"/>
      <c r="F554" s="598"/>
    </row>
    <row r="555" spans="2:6" x14ac:dyDescent="0.2">
      <c r="B555" s="598"/>
      <c r="E555" s="598"/>
      <c r="F555" s="598"/>
    </row>
    <row r="556" spans="2:6" x14ac:dyDescent="0.2">
      <c r="B556" s="598"/>
      <c r="E556" s="598"/>
      <c r="F556" s="598"/>
    </row>
    <row r="557" spans="2:6" x14ac:dyDescent="0.2">
      <c r="B557" s="598"/>
      <c r="E557" s="598"/>
      <c r="F557" s="598"/>
    </row>
    <row r="558" spans="2:6" x14ac:dyDescent="0.2">
      <c r="B558" s="598"/>
      <c r="E558" s="598"/>
      <c r="F558" s="598"/>
    </row>
    <row r="559" spans="2:6" x14ac:dyDescent="0.2">
      <c r="B559" s="598"/>
      <c r="E559" s="598"/>
      <c r="F559" s="598"/>
    </row>
    <row r="560" spans="2:6" x14ac:dyDescent="0.2">
      <c r="B560" s="598"/>
      <c r="E560" s="598"/>
      <c r="F560" s="598"/>
    </row>
    <row r="561" spans="2:6" x14ac:dyDescent="0.2">
      <c r="B561" s="598"/>
      <c r="E561" s="598"/>
      <c r="F561" s="598"/>
    </row>
    <row r="562" spans="2:6" x14ac:dyDescent="0.2">
      <c r="B562" s="598"/>
      <c r="E562" s="598"/>
      <c r="F562" s="598"/>
    </row>
    <row r="563" spans="2:6" x14ac:dyDescent="0.2">
      <c r="B563" s="598"/>
      <c r="E563" s="598"/>
      <c r="F563" s="598"/>
    </row>
    <row r="564" spans="2:6" x14ac:dyDescent="0.2">
      <c r="B564" s="598"/>
      <c r="E564" s="598"/>
      <c r="F564" s="598"/>
    </row>
    <row r="565" spans="2:6" x14ac:dyDescent="0.2">
      <c r="B565" s="598"/>
      <c r="E565" s="598"/>
      <c r="F565" s="598"/>
    </row>
    <row r="566" spans="2:6" x14ac:dyDescent="0.2">
      <c r="B566" s="598"/>
      <c r="E566" s="598"/>
      <c r="F566" s="598"/>
    </row>
    <row r="567" spans="2:6" x14ac:dyDescent="0.2">
      <c r="B567" s="598"/>
      <c r="E567" s="598"/>
      <c r="F567" s="598"/>
    </row>
    <row r="568" spans="2:6" x14ac:dyDescent="0.2">
      <c r="B568" s="598"/>
      <c r="E568" s="598"/>
      <c r="F568" s="598"/>
    </row>
    <row r="569" spans="2:6" x14ac:dyDescent="0.2">
      <c r="B569" s="598"/>
      <c r="E569" s="598"/>
      <c r="F569" s="598"/>
    </row>
    <row r="570" spans="2:6" x14ac:dyDescent="0.2">
      <c r="B570" s="598"/>
      <c r="E570" s="598"/>
      <c r="F570" s="598"/>
    </row>
    <row r="571" spans="2:6" x14ac:dyDescent="0.2">
      <c r="B571" s="598"/>
      <c r="E571" s="598"/>
      <c r="F571" s="598"/>
    </row>
    <row r="572" spans="2:6" x14ac:dyDescent="0.2">
      <c r="B572" s="598"/>
      <c r="E572" s="598"/>
      <c r="F572" s="598"/>
    </row>
    <row r="573" spans="2:6" x14ac:dyDescent="0.2">
      <c r="B573" s="598"/>
      <c r="E573" s="598"/>
      <c r="F573" s="598"/>
    </row>
    <row r="574" spans="2:6" x14ac:dyDescent="0.2">
      <c r="B574" s="598"/>
      <c r="E574" s="598"/>
      <c r="F574" s="598"/>
    </row>
    <row r="575" spans="2:6" x14ac:dyDescent="0.2">
      <c r="B575" s="598"/>
      <c r="E575" s="598"/>
      <c r="F575" s="598"/>
    </row>
    <row r="576" spans="2:6" x14ac:dyDescent="0.2">
      <c r="B576" s="598"/>
      <c r="E576" s="598"/>
      <c r="F576" s="598"/>
    </row>
    <row r="577" spans="2:6" x14ac:dyDescent="0.2">
      <c r="B577" s="598"/>
      <c r="E577" s="598"/>
      <c r="F577" s="598"/>
    </row>
    <row r="578" spans="2:6" x14ac:dyDescent="0.2">
      <c r="B578" s="598"/>
      <c r="E578" s="598"/>
      <c r="F578" s="598"/>
    </row>
    <row r="579" spans="2:6" x14ac:dyDescent="0.2">
      <c r="B579" s="598"/>
      <c r="E579" s="598"/>
      <c r="F579" s="598"/>
    </row>
    <row r="580" spans="2:6" x14ac:dyDescent="0.2">
      <c r="B580" s="598"/>
      <c r="E580" s="598"/>
      <c r="F580" s="598"/>
    </row>
    <row r="581" spans="2:6" x14ac:dyDescent="0.2">
      <c r="B581" s="598"/>
      <c r="E581" s="598"/>
      <c r="F581" s="598"/>
    </row>
    <row r="582" spans="2:6" x14ac:dyDescent="0.2">
      <c r="B582" s="598"/>
      <c r="E582" s="598"/>
      <c r="F582" s="598"/>
    </row>
    <row r="583" spans="2:6" x14ac:dyDescent="0.2">
      <c r="B583" s="598"/>
      <c r="E583" s="598"/>
      <c r="F583" s="598"/>
    </row>
    <row r="584" spans="2:6" x14ac:dyDescent="0.2">
      <c r="B584" s="598"/>
      <c r="E584" s="598"/>
      <c r="F584" s="598"/>
    </row>
    <row r="585" spans="2:6" x14ac:dyDescent="0.2">
      <c r="B585" s="598"/>
      <c r="E585" s="598"/>
      <c r="F585" s="598"/>
    </row>
    <row r="586" spans="2:6" x14ac:dyDescent="0.2">
      <c r="B586" s="598"/>
      <c r="E586" s="598"/>
      <c r="F586" s="598"/>
    </row>
    <row r="587" spans="2:6" x14ac:dyDescent="0.2">
      <c r="B587" s="598"/>
      <c r="E587" s="598"/>
      <c r="F587" s="598"/>
    </row>
    <row r="588" spans="2:6" x14ac:dyDescent="0.2">
      <c r="B588" s="598"/>
      <c r="E588" s="598"/>
      <c r="F588" s="598"/>
    </row>
    <row r="589" spans="2:6" x14ac:dyDescent="0.2">
      <c r="B589" s="598"/>
      <c r="E589" s="598"/>
      <c r="F589" s="598"/>
    </row>
    <row r="590" spans="2:6" x14ac:dyDescent="0.2">
      <c r="B590" s="598"/>
      <c r="E590" s="598"/>
      <c r="F590" s="598"/>
    </row>
    <row r="591" spans="2:6" x14ac:dyDescent="0.2">
      <c r="B591" s="598"/>
      <c r="E591" s="598"/>
      <c r="F591" s="598"/>
    </row>
    <row r="592" spans="2:6" x14ac:dyDescent="0.2">
      <c r="B592" s="598"/>
      <c r="E592" s="598"/>
      <c r="F592" s="598"/>
    </row>
    <row r="593" spans="2:6" x14ac:dyDescent="0.2">
      <c r="B593" s="598"/>
      <c r="E593" s="598"/>
      <c r="F593" s="598"/>
    </row>
    <row r="594" spans="2:6" x14ac:dyDescent="0.2">
      <c r="B594" s="598"/>
      <c r="E594" s="598"/>
      <c r="F594" s="598"/>
    </row>
    <row r="595" spans="2:6" x14ac:dyDescent="0.2">
      <c r="B595" s="598"/>
      <c r="E595" s="598"/>
      <c r="F595" s="598"/>
    </row>
    <row r="596" spans="2:6" x14ac:dyDescent="0.2">
      <c r="B596" s="598"/>
      <c r="E596" s="598"/>
      <c r="F596" s="598"/>
    </row>
    <row r="597" spans="2:6" x14ac:dyDescent="0.2">
      <c r="B597" s="598"/>
      <c r="E597" s="598"/>
      <c r="F597" s="598"/>
    </row>
    <row r="598" spans="2:6" x14ac:dyDescent="0.2">
      <c r="B598" s="598"/>
      <c r="E598" s="598"/>
      <c r="F598" s="598"/>
    </row>
    <row r="599" spans="2:6" x14ac:dyDescent="0.2">
      <c r="B599" s="598"/>
      <c r="E599" s="598"/>
      <c r="F599" s="598"/>
    </row>
    <row r="600" spans="2:6" x14ac:dyDescent="0.2">
      <c r="B600" s="598"/>
      <c r="E600" s="598"/>
      <c r="F600" s="598"/>
    </row>
    <row r="601" spans="2:6" x14ac:dyDescent="0.2">
      <c r="B601" s="598"/>
      <c r="E601" s="598"/>
      <c r="F601" s="598"/>
    </row>
    <row r="602" spans="2:6" x14ac:dyDescent="0.2">
      <c r="B602" s="598"/>
      <c r="E602" s="598"/>
      <c r="F602" s="598"/>
    </row>
    <row r="603" spans="2:6" x14ac:dyDescent="0.2">
      <c r="B603" s="598"/>
      <c r="E603" s="598"/>
      <c r="F603" s="598"/>
    </row>
    <row r="604" spans="2:6" x14ac:dyDescent="0.2">
      <c r="B604" s="598"/>
      <c r="E604" s="598"/>
      <c r="F604" s="598"/>
    </row>
    <row r="605" spans="2:6" x14ac:dyDescent="0.2">
      <c r="B605" s="598"/>
      <c r="E605" s="598"/>
      <c r="F605" s="598"/>
    </row>
    <row r="606" spans="2:6" x14ac:dyDescent="0.2">
      <c r="B606" s="598"/>
      <c r="E606" s="598"/>
      <c r="F606" s="598"/>
    </row>
    <row r="607" spans="2:6" x14ac:dyDescent="0.2">
      <c r="B607" s="598"/>
      <c r="E607" s="598"/>
      <c r="F607" s="598"/>
    </row>
    <row r="608" spans="2:6" x14ac:dyDescent="0.2">
      <c r="B608" s="598"/>
      <c r="E608" s="598"/>
      <c r="F608" s="598"/>
    </row>
    <row r="609" spans="2:6" x14ac:dyDescent="0.2">
      <c r="B609" s="598"/>
      <c r="E609" s="598"/>
      <c r="F609" s="598"/>
    </row>
    <row r="610" spans="2:6" x14ac:dyDescent="0.2">
      <c r="B610" s="598"/>
      <c r="E610" s="598"/>
      <c r="F610" s="598"/>
    </row>
    <row r="611" spans="2:6" x14ac:dyDescent="0.2">
      <c r="B611" s="598"/>
      <c r="E611" s="598"/>
      <c r="F611" s="598"/>
    </row>
    <row r="612" spans="2:6" x14ac:dyDescent="0.2">
      <c r="B612" s="598"/>
      <c r="E612" s="598"/>
      <c r="F612" s="598"/>
    </row>
    <row r="613" spans="2:6" x14ac:dyDescent="0.2">
      <c r="B613" s="598"/>
      <c r="E613" s="598"/>
      <c r="F613" s="598"/>
    </row>
    <row r="614" spans="2:6" x14ac:dyDescent="0.2">
      <c r="B614" s="598"/>
      <c r="E614" s="598"/>
      <c r="F614" s="598"/>
    </row>
    <row r="615" spans="2:6" x14ac:dyDescent="0.2">
      <c r="B615" s="598"/>
      <c r="E615" s="598"/>
      <c r="F615" s="598"/>
    </row>
    <row r="616" spans="2:6" x14ac:dyDescent="0.2">
      <c r="B616" s="598"/>
      <c r="E616" s="598"/>
      <c r="F616" s="598"/>
    </row>
    <row r="617" spans="2:6" x14ac:dyDescent="0.2">
      <c r="B617" s="598"/>
      <c r="E617" s="598"/>
      <c r="F617" s="598"/>
    </row>
    <row r="618" spans="2:6" x14ac:dyDescent="0.2">
      <c r="B618" s="598"/>
      <c r="E618" s="598"/>
      <c r="F618" s="598"/>
    </row>
    <row r="619" spans="2:6" x14ac:dyDescent="0.2">
      <c r="B619" s="598"/>
      <c r="E619" s="598"/>
      <c r="F619" s="598"/>
    </row>
    <row r="620" spans="2:6" x14ac:dyDescent="0.2">
      <c r="B620" s="598"/>
      <c r="E620" s="598"/>
      <c r="F620" s="598"/>
    </row>
    <row r="621" spans="2:6" x14ac:dyDescent="0.2">
      <c r="B621" s="598"/>
      <c r="E621" s="598"/>
      <c r="F621" s="598"/>
    </row>
    <row r="622" spans="2:6" x14ac:dyDescent="0.2">
      <c r="B622" s="598"/>
      <c r="E622" s="598"/>
      <c r="F622" s="598"/>
    </row>
    <row r="623" spans="2:6" x14ac:dyDescent="0.2">
      <c r="B623" s="598"/>
      <c r="E623" s="598"/>
      <c r="F623" s="598"/>
    </row>
    <row r="624" spans="2:6" x14ac:dyDescent="0.2">
      <c r="B624" s="598"/>
      <c r="E624" s="598"/>
      <c r="F624" s="598"/>
    </row>
    <row r="625" spans="2:6" x14ac:dyDescent="0.2">
      <c r="B625" s="598"/>
      <c r="E625" s="598"/>
      <c r="F625" s="598"/>
    </row>
    <row r="626" spans="2:6" x14ac:dyDescent="0.2">
      <c r="B626" s="598"/>
      <c r="E626" s="598"/>
      <c r="F626" s="598"/>
    </row>
    <row r="627" spans="2:6" x14ac:dyDescent="0.2">
      <c r="B627" s="598"/>
      <c r="E627" s="598"/>
      <c r="F627" s="598"/>
    </row>
    <row r="628" spans="2:6" x14ac:dyDescent="0.2">
      <c r="B628" s="598"/>
      <c r="E628" s="598"/>
      <c r="F628" s="598"/>
    </row>
    <row r="629" spans="2:6" x14ac:dyDescent="0.2">
      <c r="B629" s="598"/>
      <c r="E629" s="598"/>
      <c r="F629" s="598"/>
    </row>
    <row r="630" spans="2:6" x14ac:dyDescent="0.2">
      <c r="B630" s="598"/>
      <c r="E630" s="598"/>
      <c r="F630" s="598"/>
    </row>
    <row r="631" spans="2:6" x14ac:dyDescent="0.2">
      <c r="B631" s="598"/>
      <c r="E631" s="598"/>
      <c r="F631" s="598"/>
    </row>
    <row r="632" spans="2:6" x14ac:dyDescent="0.2">
      <c r="B632" s="598"/>
      <c r="E632" s="598"/>
      <c r="F632" s="598"/>
    </row>
    <row r="633" spans="2:6" x14ac:dyDescent="0.2">
      <c r="B633" s="598"/>
      <c r="E633" s="598"/>
      <c r="F633" s="598"/>
    </row>
    <row r="634" spans="2:6" x14ac:dyDescent="0.2">
      <c r="B634" s="598"/>
      <c r="E634" s="598"/>
      <c r="F634" s="598"/>
    </row>
    <row r="635" spans="2:6" x14ac:dyDescent="0.2">
      <c r="B635" s="598"/>
      <c r="E635" s="598"/>
      <c r="F635" s="598"/>
    </row>
    <row r="636" spans="2:6" x14ac:dyDescent="0.2">
      <c r="B636" s="598"/>
      <c r="E636" s="598"/>
      <c r="F636" s="598"/>
    </row>
    <row r="637" spans="2:6" x14ac:dyDescent="0.2">
      <c r="B637" s="598"/>
      <c r="E637" s="598"/>
      <c r="F637" s="598"/>
    </row>
    <row r="638" spans="2:6" x14ac:dyDescent="0.2">
      <c r="B638" s="598"/>
      <c r="E638" s="598"/>
      <c r="F638" s="598"/>
    </row>
    <row r="639" spans="2:6" x14ac:dyDescent="0.2">
      <c r="B639" s="598"/>
      <c r="E639" s="598"/>
      <c r="F639" s="598"/>
    </row>
    <row r="640" spans="2:6" x14ac:dyDescent="0.2">
      <c r="B640" s="598"/>
      <c r="E640" s="598"/>
      <c r="F640" s="598"/>
    </row>
    <row r="641" spans="2:6" x14ac:dyDescent="0.2">
      <c r="B641" s="598"/>
      <c r="E641" s="598"/>
      <c r="F641" s="598"/>
    </row>
    <row r="642" spans="2:6" x14ac:dyDescent="0.2">
      <c r="B642" s="598"/>
      <c r="E642" s="598"/>
      <c r="F642" s="598"/>
    </row>
    <row r="643" spans="2:6" x14ac:dyDescent="0.2">
      <c r="B643" s="598"/>
      <c r="E643" s="598"/>
      <c r="F643" s="598"/>
    </row>
    <row r="644" spans="2:6" x14ac:dyDescent="0.2">
      <c r="B644" s="598"/>
      <c r="E644" s="598"/>
      <c r="F644" s="598"/>
    </row>
    <row r="645" spans="2:6" x14ac:dyDescent="0.2">
      <c r="B645" s="598"/>
      <c r="E645" s="598"/>
      <c r="F645" s="598"/>
    </row>
    <row r="646" spans="2:6" x14ac:dyDescent="0.2">
      <c r="B646" s="598"/>
      <c r="E646" s="598"/>
      <c r="F646" s="598"/>
    </row>
    <row r="647" spans="2:6" x14ac:dyDescent="0.2">
      <c r="B647" s="598"/>
      <c r="E647" s="598"/>
      <c r="F647" s="598"/>
    </row>
    <row r="648" spans="2:6" x14ac:dyDescent="0.2">
      <c r="B648" s="598"/>
      <c r="E648" s="598"/>
      <c r="F648" s="598"/>
    </row>
    <row r="649" spans="2:6" x14ac:dyDescent="0.2">
      <c r="B649" s="598"/>
      <c r="E649" s="598"/>
      <c r="F649" s="598"/>
    </row>
    <row r="650" spans="2:6" x14ac:dyDescent="0.2">
      <c r="B650" s="598"/>
      <c r="E650" s="598"/>
      <c r="F650" s="598"/>
    </row>
    <row r="651" spans="2:6" x14ac:dyDescent="0.2">
      <c r="B651" s="598"/>
      <c r="E651" s="598"/>
      <c r="F651" s="598"/>
    </row>
    <row r="652" spans="2:6" x14ac:dyDescent="0.2">
      <c r="B652" s="598"/>
      <c r="E652" s="598"/>
      <c r="F652" s="598"/>
    </row>
    <row r="653" spans="2:6" x14ac:dyDescent="0.2">
      <c r="B653" s="598"/>
      <c r="E653" s="598"/>
      <c r="F653" s="598"/>
    </row>
    <row r="654" spans="2:6" x14ac:dyDescent="0.2">
      <c r="B654" s="598"/>
      <c r="E654" s="598"/>
      <c r="F654" s="598"/>
    </row>
    <row r="655" spans="2:6" x14ac:dyDescent="0.2">
      <c r="B655" s="598"/>
      <c r="E655" s="598"/>
      <c r="F655" s="598"/>
    </row>
    <row r="656" spans="2:6" x14ac:dyDescent="0.2">
      <c r="B656" s="598"/>
      <c r="E656" s="598"/>
      <c r="F656" s="598"/>
    </row>
    <row r="657" spans="2:6" x14ac:dyDescent="0.2">
      <c r="B657" s="598"/>
      <c r="E657" s="598"/>
      <c r="F657" s="598"/>
    </row>
    <row r="658" spans="2:6" x14ac:dyDescent="0.2">
      <c r="B658" s="598"/>
      <c r="E658" s="598"/>
      <c r="F658" s="598"/>
    </row>
    <row r="659" spans="2:6" x14ac:dyDescent="0.2">
      <c r="B659" s="598"/>
      <c r="E659" s="598"/>
      <c r="F659" s="598"/>
    </row>
    <row r="660" spans="2:6" x14ac:dyDescent="0.2">
      <c r="B660" s="598"/>
      <c r="E660" s="598"/>
      <c r="F660" s="598"/>
    </row>
    <row r="661" spans="2:6" x14ac:dyDescent="0.2">
      <c r="B661" s="598"/>
      <c r="E661" s="598"/>
      <c r="F661" s="598"/>
    </row>
    <row r="662" spans="2:6" x14ac:dyDescent="0.2">
      <c r="B662" s="598"/>
      <c r="E662" s="598"/>
      <c r="F662" s="598"/>
    </row>
    <row r="663" spans="2:6" x14ac:dyDescent="0.2">
      <c r="B663" s="598"/>
      <c r="E663" s="598"/>
      <c r="F663" s="598"/>
    </row>
    <row r="664" spans="2:6" x14ac:dyDescent="0.2">
      <c r="B664" s="598"/>
      <c r="E664" s="598"/>
      <c r="F664" s="598"/>
    </row>
    <row r="665" spans="2:6" x14ac:dyDescent="0.2">
      <c r="B665" s="598"/>
      <c r="E665" s="598"/>
      <c r="F665" s="598"/>
    </row>
    <row r="666" spans="2:6" x14ac:dyDescent="0.2">
      <c r="B666" s="598"/>
      <c r="E666" s="598"/>
      <c r="F666" s="598"/>
    </row>
    <row r="667" spans="2:6" x14ac:dyDescent="0.2">
      <c r="B667" s="598"/>
      <c r="E667" s="598"/>
      <c r="F667" s="598"/>
    </row>
    <row r="668" spans="2:6" x14ac:dyDescent="0.2">
      <c r="B668" s="598"/>
      <c r="E668" s="598"/>
      <c r="F668" s="598"/>
    </row>
    <row r="669" spans="2:6" x14ac:dyDescent="0.2">
      <c r="B669" s="598"/>
      <c r="E669" s="598"/>
      <c r="F669" s="598"/>
    </row>
    <row r="670" spans="2:6" x14ac:dyDescent="0.2">
      <c r="B670" s="598"/>
      <c r="E670" s="598"/>
      <c r="F670" s="598"/>
    </row>
    <row r="671" spans="2:6" x14ac:dyDescent="0.2">
      <c r="B671" s="598"/>
      <c r="E671" s="598"/>
      <c r="F671" s="598"/>
    </row>
    <row r="672" spans="2:6" x14ac:dyDescent="0.2">
      <c r="B672" s="598"/>
      <c r="E672" s="598"/>
      <c r="F672" s="598"/>
    </row>
    <row r="673" spans="2:6" x14ac:dyDescent="0.2">
      <c r="B673" s="598"/>
      <c r="E673" s="598"/>
      <c r="F673" s="598"/>
    </row>
    <row r="674" spans="2:6" x14ac:dyDescent="0.2">
      <c r="B674" s="598"/>
      <c r="E674" s="598"/>
      <c r="F674" s="598"/>
    </row>
    <row r="675" spans="2:6" x14ac:dyDescent="0.2">
      <c r="B675" s="598"/>
      <c r="E675" s="598"/>
      <c r="F675" s="598"/>
    </row>
    <row r="676" spans="2:6" x14ac:dyDescent="0.2">
      <c r="B676" s="598"/>
      <c r="E676" s="598"/>
      <c r="F676" s="598"/>
    </row>
    <row r="677" spans="2:6" x14ac:dyDescent="0.2">
      <c r="B677" s="598"/>
      <c r="E677" s="598"/>
      <c r="F677" s="598"/>
    </row>
    <row r="678" spans="2:6" x14ac:dyDescent="0.2">
      <c r="B678" s="598"/>
      <c r="E678" s="598"/>
      <c r="F678" s="598"/>
    </row>
    <row r="679" spans="2:6" x14ac:dyDescent="0.2">
      <c r="B679" s="598"/>
      <c r="E679" s="598"/>
      <c r="F679" s="598"/>
    </row>
    <row r="680" spans="2:6" x14ac:dyDescent="0.2">
      <c r="B680" s="598"/>
      <c r="E680" s="598"/>
      <c r="F680" s="598"/>
    </row>
    <row r="681" spans="2:6" x14ac:dyDescent="0.2">
      <c r="B681" s="598"/>
      <c r="E681" s="598"/>
      <c r="F681" s="598"/>
    </row>
    <row r="682" spans="2:6" x14ac:dyDescent="0.2">
      <c r="B682" s="598"/>
      <c r="E682" s="598"/>
      <c r="F682" s="598"/>
    </row>
    <row r="683" spans="2:6" x14ac:dyDescent="0.2">
      <c r="B683" s="598"/>
      <c r="E683" s="598"/>
      <c r="F683" s="598"/>
    </row>
    <row r="684" spans="2:6" x14ac:dyDescent="0.2">
      <c r="B684" s="598"/>
      <c r="E684" s="598"/>
      <c r="F684" s="598"/>
    </row>
    <row r="685" spans="2:6" x14ac:dyDescent="0.2">
      <c r="B685" s="598"/>
      <c r="E685" s="598"/>
      <c r="F685" s="598"/>
    </row>
    <row r="686" spans="2:6" x14ac:dyDescent="0.2">
      <c r="B686" s="598"/>
      <c r="E686" s="598"/>
      <c r="F686" s="598"/>
    </row>
    <row r="687" spans="2:6" x14ac:dyDescent="0.2">
      <c r="B687" s="598"/>
      <c r="E687" s="598"/>
      <c r="F687" s="598"/>
    </row>
    <row r="688" spans="2:6" x14ac:dyDescent="0.2">
      <c r="B688" s="598"/>
      <c r="E688" s="598"/>
      <c r="F688" s="598"/>
    </row>
    <row r="689" spans="2:6" x14ac:dyDescent="0.2">
      <c r="B689" s="598"/>
      <c r="E689" s="598"/>
      <c r="F689" s="598"/>
    </row>
    <row r="690" spans="2:6" x14ac:dyDescent="0.2">
      <c r="B690" s="598"/>
      <c r="E690" s="598"/>
      <c r="F690" s="598"/>
    </row>
    <row r="691" spans="2:6" x14ac:dyDescent="0.2">
      <c r="B691" s="598"/>
      <c r="E691" s="598"/>
      <c r="F691" s="598"/>
    </row>
    <row r="692" spans="2:6" x14ac:dyDescent="0.2">
      <c r="B692" s="598"/>
      <c r="E692" s="598"/>
      <c r="F692" s="598"/>
    </row>
    <row r="693" spans="2:6" x14ac:dyDescent="0.2">
      <c r="B693" s="598"/>
      <c r="E693" s="598"/>
      <c r="F693" s="598"/>
    </row>
    <row r="694" spans="2:6" x14ac:dyDescent="0.2">
      <c r="B694" s="598"/>
      <c r="E694" s="598"/>
      <c r="F694" s="598"/>
    </row>
    <row r="695" spans="2:6" x14ac:dyDescent="0.2">
      <c r="B695" s="598"/>
      <c r="E695" s="598"/>
      <c r="F695" s="598"/>
    </row>
    <row r="696" spans="2:6" x14ac:dyDescent="0.2">
      <c r="B696" s="598"/>
      <c r="E696" s="598"/>
      <c r="F696" s="598"/>
    </row>
    <row r="697" spans="2:6" x14ac:dyDescent="0.2">
      <c r="B697" s="598"/>
      <c r="E697" s="598"/>
      <c r="F697" s="598"/>
    </row>
    <row r="698" spans="2:6" x14ac:dyDescent="0.2">
      <c r="B698" s="598"/>
      <c r="E698" s="598"/>
      <c r="F698" s="598"/>
    </row>
    <row r="699" spans="2:6" x14ac:dyDescent="0.2">
      <c r="B699" s="598"/>
      <c r="E699" s="598"/>
      <c r="F699" s="598"/>
    </row>
    <row r="700" spans="2:6" x14ac:dyDescent="0.2">
      <c r="B700" s="598"/>
      <c r="E700" s="598"/>
      <c r="F700" s="598"/>
    </row>
    <row r="701" spans="2:6" x14ac:dyDescent="0.2">
      <c r="B701" s="598"/>
      <c r="E701" s="598"/>
      <c r="F701" s="598"/>
    </row>
    <row r="702" spans="2:6" x14ac:dyDescent="0.2">
      <c r="B702" s="598"/>
      <c r="E702" s="598"/>
      <c r="F702" s="598"/>
    </row>
    <row r="703" spans="2:6" x14ac:dyDescent="0.2">
      <c r="B703" s="598"/>
      <c r="E703" s="598"/>
      <c r="F703" s="598"/>
    </row>
    <row r="704" spans="2:6" x14ac:dyDescent="0.2">
      <c r="B704" s="598"/>
      <c r="E704" s="598"/>
      <c r="F704" s="598"/>
    </row>
    <row r="705" spans="2:6" x14ac:dyDescent="0.2">
      <c r="B705" s="598"/>
      <c r="E705" s="598"/>
      <c r="F705" s="598"/>
    </row>
    <row r="706" spans="2:6" x14ac:dyDescent="0.2">
      <c r="B706" s="598"/>
      <c r="E706" s="598"/>
      <c r="F706" s="598"/>
    </row>
    <row r="707" spans="2:6" x14ac:dyDescent="0.2">
      <c r="B707" s="598"/>
      <c r="E707" s="598"/>
      <c r="F707" s="598"/>
    </row>
    <row r="708" spans="2:6" x14ac:dyDescent="0.2">
      <c r="B708" s="598"/>
      <c r="E708" s="598"/>
      <c r="F708" s="598"/>
    </row>
    <row r="709" spans="2:6" x14ac:dyDescent="0.2">
      <c r="B709" s="598"/>
      <c r="E709" s="598"/>
      <c r="F709" s="598"/>
    </row>
    <row r="710" spans="2:6" x14ac:dyDescent="0.2">
      <c r="B710" s="598"/>
      <c r="E710" s="598"/>
      <c r="F710" s="598"/>
    </row>
    <row r="711" spans="2:6" x14ac:dyDescent="0.2">
      <c r="B711" s="598"/>
      <c r="E711" s="598"/>
      <c r="F711" s="598"/>
    </row>
    <row r="712" spans="2:6" x14ac:dyDescent="0.2">
      <c r="B712" s="598"/>
      <c r="E712" s="598"/>
      <c r="F712" s="598"/>
    </row>
    <row r="713" spans="2:6" x14ac:dyDescent="0.2">
      <c r="B713" s="598"/>
      <c r="E713" s="598"/>
      <c r="F713" s="598"/>
    </row>
    <row r="714" spans="2:6" x14ac:dyDescent="0.2">
      <c r="B714" s="598"/>
      <c r="E714" s="598"/>
      <c r="F714" s="598"/>
    </row>
    <row r="715" spans="2:6" x14ac:dyDescent="0.2">
      <c r="B715" s="598"/>
      <c r="E715" s="598"/>
      <c r="F715" s="598"/>
    </row>
    <row r="716" spans="2:6" x14ac:dyDescent="0.2">
      <c r="B716" s="598"/>
      <c r="E716" s="598"/>
      <c r="F716" s="598"/>
    </row>
    <row r="717" spans="2:6" x14ac:dyDescent="0.2">
      <c r="B717" s="598"/>
      <c r="E717" s="598"/>
      <c r="F717" s="598"/>
    </row>
    <row r="718" spans="2:6" x14ac:dyDescent="0.2">
      <c r="B718" s="598"/>
      <c r="E718" s="598"/>
      <c r="F718" s="598"/>
    </row>
    <row r="719" spans="2:6" x14ac:dyDescent="0.2">
      <c r="B719" s="598"/>
      <c r="E719" s="598"/>
      <c r="F719" s="598"/>
    </row>
    <row r="720" spans="2:6" x14ac:dyDescent="0.2">
      <c r="B720" s="598"/>
      <c r="E720" s="598"/>
      <c r="F720" s="598"/>
    </row>
    <row r="721" spans="2:6" x14ac:dyDescent="0.2">
      <c r="B721" s="598"/>
      <c r="E721" s="598"/>
      <c r="F721" s="598"/>
    </row>
    <row r="722" spans="2:6" x14ac:dyDescent="0.2">
      <c r="B722" s="598"/>
      <c r="E722" s="598"/>
      <c r="F722" s="598"/>
    </row>
    <row r="723" spans="2:6" x14ac:dyDescent="0.2">
      <c r="B723" s="598"/>
      <c r="E723" s="598"/>
      <c r="F723" s="598"/>
    </row>
    <row r="724" spans="2:6" x14ac:dyDescent="0.2">
      <c r="B724" s="598"/>
      <c r="E724" s="598"/>
      <c r="F724" s="598"/>
    </row>
    <row r="725" spans="2:6" x14ac:dyDescent="0.2">
      <c r="B725" s="598"/>
      <c r="E725" s="598"/>
      <c r="F725" s="598"/>
    </row>
    <row r="726" spans="2:6" x14ac:dyDescent="0.2">
      <c r="B726" s="598"/>
      <c r="E726" s="598"/>
      <c r="F726" s="598"/>
    </row>
    <row r="727" spans="2:6" x14ac:dyDescent="0.2">
      <c r="B727" s="598"/>
      <c r="E727" s="598"/>
      <c r="F727" s="598"/>
    </row>
    <row r="728" spans="2:6" x14ac:dyDescent="0.2">
      <c r="B728" s="598"/>
      <c r="E728" s="598"/>
      <c r="F728" s="598"/>
    </row>
    <row r="729" spans="2:6" x14ac:dyDescent="0.2">
      <c r="B729" s="598"/>
      <c r="E729" s="598"/>
      <c r="F729" s="598"/>
    </row>
    <row r="730" spans="2:6" x14ac:dyDescent="0.2">
      <c r="B730" s="598"/>
      <c r="E730" s="598"/>
      <c r="F730" s="598"/>
    </row>
    <row r="731" spans="2:6" x14ac:dyDescent="0.2">
      <c r="B731" s="598"/>
      <c r="E731" s="598"/>
      <c r="F731" s="598"/>
    </row>
    <row r="732" spans="2:6" x14ac:dyDescent="0.2">
      <c r="B732" s="598"/>
      <c r="E732" s="598"/>
      <c r="F732" s="598"/>
    </row>
    <row r="733" spans="2:6" x14ac:dyDescent="0.2">
      <c r="B733" s="598"/>
      <c r="E733" s="598"/>
      <c r="F733" s="598"/>
    </row>
    <row r="734" spans="2:6" x14ac:dyDescent="0.2">
      <c r="B734" s="598"/>
      <c r="E734" s="598"/>
      <c r="F734" s="598"/>
    </row>
    <row r="735" spans="2:6" x14ac:dyDescent="0.2">
      <c r="B735" s="598"/>
      <c r="E735" s="598"/>
      <c r="F735" s="598"/>
    </row>
    <row r="736" spans="2:6" x14ac:dyDescent="0.2">
      <c r="B736" s="598"/>
      <c r="E736" s="598"/>
      <c r="F736" s="598"/>
    </row>
    <row r="737" spans="2:6" x14ac:dyDescent="0.2">
      <c r="B737" s="598"/>
      <c r="E737" s="598"/>
      <c r="F737" s="598"/>
    </row>
    <row r="738" spans="2:6" x14ac:dyDescent="0.2">
      <c r="B738" s="598"/>
      <c r="E738" s="598"/>
      <c r="F738" s="598"/>
    </row>
    <row r="739" spans="2:6" x14ac:dyDescent="0.2">
      <c r="B739" s="598"/>
      <c r="E739" s="598"/>
      <c r="F739" s="598"/>
    </row>
    <row r="740" spans="2:6" x14ac:dyDescent="0.2">
      <c r="B740" s="598"/>
      <c r="E740" s="598"/>
      <c r="F740" s="598"/>
    </row>
    <row r="741" spans="2:6" x14ac:dyDescent="0.2">
      <c r="B741" s="598"/>
      <c r="E741" s="598"/>
      <c r="F741" s="598"/>
    </row>
    <row r="742" spans="2:6" x14ac:dyDescent="0.2">
      <c r="B742" s="598"/>
      <c r="E742" s="598"/>
      <c r="F742" s="598"/>
    </row>
    <row r="743" spans="2:6" x14ac:dyDescent="0.2">
      <c r="B743" s="598"/>
      <c r="E743" s="598"/>
      <c r="F743" s="598"/>
    </row>
    <row r="744" spans="2:6" x14ac:dyDescent="0.2">
      <c r="B744" s="598"/>
      <c r="E744" s="598"/>
      <c r="F744" s="598"/>
    </row>
    <row r="745" spans="2:6" x14ac:dyDescent="0.2">
      <c r="B745" s="598"/>
      <c r="E745" s="598"/>
      <c r="F745" s="598"/>
    </row>
    <row r="746" spans="2:6" x14ac:dyDescent="0.2">
      <c r="B746" s="598"/>
      <c r="E746" s="598"/>
      <c r="F746" s="598"/>
    </row>
    <row r="747" spans="2:6" x14ac:dyDescent="0.2">
      <c r="B747" s="598"/>
      <c r="E747" s="598"/>
      <c r="F747" s="598"/>
    </row>
    <row r="748" spans="2:6" x14ac:dyDescent="0.2">
      <c r="B748" s="598"/>
      <c r="E748" s="598"/>
      <c r="F748" s="598"/>
    </row>
    <row r="749" spans="2:6" x14ac:dyDescent="0.2">
      <c r="B749" s="598"/>
      <c r="E749" s="598"/>
      <c r="F749" s="598"/>
    </row>
    <row r="750" spans="2:6" x14ac:dyDescent="0.2">
      <c r="B750" s="598"/>
      <c r="E750" s="598"/>
      <c r="F750" s="598"/>
    </row>
    <row r="751" spans="2:6" x14ac:dyDescent="0.2">
      <c r="B751" s="598"/>
      <c r="E751" s="598"/>
      <c r="F751" s="598"/>
    </row>
    <row r="752" spans="2:6" x14ac:dyDescent="0.2">
      <c r="B752" s="598"/>
      <c r="E752" s="598"/>
      <c r="F752" s="598"/>
    </row>
    <row r="753" spans="2:6" x14ac:dyDescent="0.2">
      <c r="B753" s="598"/>
      <c r="E753" s="598"/>
      <c r="F753" s="598"/>
    </row>
    <row r="754" spans="2:6" x14ac:dyDescent="0.2">
      <c r="B754" s="598"/>
      <c r="E754" s="598"/>
      <c r="F754" s="598"/>
    </row>
    <row r="755" spans="2:6" x14ac:dyDescent="0.2">
      <c r="B755" s="598"/>
      <c r="E755" s="598"/>
      <c r="F755" s="598"/>
    </row>
    <row r="756" spans="2:6" x14ac:dyDescent="0.2">
      <c r="B756" s="598"/>
      <c r="E756" s="598"/>
      <c r="F756" s="598"/>
    </row>
    <row r="757" spans="2:6" x14ac:dyDescent="0.2">
      <c r="B757" s="598"/>
      <c r="E757" s="598"/>
      <c r="F757" s="598"/>
    </row>
    <row r="758" spans="2:6" x14ac:dyDescent="0.2">
      <c r="B758" s="598"/>
      <c r="E758" s="598"/>
      <c r="F758" s="598"/>
    </row>
    <row r="759" spans="2:6" x14ac:dyDescent="0.2">
      <c r="B759" s="598"/>
      <c r="E759" s="598"/>
      <c r="F759" s="598"/>
    </row>
    <row r="760" spans="2:6" x14ac:dyDescent="0.2">
      <c r="B760" s="598"/>
      <c r="E760" s="598"/>
      <c r="F760" s="598"/>
    </row>
    <row r="761" spans="2:6" x14ac:dyDescent="0.2">
      <c r="B761" s="598"/>
      <c r="E761" s="598"/>
      <c r="F761" s="598"/>
    </row>
    <row r="762" spans="2:6" x14ac:dyDescent="0.2">
      <c r="B762" s="598"/>
      <c r="E762" s="598"/>
      <c r="F762" s="598"/>
    </row>
    <row r="763" spans="2:6" x14ac:dyDescent="0.2">
      <c r="B763" s="598"/>
      <c r="E763" s="598"/>
      <c r="F763" s="598"/>
    </row>
    <row r="764" spans="2:6" x14ac:dyDescent="0.2">
      <c r="B764" s="598"/>
      <c r="E764" s="598"/>
      <c r="F764" s="598"/>
    </row>
    <row r="765" spans="2:6" x14ac:dyDescent="0.2">
      <c r="B765" s="598"/>
      <c r="E765" s="598"/>
      <c r="F765" s="598"/>
    </row>
    <row r="766" spans="2:6" x14ac:dyDescent="0.2">
      <c r="B766" s="598"/>
      <c r="E766" s="598"/>
      <c r="F766" s="598"/>
    </row>
    <row r="767" spans="2:6" x14ac:dyDescent="0.2">
      <c r="B767" s="598"/>
      <c r="E767" s="598"/>
      <c r="F767" s="598"/>
    </row>
    <row r="768" spans="2:6" x14ac:dyDescent="0.2">
      <c r="B768" s="598"/>
      <c r="E768" s="598"/>
      <c r="F768" s="598"/>
    </row>
    <row r="769" spans="2:6" x14ac:dyDescent="0.2">
      <c r="B769" s="598"/>
      <c r="E769" s="598"/>
      <c r="F769" s="598"/>
    </row>
    <row r="770" spans="2:6" x14ac:dyDescent="0.2">
      <c r="B770" s="598"/>
      <c r="E770" s="598"/>
      <c r="F770" s="598"/>
    </row>
    <row r="771" spans="2:6" x14ac:dyDescent="0.2">
      <c r="B771" s="598"/>
      <c r="E771" s="598"/>
      <c r="F771" s="598"/>
    </row>
    <row r="772" spans="2:6" x14ac:dyDescent="0.2">
      <c r="B772" s="598"/>
      <c r="E772" s="598"/>
      <c r="F772" s="598"/>
    </row>
    <row r="773" spans="2:6" x14ac:dyDescent="0.2">
      <c r="B773" s="598"/>
      <c r="E773" s="598"/>
      <c r="F773" s="598"/>
    </row>
    <row r="774" spans="2:6" x14ac:dyDescent="0.2">
      <c r="B774" s="598"/>
      <c r="E774" s="598"/>
      <c r="F774" s="598"/>
    </row>
    <row r="775" spans="2:6" x14ac:dyDescent="0.2">
      <c r="B775" s="598"/>
      <c r="E775" s="598"/>
      <c r="F775" s="598"/>
    </row>
    <row r="776" spans="2:6" x14ac:dyDescent="0.2">
      <c r="B776" s="598"/>
      <c r="E776" s="598"/>
      <c r="F776" s="598"/>
    </row>
    <row r="777" spans="2:6" x14ac:dyDescent="0.2">
      <c r="B777" s="598"/>
      <c r="E777" s="598"/>
      <c r="F777" s="598"/>
    </row>
    <row r="778" spans="2:6" x14ac:dyDescent="0.2">
      <c r="B778" s="598"/>
      <c r="E778" s="598"/>
      <c r="F778" s="598"/>
    </row>
    <row r="779" spans="2:6" x14ac:dyDescent="0.2">
      <c r="B779" s="598"/>
      <c r="E779" s="598"/>
      <c r="F779" s="598"/>
    </row>
    <row r="780" spans="2:6" x14ac:dyDescent="0.2">
      <c r="B780" s="598"/>
      <c r="E780" s="598"/>
      <c r="F780" s="598"/>
    </row>
    <row r="781" spans="2:6" x14ac:dyDescent="0.2">
      <c r="B781" s="598"/>
      <c r="E781" s="598"/>
      <c r="F781" s="598"/>
    </row>
    <row r="782" spans="2:6" x14ac:dyDescent="0.2">
      <c r="B782" s="598"/>
      <c r="E782" s="598"/>
      <c r="F782" s="598"/>
    </row>
    <row r="783" spans="2:6" x14ac:dyDescent="0.2">
      <c r="B783" s="598"/>
      <c r="E783" s="598"/>
      <c r="F783" s="598"/>
    </row>
    <row r="784" spans="2:6" x14ac:dyDescent="0.2">
      <c r="B784" s="598"/>
      <c r="E784" s="598"/>
      <c r="F784" s="598"/>
    </row>
    <row r="785" spans="2:6" x14ac:dyDescent="0.2">
      <c r="B785" s="598"/>
      <c r="E785" s="598"/>
      <c r="F785" s="598"/>
    </row>
    <row r="786" spans="2:6" x14ac:dyDescent="0.2">
      <c r="B786" s="598"/>
      <c r="E786" s="598"/>
      <c r="F786" s="598"/>
    </row>
    <row r="787" spans="2:6" x14ac:dyDescent="0.2">
      <c r="B787" s="598"/>
      <c r="E787" s="598"/>
      <c r="F787" s="598"/>
    </row>
    <row r="788" spans="2:6" x14ac:dyDescent="0.2">
      <c r="B788" s="598"/>
      <c r="E788" s="598"/>
      <c r="F788" s="598"/>
    </row>
    <row r="789" spans="2:6" x14ac:dyDescent="0.2">
      <c r="B789" s="598"/>
      <c r="E789" s="598"/>
      <c r="F789" s="598"/>
    </row>
    <row r="790" spans="2:6" x14ac:dyDescent="0.2">
      <c r="B790" s="598"/>
      <c r="E790" s="598"/>
      <c r="F790" s="598"/>
    </row>
    <row r="791" spans="2:6" x14ac:dyDescent="0.2">
      <c r="B791" s="598"/>
      <c r="E791" s="598"/>
      <c r="F791" s="598"/>
    </row>
    <row r="792" spans="2:6" x14ac:dyDescent="0.2">
      <c r="B792" s="598"/>
      <c r="E792" s="598"/>
      <c r="F792" s="598"/>
    </row>
    <row r="793" spans="2:6" x14ac:dyDescent="0.2">
      <c r="B793" s="598"/>
      <c r="E793" s="598"/>
      <c r="F793" s="598"/>
    </row>
    <row r="794" spans="2:6" x14ac:dyDescent="0.2">
      <c r="B794" s="598"/>
      <c r="E794" s="598"/>
      <c r="F794" s="598"/>
    </row>
    <row r="795" spans="2:6" x14ac:dyDescent="0.2">
      <c r="B795" s="598"/>
      <c r="E795" s="598"/>
      <c r="F795" s="598"/>
    </row>
    <row r="796" spans="2:6" x14ac:dyDescent="0.2">
      <c r="B796" s="598"/>
      <c r="E796" s="598"/>
      <c r="F796" s="598"/>
    </row>
    <row r="797" spans="2:6" x14ac:dyDescent="0.2">
      <c r="B797" s="598"/>
      <c r="E797" s="598"/>
      <c r="F797" s="598"/>
    </row>
    <row r="798" spans="2:6" x14ac:dyDescent="0.2">
      <c r="B798" s="598"/>
      <c r="E798" s="598"/>
      <c r="F798" s="598"/>
    </row>
    <row r="799" spans="2:6" x14ac:dyDescent="0.2">
      <c r="B799" s="598"/>
      <c r="E799" s="598"/>
      <c r="F799" s="598"/>
    </row>
    <row r="800" spans="2:6" x14ac:dyDescent="0.2">
      <c r="B800" s="598"/>
      <c r="E800" s="598"/>
      <c r="F800" s="598"/>
    </row>
    <row r="801" spans="2:6" x14ac:dyDescent="0.2">
      <c r="B801" s="598"/>
      <c r="E801" s="598"/>
      <c r="F801" s="598"/>
    </row>
    <row r="802" spans="2:6" x14ac:dyDescent="0.2">
      <c r="B802" s="598"/>
      <c r="E802" s="598"/>
      <c r="F802" s="598"/>
    </row>
    <row r="803" spans="2:6" x14ac:dyDescent="0.2">
      <c r="B803" s="598"/>
      <c r="E803" s="598"/>
      <c r="F803" s="598"/>
    </row>
    <row r="804" spans="2:6" x14ac:dyDescent="0.2">
      <c r="B804" s="598"/>
      <c r="E804" s="598"/>
      <c r="F804" s="598"/>
    </row>
    <row r="805" spans="2:6" x14ac:dyDescent="0.2">
      <c r="B805" s="598"/>
      <c r="E805" s="598"/>
      <c r="F805" s="598"/>
    </row>
    <row r="806" spans="2:6" x14ac:dyDescent="0.2">
      <c r="B806" s="598"/>
      <c r="E806" s="598"/>
      <c r="F806" s="598"/>
    </row>
    <row r="807" spans="2:6" x14ac:dyDescent="0.2">
      <c r="B807" s="598"/>
      <c r="E807" s="598"/>
      <c r="F807" s="598"/>
    </row>
    <row r="808" spans="2:6" x14ac:dyDescent="0.2">
      <c r="B808" s="598"/>
      <c r="E808" s="598"/>
      <c r="F808" s="598"/>
    </row>
    <row r="809" spans="2:6" x14ac:dyDescent="0.2">
      <c r="B809" s="598"/>
      <c r="E809" s="598"/>
      <c r="F809" s="598"/>
    </row>
    <row r="810" spans="2:6" x14ac:dyDescent="0.2">
      <c r="B810" s="598"/>
      <c r="E810" s="598"/>
      <c r="F810" s="598"/>
    </row>
    <row r="811" spans="2:6" x14ac:dyDescent="0.2">
      <c r="B811" s="598"/>
      <c r="E811" s="598"/>
      <c r="F811" s="598"/>
    </row>
    <row r="812" spans="2:6" x14ac:dyDescent="0.2">
      <c r="B812" s="598"/>
      <c r="E812" s="598"/>
      <c r="F812" s="598"/>
    </row>
    <row r="813" spans="2:6" x14ac:dyDescent="0.2">
      <c r="B813" s="598"/>
      <c r="E813" s="598"/>
      <c r="F813" s="598"/>
    </row>
    <row r="814" spans="2:6" x14ac:dyDescent="0.2">
      <c r="B814" s="598"/>
      <c r="E814" s="598"/>
      <c r="F814" s="598"/>
    </row>
    <row r="815" spans="2:6" x14ac:dyDescent="0.2">
      <c r="B815" s="598"/>
      <c r="E815" s="598"/>
      <c r="F815" s="598"/>
    </row>
    <row r="816" spans="2:6" x14ac:dyDescent="0.2">
      <c r="B816" s="598"/>
      <c r="E816" s="598"/>
      <c r="F816" s="598"/>
    </row>
    <row r="817" spans="2:6" x14ac:dyDescent="0.2">
      <c r="B817" s="598"/>
      <c r="E817" s="598"/>
      <c r="F817" s="598"/>
    </row>
    <row r="818" spans="2:6" x14ac:dyDescent="0.2">
      <c r="B818" s="598"/>
      <c r="E818" s="598"/>
      <c r="F818" s="598"/>
    </row>
    <row r="819" spans="2:6" x14ac:dyDescent="0.2">
      <c r="B819" s="598"/>
      <c r="E819" s="598"/>
      <c r="F819" s="598"/>
    </row>
    <row r="820" spans="2:6" x14ac:dyDescent="0.2">
      <c r="B820" s="598"/>
      <c r="E820" s="598"/>
      <c r="F820" s="598"/>
    </row>
    <row r="821" spans="2:6" x14ac:dyDescent="0.2">
      <c r="B821" s="598"/>
      <c r="E821" s="598"/>
      <c r="F821" s="598"/>
    </row>
    <row r="822" spans="2:6" x14ac:dyDescent="0.2">
      <c r="B822" s="598"/>
      <c r="E822" s="598"/>
      <c r="F822" s="598"/>
    </row>
    <row r="823" spans="2:6" x14ac:dyDescent="0.2">
      <c r="B823" s="598"/>
      <c r="E823" s="598"/>
      <c r="F823" s="598"/>
    </row>
    <row r="824" spans="2:6" x14ac:dyDescent="0.2">
      <c r="B824" s="598"/>
      <c r="E824" s="598"/>
      <c r="F824" s="598"/>
    </row>
    <row r="825" spans="2:6" x14ac:dyDescent="0.2">
      <c r="B825" s="598"/>
      <c r="E825" s="598"/>
      <c r="F825" s="598"/>
    </row>
    <row r="826" spans="2:6" x14ac:dyDescent="0.2">
      <c r="B826" s="598"/>
      <c r="E826" s="598"/>
      <c r="F826" s="598"/>
    </row>
    <row r="827" spans="2:6" x14ac:dyDescent="0.2">
      <c r="B827" s="598"/>
      <c r="E827" s="598"/>
      <c r="F827" s="598"/>
    </row>
    <row r="828" spans="2:6" x14ac:dyDescent="0.2">
      <c r="B828" s="598"/>
      <c r="E828" s="598"/>
      <c r="F828" s="598"/>
    </row>
    <row r="829" spans="2:6" x14ac:dyDescent="0.2">
      <c r="B829" s="598"/>
      <c r="E829" s="598"/>
      <c r="F829" s="598"/>
    </row>
    <row r="830" spans="2:6" x14ac:dyDescent="0.2">
      <c r="B830" s="598"/>
      <c r="E830" s="598"/>
      <c r="F830" s="598"/>
    </row>
    <row r="831" spans="2:6" x14ac:dyDescent="0.2">
      <c r="B831" s="598"/>
      <c r="E831" s="598"/>
      <c r="F831" s="598"/>
    </row>
    <row r="832" spans="2:6" x14ac:dyDescent="0.2">
      <c r="B832" s="598"/>
      <c r="E832" s="598"/>
      <c r="F832" s="598"/>
    </row>
    <row r="833" spans="2:6" x14ac:dyDescent="0.2">
      <c r="B833" s="598"/>
      <c r="E833" s="598"/>
      <c r="F833" s="598"/>
    </row>
    <row r="834" spans="2:6" x14ac:dyDescent="0.2">
      <c r="B834" s="598"/>
      <c r="E834" s="598"/>
      <c r="F834" s="598"/>
    </row>
    <row r="835" spans="2:6" x14ac:dyDescent="0.2">
      <c r="B835" s="598"/>
      <c r="E835" s="598"/>
      <c r="F835" s="598"/>
    </row>
    <row r="836" spans="2:6" x14ac:dyDescent="0.2">
      <c r="B836" s="598"/>
      <c r="E836" s="598"/>
      <c r="F836" s="598"/>
    </row>
    <row r="837" spans="2:6" x14ac:dyDescent="0.2">
      <c r="B837" s="598"/>
      <c r="E837" s="598"/>
      <c r="F837" s="598"/>
    </row>
    <row r="838" spans="2:6" x14ac:dyDescent="0.2">
      <c r="B838" s="598"/>
      <c r="E838" s="598"/>
      <c r="F838" s="598"/>
    </row>
    <row r="839" spans="2:6" x14ac:dyDescent="0.2">
      <c r="B839" s="598"/>
      <c r="E839" s="598"/>
      <c r="F839" s="598"/>
    </row>
    <row r="840" spans="2:6" x14ac:dyDescent="0.2">
      <c r="B840" s="598"/>
      <c r="E840" s="598"/>
      <c r="F840" s="598"/>
    </row>
    <row r="841" spans="2:6" x14ac:dyDescent="0.2">
      <c r="B841" s="598"/>
      <c r="E841" s="598"/>
      <c r="F841" s="598"/>
    </row>
    <row r="842" spans="2:6" x14ac:dyDescent="0.2">
      <c r="B842" s="598"/>
      <c r="E842" s="598"/>
      <c r="F842" s="598"/>
    </row>
    <row r="843" spans="2:6" x14ac:dyDescent="0.2">
      <c r="B843" s="598"/>
      <c r="E843" s="598"/>
      <c r="F843" s="598"/>
    </row>
    <row r="844" spans="2:6" x14ac:dyDescent="0.2">
      <c r="B844" s="598"/>
      <c r="E844" s="598"/>
      <c r="F844" s="598"/>
    </row>
    <row r="845" spans="2:6" x14ac:dyDescent="0.2">
      <c r="B845" s="598"/>
      <c r="E845" s="598"/>
      <c r="F845" s="598"/>
    </row>
    <row r="846" spans="2:6" x14ac:dyDescent="0.2">
      <c r="B846" s="598"/>
      <c r="E846" s="598"/>
      <c r="F846" s="598"/>
    </row>
    <row r="847" spans="2:6" x14ac:dyDescent="0.2">
      <c r="B847" s="598"/>
      <c r="E847" s="598"/>
      <c r="F847" s="598"/>
    </row>
    <row r="848" spans="2:6" x14ac:dyDescent="0.2">
      <c r="B848" s="598"/>
      <c r="E848" s="598"/>
      <c r="F848" s="598"/>
    </row>
    <row r="849" spans="2:6" x14ac:dyDescent="0.2">
      <c r="B849" s="598"/>
      <c r="E849" s="598"/>
      <c r="F849" s="598"/>
    </row>
    <row r="850" spans="2:6" x14ac:dyDescent="0.2">
      <c r="B850" s="598"/>
      <c r="E850" s="598"/>
      <c r="F850" s="598"/>
    </row>
    <row r="851" spans="2:6" x14ac:dyDescent="0.2">
      <c r="B851" s="598"/>
      <c r="E851" s="598"/>
      <c r="F851" s="598"/>
    </row>
    <row r="852" spans="2:6" x14ac:dyDescent="0.2">
      <c r="B852" s="598"/>
      <c r="E852" s="598"/>
      <c r="F852" s="598"/>
    </row>
    <row r="853" spans="2:6" x14ac:dyDescent="0.2">
      <c r="B853" s="598"/>
      <c r="E853" s="598"/>
      <c r="F853" s="598"/>
    </row>
    <row r="854" spans="2:6" x14ac:dyDescent="0.2">
      <c r="B854" s="598"/>
      <c r="E854" s="598"/>
      <c r="F854" s="598"/>
    </row>
    <row r="855" spans="2:6" x14ac:dyDescent="0.2">
      <c r="B855" s="598"/>
      <c r="E855" s="598"/>
      <c r="F855" s="598"/>
    </row>
    <row r="856" spans="2:6" x14ac:dyDescent="0.2">
      <c r="B856" s="598"/>
      <c r="E856" s="598"/>
      <c r="F856" s="598"/>
    </row>
    <row r="857" spans="2:6" x14ac:dyDescent="0.2">
      <c r="B857" s="598"/>
      <c r="E857" s="598"/>
      <c r="F857" s="598"/>
    </row>
    <row r="858" spans="2:6" x14ac:dyDescent="0.2">
      <c r="B858" s="598"/>
      <c r="E858" s="598"/>
      <c r="F858" s="598"/>
    </row>
    <row r="859" spans="2:6" x14ac:dyDescent="0.2">
      <c r="B859" s="598"/>
      <c r="E859" s="598"/>
      <c r="F859" s="598"/>
    </row>
    <row r="860" spans="2:6" x14ac:dyDescent="0.2">
      <c r="B860" s="598"/>
      <c r="E860" s="598"/>
      <c r="F860" s="598"/>
    </row>
    <row r="861" spans="2:6" x14ac:dyDescent="0.2">
      <c r="B861" s="598"/>
      <c r="E861" s="598"/>
      <c r="F861" s="598"/>
    </row>
    <row r="862" spans="2:6" x14ac:dyDescent="0.2">
      <c r="B862" s="598"/>
      <c r="E862" s="598"/>
      <c r="F862" s="598"/>
    </row>
    <row r="863" spans="2:6" x14ac:dyDescent="0.2">
      <c r="B863" s="598"/>
      <c r="E863" s="598"/>
      <c r="F863" s="598"/>
    </row>
    <row r="864" spans="2:6" x14ac:dyDescent="0.2">
      <c r="B864" s="598"/>
      <c r="E864" s="598"/>
      <c r="F864" s="598"/>
    </row>
    <row r="865" spans="2:6" x14ac:dyDescent="0.2">
      <c r="B865" s="598"/>
      <c r="E865" s="598"/>
      <c r="F865" s="598"/>
    </row>
    <row r="866" spans="2:6" x14ac:dyDescent="0.2">
      <c r="B866" s="598"/>
      <c r="E866" s="598"/>
      <c r="F866" s="598"/>
    </row>
    <row r="867" spans="2:6" x14ac:dyDescent="0.2">
      <c r="B867" s="598"/>
      <c r="E867" s="598"/>
      <c r="F867" s="598"/>
    </row>
    <row r="868" spans="2:6" x14ac:dyDescent="0.2">
      <c r="B868" s="598"/>
      <c r="E868" s="598"/>
      <c r="F868" s="598"/>
    </row>
    <row r="869" spans="2:6" x14ac:dyDescent="0.2">
      <c r="B869" s="598"/>
      <c r="E869" s="598"/>
      <c r="F869" s="598"/>
    </row>
    <row r="870" spans="2:6" x14ac:dyDescent="0.2">
      <c r="B870" s="598"/>
      <c r="E870" s="598"/>
      <c r="F870" s="598"/>
    </row>
    <row r="871" spans="2:6" x14ac:dyDescent="0.2">
      <c r="B871" s="598"/>
      <c r="E871" s="598"/>
      <c r="F871" s="598"/>
    </row>
    <row r="872" spans="2:6" x14ac:dyDescent="0.2">
      <c r="B872" s="598"/>
      <c r="E872" s="598"/>
      <c r="F872" s="598"/>
    </row>
    <row r="873" spans="2:6" x14ac:dyDescent="0.2">
      <c r="B873" s="598"/>
      <c r="E873" s="598"/>
      <c r="F873" s="598"/>
    </row>
    <row r="874" spans="2:6" x14ac:dyDescent="0.2">
      <c r="B874" s="598"/>
      <c r="E874" s="598"/>
      <c r="F874" s="598"/>
    </row>
    <row r="875" spans="2:6" x14ac:dyDescent="0.2">
      <c r="B875" s="598"/>
      <c r="E875" s="598"/>
      <c r="F875" s="598"/>
    </row>
    <row r="876" spans="2:6" x14ac:dyDescent="0.2">
      <c r="B876" s="598"/>
      <c r="E876" s="598"/>
      <c r="F876" s="598"/>
    </row>
    <row r="877" spans="2:6" x14ac:dyDescent="0.2">
      <c r="B877" s="598"/>
      <c r="E877" s="598"/>
      <c r="F877" s="598"/>
    </row>
    <row r="878" spans="2:6" x14ac:dyDescent="0.2">
      <c r="B878" s="598"/>
      <c r="E878" s="598"/>
      <c r="F878" s="598"/>
    </row>
    <row r="879" spans="2:6" x14ac:dyDescent="0.2">
      <c r="B879" s="598"/>
      <c r="E879" s="598"/>
      <c r="F879" s="598"/>
    </row>
    <row r="880" spans="2:6" x14ac:dyDescent="0.2">
      <c r="B880" s="598"/>
      <c r="E880" s="598"/>
      <c r="F880" s="598"/>
    </row>
    <row r="881" spans="2:6" x14ac:dyDescent="0.2">
      <c r="B881" s="598"/>
      <c r="E881" s="598"/>
      <c r="F881" s="598"/>
    </row>
    <row r="882" spans="2:6" x14ac:dyDescent="0.2">
      <c r="B882" s="598"/>
      <c r="E882" s="598"/>
      <c r="F882" s="598"/>
    </row>
    <row r="883" spans="2:6" x14ac:dyDescent="0.2">
      <c r="B883" s="598"/>
      <c r="E883" s="598"/>
      <c r="F883" s="598"/>
    </row>
    <row r="884" spans="2:6" x14ac:dyDescent="0.2">
      <c r="B884" s="598"/>
      <c r="E884" s="598"/>
      <c r="F884" s="598"/>
    </row>
    <row r="885" spans="2:6" x14ac:dyDescent="0.2">
      <c r="B885" s="598"/>
      <c r="E885" s="598"/>
      <c r="F885" s="598"/>
    </row>
    <row r="886" spans="2:6" x14ac:dyDescent="0.2">
      <c r="B886" s="598"/>
      <c r="E886" s="598"/>
      <c r="F886" s="598"/>
    </row>
    <row r="887" spans="2:6" x14ac:dyDescent="0.2">
      <c r="B887" s="598"/>
      <c r="E887" s="598"/>
      <c r="F887" s="598"/>
    </row>
    <row r="888" spans="2:6" x14ac:dyDescent="0.2">
      <c r="B888" s="598"/>
      <c r="E888" s="598"/>
      <c r="F888" s="598"/>
    </row>
    <row r="889" spans="2:6" x14ac:dyDescent="0.2">
      <c r="B889" s="598"/>
      <c r="E889" s="598"/>
      <c r="F889" s="598"/>
    </row>
    <row r="890" spans="2:6" x14ac:dyDescent="0.2">
      <c r="B890" s="598"/>
      <c r="E890" s="598"/>
      <c r="F890" s="598"/>
    </row>
    <row r="891" spans="2:6" x14ac:dyDescent="0.2">
      <c r="B891" s="598"/>
      <c r="E891" s="598"/>
      <c r="F891" s="598"/>
    </row>
    <row r="892" spans="2:6" x14ac:dyDescent="0.2">
      <c r="B892" s="598"/>
      <c r="E892" s="598"/>
      <c r="F892" s="598"/>
    </row>
    <row r="893" spans="2:6" x14ac:dyDescent="0.2">
      <c r="B893" s="598"/>
      <c r="E893" s="598"/>
      <c r="F893" s="598"/>
    </row>
    <row r="894" spans="2:6" x14ac:dyDescent="0.2">
      <c r="B894" s="598"/>
      <c r="E894" s="598"/>
      <c r="F894" s="598"/>
    </row>
    <row r="895" spans="2:6" x14ac:dyDescent="0.2">
      <c r="B895" s="598"/>
      <c r="E895" s="598"/>
      <c r="F895" s="598"/>
    </row>
    <row r="896" spans="2:6" x14ac:dyDescent="0.2">
      <c r="B896" s="598"/>
      <c r="E896" s="598"/>
      <c r="F896" s="598"/>
    </row>
    <row r="897" spans="2:6" x14ac:dyDescent="0.2">
      <c r="B897" s="598"/>
      <c r="E897" s="598"/>
      <c r="F897" s="598"/>
    </row>
    <row r="898" spans="2:6" x14ac:dyDescent="0.2">
      <c r="B898" s="598"/>
      <c r="E898" s="598"/>
      <c r="F898" s="598"/>
    </row>
    <row r="899" spans="2:6" x14ac:dyDescent="0.2">
      <c r="B899" s="598"/>
      <c r="E899" s="598"/>
      <c r="F899" s="598"/>
    </row>
    <row r="900" spans="2:6" x14ac:dyDescent="0.2">
      <c r="B900" s="598"/>
      <c r="E900" s="598"/>
      <c r="F900" s="598"/>
    </row>
    <row r="901" spans="2:6" x14ac:dyDescent="0.2">
      <c r="B901" s="598"/>
      <c r="E901" s="598"/>
      <c r="F901" s="598"/>
    </row>
    <row r="902" spans="2:6" x14ac:dyDescent="0.2">
      <c r="B902" s="598"/>
      <c r="E902" s="598"/>
      <c r="F902" s="598"/>
    </row>
    <row r="903" spans="2:6" x14ac:dyDescent="0.2">
      <c r="B903" s="598"/>
      <c r="E903" s="598"/>
      <c r="F903" s="598"/>
    </row>
    <row r="904" spans="2:6" x14ac:dyDescent="0.2">
      <c r="B904" s="598"/>
      <c r="E904" s="598"/>
      <c r="F904" s="598"/>
    </row>
    <row r="905" spans="2:6" x14ac:dyDescent="0.2">
      <c r="B905" s="598"/>
      <c r="E905" s="598"/>
      <c r="F905" s="598"/>
    </row>
    <row r="906" spans="2:6" x14ac:dyDescent="0.2">
      <c r="B906" s="598"/>
      <c r="E906" s="598"/>
      <c r="F906" s="598"/>
    </row>
    <row r="907" spans="2:6" x14ac:dyDescent="0.2">
      <c r="B907" s="598"/>
      <c r="E907" s="598"/>
      <c r="F907" s="598"/>
    </row>
    <row r="908" spans="2:6" x14ac:dyDescent="0.2">
      <c r="B908" s="598"/>
      <c r="E908" s="598"/>
      <c r="F908" s="598"/>
    </row>
    <row r="909" spans="2:6" x14ac:dyDescent="0.2">
      <c r="B909" s="598"/>
      <c r="E909" s="598"/>
      <c r="F909" s="598"/>
    </row>
    <row r="910" spans="2:6" x14ac:dyDescent="0.2">
      <c r="B910" s="598"/>
      <c r="E910" s="598"/>
      <c r="F910" s="598"/>
    </row>
    <row r="911" spans="2:6" x14ac:dyDescent="0.2">
      <c r="B911" s="598"/>
      <c r="E911" s="598"/>
      <c r="F911" s="598"/>
    </row>
    <row r="912" spans="2:6" x14ac:dyDescent="0.2">
      <c r="B912" s="598"/>
      <c r="E912" s="598"/>
      <c r="F912" s="598"/>
    </row>
    <row r="913" spans="2:6" x14ac:dyDescent="0.2">
      <c r="B913" s="598"/>
      <c r="E913" s="598"/>
      <c r="F913" s="598"/>
    </row>
    <row r="914" spans="2:6" x14ac:dyDescent="0.2">
      <c r="B914" s="598"/>
      <c r="E914" s="598"/>
      <c r="F914" s="598"/>
    </row>
    <row r="915" spans="2:6" x14ac:dyDescent="0.2">
      <c r="B915" s="598"/>
      <c r="E915" s="598"/>
      <c r="F915" s="598"/>
    </row>
    <row r="916" spans="2:6" x14ac:dyDescent="0.2">
      <c r="B916" s="598"/>
      <c r="E916" s="598"/>
      <c r="F916" s="598"/>
    </row>
    <row r="917" spans="2:6" x14ac:dyDescent="0.2">
      <c r="B917" s="598"/>
      <c r="E917" s="598"/>
      <c r="F917" s="598"/>
    </row>
    <row r="918" spans="2:6" x14ac:dyDescent="0.2">
      <c r="B918" s="598"/>
      <c r="E918" s="598"/>
      <c r="F918" s="598"/>
    </row>
    <row r="919" spans="2:6" x14ac:dyDescent="0.2">
      <c r="B919" s="598"/>
      <c r="E919" s="598"/>
      <c r="F919" s="598"/>
    </row>
    <row r="920" spans="2:6" x14ac:dyDescent="0.2">
      <c r="B920" s="598"/>
      <c r="E920" s="598"/>
      <c r="F920" s="598"/>
    </row>
    <row r="921" spans="2:6" x14ac:dyDescent="0.2">
      <c r="B921" s="598"/>
      <c r="E921" s="598"/>
      <c r="F921" s="598"/>
    </row>
    <row r="922" spans="2:6" x14ac:dyDescent="0.2">
      <c r="B922" s="598"/>
      <c r="E922" s="598"/>
      <c r="F922" s="598"/>
    </row>
    <row r="923" spans="2:6" x14ac:dyDescent="0.2">
      <c r="B923" s="598"/>
      <c r="E923" s="598"/>
      <c r="F923" s="598"/>
    </row>
    <row r="924" spans="2:6" x14ac:dyDescent="0.2">
      <c r="B924" s="598"/>
      <c r="E924" s="598"/>
      <c r="F924" s="598"/>
    </row>
    <row r="925" spans="2:6" x14ac:dyDescent="0.2">
      <c r="B925" s="598"/>
      <c r="E925" s="598"/>
      <c r="F925" s="598"/>
    </row>
    <row r="926" spans="2:6" x14ac:dyDescent="0.2">
      <c r="B926" s="598"/>
      <c r="E926" s="598"/>
      <c r="F926" s="598"/>
    </row>
    <row r="927" spans="2:6" x14ac:dyDescent="0.2">
      <c r="B927" s="598"/>
      <c r="E927" s="598"/>
      <c r="F927" s="598"/>
    </row>
    <row r="928" spans="2:6" x14ac:dyDescent="0.2">
      <c r="B928" s="598"/>
      <c r="E928" s="598"/>
      <c r="F928" s="598"/>
    </row>
    <row r="929" spans="2:6" x14ac:dyDescent="0.2">
      <c r="B929" s="598"/>
      <c r="E929" s="598"/>
      <c r="F929" s="598"/>
    </row>
    <row r="930" spans="2:6" x14ac:dyDescent="0.2">
      <c r="B930" s="598"/>
      <c r="E930" s="598"/>
      <c r="F930" s="598"/>
    </row>
    <row r="931" spans="2:6" x14ac:dyDescent="0.2">
      <c r="B931" s="598"/>
      <c r="E931" s="598"/>
      <c r="F931" s="598"/>
    </row>
    <row r="932" spans="2:6" x14ac:dyDescent="0.2">
      <c r="B932" s="598"/>
      <c r="E932" s="598"/>
      <c r="F932" s="598"/>
    </row>
    <row r="933" spans="2:6" x14ac:dyDescent="0.2">
      <c r="B933" s="598"/>
      <c r="E933" s="598"/>
      <c r="F933" s="598"/>
    </row>
    <row r="934" spans="2:6" x14ac:dyDescent="0.2">
      <c r="B934" s="598"/>
      <c r="E934" s="598"/>
      <c r="F934" s="598"/>
    </row>
    <row r="935" spans="2:6" x14ac:dyDescent="0.2">
      <c r="B935" s="598"/>
      <c r="E935" s="598"/>
      <c r="F935" s="598"/>
    </row>
    <row r="936" spans="2:6" x14ac:dyDescent="0.2">
      <c r="B936" s="598"/>
      <c r="E936" s="598"/>
      <c r="F936" s="598"/>
    </row>
    <row r="937" spans="2:6" x14ac:dyDescent="0.2">
      <c r="B937" s="598"/>
      <c r="E937" s="598"/>
      <c r="F937" s="598"/>
    </row>
    <row r="938" spans="2:6" x14ac:dyDescent="0.2">
      <c r="B938" s="598"/>
      <c r="E938" s="598"/>
      <c r="F938" s="598"/>
    </row>
    <row r="939" spans="2:6" x14ac:dyDescent="0.2">
      <c r="B939" s="598"/>
      <c r="E939" s="598"/>
      <c r="F939" s="598"/>
    </row>
    <row r="940" spans="2:6" x14ac:dyDescent="0.2">
      <c r="B940" s="598"/>
      <c r="E940" s="598"/>
      <c r="F940" s="598"/>
    </row>
    <row r="941" spans="2:6" x14ac:dyDescent="0.2">
      <c r="B941" s="598"/>
      <c r="E941" s="598"/>
      <c r="F941" s="598"/>
    </row>
    <row r="942" spans="2:6" x14ac:dyDescent="0.2">
      <c r="B942" s="598"/>
      <c r="E942" s="598"/>
      <c r="F942" s="598"/>
    </row>
    <row r="943" spans="2:6" x14ac:dyDescent="0.2">
      <c r="B943" s="598"/>
      <c r="E943" s="598"/>
      <c r="F943" s="598"/>
    </row>
    <row r="944" spans="2:6" x14ac:dyDescent="0.2">
      <c r="B944" s="598"/>
      <c r="E944" s="598"/>
      <c r="F944" s="598"/>
    </row>
    <row r="945" spans="2:6" x14ac:dyDescent="0.2">
      <c r="B945" s="598"/>
      <c r="E945" s="598"/>
      <c r="F945" s="598"/>
    </row>
    <row r="946" spans="2:6" x14ac:dyDescent="0.2">
      <c r="B946" s="598"/>
      <c r="E946" s="598"/>
      <c r="F946" s="598"/>
    </row>
    <row r="947" spans="2:6" x14ac:dyDescent="0.2">
      <c r="B947" s="598"/>
      <c r="E947" s="598"/>
      <c r="F947" s="598"/>
    </row>
    <row r="948" spans="2:6" x14ac:dyDescent="0.2">
      <c r="B948" s="598"/>
      <c r="E948" s="598"/>
      <c r="F948" s="598"/>
    </row>
    <row r="949" spans="2:6" x14ac:dyDescent="0.2">
      <c r="B949" s="598"/>
      <c r="E949" s="598"/>
      <c r="F949" s="598"/>
    </row>
    <row r="950" spans="2:6" x14ac:dyDescent="0.2">
      <c r="B950" s="598"/>
      <c r="E950" s="598"/>
      <c r="F950" s="598"/>
    </row>
    <row r="951" spans="2:6" x14ac:dyDescent="0.2">
      <c r="B951" s="598"/>
      <c r="E951" s="598"/>
      <c r="F951" s="598"/>
    </row>
    <row r="952" spans="2:6" x14ac:dyDescent="0.2">
      <c r="B952" s="598"/>
      <c r="E952" s="598"/>
      <c r="F952" s="598"/>
    </row>
    <row r="953" spans="2:6" x14ac:dyDescent="0.2">
      <c r="B953" s="598"/>
      <c r="E953" s="598"/>
      <c r="F953" s="598"/>
    </row>
    <row r="954" spans="2:6" x14ac:dyDescent="0.2">
      <c r="B954" s="598"/>
      <c r="E954" s="598"/>
      <c r="F954" s="598"/>
    </row>
    <row r="955" spans="2:6" x14ac:dyDescent="0.2">
      <c r="B955" s="598"/>
      <c r="E955" s="598"/>
      <c r="F955" s="598"/>
    </row>
    <row r="956" spans="2:6" x14ac:dyDescent="0.2">
      <c r="B956" s="598"/>
      <c r="E956" s="598"/>
      <c r="F956" s="598"/>
    </row>
    <row r="957" spans="2:6" x14ac:dyDescent="0.2">
      <c r="B957" s="598"/>
      <c r="E957" s="598"/>
      <c r="F957" s="598"/>
    </row>
    <row r="958" spans="2:6" x14ac:dyDescent="0.2">
      <c r="B958" s="598"/>
      <c r="E958" s="598"/>
      <c r="F958" s="598"/>
    </row>
    <row r="959" spans="2:6" x14ac:dyDescent="0.2">
      <c r="B959" s="598"/>
      <c r="E959" s="598"/>
      <c r="F959" s="598"/>
    </row>
    <row r="960" spans="2:6" x14ac:dyDescent="0.2">
      <c r="B960" s="598"/>
      <c r="E960" s="598"/>
      <c r="F960" s="598"/>
    </row>
  </sheetData>
  <mergeCells count="10">
    <mergeCell ref="B82:H82"/>
    <mergeCell ref="B83:H83"/>
    <mergeCell ref="B91:H91"/>
    <mergeCell ref="B92:H92"/>
    <mergeCell ref="B2:H3"/>
    <mergeCell ref="R25:S25"/>
    <mergeCell ref="B62:H62"/>
    <mergeCell ref="B63:H63"/>
    <mergeCell ref="B71:H71"/>
    <mergeCell ref="B72:H72"/>
  </mergeCells>
  <printOptions horizontalCentered="1"/>
  <pageMargins left="0.5" right="0.5" top="1" bottom="0.5" header="0.3" footer="0.3"/>
  <pageSetup paperSize="9" scale="22"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1C439-03B0-4FEA-9999-27D773C4BA82}">
  <sheetPr codeName="Sheet100">
    <tabColor rgb="FFFFFF00"/>
    <pageSetUpPr fitToPage="1"/>
  </sheetPr>
  <dimension ref="A1:AG175"/>
  <sheetViews>
    <sheetView zoomScaleNormal="100" workbookViewId="0">
      <selection activeCell="C7" sqref="C7"/>
    </sheetView>
  </sheetViews>
  <sheetFormatPr defaultColWidth="12.5" defaultRowHeight="12.75" x14ac:dyDescent="0.2"/>
  <cols>
    <col min="1" max="1" width="13.875" style="14" bestFit="1" customWidth="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9" width="12.5" style="14" customWidth="1"/>
    <col min="10" max="10" width="9.625" style="14" customWidth="1"/>
    <col min="11" max="11" width="9" style="14" customWidth="1"/>
    <col min="12" max="12" width="8.375" style="14" customWidth="1"/>
    <col min="13" max="14" width="6.875" style="14" customWidth="1"/>
    <col min="15" max="15" width="12.375" style="14" customWidth="1"/>
    <col min="16" max="16" width="6.875" style="14" customWidth="1"/>
    <col min="17" max="17" width="13.25" style="14" customWidth="1"/>
    <col min="18" max="16384" width="12.5" style="14"/>
  </cols>
  <sheetData>
    <row r="1" spans="1:33" ht="28.5" customHeight="1" x14ac:dyDescent="0.2">
      <c r="B1" s="64" t="s">
        <v>231</v>
      </c>
      <c r="C1" s="65">
        <v>1000</v>
      </c>
      <c r="D1" s="66" t="s">
        <v>232</v>
      </c>
      <c r="E1" s="99">
        <f>S30</f>
        <v>9116.5</v>
      </c>
      <c r="F1" s="64" t="s">
        <v>233</v>
      </c>
      <c r="G1" s="99">
        <f>E1/C1</f>
        <v>9.1165000000000003</v>
      </c>
      <c r="H1" s="64" t="s">
        <v>234</v>
      </c>
      <c r="I1" s="99">
        <f>G1/K1</f>
        <v>9.1165000000000003</v>
      </c>
      <c r="J1" s="302" t="s">
        <v>235</v>
      </c>
      <c r="K1" s="303">
        <v>1</v>
      </c>
      <c r="L1" s="84"/>
      <c r="M1" s="84" t="s">
        <v>340</v>
      </c>
      <c r="N1" s="84"/>
      <c r="O1" s="1381" t="s">
        <v>809</v>
      </c>
      <c r="P1" s="1266" t="s">
        <v>891</v>
      </c>
      <c r="Q1" s="880" t="s">
        <v>238</v>
      </c>
      <c r="R1" s="1372">
        <v>0.94</v>
      </c>
      <c r="S1" s="84"/>
      <c r="T1" s="84"/>
      <c r="U1" s="84"/>
      <c r="V1" s="84"/>
      <c r="Y1" s="75" t="s">
        <v>453</v>
      </c>
      <c r="Z1" s="766">
        <v>23190</v>
      </c>
      <c r="AA1" s="75" t="s">
        <v>556</v>
      </c>
      <c r="AB1" s="766">
        <v>1000</v>
      </c>
      <c r="AC1" s="75" t="s">
        <v>546</v>
      </c>
      <c r="AD1" s="766">
        <v>157</v>
      </c>
    </row>
    <row r="2" spans="1:33" ht="12.75" customHeight="1" x14ac:dyDescent="0.2">
      <c r="A2" s="306"/>
      <c r="B2" s="1632" t="s">
        <v>892</v>
      </c>
      <c r="C2" s="1661"/>
      <c r="D2" s="1661"/>
      <c r="E2" s="1661"/>
      <c r="F2" s="1661"/>
      <c r="G2" s="1661"/>
      <c r="H2" s="1661"/>
      <c r="I2" s="84"/>
      <c r="J2" s="84"/>
      <c r="K2" s="84"/>
      <c r="L2" s="84"/>
      <c r="M2" s="84"/>
      <c r="N2" s="84"/>
      <c r="O2" s="84"/>
      <c r="P2" s="84"/>
      <c r="Q2" s="84"/>
      <c r="R2" s="84"/>
      <c r="S2" s="84"/>
      <c r="T2" s="84"/>
      <c r="U2" s="84"/>
      <c r="AE2" s="1647"/>
      <c r="AF2" s="1655"/>
      <c r="AG2" s="1655"/>
    </row>
    <row r="3" spans="1:33" ht="12.75" customHeight="1" x14ac:dyDescent="0.2">
      <c r="A3" s="306"/>
      <c r="B3" s="1633"/>
      <c r="C3" s="1633"/>
      <c r="D3" s="1633"/>
      <c r="E3" s="1633"/>
      <c r="F3" s="1633"/>
      <c r="G3" s="1633"/>
      <c r="H3" s="1633"/>
      <c r="I3" s="84"/>
      <c r="J3" s="84"/>
      <c r="K3" s="84"/>
      <c r="L3" s="84"/>
      <c r="M3" s="84"/>
      <c r="N3" s="84"/>
      <c r="O3" s="84"/>
      <c r="P3" s="84"/>
      <c r="Q3" s="84"/>
      <c r="R3" s="84"/>
      <c r="S3" s="84"/>
      <c r="T3" s="84"/>
      <c r="U3" s="84"/>
      <c r="AE3" s="1655"/>
      <c r="AF3" s="1655"/>
      <c r="AG3" s="1655"/>
    </row>
    <row r="4" spans="1:33"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N4" s="84"/>
      <c r="O4" s="84"/>
      <c r="P4" s="84"/>
      <c r="Q4" s="84"/>
      <c r="R4" s="84"/>
      <c r="S4" s="84"/>
      <c r="T4" s="84"/>
      <c r="U4" s="84"/>
    </row>
    <row r="5" spans="1:33" ht="14.25" customHeight="1" x14ac:dyDescent="0.2">
      <c r="A5" s="1459"/>
      <c r="B5" s="1438" t="s">
        <v>152</v>
      </c>
      <c r="C5" s="1439" t="s">
        <v>14</v>
      </c>
      <c r="D5" s="1440">
        <v>55</v>
      </c>
      <c r="E5" s="1441">
        <f>$G$1</f>
        <v>9.1165000000000003</v>
      </c>
      <c r="F5" s="642">
        <v>1</v>
      </c>
      <c r="G5" s="101">
        <f t="shared" ref="G5:G16" si="0">D5*E5</f>
        <v>501.40750000000003</v>
      </c>
      <c r="H5" s="102">
        <f t="shared" ref="H5:H16" si="1">G5*F5</f>
        <v>501.40750000000003</v>
      </c>
      <c r="I5" s="65">
        <f>VLOOKUP(B5,All_Ingredients!$A$1:$F$156,6,FALSE())</f>
        <v>1</v>
      </c>
      <c r="J5" s="101">
        <f>VLOOKUP(B5,All_Ingredients!$A$1:$J$156,10,FALSE())</f>
        <v>30</v>
      </c>
      <c r="K5" s="104">
        <f t="shared" ref="K5" si="2">(H5/I5)/1000</f>
        <v>0.50140750000000001</v>
      </c>
      <c r="L5" s="104">
        <f t="shared" ref="L5" si="3">K5*J5</f>
        <v>15.042225</v>
      </c>
    </row>
    <row r="6" spans="1:33" ht="14.25" customHeight="1" x14ac:dyDescent="0.35">
      <c r="A6" s="1460" t="s">
        <v>937</v>
      </c>
      <c r="B6" s="1442" t="s">
        <v>727</v>
      </c>
      <c r="C6" s="1439" t="s">
        <v>14</v>
      </c>
      <c r="D6" s="1440">
        <v>33.030553261767139</v>
      </c>
      <c r="E6" s="1441">
        <f t="shared" ref="E6:E16" si="4">$G$1</f>
        <v>9.1165000000000003</v>
      </c>
      <c r="F6" s="642">
        <v>1</v>
      </c>
      <c r="G6" s="101">
        <f t="shared" si="0"/>
        <v>301.12303881090014</v>
      </c>
      <c r="H6" s="102">
        <f t="shared" si="1"/>
        <v>301.12303881090014</v>
      </c>
      <c r="I6" s="65">
        <f>VLOOKUP(B6,All_Ingredients!$A$1:$F$156,6,FALSE())</f>
        <v>1</v>
      </c>
      <c r="J6" s="101">
        <f>VLOOKUP(B6,All_Ingredients!$A$1:$J$156,10,FALSE())</f>
        <v>10.5</v>
      </c>
      <c r="K6" s="104">
        <f t="shared" ref="K6:K16" si="5">(H6/I6)/1000</f>
        <v>0.30112303881090013</v>
      </c>
      <c r="L6" s="104">
        <f t="shared" ref="L6:L16" si="6">K6*J6</f>
        <v>3.1617919075144516</v>
      </c>
    </row>
    <row r="7" spans="1:33" ht="14.25" customHeight="1" x14ac:dyDescent="0.35">
      <c r="A7" s="1460"/>
      <c r="B7" s="1443" t="s">
        <v>193</v>
      </c>
      <c r="C7" s="1439" t="s">
        <v>14</v>
      </c>
      <c r="D7" s="1440">
        <v>150</v>
      </c>
      <c r="E7" s="1441">
        <f t="shared" si="4"/>
        <v>9.1165000000000003</v>
      </c>
      <c r="F7" s="642">
        <v>1</v>
      </c>
      <c r="G7" s="101">
        <f t="shared" si="0"/>
        <v>1367.4750000000001</v>
      </c>
      <c r="H7" s="102">
        <f t="shared" si="1"/>
        <v>1367.4750000000001</v>
      </c>
      <c r="I7" s="65">
        <f>VLOOKUP(B7,All_Ingredients!$A$1:$F$156,6,FALSE())</f>
        <v>1</v>
      </c>
      <c r="J7" s="101">
        <f>VLOOKUP(B7,All_Ingredients!$A$1:$J$156,10,FALSE())</f>
        <v>37.001287001286997</v>
      </c>
      <c r="K7" s="104">
        <f t="shared" si="5"/>
        <v>1.3674750000000002</v>
      </c>
      <c r="L7" s="104">
        <f t="shared" si="6"/>
        <v>50.598334942084946</v>
      </c>
    </row>
    <row r="8" spans="1:33" ht="14.25" customHeight="1" x14ac:dyDescent="0.35">
      <c r="A8" s="1460"/>
      <c r="B8" s="1443" t="s">
        <v>946</v>
      </c>
      <c r="C8" s="1439" t="s">
        <v>14</v>
      </c>
      <c r="D8" s="1440">
        <v>49.545829892650701</v>
      </c>
      <c r="E8" s="1441">
        <f t="shared" si="4"/>
        <v>9.1165000000000003</v>
      </c>
      <c r="F8" s="642">
        <v>1</v>
      </c>
      <c r="G8" s="101">
        <f t="shared" si="0"/>
        <v>451.68455821635013</v>
      </c>
      <c r="H8" s="102">
        <f t="shared" si="1"/>
        <v>451.68455821635013</v>
      </c>
      <c r="I8" s="65">
        <f>VLOOKUP(B8,All_Ingredients!$A$1:$F$156,6,FALSE())</f>
        <v>1</v>
      </c>
      <c r="J8" s="101">
        <f>VLOOKUP(B8,All_Ingredients!$A$1:$J$156,10,FALSE())</f>
        <v>33.333333333333336</v>
      </c>
      <c r="K8" s="104">
        <f t="shared" si="5"/>
        <v>0.45168455821635012</v>
      </c>
      <c r="L8" s="104">
        <f t="shared" si="6"/>
        <v>15.056151940545005</v>
      </c>
    </row>
    <row r="9" spans="1:33" ht="14.25" customHeight="1" x14ac:dyDescent="0.35">
      <c r="A9" s="1460"/>
      <c r="B9" s="1443" t="s">
        <v>196</v>
      </c>
      <c r="C9" s="1439" t="s">
        <v>14</v>
      </c>
      <c r="D9" s="1440">
        <v>99.091659785301403</v>
      </c>
      <c r="E9" s="1441">
        <f t="shared" si="4"/>
        <v>9.1165000000000003</v>
      </c>
      <c r="F9" s="642">
        <v>1</v>
      </c>
      <c r="G9" s="101">
        <f t="shared" si="0"/>
        <v>903.36911643270025</v>
      </c>
      <c r="H9" s="102">
        <f t="shared" si="1"/>
        <v>903.36911643270025</v>
      </c>
      <c r="I9" s="65">
        <f>VLOOKUP(B9,All_Ingredients!$A$1:$F$156,6,FALSE())</f>
        <v>1</v>
      </c>
      <c r="J9" s="101">
        <f>VLOOKUP(B9,All_Ingredients!$A$1:$J$156,10,FALSE())</f>
        <v>14.861111111111111</v>
      </c>
      <c r="K9" s="104">
        <f t="shared" si="5"/>
        <v>0.90336911643270024</v>
      </c>
      <c r="L9" s="104">
        <f t="shared" si="6"/>
        <v>13.425068813652627</v>
      </c>
    </row>
    <row r="10" spans="1:33" ht="14.25" customHeight="1" x14ac:dyDescent="0.35">
      <c r="A10" s="1460"/>
      <c r="B10" s="1443" t="s">
        <v>181</v>
      </c>
      <c r="C10" s="1439" t="s">
        <v>14</v>
      </c>
      <c r="D10" s="1440">
        <v>33.030553261767139</v>
      </c>
      <c r="E10" s="1441">
        <f t="shared" si="4"/>
        <v>9.1165000000000003</v>
      </c>
      <c r="F10" s="642">
        <v>1</v>
      </c>
      <c r="G10" s="101">
        <f t="shared" si="0"/>
        <v>301.12303881090014</v>
      </c>
      <c r="H10" s="102">
        <f t="shared" si="1"/>
        <v>301.12303881090014</v>
      </c>
      <c r="I10" s="65">
        <f>VLOOKUP(B10,All_Ingredients!$A$1:$F$156,6,FALSE())</f>
        <v>1</v>
      </c>
      <c r="J10" s="101">
        <f>VLOOKUP(B10,All_Ingredients!$A$1:$J$156,10,FALSE())</f>
        <v>6.5</v>
      </c>
      <c r="K10" s="104">
        <f t="shared" si="5"/>
        <v>0.30112303881090013</v>
      </c>
      <c r="L10" s="104">
        <f t="shared" si="6"/>
        <v>1.9572997522708508</v>
      </c>
    </row>
    <row r="11" spans="1:33" ht="14.25" customHeight="1" x14ac:dyDescent="0.35">
      <c r="A11" s="1460"/>
      <c r="B11" s="1443" t="s">
        <v>101</v>
      </c>
      <c r="C11" s="1439" t="s">
        <v>14</v>
      </c>
      <c r="D11" s="1440">
        <v>8.2576383154417847</v>
      </c>
      <c r="E11" s="1441">
        <f t="shared" si="4"/>
        <v>9.1165000000000003</v>
      </c>
      <c r="F11" s="642">
        <v>1</v>
      </c>
      <c r="G11" s="101">
        <f t="shared" si="0"/>
        <v>75.280759702725035</v>
      </c>
      <c r="H11" s="102">
        <f t="shared" si="1"/>
        <v>75.280759702725035</v>
      </c>
      <c r="I11" s="65">
        <f>VLOOKUP(B11,All_Ingredients!$A$1:$F$156,6,FALSE())</f>
        <v>1</v>
      </c>
      <c r="J11" s="101">
        <f>VLOOKUP(B11,All_Ingredients!$A$1:$J$156,10,FALSE())</f>
        <v>47</v>
      </c>
      <c r="K11" s="104">
        <f t="shared" si="5"/>
        <v>7.5280759702725034E-2</v>
      </c>
      <c r="L11" s="104">
        <f t="shared" si="6"/>
        <v>3.5381957060280764</v>
      </c>
    </row>
    <row r="12" spans="1:33" ht="14.25" customHeight="1" x14ac:dyDescent="0.35">
      <c r="A12" s="1460"/>
      <c r="B12" s="1443" t="s">
        <v>893</v>
      </c>
      <c r="C12" s="1439" t="s">
        <v>14</v>
      </c>
      <c r="D12" s="1440">
        <v>30</v>
      </c>
      <c r="E12" s="1441">
        <f>$G$1</f>
        <v>9.1165000000000003</v>
      </c>
      <c r="F12" s="642">
        <v>1</v>
      </c>
      <c r="G12" s="101">
        <f t="shared" si="0"/>
        <v>273.495</v>
      </c>
      <c r="H12" s="102">
        <f t="shared" si="1"/>
        <v>273.495</v>
      </c>
      <c r="I12" s="65">
        <f>VLOOKUP(B12,All_Ingredients!$A$1:$F$156,6,FALSE())</f>
        <v>1</v>
      </c>
      <c r="J12" s="101">
        <f>VLOOKUP(B12,All_Ingredients!$A$1:$J$156,10,FALSE())</f>
        <v>42</v>
      </c>
      <c r="K12" s="104">
        <f t="shared" si="5"/>
        <v>0.27349499999999999</v>
      </c>
      <c r="L12" s="104">
        <f t="shared" si="6"/>
        <v>11.486789999999999</v>
      </c>
    </row>
    <row r="13" spans="1:33" ht="14.25" customHeight="1" x14ac:dyDescent="0.35">
      <c r="A13" s="1460" t="s">
        <v>940</v>
      </c>
      <c r="B13" s="1443" t="s">
        <v>894</v>
      </c>
      <c r="C13" s="1439" t="s">
        <v>14</v>
      </c>
      <c r="D13" s="1440">
        <v>330.30553261767142</v>
      </c>
      <c r="E13" s="1441">
        <f t="shared" si="4"/>
        <v>9.1165000000000003</v>
      </c>
      <c r="F13" s="642">
        <v>1</v>
      </c>
      <c r="G13" s="101">
        <f t="shared" si="0"/>
        <v>3011.2303881090015</v>
      </c>
      <c r="H13" s="102">
        <f t="shared" si="1"/>
        <v>3011.2303881090015</v>
      </c>
      <c r="I13" s="65">
        <f>VLOOKUP(B13,All_Ingredients!$A$1:$F$156,6,FALSE())</f>
        <v>0.8</v>
      </c>
      <c r="J13" s="101">
        <f>VLOOKUP(B13,All_Ingredients!$A$1:$J$156,10,FALSE())</f>
        <v>3</v>
      </c>
      <c r="K13" s="104">
        <f t="shared" si="5"/>
        <v>3.7640379851362518</v>
      </c>
      <c r="L13" s="104">
        <f t="shared" si="6"/>
        <v>11.292113955408755</v>
      </c>
    </row>
    <row r="14" spans="1:33" ht="14.25" customHeight="1" x14ac:dyDescent="0.35">
      <c r="A14" s="1460" t="s">
        <v>938</v>
      </c>
      <c r="B14" s="1443" t="s">
        <v>19</v>
      </c>
      <c r="C14" s="1439" t="s">
        <v>14</v>
      </c>
      <c r="D14" s="1440">
        <v>247.72914946325355</v>
      </c>
      <c r="E14" s="1441">
        <f t="shared" si="4"/>
        <v>9.1165000000000003</v>
      </c>
      <c r="F14" s="642">
        <v>1</v>
      </c>
      <c r="G14" s="101">
        <f t="shared" si="0"/>
        <v>2258.4227910817513</v>
      </c>
      <c r="H14" s="102">
        <f t="shared" si="1"/>
        <v>2258.4227910817513</v>
      </c>
      <c r="I14" s="65">
        <f>VLOOKUP(B14,All_Ingredients!$A$1:$F$156,6,FALSE())</f>
        <v>0.8</v>
      </c>
      <c r="J14" s="101">
        <f>VLOOKUP(B14,All_Ingredients!$A$1:$J$156,10,FALSE())</f>
        <v>2.6</v>
      </c>
      <c r="K14" s="104">
        <f t="shared" si="5"/>
        <v>2.8230284888521888</v>
      </c>
      <c r="L14" s="104">
        <f t="shared" si="6"/>
        <v>7.3398740710156911</v>
      </c>
    </row>
    <row r="15" spans="1:33" ht="14.25" customHeight="1" x14ac:dyDescent="0.35">
      <c r="A15" s="1461" t="s">
        <v>939</v>
      </c>
      <c r="B15" s="1442" t="s">
        <v>12</v>
      </c>
      <c r="C15" s="1439" t="s">
        <v>14</v>
      </c>
      <c r="D15" s="1440">
        <v>165.15276630883571</v>
      </c>
      <c r="E15" s="1441">
        <f t="shared" si="4"/>
        <v>9.1165000000000003</v>
      </c>
      <c r="F15" s="642">
        <v>1</v>
      </c>
      <c r="G15" s="101">
        <f t="shared" si="0"/>
        <v>1505.6151940545008</v>
      </c>
      <c r="H15" s="102">
        <f t="shared" si="1"/>
        <v>1505.6151940545008</v>
      </c>
      <c r="I15" s="65">
        <f>VLOOKUP(B15,All_Ingredients!$A$1:$F$156,6,FALSE())</f>
        <v>0.9</v>
      </c>
      <c r="J15" s="101">
        <f>VLOOKUP(B15,All_Ingredients!$A$1:$J$156,10,FALSE())</f>
        <v>3</v>
      </c>
      <c r="K15" s="104">
        <f t="shared" si="5"/>
        <v>1.6729057711716675</v>
      </c>
      <c r="L15" s="104">
        <f t="shared" si="6"/>
        <v>5.0187173135150029</v>
      </c>
    </row>
    <row r="16" spans="1:33" ht="14.25" customHeight="1" x14ac:dyDescent="0.2">
      <c r="A16" s="1461"/>
      <c r="B16" s="1444" t="s">
        <v>203</v>
      </c>
      <c r="C16" s="1445" t="s">
        <v>160</v>
      </c>
      <c r="D16" s="1446">
        <v>200</v>
      </c>
      <c r="E16" s="1441">
        <f t="shared" si="4"/>
        <v>9.1165000000000003</v>
      </c>
      <c r="F16" s="642">
        <v>1</v>
      </c>
      <c r="G16" s="101">
        <f t="shared" si="0"/>
        <v>1823.3</v>
      </c>
      <c r="H16" s="102">
        <f t="shared" si="1"/>
        <v>1823.3</v>
      </c>
      <c r="I16" s="65">
        <f>VLOOKUP(B16,All_Ingredients!$A$1:$F$156,6,FALSE())</f>
        <v>1</v>
      </c>
      <c r="J16" s="101">
        <f>VLOOKUP(B16,All_Ingredients!$A$1:$J$156,10,FALSE())</f>
        <v>0</v>
      </c>
      <c r="K16" s="104">
        <f t="shared" si="5"/>
        <v>1.8232999999999999</v>
      </c>
      <c r="L16" s="104">
        <f t="shared" si="6"/>
        <v>0</v>
      </c>
    </row>
    <row r="17" spans="1:29" ht="14.25" customHeight="1" x14ac:dyDescent="0.2">
      <c r="A17" s="1461"/>
      <c r="E17" s="84"/>
      <c r="F17" s="84"/>
    </row>
    <row r="18" spans="1:29" ht="14.25" customHeight="1" x14ac:dyDescent="0.2">
      <c r="A18" s="1461"/>
      <c r="E18" s="84"/>
      <c r="F18" s="84"/>
    </row>
    <row r="19" spans="1:29" ht="14.25" customHeight="1" x14ac:dyDescent="0.2">
      <c r="A19" s="1461"/>
      <c r="E19" s="84"/>
      <c r="F19" s="84"/>
    </row>
    <row r="20" spans="1:29" ht="14.25" customHeight="1" x14ac:dyDescent="0.2">
      <c r="A20" s="1461"/>
      <c r="E20" s="84"/>
      <c r="F20" s="84"/>
    </row>
    <row r="21" spans="1:29" ht="14.25" customHeight="1" x14ac:dyDescent="0.2">
      <c r="A21" s="1461"/>
      <c r="E21" s="84"/>
      <c r="F21" s="84"/>
    </row>
    <row r="22" spans="1:29" ht="14.25" customHeight="1" x14ac:dyDescent="0.25">
      <c r="A22" s="1461"/>
      <c r="B22" s="11"/>
      <c r="C22" s="312"/>
      <c r="D22" s="313"/>
      <c r="E22" s="84"/>
      <c r="F22" s="84"/>
      <c r="M22" s="1"/>
      <c r="N22"/>
      <c r="O22"/>
    </row>
    <row r="23" spans="1:29" ht="14.25" customHeight="1" x14ac:dyDescent="0.2">
      <c r="A23" s="1461"/>
      <c r="B23" s="11"/>
      <c r="C23" s="312"/>
      <c r="D23" s="313"/>
      <c r="E23" s="84"/>
      <c r="F23" s="84"/>
      <c r="M23" s="160"/>
      <c r="N23" s="458"/>
      <c r="O23"/>
    </row>
    <row r="24" spans="1:29" ht="14.25" customHeight="1" x14ac:dyDescent="0.2">
      <c r="A24" s="1461"/>
      <c r="B24" s="11"/>
      <c r="C24" s="312"/>
      <c r="D24" s="313"/>
      <c r="E24" s="84"/>
      <c r="F24" s="84"/>
      <c r="Z24" s="1073"/>
    </row>
    <row r="25" spans="1:29" ht="14.25" customHeight="1" x14ac:dyDescent="0.2">
      <c r="A25" s="1461"/>
      <c r="B25" s="11"/>
      <c r="C25" s="312"/>
      <c r="D25" s="313"/>
      <c r="E25" s="84"/>
      <c r="F25" s="84"/>
      <c r="R25" s="1662" t="s">
        <v>895</v>
      </c>
      <c r="S25" s="1633"/>
      <c r="T25" s="1633"/>
      <c r="Z25" s="122" t="s">
        <v>14</v>
      </c>
      <c r="AA25" s="123">
        <v>1</v>
      </c>
      <c r="AB25" s="122" t="s">
        <v>249</v>
      </c>
      <c r="AC25" s="124">
        <f>(S34/S30)*AA25</f>
        <v>1.2927726768882838E-2</v>
      </c>
    </row>
    <row r="26" spans="1:29" ht="14.25" customHeight="1" x14ac:dyDescent="0.2">
      <c r="A26" s="1461"/>
      <c r="B26" s="11"/>
      <c r="C26" s="312"/>
      <c r="D26" s="313"/>
      <c r="E26" s="84"/>
      <c r="F26" s="84"/>
      <c r="R26" s="1672" t="s">
        <v>338</v>
      </c>
      <c r="S26" s="1639"/>
      <c r="T26" s="1639"/>
    </row>
    <row r="27" spans="1:29" ht="14.25" customHeight="1" x14ac:dyDescent="0.2">
      <c r="A27" s="1461"/>
      <c r="B27" s="11"/>
      <c r="C27" s="312"/>
      <c r="D27" s="313"/>
      <c r="E27" s="84"/>
      <c r="F27" s="84"/>
      <c r="R27" s="126" t="s">
        <v>254</v>
      </c>
      <c r="S27" s="126" t="s">
        <v>339</v>
      </c>
      <c r="T27" s="126" t="s">
        <v>257</v>
      </c>
    </row>
    <row r="28" spans="1:29" ht="14.25" customHeight="1" x14ac:dyDescent="0.2">
      <c r="A28" s="1461"/>
      <c r="B28" s="11"/>
      <c r="C28" s="312"/>
      <c r="D28" s="313"/>
      <c r="E28" s="84"/>
      <c r="F28" s="84"/>
      <c r="R28" s="126" t="s">
        <v>263</v>
      </c>
      <c r="S28" s="722">
        <f>T28</f>
        <v>8116.4999999999991</v>
      </c>
      <c r="T28" s="720">
        <f>Z1*0.35</f>
        <v>8116.4999999999991</v>
      </c>
    </row>
    <row r="29" spans="1:29" ht="14.25" customHeight="1" x14ac:dyDescent="0.2">
      <c r="A29" s="1461"/>
      <c r="B29" s="11"/>
      <c r="C29" s="312"/>
      <c r="D29" s="313"/>
      <c r="E29" s="84"/>
      <c r="F29" s="84"/>
      <c r="N29" s="314"/>
      <c r="R29" s="126" t="s">
        <v>265</v>
      </c>
      <c r="S29" s="720">
        <f>AB1</f>
        <v>1000</v>
      </c>
      <c r="T29" s="723">
        <f>S29</f>
        <v>1000</v>
      </c>
    </row>
    <row r="30" spans="1:29" ht="14.25" customHeight="1" x14ac:dyDescent="0.2">
      <c r="A30" s="1461"/>
      <c r="B30" s="84"/>
      <c r="E30" s="84"/>
      <c r="F30" s="84"/>
      <c r="R30" s="126" t="s">
        <v>257</v>
      </c>
      <c r="S30" s="315">
        <f>SUM(S28:S29)</f>
        <v>9116.5</v>
      </c>
      <c r="T30" s="315">
        <f>S30</f>
        <v>9116.5</v>
      </c>
    </row>
    <row r="31" spans="1:29" ht="14.25" customHeight="1" x14ac:dyDescent="0.2">
      <c r="A31" s="1461"/>
      <c r="B31" s="84"/>
      <c r="E31" s="84"/>
      <c r="F31" s="84"/>
    </row>
    <row r="32" spans="1:29" ht="14.25" customHeight="1" x14ac:dyDescent="0.2">
      <c r="A32" s="1461"/>
      <c r="B32" s="84"/>
      <c r="E32" s="84"/>
      <c r="F32" s="84"/>
    </row>
    <row r="33" spans="1:20" ht="13.5" thickBot="1" x14ac:dyDescent="0.25">
      <c r="A33" s="1461"/>
    </row>
    <row r="34" spans="1:20" ht="15" thickBot="1" x14ac:dyDescent="0.25">
      <c r="A34" s="1461"/>
      <c r="R34" s="144" t="s">
        <v>249</v>
      </c>
      <c r="S34" s="990">
        <f>SUM(L6:L14)</f>
        <v>117.85562108852039</v>
      </c>
      <c r="T34" s="1061">
        <f>S34</f>
        <v>117.85562108852039</v>
      </c>
    </row>
    <row r="35" spans="1:20" x14ac:dyDescent="0.2">
      <c r="A35" s="1461"/>
    </row>
    <row r="36" spans="1:20" x14ac:dyDescent="0.2">
      <c r="A36" s="1461"/>
    </row>
    <row r="37" spans="1:20" x14ac:dyDescent="0.2">
      <c r="A37" s="1461"/>
    </row>
    <row r="38" spans="1:20" x14ac:dyDescent="0.2">
      <c r="A38" s="1461"/>
    </row>
    <row r="39" spans="1:20" x14ac:dyDescent="0.2">
      <c r="A39" s="1461"/>
    </row>
    <row r="40" spans="1:20" x14ac:dyDescent="0.2">
      <c r="A40" s="1461"/>
    </row>
    <row r="41" spans="1:20" x14ac:dyDescent="0.2">
      <c r="A41" s="1461"/>
    </row>
    <row r="42" spans="1:20" x14ac:dyDescent="0.2">
      <c r="A42" s="1461"/>
    </row>
    <row r="43" spans="1:20" ht="14.25" customHeight="1" x14ac:dyDescent="0.2">
      <c r="A43" s="1461"/>
    </row>
    <row r="44" spans="1:20" ht="14.25" customHeight="1" x14ac:dyDescent="0.2">
      <c r="A44" s="1461"/>
    </row>
    <row r="45" spans="1:20" x14ac:dyDescent="0.2">
      <c r="A45" s="1461"/>
    </row>
    <row r="46" spans="1:20" x14ac:dyDescent="0.2">
      <c r="A46" s="1461"/>
    </row>
    <row r="47" spans="1:20" x14ac:dyDescent="0.2">
      <c r="A47" s="1461"/>
    </row>
    <row r="48" spans="1:20" x14ac:dyDescent="0.2">
      <c r="A48" s="1461"/>
    </row>
    <row r="49" spans="1:8" x14ac:dyDescent="0.2">
      <c r="A49" s="1461"/>
    </row>
    <row r="50" spans="1:8" ht="14.25" x14ac:dyDescent="0.2">
      <c r="A50" s="1461"/>
      <c r="B50" s="204"/>
      <c r="C50" s="204" t="s">
        <v>233</v>
      </c>
      <c r="D50" s="204" t="s">
        <v>279</v>
      </c>
    </row>
    <row r="51" spans="1:8" ht="14.25" x14ac:dyDescent="0.2">
      <c r="A51" s="1461"/>
      <c r="B51" s="161" t="s">
        <v>283</v>
      </c>
      <c r="C51" s="162">
        <f>10/$K$1</f>
        <v>10</v>
      </c>
      <c r="D51" s="163">
        <f>$C$1*10</f>
        <v>10000</v>
      </c>
    </row>
    <row r="52" spans="1:8" ht="14.25" x14ac:dyDescent="0.2">
      <c r="A52" s="1461"/>
      <c r="B52" s="209" t="s">
        <v>257</v>
      </c>
      <c r="C52" s="211">
        <f>G1</f>
        <v>9.1165000000000003</v>
      </c>
      <c r="D52" s="211">
        <f>E1</f>
        <v>9116.5</v>
      </c>
    </row>
    <row r="53" spans="1:8" ht="14.25" x14ac:dyDescent="0.2">
      <c r="A53" s="1461"/>
      <c r="B53" s="209" t="s">
        <v>284</v>
      </c>
      <c r="C53" s="212">
        <f>MIN($C$52, $C$51)</f>
        <v>9.1165000000000003</v>
      </c>
      <c r="D53" s="211">
        <f>(C53*$K$1)*$C$1</f>
        <v>9116.5</v>
      </c>
    </row>
    <row r="54" spans="1:8" ht="14.25" x14ac:dyDescent="0.2">
      <c r="A54" s="1461"/>
      <c r="B54" s="209" t="s">
        <v>285</v>
      </c>
      <c r="C54" s="212">
        <f>MIN(MAX($C$52-C53,0),$C$51)</f>
        <v>0</v>
      </c>
      <c r="D54" s="211">
        <f>(C54*$K$1)*$C$1</f>
        <v>0</v>
      </c>
    </row>
    <row r="55" spans="1:8" ht="14.25" x14ac:dyDescent="0.2">
      <c r="A55" s="1461"/>
      <c r="B55" s="209" t="s">
        <v>286</v>
      </c>
      <c r="C55" s="212">
        <f>MIN(MAX($C$52-C53-C54,0),$C$51)</f>
        <v>0</v>
      </c>
      <c r="D55" s="211">
        <f>(C55*$K$1)*$C$1</f>
        <v>0</v>
      </c>
    </row>
    <row r="56" spans="1:8" x14ac:dyDescent="0.2">
      <c r="A56" s="1461"/>
    </row>
    <row r="57" spans="1:8" x14ac:dyDescent="0.2">
      <c r="A57" s="1461"/>
    </row>
    <row r="58" spans="1:8" x14ac:dyDescent="0.2">
      <c r="A58" s="1461"/>
    </row>
    <row r="59" spans="1:8" x14ac:dyDescent="0.2">
      <c r="A59" s="1461"/>
    </row>
    <row r="60" spans="1:8" x14ac:dyDescent="0.2">
      <c r="A60" s="1461"/>
    </row>
    <row r="61" spans="1:8" x14ac:dyDescent="0.2">
      <c r="A61" s="1461"/>
    </row>
    <row r="62" spans="1:8" ht="18" customHeight="1" x14ac:dyDescent="0.2">
      <c r="A62" s="1461"/>
    </row>
    <row r="63" spans="1:8" ht="18" customHeight="1" x14ac:dyDescent="0.2">
      <c r="A63" s="1464"/>
      <c r="B63" s="1636" t="s">
        <v>896</v>
      </c>
      <c r="C63" s="1637"/>
      <c r="D63" s="1637"/>
      <c r="E63" s="1637"/>
      <c r="F63" s="1637"/>
      <c r="G63" s="1637"/>
      <c r="H63" s="1637"/>
    </row>
    <row r="64" spans="1:8" ht="14.25" x14ac:dyDescent="0.2">
      <c r="A64" s="1464"/>
      <c r="B64" s="1634" t="s">
        <v>897</v>
      </c>
      <c r="C64" s="1635"/>
      <c r="D64" s="1635"/>
      <c r="E64" s="1635"/>
      <c r="F64" s="1635"/>
      <c r="G64" s="1635"/>
      <c r="H64" s="1635"/>
    </row>
    <row r="65" spans="1:8" ht="39.75" customHeight="1" x14ac:dyDescent="0.2">
      <c r="A65" s="1457"/>
      <c r="B65" s="221" t="s">
        <v>241</v>
      </c>
      <c r="C65" s="222" t="s">
        <v>242</v>
      </c>
      <c r="D65" s="223" t="s">
        <v>231</v>
      </c>
      <c r="E65" s="197" t="s">
        <v>234</v>
      </c>
      <c r="F65" s="197" t="s">
        <v>243</v>
      </c>
      <c r="G65" s="223" t="s">
        <v>244</v>
      </c>
      <c r="H65" s="197" t="s">
        <v>245</v>
      </c>
    </row>
    <row r="66" spans="1:8" ht="14.25" customHeight="1" x14ac:dyDescent="0.2">
      <c r="A66" s="1460"/>
      <c r="B66" s="299" t="str">
        <f>B5</f>
        <v>Butter - زبدة</v>
      </c>
      <c r="C66" s="106" t="str">
        <f>C5</f>
        <v>gm</v>
      </c>
      <c r="D66" s="102">
        <f>D5</f>
        <v>55</v>
      </c>
      <c r="E66" s="98">
        <f>$C$52</f>
        <v>9.1165000000000003</v>
      </c>
      <c r="F66" s="109">
        <f>F5</f>
        <v>1</v>
      </c>
      <c r="G66" s="101">
        <f t="shared" ref="G66:G76" si="7">D66*E66</f>
        <v>501.40750000000003</v>
      </c>
      <c r="H66" s="102">
        <f t="shared" ref="H66:H76" si="8">G66*F66</f>
        <v>501.40750000000003</v>
      </c>
    </row>
    <row r="67" spans="1:8" ht="14.25" customHeight="1" x14ac:dyDescent="0.2">
      <c r="A67" s="1460" t="s">
        <v>937</v>
      </c>
      <c r="B67" s="299" t="str">
        <f t="shared" ref="B67:D77" si="9">B6</f>
        <v>Garlic - ثوم مقشر</v>
      </c>
      <c r="C67" s="106" t="str">
        <f t="shared" si="9"/>
        <v>gm</v>
      </c>
      <c r="D67" s="102">
        <f t="shared" si="9"/>
        <v>33.030553261767139</v>
      </c>
      <c r="E67" s="98">
        <f t="shared" ref="E67:E77" si="10">$C$52</f>
        <v>9.1165000000000003</v>
      </c>
      <c r="F67" s="109">
        <f t="shared" ref="F67:F77" si="11">F6</f>
        <v>1</v>
      </c>
      <c r="G67" s="101">
        <f t="shared" si="7"/>
        <v>301.12303881090014</v>
      </c>
      <c r="H67" s="102">
        <f t="shared" si="8"/>
        <v>301.12303881090014</v>
      </c>
    </row>
    <row r="68" spans="1:8" ht="14.25" customHeight="1" x14ac:dyDescent="0.2">
      <c r="A68" s="1460"/>
      <c r="B68" s="299" t="str">
        <f t="shared" si="9"/>
        <v>Light Soy Sauce - صويا صوص خفيف</v>
      </c>
      <c r="C68" s="106" t="str">
        <f t="shared" si="9"/>
        <v>gm</v>
      </c>
      <c r="D68" s="102">
        <f t="shared" si="9"/>
        <v>150</v>
      </c>
      <c r="E68" s="98">
        <f t="shared" si="10"/>
        <v>9.1165000000000003</v>
      </c>
      <c r="F68" s="109">
        <f t="shared" si="11"/>
        <v>1</v>
      </c>
      <c r="G68" s="101">
        <f t="shared" si="7"/>
        <v>1367.4750000000001</v>
      </c>
      <c r="H68" s="102">
        <f t="shared" si="8"/>
        <v>1367.4750000000001</v>
      </c>
    </row>
    <row r="69" spans="1:8" ht="14.25" customHeight="1" x14ac:dyDescent="0.2">
      <c r="A69" s="1460"/>
      <c r="B69" s="299" t="str">
        <f t="shared" si="9"/>
        <v xml:space="preserve">Soy Sauce - صلصة الصويا  </v>
      </c>
      <c r="C69" s="106" t="str">
        <f t="shared" si="9"/>
        <v>gm</v>
      </c>
      <c r="D69" s="102">
        <f t="shared" si="9"/>
        <v>49.545829892650701</v>
      </c>
      <c r="E69" s="98">
        <f t="shared" si="10"/>
        <v>9.1165000000000003</v>
      </c>
      <c r="F69" s="109">
        <f t="shared" si="11"/>
        <v>1</v>
      </c>
      <c r="G69" s="101">
        <f t="shared" si="7"/>
        <v>451.68455821635013</v>
      </c>
      <c r="H69" s="102">
        <f t="shared" si="8"/>
        <v>451.68455821635013</v>
      </c>
    </row>
    <row r="70" spans="1:8" ht="14.25" customHeight="1" x14ac:dyDescent="0.2">
      <c r="A70" s="1460"/>
      <c r="B70" s="299" t="str">
        <f t="shared" si="9"/>
        <v>Oyster Sauce - صوص محار</v>
      </c>
      <c r="C70" s="106" t="str">
        <f t="shared" si="9"/>
        <v>gm</v>
      </c>
      <c r="D70" s="102">
        <f t="shared" si="9"/>
        <v>99.091659785301403</v>
      </c>
      <c r="E70" s="98">
        <f t="shared" si="10"/>
        <v>9.1165000000000003</v>
      </c>
      <c r="F70" s="109">
        <f t="shared" si="11"/>
        <v>1</v>
      </c>
      <c r="G70" s="101">
        <f t="shared" si="7"/>
        <v>903.36911643270025</v>
      </c>
      <c r="H70" s="102">
        <f t="shared" si="8"/>
        <v>903.36911643270025</v>
      </c>
    </row>
    <row r="71" spans="1:8" ht="14.25" customHeight="1" x14ac:dyDescent="0.2">
      <c r="A71" s="1460"/>
      <c r="B71" s="299" t="str">
        <f t="shared" si="9"/>
        <v>Brown Sugar - سكر بني</v>
      </c>
      <c r="C71" s="106" t="str">
        <f t="shared" si="9"/>
        <v>gm</v>
      </c>
      <c r="D71" s="102">
        <f t="shared" si="9"/>
        <v>33.030553261767139</v>
      </c>
      <c r="E71" s="98">
        <f t="shared" si="10"/>
        <v>9.1165000000000003</v>
      </c>
      <c r="F71" s="109">
        <f t="shared" si="11"/>
        <v>1</v>
      </c>
      <c r="G71" s="101">
        <f t="shared" si="7"/>
        <v>301.12303881090014</v>
      </c>
      <c r="H71" s="102">
        <f t="shared" si="8"/>
        <v>301.12303881090014</v>
      </c>
    </row>
    <row r="72" spans="1:8" ht="14.25" customHeight="1" x14ac:dyDescent="0.2">
      <c r="A72" s="1460"/>
      <c r="B72" s="299" t="str">
        <f t="shared" si="9"/>
        <v>White Pepper - فلفل أبيض</v>
      </c>
      <c r="C72" s="106" t="str">
        <f t="shared" si="9"/>
        <v>gm</v>
      </c>
      <c r="D72" s="102">
        <f t="shared" si="9"/>
        <v>8.2576383154417847</v>
      </c>
      <c r="E72" s="98">
        <f t="shared" si="10"/>
        <v>9.1165000000000003</v>
      </c>
      <c r="F72" s="109">
        <f t="shared" si="11"/>
        <v>1</v>
      </c>
      <c r="G72" s="101">
        <f t="shared" si="7"/>
        <v>75.280759702725035</v>
      </c>
      <c r="H72" s="102">
        <f t="shared" si="8"/>
        <v>75.280759702725035</v>
      </c>
    </row>
    <row r="73" spans="1:8" ht="14.25" customHeight="1" x14ac:dyDescent="0.2">
      <c r="A73" s="1460"/>
      <c r="B73" s="299" t="str">
        <f t="shared" si="9"/>
        <v>Chicken Stock Powder - بودرة مرق دجاج</v>
      </c>
      <c r="C73" s="106" t="str">
        <f t="shared" si="9"/>
        <v>gm</v>
      </c>
      <c r="D73" s="102">
        <f t="shared" si="9"/>
        <v>30</v>
      </c>
      <c r="E73" s="98">
        <f t="shared" si="10"/>
        <v>9.1165000000000003</v>
      </c>
      <c r="F73" s="109">
        <f t="shared" si="11"/>
        <v>1</v>
      </c>
      <c r="G73" s="101">
        <f t="shared" si="7"/>
        <v>273.495</v>
      </c>
      <c r="H73" s="102">
        <f t="shared" si="8"/>
        <v>273.495</v>
      </c>
    </row>
    <row r="74" spans="1:8" ht="12.75" customHeight="1" x14ac:dyDescent="0.2">
      <c r="A74" s="1460" t="s">
        <v>940</v>
      </c>
      <c r="B74" s="299" t="str">
        <f t="shared" si="9"/>
        <v>White Cabbage - ملفوف أبيض</v>
      </c>
      <c r="C74" s="106" t="str">
        <f t="shared" si="9"/>
        <v>gm</v>
      </c>
      <c r="D74" s="102">
        <f t="shared" si="9"/>
        <v>330.30553261767142</v>
      </c>
      <c r="E74" s="98">
        <f t="shared" si="10"/>
        <v>9.1165000000000003</v>
      </c>
      <c r="F74" s="109">
        <f t="shared" si="11"/>
        <v>1</v>
      </c>
      <c r="G74" s="101">
        <f t="shared" si="7"/>
        <v>3011.2303881090015</v>
      </c>
      <c r="H74" s="102">
        <f t="shared" si="8"/>
        <v>3011.2303881090015</v>
      </c>
    </row>
    <row r="75" spans="1:8" ht="14.25" customHeight="1" x14ac:dyDescent="0.2">
      <c r="A75" s="1460" t="s">
        <v>938</v>
      </c>
      <c r="B75" s="299" t="str">
        <f t="shared" si="9"/>
        <v>Carrot - جزر</v>
      </c>
      <c r="C75" s="106" t="str">
        <f t="shared" si="9"/>
        <v>gm</v>
      </c>
      <c r="D75" s="102">
        <f t="shared" si="9"/>
        <v>247.72914946325355</v>
      </c>
      <c r="E75" s="98">
        <f t="shared" si="10"/>
        <v>9.1165000000000003</v>
      </c>
      <c r="F75" s="109">
        <f t="shared" si="11"/>
        <v>1</v>
      </c>
      <c r="G75" s="101">
        <f t="shared" si="7"/>
        <v>2258.4227910817513</v>
      </c>
      <c r="H75" s="102">
        <f t="shared" si="8"/>
        <v>2258.4227910817513</v>
      </c>
    </row>
    <row r="76" spans="1:8" ht="14.25" x14ac:dyDescent="0.2">
      <c r="A76" s="1461" t="s">
        <v>939</v>
      </c>
      <c r="B76" s="299" t="str">
        <f t="shared" si="9"/>
        <v>Onion - بصل</v>
      </c>
      <c r="C76" s="106" t="str">
        <f t="shared" si="9"/>
        <v>gm</v>
      </c>
      <c r="D76" s="102">
        <f t="shared" si="9"/>
        <v>165.15276630883571</v>
      </c>
      <c r="E76" s="98">
        <f t="shared" si="10"/>
        <v>9.1165000000000003</v>
      </c>
      <c r="F76" s="109">
        <f t="shared" si="11"/>
        <v>1</v>
      </c>
      <c r="G76" s="101">
        <f t="shared" si="7"/>
        <v>1505.6151940545008</v>
      </c>
      <c r="H76" s="102">
        <f t="shared" si="8"/>
        <v>1505.6151940545008</v>
      </c>
    </row>
    <row r="77" spans="1:8" ht="12.75" customHeight="1" x14ac:dyDescent="0.2">
      <c r="A77" s="1461"/>
      <c r="B77" s="299" t="str">
        <f t="shared" si="9"/>
        <v>Water - ماء</v>
      </c>
      <c r="C77" s="106" t="str">
        <f t="shared" si="9"/>
        <v>ml</v>
      </c>
      <c r="D77" s="102">
        <f t="shared" si="9"/>
        <v>200</v>
      </c>
      <c r="E77" s="98">
        <f t="shared" si="10"/>
        <v>9.1165000000000003</v>
      </c>
      <c r="F77" s="109">
        <f t="shared" si="11"/>
        <v>1</v>
      </c>
      <c r="G77" s="101">
        <f t="shared" ref="G77" si="12">D77*E77</f>
        <v>1823.3</v>
      </c>
      <c r="H77" s="102">
        <f t="shared" ref="H77" si="13">G77*F77</f>
        <v>1823.3</v>
      </c>
    </row>
    <row r="78" spans="1:8" ht="15.75" x14ac:dyDescent="0.2">
      <c r="A78" s="1461"/>
      <c r="B78" s="178" t="s">
        <v>706</v>
      </c>
      <c r="E78" s="84"/>
      <c r="F78" s="84"/>
    </row>
    <row r="79" spans="1:8" ht="18" customHeight="1" x14ac:dyDescent="0.3">
      <c r="A79" s="1461"/>
      <c r="B79" s="179">
        <f>D52</f>
        <v>9116.5</v>
      </c>
      <c r="C79" s="188"/>
      <c r="D79" s="4"/>
      <c r="E79" s="84"/>
      <c r="F79" s="164"/>
    </row>
    <row r="80" spans="1:8" ht="18" customHeight="1" x14ac:dyDescent="0.2">
      <c r="A80" s="1461"/>
      <c r="B80" s="84"/>
      <c r="E80" s="84"/>
      <c r="F80" s="84"/>
    </row>
    <row r="81" spans="1:8" ht="25.5" customHeight="1" x14ac:dyDescent="0.2">
      <c r="A81" s="1461"/>
      <c r="B81" s="84"/>
      <c r="C81" s="84"/>
      <c r="D81" s="322"/>
      <c r="E81" s="84"/>
      <c r="F81" s="84"/>
      <c r="G81" s="84"/>
      <c r="H81" s="84"/>
    </row>
    <row r="82" spans="1:8" x14ac:dyDescent="0.2">
      <c r="A82" s="1461"/>
    </row>
    <row r="83" spans="1:8" ht="14.25" customHeight="1" x14ac:dyDescent="0.2">
      <c r="A83" s="1462"/>
      <c r="B83" s="1673"/>
      <c r="C83" s="1674"/>
      <c r="D83" s="1674"/>
      <c r="E83" s="1674"/>
      <c r="F83" s="1674"/>
      <c r="G83" s="1674"/>
      <c r="H83" s="1674"/>
    </row>
    <row r="84" spans="1:8" ht="14.25" customHeight="1" x14ac:dyDescent="0.2">
      <c r="A84" s="1462"/>
      <c r="B84" s="1515"/>
      <c r="C84" s="791"/>
      <c r="D84" s="791"/>
      <c r="E84" s="791"/>
      <c r="F84" s="791"/>
      <c r="G84" s="791"/>
      <c r="H84" s="791"/>
    </row>
    <row r="85" spans="1:8" ht="14.25" customHeight="1" x14ac:dyDescent="0.2">
      <c r="A85" s="1463"/>
      <c r="B85" s="1103"/>
      <c r="C85" s="1104"/>
      <c r="D85" s="1103"/>
      <c r="E85" s="1105"/>
      <c r="F85" s="1105"/>
      <c r="G85" s="1103"/>
      <c r="H85" s="1105"/>
    </row>
    <row r="86" spans="1:8" ht="14.25" customHeight="1" x14ac:dyDescent="0.2">
      <c r="A86" s="1462"/>
      <c r="B86" s="1106"/>
      <c r="C86" s="1106"/>
      <c r="D86" s="1111"/>
      <c r="E86" s="1112"/>
      <c r="F86" s="1108"/>
      <c r="G86" s="1109"/>
      <c r="H86" s="1110"/>
    </row>
    <row r="87" spans="1:8" ht="14.25" customHeight="1" x14ac:dyDescent="0.2">
      <c r="A87" s="1462"/>
      <c r="B87" s="1106"/>
      <c r="C87" s="1106"/>
      <c r="D87" s="1111"/>
      <c r="E87" s="1112"/>
      <c r="F87" s="1108"/>
      <c r="G87" s="1109"/>
      <c r="H87" s="1110"/>
    </row>
    <row r="88" spans="1:8" ht="14.25" customHeight="1" x14ac:dyDescent="0.2">
      <c r="A88" s="1462"/>
      <c r="B88" s="1106"/>
      <c r="C88" s="1106"/>
      <c r="D88" s="1111"/>
      <c r="E88" s="1112"/>
      <c r="F88" s="1108"/>
      <c r="G88" s="1109"/>
      <c r="H88" s="1110"/>
    </row>
    <row r="89" spans="1:8" ht="14.25" customHeight="1" x14ac:dyDescent="0.2">
      <c r="A89" s="1462"/>
      <c r="B89" s="1106"/>
      <c r="C89" s="1106"/>
      <c r="D89" s="1111"/>
      <c r="E89" s="1112"/>
      <c r="F89" s="1108"/>
      <c r="G89" s="1109"/>
      <c r="H89" s="1110"/>
    </row>
    <row r="90" spans="1:8" ht="14.25" customHeight="1" x14ac:dyDescent="0.2">
      <c r="A90" s="1462"/>
      <c r="B90" s="1106"/>
      <c r="C90" s="1106"/>
      <c r="D90" s="1111"/>
      <c r="E90" s="1112"/>
      <c r="F90" s="1108"/>
      <c r="G90" s="1109"/>
      <c r="H90" s="1110"/>
    </row>
    <row r="91" spans="1:8" ht="12.75" customHeight="1" x14ac:dyDescent="0.2">
      <c r="A91" s="1462"/>
      <c r="B91" s="1106"/>
      <c r="C91" s="1106"/>
      <c r="D91" s="1111"/>
      <c r="E91" s="1112"/>
      <c r="F91" s="1108"/>
      <c r="G91" s="1109"/>
      <c r="H91" s="1110"/>
    </row>
    <row r="92" spans="1:8" ht="14.25" customHeight="1" x14ac:dyDescent="0.2">
      <c r="A92" s="1462"/>
      <c r="B92" s="1106"/>
      <c r="C92" s="1106"/>
      <c r="D92" s="1111"/>
      <c r="E92" s="1112"/>
      <c r="F92" s="1108"/>
      <c r="G92" s="1109"/>
      <c r="H92" s="1110"/>
    </row>
    <row r="93" spans="1:8" ht="21.75" customHeight="1" x14ac:dyDescent="0.2">
      <c r="A93" s="1462"/>
      <c r="B93" s="1106"/>
      <c r="C93" s="1106"/>
      <c r="D93" s="1111"/>
      <c r="E93" s="1112"/>
      <c r="F93" s="1108"/>
      <c r="G93" s="1109"/>
      <c r="H93" s="1110"/>
    </row>
    <row r="94" spans="1:8" ht="18" customHeight="1" x14ac:dyDescent="0.2">
      <c r="A94" s="1462"/>
      <c r="B94" s="1106"/>
      <c r="C94" s="1106"/>
      <c r="D94" s="1113"/>
      <c r="E94" s="1112"/>
      <c r="F94" s="1108"/>
      <c r="G94" s="1109"/>
      <c r="H94" s="1110"/>
    </row>
    <row r="95" spans="1:8" ht="18" customHeight="1" x14ac:dyDescent="0.2">
      <c r="A95" s="1462"/>
      <c r="B95" s="814"/>
      <c r="C95" s="796"/>
      <c r="D95" s="796"/>
      <c r="E95" s="790"/>
      <c r="F95" s="790"/>
      <c r="G95" s="796"/>
      <c r="H95" s="796"/>
    </row>
    <row r="96" spans="1:8" ht="25.5" customHeight="1" x14ac:dyDescent="0.3">
      <c r="A96" s="1462"/>
      <c r="B96" s="815"/>
      <c r="C96" s="819"/>
      <c r="D96" s="1114"/>
      <c r="E96" s="790"/>
      <c r="F96" s="1115"/>
      <c r="G96" s="796"/>
      <c r="H96" s="796"/>
    </row>
    <row r="97" spans="1:8" x14ac:dyDescent="0.2">
      <c r="A97" s="1462"/>
      <c r="B97" s="790"/>
      <c r="C97" s="790"/>
      <c r="D97" s="790"/>
      <c r="E97" s="790"/>
      <c r="F97" s="790"/>
      <c r="G97" s="790"/>
      <c r="H97" s="790"/>
    </row>
    <row r="98" spans="1:8" ht="14.25" customHeight="1" x14ac:dyDescent="0.2">
      <c r="A98" s="1462"/>
      <c r="B98" s="1673"/>
      <c r="C98" s="1674"/>
      <c r="D98" s="1674"/>
      <c r="E98" s="1674"/>
      <c r="F98" s="1674"/>
      <c r="G98" s="1674"/>
      <c r="H98" s="1674"/>
    </row>
    <row r="99" spans="1:8" ht="14.25" customHeight="1" x14ac:dyDescent="0.2">
      <c r="A99" s="1462"/>
      <c r="B99" s="1673"/>
      <c r="C99" s="1674"/>
      <c r="D99" s="1674"/>
      <c r="E99" s="1674"/>
      <c r="F99" s="1674"/>
      <c r="G99" s="1674"/>
      <c r="H99" s="1674"/>
    </row>
    <row r="100" spans="1:8" ht="14.25" customHeight="1" x14ac:dyDescent="0.2">
      <c r="A100" s="1463"/>
      <c r="B100" s="1103"/>
      <c r="C100" s="1104"/>
      <c r="D100" s="1103"/>
      <c r="E100" s="1105"/>
      <c r="F100" s="1105"/>
      <c r="G100" s="1103"/>
      <c r="H100" s="1105"/>
    </row>
    <row r="101" spans="1:8" ht="14.25" customHeight="1" x14ac:dyDescent="0.2">
      <c r="A101" s="1462"/>
      <c r="B101" s="1106"/>
      <c r="C101" s="1106"/>
      <c r="D101" s="1106"/>
      <c r="E101" s="1107"/>
      <c r="F101" s="1108"/>
      <c r="G101" s="1109"/>
      <c r="H101" s="1110"/>
    </row>
    <row r="102" spans="1:8" ht="14.25" customHeight="1" x14ac:dyDescent="0.2">
      <c r="A102" s="1462"/>
      <c r="B102" s="1106"/>
      <c r="C102" s="1106"/>
      <c r="D102" s="1106"/>
      <c r="E102" s="1107"/>
      <c r="F102" s="1108"/>
      <c r="G102" s="1109"/>
      <c r="H102" s="1110"/>
    </row>
    <row r="103" spans="1:8" ht="14.25" customHeight="1" x14ac:dyDescent="0.2">
      <c r="A103" s="1462"/>
      <c r="B103" s="1106"/>
      <c r="C103" s="1106"/>
      <c r="D103" s="1106"/>
      <c r="E103" s="1107"/>
      <c r="F103" s="1108"/>
      <c r="G103" s="1109"/>
      <c r="H103" s="1110"/>
    </row>
    <row r="104" spans="1:8" ht="14.25" customHeight="1" x14ac:dyDescent="0.2">
      <c r="A104" s="1462"/>
      <c r="B104" s="1106"/>
      <c r="C104" s="1106"/>
      <c r="D104" s="1106"/>
      <c r="E104" s="1107"/>
      <c r="F104" s="1108"/>
      <c r="G104" s="1109"/>
      <c r="H104" s="1110"/>
    </row>
    <row r="105" spans="1:8" ht="14.25" customHeight="1" x14ac:dyDescent="0.2">
      <c r="A105" s="1462"/>
      <c r="B105" s="1106"/>
      <c r="C105" s="1106"/>
      <c r="D105" s="1106"/>
      <c r="E105" s="1107"/>
      <c r="F105" s="1108"/>
      <c r="G105" s="1109"/>
      <c r="H105" s="1110"/>
    </row>
    <row r="106" spans="1:8" ht="14.25" x14ac:dyDescent="0.2">
      <c r="A106" s="1462"/>
      <c r="B106" s="1106"/>
      <c r="C106" s="1106"/>
      <c r="D106" s="1106"/>
      <c r="E106" s="1107"/>
      <c r="F106" s="1108"/>
      <c r="G106" s="1109"/>
      <c r="H106" s="1110"/>
    </row>
    <row r="107" spans="1:8" ht="14.25" x14ac:dyDescent="0.2">
      <c r="A107" s="1462"/>
      <c r="B107" s="1106"/>
      <c r="C107" s="1106"/>
      <c r="D107" s="1106"/>
      <c r="E107" s="1107"/>
      <c r="F107" s="1108"/>
      <c r="G107" s="1109"/>
      <c r="H107" s="1110"/>
    </row>
    <row r="108" spans="1:8" ht="14.25" x14ac:dyDescent="0.2">
      <c r="A108" s="1462"/>
      <c r="B108" s="1106"/>
      <c r="C108" s="1106"/>
      <c r="D108" s="1106"/>
      <c r="E108" s="1107"/>
      <c r="F108" s="1108"/>
      <c r="G108" s="1109"/>
      <c r="H108" s="1110"/>
    </row>
    <row r="109" spans="1:8" ht="14.25" x14ac:dyDescent="0.2">
      <c r="A109" s="1462"/>
      <c r="B109" s="1106"/>
      <c r="C109" s="1106"/>
      <c r="D109" s="1106"/>
      <c r="E109" s="1107"/>
      <c r="F109" s="1108"/>
      <c r="G109" s="1120"/>
      <c r="H109" s="1121"/>
    </row>
    <row r="110" spans="1:8" ht="15.75" x14ac:dyDescent="0.2">
      <c r="A110" s="1462"/>
      <c r="B110" s="814"/>
      <c r="C110" s="796"/>
      <c r="D110" s="796"/>
      <c r="E110" s="796"/>
      <c r="F110" s="796"/>
      <c r="G110" s="796"/>
      <c r="H110" s="796"/>
    </row>
    <row r="111" spans="1:8" ht="20.25" x14ac:dyDescent="0.3">
      <c r="A111" s="1462"/>
      <c r="B111" s="815"/>
      <c r="C111" s="796"/>
      <c r="D111" s="796"/>
      <c r="E111" s="796"/>
      <c r="F111" s="796"/>
      <c r="G111" s="796"/>
      <c r="H111" s="796"/>
    </row>
    <row r="112" spans="1:8" x14ac:dyDescent="0.2">
      <c r="A112" s="1461"/>
    </row>
    <row r="113" spans="1:1" x14ac:dyDescent="0.2">
      <c r="A113" s="1461"/>
    </row>
    <row r="114" spans="1:1" x14ac:dyDescent="0.2">
      <c r="A114" s="1461"/>
    </row>
    <row r="115" spans="1:1" x14ac:dyDescent="0.2">
      <c r="A115" s="1461"/>
    </row>
    <row r="116" spans="1:1" x14ac:dyDescent="0.2">
      <c r="A116" s="1461"/>
    </row>
    <row r="117" spans="1:1" x14ac:dyDescent="0.2">
      <c r="A117" s="1461"/>
    </row>
    <row r="118" spans="1:1" x14ac:dyDescent="0.2">
      <c r="A118" s="1461"/>
    </row>
    <row r="119" spans="1:1" x14ac:dyDescent="0.2">
      <c r="A119" s="1461"/>
    </row>
    <row r="120" spans="1:1" x14ac:dyDescent="0.2">
      <c r="A120" s="1461"/>
    </row>
    <row r="121" spans="1:1" x14ac:dyDescent="0.2">
      <c r="A121" s="1461"/>
    </row>
    <row r="122" spans="1:1" x14ac:dyDescent="0.2">
      <c r="A122" s="1461"/>
    </row>
    <row r="123" spans="1:1" x14ac:dyDescent="0.2">
      <c r="A123" s="1461"/>
    </row>
    <row r="124" spans="1:1" x14ac:dyDescent="0.2">
      <c r="A124" s="1461"/>
    </row>
    <row r="125" spans="1:1" x14ac:dyDescent="0.2">
      <c r="A125" s="1461"/>
    </row>
    <row r="126" spans="1:1" x14ac:dyDescent="0.2">
      <c r="A126" s="1461"/>
    </row>
    <row r="127" spans="1:1" x14ac:dyDescent="0.2">
      <c r="A127" s="1461"/>
    </row>
    <row r="128" spans="1:1" x14ac:dyDescent="0.2">
      <c r="A128" s="1461"/>
    </row>
    <row r="129" spans="1:1" x14ac:dyDescent="0.2">
      <c r="A129" s="1461"/>
    </row>
    <row r="130" spans="1:1" x14ac:dyDescent="0.2">
      <c r="A130" s="1461"/>
    </row>
    <row r="131" spans="1:1" x14ac:dyDescent="0.2">
      <c r="A131" s="1461"/>
    </row>
    <row r="132" spans="1:1" x14ac:dyDescent="0.2">
      <c r="A132" s="1461"/>
    </row>
    <row r="133" spans="1:1" x14ac:dyDescent="0.2">
      <c r="A133" s="1461"/>
    </row>
    <row r="134" spans="1:1" x14ac:dyDescent="0.2">
      <c r="A134" s="1461"/>
    </row>
    <row r="135" spans="1:1" x14ac:dyDescent="0.2">
      <c r="A135" s="1461"/>
    </row>
    <row r="136" spans="1:1" x14ac:dyDescent="0.2">
      <c r="A136" s="1461"/>
    </row>
    <row r="137" spans="1:1" x14ac:dyDescent="0.2">
      <c r="A137" s="1461"/>
    </row>
    <row r="138" spans="1:1" x14ac:dyDescent="0.2">
      <c r="A138" s="1461"/>
    </row>
    <row r="139" spans="1:1" x14ac:dyDescent="0.2">
      <c r="A139" s="1461"/>
    </row>
    <row r="140" spans="1:1" x14ac:dyDescent="0.2">
      <c r="A140" s="1461"/>
    </row>
    <row r="141" spans="1:1" x14ac:dyDescent="0.2">
      <c r="A141" s="1461"/>
    </row>
    <row r="142" spans="1:1" x14ac:dyDescent="0.2">
      <c r="A142" s="1461"/>
    </row>
    <row r="143" spans="1:1" x14ac:dyDescent="0.2">
      <c r="A143" s="1461"/>
    </row>
    <row r="144" spans="1:1"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row r="175" spans="1:1" x14ac:dyDescent="0.2">
      <c r="A175" s="1461"/>
    </row>
  </sheetData>
  <mergeCells count="9">
    <mergeCell ref="B83:H83"/>
    <mergeCell ref="B98:H98"/>
    <mergeCell ref="B99:H99"/>
    <mergeCell ref="B2:H3"/>
    <mergeCell ref="AE2:AG3"/>
    <mergeCell ref="R25:T25"/>
    <mergeCell ref="R26:T26"/>
    <mergeCell ref="B63:H63"/>
    <mergeCell ref="B64:H64"/>
  </mergeCells>
  <printOptions horizontalCentered="1"/>
  <pageMargins left="0.5" right="0.5" top="1" bottom="0.5" header="0.3" footer="0.511811023622047"/>
  <pageSetup paperSize="9" scale="32"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rgb="FFFFFF00"/>
    <pageSetUpPr fitToPage="1"/>
  </sheetPr>
  <dimension ref="A1:AG174"/>
  <sheetViews>
    <sheetView topLeftCell="B1" zoomScale="70" zoomScaleNormal="70" workbookViewId="0">
      <selection activeCell="A5" sqref="A5:A174"/>
    </sheetView>
  </sheetViews>
  <sheetFormatPr defaultColWidth="12.5" defaultRowHeight="12.75" x14ac:dyDescent="0.2"/>
  <cols>
    <col min="1" max="1" width="12.5" style="14" customWidth="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9" width="6.125" style="14" customWidth="1"/>
    <col min="10" max="10" width="9.5" style="14" customWidth="1"/>
    <col min="11" max="11" width="6.125" style="14" customWidth="1"/>
    <col min="12" max="12" width="8.375" style="14" customWidth="1"/>
    <col min="13" max="13" width="6.125" style="14" customWidth="1"/>
    <col min="14" max="14" width="8.75" style="14" customWidth="1"/>
    <col min="15" max="17" width="6.125" style="14" customWidth="1"/>
    <col min="18" max="16384" width="12.5" style="14"/>
  </cols>
  <sheetData>
    <row r="1" spans="1:33" ht="28.5" customHeight="1" x14ac:dyDescent="0.2">
      <c r="B1" s="64" t="s">
        <v>231</v>
      </c>
      <c r="C1" s="65">
        <v>1000</v>
      </c>
      <c r="D1" s="66" t="s">
        <v>232</v>
      </c>
      <c r="E1" s="99">
        <f>S30</f>
        <v>20110</v>
      </c>
      <c r="F1" s="64" t="s">
        <v>233</v>
      </c>
      <c r="G1" s="342">
        <f>E1/C1</f>
        <v>20.11</v>
      </c>
      <c r="H1" s="64" t="s">
        <v>234</v>
      </c>
      <c r="I1" s="99">
        <f>G1/K1</f>
        <v>19.910891089108912</v>
      </c>
      <c r="J1" s="302" t="s">
        <v>235</v>
      </c>
      <c r="K1" s="303">
        <v>1.01</v>
      </c>
      <c r="L1" s="302" t="s">
        <v>809</v>
      </c>
      <c r="M1" s="84"/>
      <c r="N1" s="302" t="s">
        <v>810</v>
      </c>
      <c r="O1" s="84">
        <v>0.91089108910891092</v>
      </c>
      <c r="P1" s="84"/>
      <c r="Q1" s="84"/>
      <c r="R1" s="84"/>
      <c r="S1" s="84"/>
      <c r="T1" s="84"/>
      <c r="U1" s="84"/>
      <c r="V1" s="84"/>
      <c r="Y1" s="75" t="s">
        <v>453</v>
      </c>
      <c r="Z1" s="766">
        <v>20110</v>
      </c>
      <c r="AA1" s="75" t="s">
        <v>556</v>
      </c>
      <c r="AB1" s="766">
        <v>0</v>
      </c>
      <c r="AC1" s="75" t="s">
        <v>546</v>
      </c>
      <c r="AD1" s="766">
        <v>139</v>
      </c>
    </row>
    <row r="2" spans="1:33" ht="12.75" customHeight="1" x14ac:dyDescent="0.2">
      <c r="A2" s="306"/>
      <c r="B2" s="1632" t="s">
        <v>343</v>
      </c>
      <c r="C2" s="1661"/>
      <c r="D2" s="1661"/>
      <c r="E2" s="1661"/>
      <c r="F2" s="1661"/>
      <c r="G2" s="1661"/>
      <c r="H2" s="1661"/>
      <c r="I2" s="84"/>
      <c r="J2" s="84"/>
      <c r="K2" s="84"/>
      <c r="L2" s="84"/>
      <c r="M2" s="84"/>
      <c r="N2" s="84"/>
      <c r="O2" s="84"/>
      <c r="P2" s="84"/>
      <c r="Q2" s="84"/>
      <c r="R2" s="84"/>
      <c r="S2" s="84"/>
      <c r="T2" s="84"/>
      <c r="U2" s="84"/>
      <c r="AE2" s="1647"/>
      <c r="AF2" s="1655"/>
      <c r="AG2" s="1655"/>
    </row>
    <row r="3" spans="1:33" ht="12.75" customHeight="1" x14ac:dyDescent="0.2">
      <c r="A3" s="306"/>
      <c r="B3" s="1633"/>
      <c r="C3" s="1633"/>
      <c r="D3" s="1633"/>
      <c r="E3" s="1633"/>
      <c r="F3" s="1633"/>
      <c r="G3" s="1633"/>
      <c r="H3" s="1633"/>
      <c r="I3" s="84"/>
      <c r="J3" s="84"/>
      <c r="K3" s="84"/>
      <c r="L3" s="84"/>
      <c r="M3" s="84"/>
      <c r="N3" s="84"/>
      <c r="O3" s="84"/>
      <c r="P3" s="84"/>
      <c r="Q3" s="84"/>
      <c r="R3" s="84"/>
      <c r="S3" s="84"/>
      <c r="T3" s="84"/>
      <c r="U3" s="84"/>
      <c r="AE3" s="1655"/>
      <c r="AF3" s="1655"/>
      <c r="AG3" s="1655"/>
    </row>
    <row r="4" spans="1:33"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Q4" s="84"/>
      <c r="R4" s="84"/>
      <c r="S4" s="84"/>
      <c r="T4" s="84"/>
      <c r="U4" s="84"/>
    </row>
    <row r="5" spans="1:33" ht="14.25" customHeight="1" x14ac:dyDescent="0.2">
      <c r="A5" s="1459"/>
      <c r="B5" s="586"/>
      <c r="C5" s="587"/>
      <c r="D5" s="198"/>
      <c r="E5" s="588"/>
      <c r="F5" s="198"/>
      <c r="G5" s="198"/>
      <c r="H5" s="587"/>
      <c r="I5" s="65"/>
      <c r="J5" s="101"/>
      <c r="K5" s="104"/>
      <c r="L5" s="104"/>
    </row>
    <row r="6" spans="1:33" ht="14.25" customHeight="1" x14ac:dyDescent="0.2">
      <c r="A6" s="1460"/>
      <c r="B6" s="20" t="s">
        <v>21</v>
      </c>
      <c r="C6" s="106" t="s">
        <v>14</v>
      </c>
      <c r="D6" s="98">
        <f>1175/O1</f>
        <v>1289.945652173913</v>
      </c>
      <c r="E6" s="98">
        <f t="shared" ref="E6:E12" si="0">$I$1</f>
        <v>19.910891089108912</v>
      </c>
      <c r="F6" s="109">
        <v>1</v>
      </c>
      <c r="G6" s="101">
        <f t="shared" ref="G6:G12" si="1">D6*E6</f>
        <v>25683.967391304348</v>
      </c>
      <c r="H6" s="102">
        <f t="shared" ref="H6:H12" si="2">G6*F6</f>
        <v>25683.967391304348</v>
      </c>
      <c r="I6" s="65">
        <f>VLOOKUP(B6,All_Ingredients!$A$1:$F$156,6,FALSE())</f>
        <v>0.9</v>
      </c>
      <c r="J6" s="101">
        <f>VLOOKUP(B6,All_Ingredients!$A$1:$J$156,10,FALSE())</f>
        <v>2.2999999999999998</v>
      </c>
      <c r="K6" s="104">
        <f t="shared" ref="K6" si="3">(H6/I6)/1000</f>
        <v>28.537741545893716</v>
      </c>
      <c r="L6" s="104">
        <f t="shared" ref="L6" si="4">K6*J6</f>
        <v>65.63680555555554</v>
      </c>
    </row>
    <row r="7" spans="1:33" ht="14.25" customHeight="1" x14ac:dyDescent="0.2">
      <c r="A7" s="1460"/>
      <c r="B7" s="20" t="s">
        <v>54</v>
      </c>
      <c r="C7" s="106" t="s">
        <v>14</v>
      </c>
      <c r="D7" s="98">
        <v>10</v>
      </c>
      <c r="E7" s="98">
        <f t="shared" si="0"/>
        <v>19.910891089108912</v>
      </c>
      <c r="F7" s="109">
        <v>1</v>
      </c>
      <c r="G7" s="101">
        <f t="shared" si="1"/>
        <v>199.10891089108912</v>
      </c>
      <c r="H7" s="102">
        <f t="shared" si="2"/>
        <v>199.10891089108912</v>
      </c>
      <c r="I7" s="65">
        <f>VLOOKUP(B7,All_Ingredients!$A$1:$F$156,6,FALSE())</f>
        <v>0.87</v>
      </c>
      <c r="J7" s="101">
        <f>VLOOKUP(B7,All_Ingredients!$A$1:$J$156,10,FALSE())</f>
        <v>7</v>
      </c>
      <c r="K7" s="104">
        <f t="shared" ref="K7:K12" si="5">(H7/I7)/1000</f>
        <v>0.22886081711619441</v>
      </c>
      <c r="L7" s="104">
        <f t="shared" ref="L7:L12" si="6">K7*J7</f>
        <v>1.6020257198133609</v>
      </c>
      <c r="R7" s="14">
        <v>39000</v>
      </c>
      <c r="S7" s="14">
        <v>21600</v>
      </c>
    </row>
    <row r="8" spans="1:33" ht="14.25" customHeight="1" x14ac:dyDescent="0.2">
      <c r="A8" s="1460"/>
      <c r="B8" s="20" t="s">
        <v>60</v>
      </c>
      <c r="C8" s="106" t="s">
        <v>14</v>
      </c>
      <c r="D8" s="98">
        <v>5</v>
      </c>
      <c r="E8" s="98">
        <f t="shared" si="0"/>
        <v>19.910891089108912</v>
      </c>
      <c r="F8" s="109">
        <v>1</v>
      </c>
      <c r="G8" s="101">
        <f t="shared" si="1"/>
        <v>99.554455445544562</v>
      </c>
      <c r="H8" s="102">
        <f t="shared" si="2"/>
        <v>99.554455445544562</v>
      </c>
      <c r="I8" s="65">
        <f>VLOOKUP(B8,All_Ingredients!$A$1:$F$156,6,FALSE())</f>
        <v>0.94</v>
      </c>
      <c r="J8" s="101">
        <f>VLOOKUP(B8,All_Ingredients!$A$1:$J$156,10,FALSE())</f>
        <v>3.6363636363636367</v>
      </c>
      <c r="K8" s="104">
        <f t="shared" si="5"/>
        <v>0.10590899515483464</v>
      </c>
      <c r="L8" s="104">
        <f t="shared" si="6"/>
        <v>0.38512361874485324</v>
      </c>
      <c r="S8" s="14">
        <v>13600</v>
      </c>
    </row>
    <row r="9" spans="1:33" ht="14.25" customHeight="1" x14ac:dyDescent="0.2">
      <c r="A9" s="1460"/>
      <c r="B9" s="20" t="s">
        <v>152</v>
      </c>
      <c r="C9" s="106" t="s">
        <v>14</v>
      </c>
      <c r="D9" s="98">
        <v>10</v>
      </c>
      <c r="E9" s="98">
        <f t="shared" si="0"/>
        <v>19.910891089108912</v>
      </c>
      <c r="F9" s="109">
        <v>1</v>
      </c>
      <c r="G9" s="101">
        <f t="shared" si="1"/>
        <v>199.10891089108912</v>
      </c>
      <c r="H9" s="102">
        <f t="shared" si="2"/>
        <v>199.10891089108912</v>
      </c>
      <c r="I9" s="65">
        <f>VLOOKUP(B9,All_Ingredients!$A$1:$F$156,6,FALSE())</f>
        <v>1</v>
      </c>
      <c r="J9" s="101">
        <f>VLOOKUP(B9,All_Ingredients!$A$1:$J$156,10,FALSE())</f>
        <v>30</v>
      </c>
      <c r="K9" s="104">
        <f t="shared" si="5"/>
        <v>0.19910891089108912</v>
      </c>
      <c r="L9" s="104">
        <f t="shared" si="6"/>
        <v>5.9732673267326737</v>
      </c>
      <c r="S9" s="14">
        <f>S8+S7</f>
        <v>35200</v>
      </c>
    </row>
    <row r="10" spans="1:33" ht="14.25" customHeight="1" x14ac:dyDescent="0.2">
      <c r="A10" s="1460"/>
      <c r="B10" s="20" t="s">
        <v>101</v>
      </c>
      <c r="C10" s="106" t="s">
        <v>14</v>
      </c>
      <c r="D10" s="98">
        <v>2</v>
      </c>
      <c r="E10" s="98">
        <f t="shared" si="0"/>
        <v>19.910891089108912</v>
      </c>
      <c r="F10" s="109">
        <v>0.75</v>
      </c>
      <c r="G10" s="101">
        <f t="shared" si="1"/>
        <v>39.821782178217823</v>
      </c>
      <c r="H10" s="102">
        <f t="shared" si="2"/>
        <v>29.866336633663366</v>
      </c>
      <c r="I10" s="65">
        <f>VLOOKUP(B10,All_Ingredients!$A$1:$F$156,6,FALSE())</f>
        <v>1</v>
      </c>
      <c r="J10" s="101">
        <f>VLOOKUP(B10,All_Ingredients!$A$1:$J$156,10,FALSE())</f>
        <v>47</v>
      </c>
      <c r="K10" s="104">
        <f t="shared" si="5"/>
        <v>2.9866336633663365E-2</v>
      </c>
      <c r="L10" s="104">
        <f t="shared" si="6"/>
        <v>1.4037178217821782</v>
      </c>
    </row>
    <row r="11" spans="1:33" ht="14.25" customHeight="1" x14ac:dyDescent="0.2">
      <c r="A11" s="1460"/>
      <c r="B11" s="20" t="s">
        <v>93</v>
      </c>
      <c r="C11" s="106" t="s">
        <v>14</v>
      </c>
      <c r="D11" s="98">
        <v>5</v>
      </c>
      <c r="E11" s="98">
        <f t="shared" si="0"/>
        <v>19.910891089108912</v>
      </c>
      <c r="F11" s="109">
        <v>0.75</v>
      </c>
      <c r="G11" s="101">
        <f t="shared" si="1"/>
        <v>99.554455445544562</v>
      </c>
      <c r="H11" s="102">
        <f t="shared" si="2"/>
        <v>74.665841584158414</v>
      </c>
      <c r="I11" s="65">
        <f>VLOOKUP(B11,All_Ingredients!$A$1:$F$156,6,FALSE())</f>
        <v>1</v>
      </c>
      <c r="J11" s="101">
        <f>VLOOKUP(B11,All_Ingredients!$A$1:$J$156,10,FALSE())</f>
        <v>0.74</v>
      </c>
      <c r="K11" s="104">
        <f t="shared" si="5"/>
        <v>7.4665841584158413E-2</v>
      </c>
      <c r="L11" s="104">
        <f t="shared" si="6"/>
        <v>5.5252722772277225E-2</v>
      </c>
    </row>
    <row r="12" spans="1:33" ht="14.25" customHeight="1" x14ac:dyDescent="0.2">
      <c r="A12" s="1460"/>
      <c r="B12" s="20" t="s">
        <v>105</v>
      </c>
      <c r="C12" s="106" t="s">
        <v>14</v>
      </c>
      <c r="D12" s="98">
        <v>1</v>
      </c>
      <c r="E12" s="98">
        <f t="shared" si="0"/>
        <v>19.910891089108912</v>
      </c>
      <c r="F12" s="109">
        <v>0.75</v>
      </c>
      <c r="G12" s="101">
        <f t="shared" si="1"/>
        <v>19.910891089108912</v>
      </c>
      <c r="H12" s="102">
        <f t="shared" si="2"/>
        <v>14.933168316831683</v>
      </c>
      <c r="I12" s="65">
        <f>VLOOKUP(B12,All_Ingredients!$A$1:$F$156,6,FALSE())</f>
        <v>1</v>
      </c>
      <c r="J12" s="101">
        <f>VLOOKUP(B12,All_Ingredients!$A$1:$J$156,10,FALSE())</f>
        <v>15</v>
      </c>
      <c r="K12" s="104">
        <f t="shared" si="5"/>
        <v>1.4933168316831683E-2</v>
      </c>
      <c r="L12" s="104">
        <f t="shared" si="6"/>
        <v>0.22399752475247525</v>
      </c>
    </row>
    <row r="13" spans="1:33" ht="14.25" customHeight="1" x14ac:dyDescent="0.2">
      <c r="A13" s="1461"/>
      <c r="B13" s="325"/>
      <c r="C13" s="114"/>
      <c r="D13" s="232"/>
      <c r="E13" s="203"/>
      <c r="F13" s="117"/>
      <c r="G13" s="121"/>
      <c r="H13" s="119"/>
    </row>
    <row r="14" spans="1:33" ht="14.25" customHeight="1" x14ac:dyDescent="0.2">
      <c r="A14" s="1461"/>
      <c r="E14" s="84"/>
      <c r="F14" s="84"/>
    </row>
    <row r="15" spans="1:33" ht="14.25" customHeight="1" x14ac:dyDescent="0.2">
      <c r="A15" s="1461"/>
      <c r="E15" s="84"/>
      <c r="F15" s="84"/>
    </row>
    <row r="16" spans="1:33" ht="14.25" customHeight="1" x14ac:dyDescent="0.2">
      <c r="A16" s="1461"/>
      <c r="E16" s="84"/>
      <c r="F16" s="84"/>
    </row>
    <row r="17" spans="1:29" ht="14.25" customHeight="1" x14ac:dyDescent="0.2">
      <c r="A17" s="1461"/>
      <c r="E17" s="84"/>
      <c r="F17" s="84"/>
    </row>
    <row r="18" spans="1:29" ht="14.25" customHeight="1" x14ac:dyDescent="0.2">
      <c r="A18" s="1461"/>
      <c r="E18" s="84"/>
      <c r="F18" s="84"/>
    </row>
    <row r="19" spans="1:29" ht="14.25" customHeight="1" x14ac:dyDescent="0.25">
      <c r="A19" s="1461"/>
      <c r="E19" s="84"/>
      <c r="F19" s="84"/>
      <c r="M19" s="1"/>
      <c r="N19"/>
      <c r="O19"/>
    </row>
    <row r="20" spans="1:29" ht="14.25" customHeight="1" x14ac:dyDescent="0.2">
      <c r="A20" s="1461"/>
      <c r="E20" s="84"/>
      <c r="F20" s="84"/>
      <c r="M20" s="160"/>
      <c r="N20" s="458"/>
      <c r="O20"/>
    </row>
    <row r="21" spans="1:29" ht="14.25" customHeight="1" x14ac:dyDescent="0.2">
      <c r="A21" s="1461"/>
      <c r="E21" s="84"/>
      <c r="F21" s="84"/>
    </row>
    <row r="22" spans="1:29" ht="14.25" customHeight="1" x14ac:dyDescent="0.2">
      <c r="A22" s="1461"/>
      <c r="B22" s="11"/>
      <c r="C22" s="312"/>
      <c r="D22" s="313"/>
      <c r="E22" s="84"/>
      <c r="F22" s="84"/>
    </row>
    <row r="23" spans="1:29" ht="14.25" customHeight="1" x14ac:dyDescent="0.2">
      <c r="A23" s="1461"/>
      <c r="B23" s="11"/>
      <c r="C23" s="312"/>
      <c r="D23" s="313"/>
      <c r="E23" s="84"/>
      <c r="F23" s="84"/>
    </row>
    <row r="24" spans="1:29" ht="14.25" customHeight="1" x14ac:dyDescent="0.2">
      <c r="A24" s="1461"/>
      <c r="B24" s="11"/>
      <c r="C24" s="312"/>
      <c r="D24" s="313"/>
      <c r="E24" s="84"/>
      <c r="F24" s="84"/>
      <c r="Z24" s="1073"/>
    </row>
    <row r="25" spans="1:29" ht="14.25" customHeight="1" x14ac:dyDescent="0.2">
      <c r="A25" s="1461"/>
      <c r="B25" s="11"/>
      <c r="C25" s="312"/>
      <c r="D25" s="313"/>
      <c r="E25" s="84"/>
      <c r="F25" s="84"/>
      <c r="R25" s="1662" t="s">
        <v>345</v>
      </c>
      <c r="S25" s="1633"/>
      <c r="T25" s="1633"/>
      <c r="Z25" s="122" t="s">
        <v>14</v>
      </c>
      <c r="AA25" s="123">
        <v>1</v>
      </c>
      <c r="AB25" s="122" t="s">
        <v>249</v>
      </c>
      <c r="AC25" s="124">
        <f>(S34/S30)*AA25</f>
        <v>3.7434207006540703E-3</v>
      </c>
    </row>
    <row r="26" spans="1:29" ht="14.25" customHeight="1" x14ac:dyDescent="0.2">
      <c r="A26" s="1461"/>
      <c r="B26" s="11"/>
      <c r="C26" s="312"/>
      <c r="D26" s="313"/>
      <c r="E26" s="84"/>
      <c r="F26" s="84"/>
      <c r="R26" s="341" t="s">
        <v>338</v>
      </c>
      <c r="S26" s="341"/>
      <c r="T26" s="341"/>
    </row>
    <row r="27" spans="1:29" ht="14.25" customHeight="1" x14ac:dyDescent="0.2">
      <c r="A27" s="1461"/>
      <c r="B27" s="11"/>
      <c r="C27" s="312"/>
      <c r="D27" s="313"/>
      <c r="E27" s="84"/>
      <c r="F27" s="84"/>
      <c r="R27" s="126" t="s">
        <v>254</v>
      </c>
      <c r="S27" s="126" t="s">
        <v>339</v>
      </c>
      <c r="T27" s="126" t="s">
        <v>257</v>
      </c>
    </row>
    <row r="28" spans="1:29" ht="14.25" customHeight="1" x14ac:dyDescent="0.2">
      <c r="A28" s="1461"/>
      <c r="B28" s="11"/>
      <c r="C28" s="312"/>
      <c r="D28" s="313"/>
      <c r="E28" s="84"/>
      <c r="F28" s="84"/>
      <c r="R28" s="126" t="s">
        <v>263</v>
      </c>
      <c r="S28" s="721">
        <f>T28</f>
        <v>20110</v>
      </c>
      <c r="T28" s="1206">
        <f>Z1</f>
        <v>20110</v>
      </c>
    </row>
    <row r="29" spans="1:29" ht="14.25" customHeight="1" x14ac:dyDescent="0.2">
      <c r="A29" s="1461"/>
      <c r="B29" s="11"/>
      <c r="C29" s="312"/>
      <c r="D29" s="313"/>
      <c r="E29" s="84"/>
      <c r="F29" s="84"/>
      <c r="R29" s="126" t="s">
        <v>265</v>
      </c>
      <c r="S29" s="1247">
        <f>AB1</f>
        <v>0</v>
      </c>
      <c r="T29" s="723">
        <f>S29</f>
        <v>0</v>
      </c>
    </row>
    <row r="30" spans="1:29" ht="14.25" customHeight="1" x14ac:dyDescent="0.2">
      <c r="A30" s="1461"/>
      <c r="B30" s="11"/>
      <c r="C30" s="312"/>
      <c r="D30" s="313"/>
      <c r="E30" s="84"/>
      <c r="F30" s="84"/>
      <c r="R30" s="126" t="s">
        <v>257</v>
      </c>
      <c r="S30" s="315">
        <f>SUM(S28:S29)</f>
        <v>20110</v>
      </c>
      <c r="T30" s="315">
        <f>S30</f>
        <v>20110</v>
      </c>
    </row>
    <row r="31" spans="1:29" ht="14.25" customHeight="1" x14ac:dyDescent="0.2">
      <c r="A31" s="1461"/>
      <c r="B31" s="11"/>
      <c r="C31" s="312"/>
      <c r="D31" s="313"/>
      <c r="E31" s="84"/>
      <c r="F31" s="84"/>
    </row>
    <row r="32" spans="1:29" ht="14.25" customHeight="1" x14ac:dyDescent="0.2">
      <c r="A32" s="1461"/>
      <c r="B32" s="84"/>
      <c r="E32" s="84"/>
      <c r="F32" s="84"/>
      <c r="S32" s="152"/>
      <c r="T32" s="152"/>
    </row>
    <row r="33" spans="1:20" ht="13.5" thickBot="1" x14ac:dyDescent="0.25">
      <c r="A33" s="1461"/>
    </row>
    <row r="34" spans="1:20" ht="15" thickBot="1" x14ac:dyDescent="0.25">
      <c r="A34" s="1461"/>
      <c r="R34" s="144" t="s">
        <v>249</v>
      </c>
      <c r="S34" s="990">
        <f>SUM(L6:L12)</f>
        <v>75.280190290153357</v>
      </c>
      <c r="T34" s="1061">
        <f>S34</f>
        <v>75.280190290153357</v>
      </c>
    </row>
    <row r="35" spans="1:20" x14ac:dyDescent="0.2">
      <c r="A35" s="1461"/>
    </row>
    <row r="36" spans="1:20" x14ac:dyDescent="0.2">
      <c r="A36" s="1461"/>
    </row>
    <row r="37" spans="1:20" x14ac:dyDescent="0.2">
      <c r="A37" s="1461"/>
    </row>
    <row r="38" spans="1:20" x14ac:dyDescent="0.2">
      <c r="A38" s="1461"/>
    </row>
    <row r="39" spans="1:20" x14ac:dyDescent="0.2">
      <c r="A39" s="1461"/>
    </row>
    <row r="40" spans="1:20" x14ac:dyDescent="0.2">
      <c r="A40" s="1461"/>
    </row>
    <row r="41" spans="1:20" ht="14.25" customHeight="1" x14ac:dyDescent="0.2">
      <c r="A41" s="1461"/>
    </row>
    <row r="42" spans="1:20" ht="14.25" customHeight="1" x14ac:dyDescent="0.2">
      <c r="A42" s="1461"/>
    </row>
    <row r="43" spans="1:20" x14ac:dyDescent="0.2">
      <c r="A43" s="1461"/>
    </row>
    <row r="44" spans="1:20" x14ac:dyDescent="0.2">
      <c r="A44" s="1461"/>
    </row>
    <row r="45" spans="1:20" x14ac:dyDescent="0.2">
      <c r="A45" s="1461"/>
    </row>
    <row r="46" spans="1:20" x14ac:dyDescent="0.2">
      <c r="A46" s="1461"/>
    </row>
    <row r="47" spans="1:20" x14ac:dyDescent="0.2">
      <c r="A47" s="1461"/>
    </row>
    <row r="48" spans="1:20" x14ac:dyDescent="0.2">
      <c r="A48" s="1461"/>
    </row>
    <row r="49" spans="1:8" x14ac:dyDescent="0.2">
      <c r="A49" s="1461"/>
    </row>
    <row r="50" spans="1:8" ht="14.25" x14ac:dyDescent="0.2">
      <c r="A50" s="1461"/>
      <c r="B50" s="204"/>
      <c r="C50" s="204" t="s">
        <v>233</v>
      </c>
      <c r="D50" s="204" t="s">
        <v>279</v>
      </c>
    </row>
    <row r="51" spans="1:8" ht="14.25" x14ac:dyDescent="0.2">
      <c r="A51" s="1461"/>
      <c r="B51" s="161" t="s">
        <v>283</v>
      </c>
      <c r="C51" s="162">
        <f>10/$K$1</f>
        <v>9.9009900990099009</v>
      </c>
      <c r="D51" s="163">
        <f>$C$1*10</f>
        <v>10000</v>
      </c>
    </row>
    <row r="52" spans="1:8" ht="14.25" x14ac:dyDescent="0.2">
      <c r="A52" s="1461"/>
      <c r="B52" s="209" t="s">
        <v>257</v>
      </c>
      <c r="C52" s="210">
        <f>G1</f>
        <v>20.11</v>
      </c>
      <c r="D52" s="211">
        <f>E1</f>
        <v>20110</v>
      </c>
    </row>
    <row r="53" spans="1:8" ht="14.25" x14ac:dyDescent="0.2">
      <c r="A53" s="1461"/>
      <c r="B53" s="209" t="s">
        <v>284</v>
      </c>
      <c r="C53" s="212">
        <f>MIN($C$52, $C$51)</f>
        <v>9.9009900990099009</v>
      </c>
      <c r="D53" s="211">
        <f>(C53*$K$1)*$C$1</f>
        <v>10000</v>
      </c>
    </row>
    <row r="54" spans="1:8" ht="14.25" x14ac:dyDescent="0.2">
      <c r="A54" s="1461"/>
      <c r="B54" s="209" t="s">
        <v>285</v>
      </c>
      <c r="C54" s="212">
        <f>MIN($C$52-C53, $C$51)</f>
        <v>9.9009900990099009</v>
      </c>
      <c r="D54" s="211">
        <f>(C54*$K$1)*$C$1</f>
        <v>10000</v>
      </c>
    </row>
    <row r="55" spans="1:8" ht="14.25" x14ac:dyDescent="0.2">
      <c r="A55" s="1461"/>
      <c r="B55" s="209" t="s">
        <v>286</v>
      </c>
      <c r="C55" s="212">
        <f>MIN($C$52-C53-C54, $C$51)</f>
        <v>0.30801980198019763</v>
      </c>
      <c r="D55" s="211">
        <f>(C55*$K$1)*$C$1</f>
        <v>311.09999999999962</v>
      </c>
    </row>
    <row r="56" spans="1:8" ht="14.25" x14ac:dyDescent="0.2">
      <c r="A56" s="1461"/>
      <c r="B56" s="209" t="s">
        <v>293</v>
      </c>
      <c r="C56" s="212">
        <f>MIN($C$52-C53-C54-C55, $C$51)</f>
        <v>0</v>
      </c>
      <c r="D56" s="211">
        <f>(C56*$K$1)*$C$1</f>
        <v>0</v>
      </c>
    </row>
    <row r="57" spans="1:8" ht="14.25" x14ac:dyDescent="0.2">
      <c r="A57" s="1461"/>
      <c r="B57" s="209" t="s">
        <v>344</v>
      </c>
      <c r="C57" s="212">
        <f>MIN($C$52-C53-C54-C55-C56, $C$51)</f>
        <v>0</v>
      </c>
      <c r="D57" s="211">
        <f>(C57*$K$1)*$C$1</f>
        <v>0</v>
      </c>
    </row>
    <row r="58" spans="1:8" x14ac:dyDescent="0.2">
      <c r="A58" s="1461"/>
    </row>
    <row r="59" spans="1:8" x14ac:dyDescent="0.2">
      <c r="A59" s="1461"/>
    </row>
    <row r="60" spans="1:8" x14ac:dyDescent="0.2">
      <c r="A60" s="1461"/>
    </row>
    <row r="61" spans="1:8" x14ac:dyDescent="0.2">
      <c r="A61" s="1461"/>
    </row>
    <row r="62" spans="1:8" ht="18" customHeight="1" x14ac:dyDescent="0.2">
      <c r="A62" s="1464"/>
      <c r="B62" s="1636" t="s">
        <v>589</v>
      </c>
      <c r="C62" s="1637"/>
      <c r="D62" s="1637"/>
      <c r="E62" s="1637"/>
      <c r="F62" s="1637"/>
      <c r="G62" s="1637"/>
      <c r="H62" s="1637"/>
    </row>
    <row r="63" spans="1:8" ht="14.25" customHeight="1" x14ac:dyDescent="0.2">
      <c r="A63" s="1464"/>
      <c r="B63" s="1634" t="s">
        <v>343</v>
      </c>
      <c r="C63" s="1635"/>
      <c r="D63" s="1635"/>
      <c r="E63" s="1635"/>
      <c r="F63" s="1635"/>
      <c r="G63" s="1635"/>
      <c r="H63" s="1635"/>
    </row>
    <row r="64" spans="1:8" ht="51" customHeight="1" x14ac:dyDescent="0.2">
      <c r="A64" s="1457"/>
      <c r="B64" s="221" t="s">
        <v>241</v>
      </c>
      <c r="C64" s="222" t="s">
        <v>242</v>
      </c>
      <c r="D64" s="223" t="s">
        <v>231</v>
      </c>
      <c r="E64" s="197" t="s">
        <v>234</v>
      </c>
      <c r="F64" s="197" t="s">
        <v>243</v>
      </c>
      <c r="G64" s="223" t="s">
        <v>244</v>
      </c>
      <c r="H64" s="197" t="s">
        <v>245</v>
      </c>
    </row>
    <row r="65" spans="1:8" ht="14.25" x14ac:dyDescent="0.2">
      <c r="A65" s="1460"/>
      <c r="B65" s="299" t="str">
        <f t="shared" ref="B65:D71" si="7">B6</f>
        <v>Potato - بطاطس</v>
      </c>
      <c r="C65" s="106" t="str">
        <f t="shared" si="7"/>
        <v>gm</v>
      </c>
      <c r="D65" s="98">
        <f t="shared" si="7"/>
        <v>1289.945652173913</v>
      </c>
      <c r="E65" s="98">
        <f>$C$52</f>
        <v>20.11</v>
      </c>
      <c r="F65" s="109">
        <f t="shared" ref="F65:F71" si="8">F6</f>
        <v>1</v>
      </c>
      <c r="G65" s="101">
        <f t="shared" ref="G65:G71" si="9">D65*E65</f>
        <v>25940.807065217388</v>
      </c>
      <c r="H65" s="102">
        <f t="shared" ref="H65:H71" si="10">G65*F65</f>
        <v>25940.807065217388</v>
      </c>
    </row>
    <row r="66" spans="1:8" ht="14.25" customHeight="1" x14ac:dyDescent="0.2">
      <c r="A66" s="1460"/>
      <c r="B66" s="299" t="str">
        <f t="shared" si="7"/>
        <v>Ginger - زنجبيل</v>
      </c>
      <c r="C66" s="106" t="str">
        <f t="shared" si="7"/>
        <v>gm</v>
      </c>
      <c r="D66" s="107">
        <f t="shared" si="7"/>
        <v>10</v>
      </c>
      <c r="E66" s="98">
        <f t="shared" ref="E66:E71" si="11">$C$52</f>
        <v>20.11</v>
      </c>
      <c r="F66" s="109">
        <f t="shared" si="8"/>
        <v>1</v>
      </c>
      <c r="G66" s="101">
        <f t="shared" si="9"/>
        <v>201.1</v>
      </c>
      <c r="H66" s="102">
        <f t="shared" si="10"/>
        <v>201.1</v>
      </c>
    </row>
    <row r="67" spans="1:8" ht="14.25" customHeight="1" x14ac:dyDescent="0.2">
      <c r="A67" s="1460"/>
      <c r="B67" s="299" t="str">
        <f t="shared" si="7"/>
        <v>Coriander Leaves - كزبرة خضراء</v>
      </c>
      <c r="C67" s="106" t="str">
        <f t="shared" si="7"/>
        <v>gm</v>
      </c>
      <c r="D67" s="107">
        <f t="shared" si="7"/>
        <v>5</v>
      </c>
      <c r="E67" s="98">
        <f t="shared" si="11"/>
        <v>20.11</v>
      </c>
      <c r="F67" s="109">
        <f t="shared" si="8"/>
        <v>1</v>
      </c>
      <c r="G67" s="101">
        <f t="shared" si="9"/>
        <v>100.55</v>
      </c>
      <c r="H67" s="102">
        <f t="shared" si="10"/>
        <v>100.55</v>
      </c>
    </row>
    <row r="68" spans="1:8" ht="14.25" customHeight="1" x14ac:dyDescent="0.2">
      <c r="A68" s="1460"/>
      <c r="B68" s="299" t="str">
        <f t="shared" si="7"/>
        <v>Butter - زبدة</v>
      </c>
      <c r="C68" s="106" t="str">
        <f t="shared" si="7"/>
        <v>gm</v>
      </c>
      <c r="D68" s="107">
        <f t="shared" si="7"/>
        <v>10</v>
      </c>
      <c r="E68" s="98">
        <f t="shared" si="11"/>
        <v>20.11</v>
      </c>
      <c r="F68" s="109">
        <f t="shared" si="8"/>
        <v>1</v>
      </c>
      <c r="G68" s="101">
        <f t="shared" si="9"/>
        <v>201.1</v>
      </c>
      <c r="H68" s="102">
        <f t="shared" si="10"/>
        <v>201.1</v>
      </c>
    </row>
    <row r="69" spans="1:8" ht="14.25" customHeight="1" x14ac:dyDescent="0.2">
      <c r="A69" s="1460"/>
      <c r="B69" s="299" t="str">
        <f t="shared" si="7"/>
        <v>White Pepper - فلفل أبيض</v>
      </c>
      <c r="C69" s="106" t="str">
        <f t="shared" si="7"/>
        <v>gm</v>
      </c>
      <c r="D69" s="107">
        <f t="shared" si="7"/>
        <v>2</v>
      </c>
      <c r="E69" s="98">
        <f t="shared" si="11"/>
        <v>20.11</v>
      </c>
      <c r="F69" s="109">
        <f t="shared" si="8"/>
        <v>0.75</v>
      </c>
      <c r="G69" s="101">
        <f t="shared" si="9"/>
        <v>40.22</v>
      </c>
      <c r="H69" s="102">
        <f t="shared" si="10"/>
        <v>30.164999999999999</v>
      </c>
    </row>
    <row r="70" spans="1:8" ht="14.25" customHeight="1" x14ac:dyDescent="0.2">
      <c r="A70" s="1460"/>
      <c r="B70" s="299" t="str">
        <f t="shared" si="7"/>
        <v>Salt - ملح</v>
      </c>
      <c r="C70" s="106" t="str">
        <f t="shared" si="7"/>
        <v>gm</v>
      </c>
      <c r="D70" s="107">
        <f t="shared" si="7"/>
        <v>5</v>
      </c>
      <c r="E70" s="98">
        <f t="shared" si="11"/>
        <v>20.11</v>
      </c>
      <c r="F70" s="109">
        <f t="shared" si="8"/>
        <v>0.75</v>
      </c>
      <c r="G70" s="101">
        <f t="shared" si="9"/>
        <v>100.55</v>
      </c>
      <c r="H70" s="102">
        <f t="shared" si="10"/>
        <v>75.412499999999994</v>
      </c>
    </row>
    <row r="71" spans="1:8" ht="14.25" customHeight="1" x14ac:dyDescent="0.2">
      <c r="A71" s="1460"/>
      <c r="B71" s="299" t="str">
        <f t="shared" si="7"/>
        <v>Cumin Powder - كمون مطحون</v>
      </c>
      <c r="C71" s="106" t="str">
        <f t="shared" si="7"/>
        <v>gm</v>
      </c>
      <c r="D71" s="107">
        <f t="shared" si="7"/>
        <v>1</v>
      </c>
      <c r="E71" s="98">
        <f t="shared" si="11"/>
        <v>20.11</v>
      </c>
      <c r="F71" s="109">
        <f t="shared" si="8"/>
        <v>0.75</v>
      </c>
      <c r="G71" s="101">
        <f t="shared" si="9"/>
        <v>20.11</v>
      </c>
      <c r="H71" s="102">
        <f t="shared" si="10"/>
        <v>15.0825</v>
      </c>
    </row>
    <row r="72" spans="1:8" ht="23.25" customHeight="1" x14ac:dyDescent="0.2">
      <c r="A72" s="1461"/>
      <c r="B72" s="178" t="s">
        <v>705</v>
      </c>
      <c r="E72" s="84"/>
      <c r="F72" s="84"/>
    </row>
    <row r="73" spans="1:8" ht="25.5" customHeight="1" x14ac:dyDescent="0.3">
      <c r="A73" s="1461"/>
      <c r="B73" s="179">
        <f>D52</f>
        <v>20110</v>
      </c>
      <c r="C73" s="188"/>
      <c r="D73" s="4"/>
      <c r="E73" s="84"/>
      <c r="F73" s="164"/>
    </row>
    <row r="74" spans="1:8" ht="12.75" customHeight="1" x14ac:dyDescent="0.2">
      <c r="A74" s="1461"/>
      <c r="B74" s="84"/>
      <c r="E74" s="84"/>
      <c r="F74" s="84"/>
    </row>
    <row r="75" spans="1:8" ht="12.75" customHeight="1" x14ac:dyDescent="0.2">
      <c r="A75" s="1461"/>
      <c r="B75" s="84"/>
      <c r="C75" s="84"/>
      <c r="D75" s="84"/>
      <c r="E75" s="84"/>
      <c r="F75" s="84"/>
      <c r="G75" s="84"/>
      <c r="H75" s="84"/>
    </row>
    <row r="76" spans="1:8" ht="18" customHeight="1" x14ac:dyDescent="0.2">
      <c r="A76" s="1462"/>
      <c r="B76" s="1673"/>
      <c r="C76" s="1673"/>
      <c r="D76" s="1673"/>
      <c r="E76" s="1673"/>
      <c r="F76" s="1673"/>
      <c r="G76" s="1673"/>
      <c r="H76" s="1673"/>
    </row>
    <row r="77" spans="1:8" ht="18" customHeight="1" x14ac:dyDescent="0.2">
      <c r="A77" s="1462"/>
      <c r="B77" s="1673"/>
      <c r="C77" s="1673"/>
      <c r="D77" s="1673"/>
      <c r="E77" s="1673"/>
      <c r="F77" s="1673"/>
      <c r="G77" s="1673"/>
      <c r="H77" s="1673"/>
    </row>
    <row r="78" spans="1:8" ht="25.5" customHeight="1" x14ac:dyDescent="0.2">
      <c r="A78" s="1463"/>
      <c r="B78" s="1103"/>
      <c r="C78" s="1104"/>
      <c r="D78" s="1103"/>
      <c r="E78" s="1105"/>
      <c r="F78" s="1105"/>
      <c r="G78" s="1103"/>
      <c r="H78" s="1105"/>
    </row>
    <row r="79" spans="1:8" ht="31.5" customHeight="1" x14ac:dyDescent="0.2">
      <c r="A79" s="1462"/>
      <c r="B79" s="1106"/>
      <c r="C79" s="1106"/>
      <c r="D79" s="1106"/>
      <c r="E79" s="1107"/>
      <c r="F79" s="1108"/>
      <c r="G79" s="1109"/>
      <c r="H79" s="1110"/>
    </row>
    <row r="80" spans="1:8" ht="14.25" customHeight="1" x14ac:dyDescent="0.2">
      <c r="A80" s="1462"/>
      <c r="B80" s="1106"/>
      <c r="C80" s="1106"/>
      <c r="D80" s="1106"/>
      <c r="E80" s="1107"/>
      <c r="F80" s="1108"/>
      <c r="G80" s="1109"/>
      <c r="H80" s="1110"/>
    </row>
    <row r="81" spans="1:8" ht="14.25" customHeight="1" x14ac:dyDescent="0.2">
      <c r="A81" s="1462"/>
      <c r="B81" s="1106"/>
      <c r="C81" s="1106"/>
      <c r="D81" s="1106"/>
      <c r="E81" s="1107"/>
      <c r="F81" s="1108"/>
      <c r="G81" s="1109"/>
      <c r="H81" s="1110"/>
    </row>
    <row r="82" spans="1:8" ht="14.25" customHeight="1" x14ac:dyDescent="0.2">
      <c r="A82" s="1462"/>
      <c r="B82" s="1106"/>
      <c r="C82" s="1106"/>
      <c r="D82" s="1106"/>
      <c r="E82" s="1107"/>
      <c r="F82" s="1108"/>
      <c r="G82" s="1109"/>
      <c r="H82" s="1110"/>
    </row>
    <row r="83" spans="1:8" ht="14.25" customHeight="1" x14ac:dyDescent="0.2">
      <c r="A83" s="1462"/>
      <c r="B83" s="1106"/>
      <c r="C83" s="1106"/>
      <c r="D83" s="1106"/>
      <c r="E83" s="1107"/>
      <c r="F83" s="1108"/>
      <c r="G83" s="1109"/>
      <c r="H83" s="1110"/>
    </row>
    <row r="84" spans="1:8" ht="14.25" customHeight="1" x14ac:dyDescent="0.2">
      <c r="A84" s="1462"/>
      <c r="B84" s="1106"/>
      <c r="C84" s="1106"/>
      <c r="D84" s="1106"/>
      <c r="E84" s="1107"/>
      <c r="F84" s="1108"/>
      <c r="G84" s="1109"/>
      <c r="H84" s="1110"/>
    </row>
    <row r="85" spans="1:8" ht="14.25" customHeight="1" x14ac:dyDescent="0.2">
      <c r="A85" s="1462"/>
      <c r="B85" s="1106"/>
      <c r="C85" s="1106"/>
      <c r="D85" s="1106"/>
      <c r="E85" s="1107"/>
      <c r="F85" s="1108"/>
      <c r="G85" s="1109"/>
      <c r="H85" s="1110"/>
    </row>
    <row r="86" spans="1:8" ht="12.75" customHeight="1" x14ac:dyDescent="0.2">
      <c r="A86" s="1462"/>
      <c r="B86" s="814"/>
      <c r="C86" s="796"/>
      <c r="D86" s="796"/>
      <c r="E86" s="790"/>
      <c r="F86" s="790"/>
      <c r="G86" s="796"/>
      <c r="H86" s="796"/>
    </row>
    <row r="87" spans="1:8" ht="21.75" customHeight="1" x14ac:dyDescent="0.3">
      <c r="A87" s="1462"/>
      <c r="B87" s="815"/>
      <c r="C87" s="819"/>
      <c r="D87" s="1114"/>
      <c r="E87" s="790"/>
      <c r="F87" s="1115"/>
      <c r="G87" s="796"/>
      <c r="H87" s="796"/>
    </row>
    <row r="88" spans="1:8" ht="12.75" customHeight="1" x14ac:dyDescent="0.2">
      <c r="A88" s="1462"/>
      <c r="B88" s="790"/>
      <c r="C88" s="790"/>
      <c r="D88" s="790"/>
      <c r="E88" s="790"/>
      <c r="F88" s="790"/>
      <c r="G88" s="790"/>
      <c r="H88" s="790"/>
    </row>
    <row r="89" spans="1:8" ht="12.75" customHeight="1" x14ac:dyDescent="0.2">
      <c r="A89" s="1462"/>
      <c r="B89" s="790"/>
      <c r="C89" s="790"/>
      <c r="D89" s="790"/>
      <c r="E89" s="790"/>
      <c r="F89" s="790"/>
      <c r="G89" s="790"/>
      <c r="H89" s="790"/>
    </row>
    <row r="90" spans="1:8" ht="18" customHeight="1" x14ac:dyDescent="0.2">
      <c r="A90" s="1462"/>
      <c r="B90" s="1673"/>
      <c r="C90" s="1674"/>
      <c r="D90" s="1674"/>
      <c r="E90" s="1674"/>
      <c r="F90" s="1674"/>
      <c r="G90" s="1674"/>
      <c r="H90" s="1674"/>
    </row>
    <row r="91" spans="1:8" ht="18" customHeight="1" x14ac:dyDescent="0.2">
      <c r="A91" s="1462"/>
      <c r="B91" s="1673"/>
      <c r="C91" s="1674"/>
      <c r="D91" s="1674"/>
      <c r="E91" s="1674"/>
      <c r="F91" s="1674"/>
      <c r="G91" s="1674"/>
      <c r="H91" s="1674"/>
    </row>
    <row r="92" spans="1:8" ht="25.5" customHeight="1" x14ac:dyDescent="0.2">
      <c r="A92" s="1463"/>
      <c r="B92" s="1103"/>
      <c r="C92" s="1104"/>
      <c r="D92" s="1103"/>
      <c r="E92" s="1105"/>
      <c r="F92" s="1105"/>
      <c r="G92" s="1103"/>
      <c r="H92" s="1105"/>
    </row>
    <row r="93" spans="1:8" ht="55.5" customHeight="1" x14ac:dyDescent="0.2">
      <c r="A93" s="1462"/>
      <c r="B93" s="1106"/>
      <c r="C93" s="1106"/>
      <c r="D93" s="1106"/>
      <c r="E93" s="1107"/>
      <c r="F93" s="1108"/>
      <c r="G93" s="1109"/>
      <c r="H93" s="1110"/>
    </row>
    <row r="94" spans="1:8" ht="14.25" customHeight="1" x14ac:dyDescent="0.2">
      <c r="A94" s="1462"/>
      <c r="B94" s="1106"/>
      <c r="C94" s="1106"/>
      <c r="D94" s="1106"/>
      <c r="E94" s="1107"/>
      <c r="F94" s="1108"/>
      <c r="G94" s="1109"/>
      <c r="H94" s="1110"/>
    </row>
    <row r="95" spans="1:8" ht="14.25" customHeight="1" x14ac:dyDescent="0.2">
      <c r="A95" s="1462"/>
      <c r="B95" s="1106"/>
      <c r="C95" s="1106"/>
      <c r="D95" s="1106"/>
      <c r="E95" s="1107"/>
      <c r="F95" s="1108"/>
      <c r="G95" s="1109"/>
      <c r="H95" s="1110"/>
    </row>
    <row r="96" spans="1:8" ht="14.25" customHeight="1" x14ac:dyDescent="0.2">
      <c r="A96" s="1462"/>
      <c r="B96" s="1106"/>
      <c r="C96" s="1106"/>
      <c r="D96" s="1106"/>
      <c r="E96" s="1107"/>
      <c r="F96" s="1108"/>
      <c r="G96" s="1109"/>
      <c r="H96" s="1110"/>
    </row>
    <row r="97" spans="1:8" ht="14.25" customHeight="1" x14ac:dyDescent="0.2">
      <c r="A97" s="1462"/>
      <c r="B97" s="1106"/>
      <c r="C97" s="1106"/>
      <c r="D97" s="1106"/>
      <c r="E97" s="1107"/>
      <c r="F97" s="1108"/>
      <c r="G97" s="1109"/>
      <c r="H97" s="1110"/>
    </row>
    <row r="98" spans="1:8" ht="14.25" customHeight="1" x14ac:dyDescent="0.2">
      <c r="A98" s="1462"/>
      <c r="B98" s="1106"/>
      <c r="C98" s="1106"/>
      <c r="D98" s="1106"/>
      <c r="E98" s="1107"/>
      <c r="F98" s="1108"/>
      <c r="G98" s="1109"/>
      <c r="H98" s="1110"/>
    </row>
    <row r="99" spans="1:8" ht="14.25" customHeight="1" x14ac:dyDescent="0.2">
      <c r="A99" s="1462"/>
      <c r="B99" s="1106"/>
      <c r="C99" s="1106"/>
      <c r="D99" s="1106"/>
      <c r="E99" s="1107"/>
      <c r="F99" s="1108"/>
      <c r="G99" s="1109"/>
      <c r="H99" s="1110"/>
    </row>
    <row r="100" spans="1:8" ht="12.75" customHeight="1" x14ac:dyDescent="0.2">
      <c r="A100" s="1462"/>
      <c r="B100" s="814"/>
      <c r="C100" s="796"/>
      <c r="D100" s="796"/>
      <c r="E100" s="790"/>
      <c r="F100" s="790"/>
      <c r="G100" s="796"/>
      <c r="H100" s="796"/>
    </row>
    <row r="101" spans="1:8" ht="22.5" customHeight="1" x14ac:dyDescent="0.3">
      <c r="A101" s="1462"/>
      <c r="B101" s="815"/>
      <c r="C101" s="819"/>
      <c r="D101" s="1114"/>
      <c r="E101" s="790"/>
      <c r="F101" s="1115"/>
      <c r="G101" s="796"/>
      <c r="H101" s="796"/>
    </row>
    <row r="102" spans="1:8" ht="19.5" customHeight="1" x14ac:dyDescent="0.2">
      <c r="A102" s="1462"/>
      <c r="B102" s="796"/>
      <c r="C102" s="796"/>
      <c r="D102" s="796"/>
      <c r="E102" s="796"/>
      <c r="F102" s="796"/>
      <c r="G102" s="796"/>
      <c r="H102" s="796"/>
    </row>
    <row r="103" spans="1:8" x14ac:dyDescent="0.2">
      <c r="A103" s="1462"/>
      <c r="B103" s="796"/>
      <c r="C103" s="796"/>
      <c r="D103" s="796"/>
      <c r="E103" s="796"/>
      <c r="F103" s="796"/>
      <c r="G103" s="796"/>
      <c r="H103" s="796"/>
    </row>
    <row r="104" spans="1:8" ht="18" customHeight="1" x14ac:dyDescent="0.2">
      <c r="A104" s="1462"/>
      <c r="B104" s="1673"/>
      <c r="C104" s="1674"/>
      <c r="D104" s="1674"/>
      <c r="E104" s="1674"/>
      <c r="F104" s="1674"/>
      <c r="G104" s="1674"/>
      <c r="H104" s="1674"/>
    </row>
    <row r="105" spans="1:8" ht="18" customHeight="1" x14ac:dyDescent="0.2">
      <c r="A105" s="1462"/>
      <c r="B105" s="1673"/>
      <c r="C105" s="1674"/>
      <c r="D105" s="1674"/>
      <c r="E105" s="1674"/>
      <c r="F105" s="1674"/>
      <c r="G105" s="1674"/>
      <c r="H105" s="1674"/>
    </row>
    <row r="106" spans="1:8" ht="25.5" customHeight="1" x14ac:dyDescent="0.2">
      <c r="A106" s="1463"/>
      <c r="B106" s="1103"/>
      <c r="C106" s="1104"/>
      <c r="D106" s="1103"/>
      <c r="E106" s="1105"/>
      <c r="F106" s="1105"/>
      <c r="G106" s="1103"/>
      <c r="H106" s="1105"/>
    </row>
    <row r="107" spans="1:8" ht="35.25" customHeight="1" x14ac:dyDescent="0.2">
      <c r="A107" s="1462"/>
      <c r="B107" s="1106"/>
      <c r="C107" s="1106"/>
      <c r="D107" s="1106"/>
      <c r="E107" s="1107"/>
      <c r="F107" s="1108"/>
      <c r="G107" s="1109"/>
      <c r="H107" s="1110"/>
    </row>
    <row r="108" spans="1:8" ht="14.25" customHeight="1" x14ac:dyDescent="0.2">
      <c r="A108" s="1462"/>
      <c r="B108" s="1106"/>
      <c r="C108" s="1106"/>
      <c r="D108" s="1106"/>
      <c r="E108" s="1107"/>
      <c r="F108" s="1108"/>
      <c r="G108" s="1109"/>
      <c r="H108" s="1110"/>
    </row>
    <row r="109" spans="1:8" ht="14.25" customHeight="1" x14ac:dyDescent="0.2">
      <c r="A109" s="1462"/>
      <c r="B109" s="1106"/>
      <c r="C109" s="1106"/>
      <c r="D109" s="1106"/>
      <c r="E109" s="1107"/>
      <c r="F109" s="1108"/>
      <c r="G109" s="1109"/>
      <c r="H109" s="1110"/>
    </row>
    <row r="110" spans="1:8" ht="14.25" customHeight="1" x14ac:dyDescent="0.2">
      <c r="A110" s="1462"/>
      <c r="B110" s="1106"/>
      <c r="C110" s="1106"/>
      <c r="D110" s="1106"/>
      <c r="E110" s="1107"/>
      <c r="F110" s="1108"/>
      <c r="G110" s="1109"/>
      <c r="H110" s="1110"/>
    </row>
    <row r="111" spans="1:8" ht="14.25" customHeight="1" x14ac:dyDescent="0.2">
      <c r="A111" s="1462"/>
      <c r="B111" s="1106"/>
      <c r="C111" s="1106"/>
      <c r="D111" s="1106"/>
      <c r="E111" s="1107"/>
      <c r="F111" s="1108"/>
      <c r="G111" s="1109"/>
      <c r="H111" s="1110"/>
    </row>
    <row r="112" spans="1:8" ht="14.25" customHeight="1" x14ac:dyDescent="0.2">
      <c r="A112" s="1462"/>
      <c r="B112" s="1106"/>
      <c r="C112" s="1106"/>
      <c r="D112" s="1106"/>
      <c r="E112" s="1107"/>
      <c r="F112" s="1108"/>
      <c r="G112" s="1109"/>
      <c r="H112" s="1110"/>
    </row>
    <row r="113" spans="1:8" ht="14.25" customHeight="1" x14ac:dyDescent="0.2">
      <c r="A113" s="1462"/>
      <c r="B113" s="1106"/>
      <c r="C113" s="1106"/>
      <c r="D113" s="1106"/>
      <c r="E113" s="1107"/>
      <c r="F113" s="1108"/>
      <c r="G113" s="1109"/>
      <c r="H113" s="1110"/>
    </row>
    <row r="114" spans="1:8" ht="12.75" customHeight="1" x14ac:dyDescent="0.2">
      <c r="A114" s="1462"/>
      <c r="B114" s="814"/>
      <c r="C114" s="796"/>
      <c r="D114" s="796"/>
      <c r="E114" s="790"/>
      <c r="F114" s="790"/>
      <c r="G114" s="796"/>
      <c r="H114" s="796"/>
    </row>
    <row r="115" spans="1:8" ht="19.5" customHeight="1" x14ac:dyDescent="0.3">
      <c r="A115" s="1462"/>
      <c r="B115" s="815"/>
      <c r="C115" s="819"/>
      <c r="D115" s="1114"/>
      <c r="E115" s="790"/>
      <c r="F115" s="1115"/>
      <c r="G115" s="796"/>
      <c r="H115" s="796"/>
    </row>
    <row r="116" spans="1:8" x14ac:dyDescent="0.2">
      <c r="A116" s="1462"/>
      <c r="B116" s="796"/>
      <c r="C116" s="796"/>
      <c r="D116" s="796"/>
      <c r="E116" s="796"/>
      <c r="F116" s="796"/>
      <c r="G116" s="796"/>
      <c r="H116" s="796"/>
    </row>
    <row r="117" spans="1:8" ht="18" customHeight="1" x14ac:dyDescent="0.2">
      <c r="A117" s="1462"/>
      <c r="B117" s="1673"/>
      <c r="C117" s="1674"/>
      <c r="D117" s="1674"/>
      <c r="E117" s="1674"/>
      <c r="F117" s="1674"/>
      <c r="G117" s="1674"/>
      <c r="H117" s="1674"/>
    </row>
    <row r="118" spans="1:8" ht="18" customHeight="1" x14ac:dyDescent="0.2">
      <c r="A118" s="1462"/>
      <c r="B118" s="1673"/>
      <c r="C118" s="1674"/>
      <c r="D118" s="1674"/>
      <c r="E118" s="1674"/>
      <c r="F118" s="1674"/>
      <c r="G118" s="1674"/>
      <c r="H118" s="1674"/>
    </row>
    <row r="119" spans="1:8" ht="25.5" customHeight="1" x14ac:dyDescent="0.2">
      <c r="A119" s="1463"/>
      <c r="B119" s="1103"/>
      <c r="C119" s="1104"/>
      <c r="D119" s="1103"/>
      <c r="E119" s="1105"/>
      <c r="F119" s="1105"/>
      <c r="G119" s="1103"/>
      <c r="H119" s="1105"/>
    </row>
    <row r="120" spans="1:8" ht="43.5" customHeight="1" x14ac:dyDescent="0.2">
      <c r="A120" s="1462"/>
      <c r="B120" s="1106"/>
      <c r="C120" s="1106"/>
      <c r="D120" s="1106"/>
      <c r="E120" s="1107"/>
      <c r="F120" s="1108"/>
      <c r="G120" s="1109"/>
      <c r="H120" s="1110"/>
    </row>
    <row r="121" spans="1:8" ht="14.25" customHeight="1" x14ac:dyDescent="0.2">
      <c r="A121" s="1462"/>
      <c r="B121" s="1106"/>
      <c r="C121" s="1106"/>
      <c r="D121" s="1106"/>
      <c r="E121" s="1107"/>
      <c r="F121" s="1108"/>
      <c r="G121" s="1109"/>
      <c r="H121" s="1110"/>
    </row>
    <row r="122" spans="1:8" ht="14.25" customHeight="1" x14ac:dyDescent="0.2">
      <c r="A122" s="1462"/>
      <c r="B122" s="1106"/>
      <c r="C122" s="1106"/>
      <c r="D122" s="1106"/>
      <c r="E122" s="1107"/>
      <c r="F122" s="1108"/>
      <c r="G122" s="1109"/>
      <c r="H122" s="1110"/>
    </row>
    <row r="123" spans="1:8" ht="14.25" customHeight="1" x14ac:dyDescent="0.2">
      <c r="A123" s="1462"/>
      <c r="B123" s="1106"/>
      <c r="C123" s="1106"/>
      <c r="D123" s="1106"/>
      <c r="E123" s="1107"/>
      <c r="F123" s="1108"/>
      <c r="G123" s="1109"/>
      <c r="H123" s="1110"/>
    </row>
    <row r="124" spans="1:8" ht="14.25" customHeight="1" x14ac:dyDescent="0.2">
      <c r="A124" s="1462"/>
      <c r="B124" s="1106"/>
      <c r="C124" s="1106"/>
      <c r="D124" s="1106"/>
      <c r="E124" s="1107"/>
      <c r="F124" s="1108"/>
      <c r="G124" s="1109"/>
      <c r="H124" s="1110"/>
    </row>
    <row r="125" spans="1:8" ht="14.25" customHeight="1" x14ac:dyDescent="0.2">
      <c r="A125" s="1462"/>
      <c r="B125" s="1106"/>
      <c r="C125" s="1106"/>
      <c r="D125" s="1106"/>
      <c r="E125" s="1107"/>
      <c r="F125" s="1108"/>
      <c r="G125" s="1109"/>
      <c r="H125" s="1110"/>
    </row>
    <row r="126" spans="1:8" ht="14.25" customHeight="1" x14ac:dyDescent="0.2">
      <c r="A126" s="1462"/>
      <c r="B126" s="1106"/>
      <c r="C126" s="1106"/>
      <c r="D126" s="1106"/>
      <c r="E126" s="1107"/>
      <c r="F126" s="1108"/>
      <c r="G126" s="1109"/>
      <c r="H126" s="1110"/>
    </row>
    <row r="127" spans="1:8" ht="15.75" x14ac:dyDescent="0.2">
      <c r="A127" s="1462"/>
      <c r="B127" s="814"/>
      <c r="C127" s="796"/>
      <c r="D127" s="796"/>
      <c r="E127" s="796"/>
      <c r="F127" s="796"/>
      <c r="G127" s="796"/>
      <c r="H127" s="796"/>
    </row>
    <row r="128" spans="1:8" ht="20.25" x14ac:dyDescent="0.3">
      <c r="A128" s="1462"/>
      <c r="B128" s="815"/>
      <c r="C128" s="796"/>
      <c r="D128" s="796"/>
      <c r="E128" s="796"/>
      <c r="F128" s="796"/>
      <c r="G128" s="796"/>
      <c r="H128" s="796"/>
    </row>
    <row r="129" spans="1:1" x14ac:dyDescent="0.2">
      <c r="A129" s="1461"/>
    </row>
    <row r="130" spans="1:1" x14ac:dyDescent="0.2">
      <c r="A130" s="1461"/>
    </row>
    <row r="131" spans="1:1" x14ac:dyDescent="0.2">
      <c r="A131" s="1461"/>
    </row>
    <row r="132" spans="1:1" x14ac:dyDescent="0.2">
      <c r="A132" s="1461"/>
    </row>
    <row r="133" spans="1:1" x14ac:dyDescent="0.2">
      <c r="A133" s="1461"/>
    </row>
    <row r="134" spans="1:1" x14ac:dyDescent="0.2">
      <c r="A134" s="1461"/>
    </row>
    <row r="135" spans="1:1" x14ac:dyDescent="0.2">
      <c r="A135" s="1461"/>
    </row>
    <row r="136" spans="1:1" x14ac:dyDescent="0.2">
      <c r="A136" s="1461"/>
    </row>
    <row r="137" spans="1:1" x14ac:dyDescent="0.2">
      <c r="A137" s="1461"/>
    </row>
    <row r="138" spans="1:1" x14ac:dyDescent="0.2">
      <c r="A138" s="1461"/>
    </row>
    <row r="139" spans="1:1" x14ac:dyDescent="0.2">
      <c r="A139" s="1461"/>
    </row>
    <row r="140" spans="1:1" x14ac:dyDescent="0.2">
      <c r="A140" s="1461"/>
    </row>
    <row r="141" spans="1:1" x14ac:dyDescent="0.2">
      <c r="A141" s="1461"/>
    </row>
    <row r="142" spans="1:1" x14ac:dyDescent="0.2">
      <c r="A142" s="1461"/>
    </row>
    <row r="143" spans="1:1" x14ac:dyDescent="0.2">
      <c r="A143" s="1461"/>
    </row>
    <row r="144" spans="1:1"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13">
    <mergeCell ref="AE2:AG3"/>
    <mergeCell ref="B118:H118"/>
    <mergeCell ref="B90:H90"/>
    <mergeCell ref="B105:H105"/>
    <mergeCell ref="B77:H77"/>
    <mergeCell ref="B91:H91"/>
    <mergeCell ref="B62:H62"/>
    <mergeCell ref="B117:H117"/>
    <mergeCell ref="B2:H3"/>
    <mergeCell ref="B104:H104"/>
    <mergeCell ref="R25:T25"/>
    <mergeCell ref="B76:H76"/>
    <mergeCell ref="B63:H63"/>
  </mergeCells>
  <printOptions horizontalCentered="1"/>
  <pageMargins left="0.5" right="0.5" top="1" bottom="0.5" header="0.3" footer="0.511811023622047"/>
  <pageSetup paperSize="9" scale="34"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tabColor rgb="FFFFFF00"/>
    <pageSetUpPr fitToPage="1"/>
  </sheetPr>
  <dimension ref="A1:AG174"/>
  <sheetViews>
    <sheetView zoomScale="55" zoomScaleNormal="55" workbookViewId="0">
      <selection activeCell="B75" sqref="B75:B76"/>
    </sheetView>
  </sheetViews>
  <sheetFormatPr defaultColWidth="12.5" defaultRowHeight="12.75" x14ac:dyDescent="0.2"/>
  <cols>
    <col min="1" max="1" width="12.5" style="14" customWidth="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9" width="12.5" style="14" customWidth="1"/>
    <col min="10" max="10" width="9.625" style="14" customWidth="1"/>
    <col min="11" max="11" width="9" style="14" customWidth="1"/>
    <col min="12" max="12" width="8.375" style="14" customWidth="1"/>
    <col min="13" max="17" width="6.875" style="14" customWidth="1"/>
    <col min="18" max="16384" width="12.5" style="14"/>
  </cols>
  <sheetData>
    <row r="1" spans="1:33" ht="28.5" customHeight="1" x14ac:dyDescent="0.2">
      <c r="B1" s="64" t="s">
        <v>231</v>
      </c>
      <c r="C1" s="65">
        <v>1000</v>
      </c>
      <c r="D1" s="66" t="s">
        <v>232</v>
      </c>
      <c r="E1" s="99">
        <f>S30</f>
        <v>10500</v>
      </c>
      <c r="F1" s="64" t="s">
        <v>233</v>
      </c>
      <c r="G1" s="99">
        <f>E1/C1</f>
        <v>10.5</v>
      </c>
      <c r="H1" s="64" t="s">
        <v>234</v>
      </c>
      <c r="I1" s="99">
        <f>G1/K1</f>
        <v>10.5</v>
      </c>
      <c r="J1" s="302" t="s">
        <v>235</v>
      </c>
      <c r="K1" s="303">
        <v>1</v>
      </c>
      <c r="L1" s="84"/>
      <c r="M1" s="84" t="s">
        <v>340</v>
      </c>
      <c r="N1" s="84"/>
      <c r="O1" s="84"/>
      <c r="P1" s="84"/>
      <c r="Q1" s="84"/>
      <c r="R1" s="84"/>
      <c r="S1" s="84"/>
      <c r="T1" s="84"/>
      <c r="U1" s="84"/>
      <c r="V1" s="84"/>
      <c r="Y1" s="75" t="s">
        <v>453</v>
      </c>
      <c r="Z1" s="766">
        <v>10500</v>
      </c>
      <c r="AA1" s="75" t="s">
        <v>556</v>
      </c>
      <c r="AB1" s="766">
        <v>0</v>
      </c>
      <c r="AC1" s="75" t="s">
        <v>546</v>
      </c>
      <c r="AD1" s="766">
        <v>70</v>
      </c>
    </row>
    <row r="2" spans="1:33" ht="12.75" customHeight="1" x14ac:dyDescent="0.2">
      <c r="A2" s="306"/>
      <c r="B2" s="1632" t="s">
        <v>341</v>
      </c>
      <c r="C2" s="1661"/>
      <c r="D2" s="1661"/>
      <c r="E2" s="1661"/>
      <c r="F2" s="1661"/>
      <c r="G2" s="1661"/>
      <c r="H2" s="1661"/>
      <c r="I2" s="84"/>
      <c r="J2" s="84"/>
      <c r="K2" s="84"/>
      <c r="L2" s="84"/>
      <c r="M2" s="84"/>
      <c r="N2" s="84"/>
      <c r="O2" s="84"/>
      <c r="P2" s="84"/>
      <c r="Q2" s="84"/>
      <c r="R2" s="84"/>
      <c r="S2" s="84"/>
      <c r="T2" s="84"/>
      <c r="U2" s="84"/>
      <c r="AE2" s="1647"/>
      <c r="AF2" s="1655"/>
      <c r="AG2" s="1655"/>
    </row>
    <row r="3" spans="1:33" ht="12.75" customHeight="1" x14ac:dyDescent="0.2">
      <c r="A3" s="306"/>
      <c r="B3" s="1633"/>
      <c r="C3" s="1633"/>
      <c r="D3" s="1633"/>
      <c r="E3" s="1633"/>
      <c r="F3" s="1633"/>
      <c r="G3" s="1633"/>
      <c r="H3" s="1633"/>
      <c r="I3" s="84"/>
      <c r="J3" s="84"/>
      <c r="K3" s="84"/>
      <c r="L3" s="84"/>
      <c r="M3" s="84"/>
      <c r="N3" s="84"/>
      <c r="O3" s="84"/>
      <c r="P3" s="84"/>
      <c r="Q3" s="84"/>
      <c r="R3" s="84"/>
      <c r="S3" s="84"/>
      <c r="T3" s="84"/>
      <c r="U3" s="84"/>
      <c r="AE3" s="1655"/>
      <c r="AF3" s="1655"/>
      <c r="AG3" s="1655"/>
    </row>
    <row r="4" spans="1:33"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N4" s="84"/>
      <c r="O4" s="84"/>
      <c r="P4" s="84"/>
      <c r="Q4" s="84"/>
      <c r="R4" s="84"/>
      <c r="S4" s="84"/>
      <c r="T4" s="84"/>
      <c r="U4" s="84"/>
    </row>
    <row r="5" spans="1:33" ht="14.25" customHeight="1" x14ac:dyDescent="0.2">
      <c r="A5" s="1459"/>
      <c r="B5" s="586"/>
      <c r="C5" s="587"/>
      <c r="D5" s="198"/>
      <c r="E5" s="588"/>
      <c r="F5" s="198"/>
      <c r="G5" s="198"/>
      <c r="H5" s="587"/>
      <c r="I5" s="65"/>
      <c r="J5" s="101"/>
      <c r="K5" s="104"/>
      <c r="L5" s="104"/>
    </row>
    <row r="6" spans="1:33" ht="14.25" customHeight="1" x14ac:dyDescent="0.2">
      <c r="A6" s="1460"/>
      <c r="B6" s="20" t="s">
        <v>19</v>
      </c>
      <c r="C6" s="106" t="s">
        <v>14</v>
      </c>
      <c r="D6" s="988">
        <v>450</v>
      </c>
      <c r="E6" s="98">
        <f t="shared" ref="E6:E14" si="0">$I$1</f>
        <v>10.5</v>
      </c>
      <c r="F6" s="109">
        <v>1</v>
      </c>
      <c r="G6" s="101">
        <f t="shared" ref="G6:G14" si="1">D6*E6</f>
        <v>4725</v>
      </c>
      <c r="H6" s="102">
        <f t="shared" ref="H6:H14" si="2">G6*F6</f>
        <v>4725</v>
      </c>
      <c r="I6" s="65">
        <f>VLOOKUP(B6,All_Ingredients!$A$1:$F$156,6,FALSE())</f>
        <v>0.8</v>
      </c>
      <c r="J6" s="101">
        <f>VLOOKUP(B6,All_Ingredients!$A$1:$J$156,10,FALSE())</f>
        <v>2.6</v>
      </c>
      <c r="K6" s="104">
        <f t="shared" ref="K6:K14" si="3">(H6/I6)/1000</f>
        <v>5.90625</v>
      </c>
      <c r="L6" s="104">
        <f t="shared" ref="L6:L14" si="4">K6*J6</f>
        <v>15.356250000000001</v>
      </c>
    </row>
    <row r="7" spans="1:33" ht="14.25" customHeight="1" x14ac:dyDescent="0.2">
      <c r="A7" s="1460"/>
      <c r="B7" s="20" t="s">
        <v>47</v>
      </c>
      <c r="C7" s="106" t="s">
        <v>14</v>
      </c>
      <c r="D7" s="988">
        <v>450</v>
      </c>
      <c r="E7" s="98">
        <f t="shared" si="0"/>
        <v>10.5</v>
      </c>
      <c r="F7" s="109">
        <v>1</v>
      </c>
      <c r="G7" s="101">
        <f t="shared" si="1"/>
        <v>4725</v>
      </c>
      <c r="H7" s="102">
        <f t="shared" si="2"/>
        <v>4725</v>
      </c>
      <c r="I7" s="65">
        <f>VLOOKUP(B7,All_Ingredients!$A$1:$F$156,6,FALSE())</f>
        <v>0.78</v>
      </c>
      <c r="J7" s="101">
        <f>VLOOKUP(B7,All_Ingredients!$A$1:$J$156,10,FALSE())</f>
        <v>3.7</v>
      </c>
      <c r="K7" s="104">
        <f t="shared" si="3"/>
        <v>6.0576923076923075</v>
      </c>
      <c r="L7" s="104">
        <f t="shared" si="4"/>
        <v>22.41346153846154</v>
      </c>
    </row>
    <row r="8" spans="1:33" ht="14.25" customHeight="1" x14ac:dyDescent="0.2">
      <c r="A8" s="1460"/>
      <c r="B8" s="20" t="s">
        <v>28</v>
      </c>
      <c r="C8" s="106" t="s">
        <v>14</v>
      </c>
      <c r="D8" s="988">
        <v>80</v>
      </c>
      <c r="E8" s="98">
        <f t="shared" si="0"/>
        <v>10.5</v>
      </c>
      <c r="F8" s="109">
        <v>1</v>
      </c>
      <c r="G8" s="101">
        <f t="shared" si="1"/>
        <v>840</v>
      </c>
      <c r="H8" s="102">
        <f t="shared" si="2"/>
        <v>840</v>
      </c>
      <c r="I8" s="65">
        <f>VLOOKUP(B8,All_Ingredients!$A$1:$F$156,6,FALSE())</f>
        <v>0.73</v>
      </c>
      <c r="J8" s="101">
        <f>VLOOKUP(B8,All_Ingredients!$A$1:$J$156,10,FALSE())</f>
        <v>8.5</v>
      </c>
      <c r="K8" s="104">
        <f t="shared" si="3"/>
        <v>1.1506849315068493</v>
      </c>
      <c r="L8" s="104">
        <f t="shared" si="4"/>
        <v>9.7808219178082183</v>
      </c>
    </row>
    <row r="9" spans="1:33" ht="14.25" customHeight="1" x14ac:dyDescent="0.2">
      <c r="A9" s="1460"/>
      <c r="B9" s="20" t="s">
        <v>30</v>
      </c>
      <c r="C9" s="106" t="s">
        <v>14</v>
      </c>
      <c r="D9" s="988">
        <v>80</v>
      </c>
      <c r="E9" s="98">
        <f t="shared" si="0"/>
        <v>10.5</v>
      </c>
      <c r="F9" s="109">
        <v>1</v>
      </c>
      <c r="G9" s="101">
        <f t="shared" si="1"/>
        <v>840</v>
      </c>
      <c r="H9" s="102">
        <f t="shared" si="2"/>
        <v>840</v>
      </c>
      <c r="I9" s="65">
        <f>VLOOKUP(B9,All_Ingredients!$A$1:$F$156,6,FALSE())</f>
        <v>0.71</v>
      </c>
      <c r="J9" s="101">
        <f>VLOOKUP(B9,All_Ingredients!$A$1:$J$156,10,FALSE())</f>
        <v>8.5</v>
      </c>
      <c r="K9" s="104">
        <f t="shared" si="3"/>
        <v>1.1830985915492958</v>
      </c>
      <c r="L9" s="104">
        <f t="shared" si="4"/>
        <v>10.056338028169014</v>
      </c>
    </row>
    <row r="10" spans="1:33" ht="14.25" customHeight="1" x14ac:dyDescent="0.2">
      <c r="A10" s="1460"/>
      <c r="B10" s="20" t="s">
        <v>32</v>
      </c>
      <c r="C10" s="106" t="s">
        <v>14</v>
      </c>
      <c r="D10" s="988">
        <v>80</v>
      </c>
      <c r="E10" s="98">
        <f t="shared" si="0"/>
        <v>10.5</v>
      </c>
      <c r="F10" s="109">
        <v>1</v>
      </c>
      <c r="G10" s="101">
        <f t="shared" si="1"/>
        <v>840</v>
      </c>
      <c r="H10" s="102">
        <f t="shared" si="2"/>
        <v>840</v>
      </c>
      <c r="I10" s="65">
        <f>VLOOKUP(B10,All_Ingredients!$A$1:$F$156,6,FALSE())</f>
        <v>0.69</v>
      </c>
      <c r="J10" s="101">
        <f>VLOOKUP(B10,All_Ingredients!$A$1:$J$156,10,FALSE())</f>
        <v>4</v>
      </c>
      <c r="K10" s="104">
        <f t="shared" si="3"/>
        <v>1.2173913043478262</v>
      </c>
      <c r="L10" s="104">
        <f t="shared" si="4"/>
        <v>4.8695652173913047</v>
      </c>
      <c r="O10" s="14" t="s">
        <v>769</v>
      </c>
      <c r="P10" s="14" t="s">
        <v>767</v>
      </c>
      <c r="Q10" s="14" t="s">
        <v>768</v>
      </c>
      <c r="R10" s="14" t="s">
        <v>792</v>
      </c>
      <c r="S10" s="14" t="s">
        <v>793</v>
      </c>
    </row>
    <row r="11" spans="1:33" ht="14.25" customHeight="1" x14ac:dyDescent="0.2">
      <c r="A11" s="1460"/>
      <c r="B11" s="20" t="s">
        <v>50</v>
      </c>
      <c r="C11" s="106" t="s">
        <v>14</v>
      </c>
      <c r="D11" s="988">
        <v>80</v>
      </c>
      <c r="E11" s="98">
        <f t="shared" si="0"/>
        <v>10.5</v>
      </c>
      <c r="F11" s="109">
        <v>1</v>
      </c>
      <c r="G11" s="101">
        <f t="shared" si="1"/>
        <v>840</v>
      </c>
      <c r="H11" s="102">
        <f t="shared" si="2"/>
        <v>840</v>
      </c>
      <c r="I11" s="65">
        <f>VLOOKUP(B11,All_Ingredients!$A$1:$F$156,6,FALSE())</f>
        <v>0.75</v>
      </c>
      <c r="J11" s="101">
        <f>VLOOKUP(B11,All_Ingredients!$A$1:$J$156,10,FALSE())</f>
        <v>20</v>
      </c>
      <c r="K11" s="104">
        <f t="shared" si="3"/>
        <v>1.1200000000000001</v>
      </c>
      <c r="L11" s="104">
        <f t="shared" si="4"/>
        <v>22.400000000000002</v>
      </c>
      <c r="O11" s="14">
        <v>1100</v>
      </c>
      <c r="P11" s="14">
        <v>4800</v>
      </c>
      <c r="Q11" s="14">
        <v>4500</v>
      </c>
      <c r="R11" s="14">
        <v>2700</v>
      </c>
      <c r="S11" s="14">
        <v>1000</v>
      </c>
    </row>
    <row r="12" spans="1:33" ht="14.25" customHeight="1" x14ac:dyDescent="0.2">
      <c r="A12" s="1460"/>
      <c r="B12" s="20" t="s">
        <v>525</v>
      </c>
      <c r="C12" s="106" t="s">
        <v>14</v>
      </c>
      <c r="D12" s="988">
        <v>80</v>
      </c>
      <c r="E12" s="98">
        <f t="shared" si="0"/>
        <v>10.5</v>
      </c>
      <c r="F12" s="109">
        <v>1</v>
      </c>
      <c r="G12" s="101">
        <f t="shared" si="1"/>
        <v>840</v>
      </c>
      <c r="H12" s="102">
        <f t="shared" si="2"/>
        <v>840</v>
      </c>
      <c r="I12" s="65">
        <f>VLOOKUP(B12,All_Ingredients!$A$1:$F$156,6,FALSE())</f>
        <v>1</v>
      </c>
      <c r="J12" s="101">
        <f>VLOOKUP(B12,All_Ingredients!$A$1:$J$156,10,FALSE())</f>
        <v>10.196078431372548</v>
      </c>
      <c r="K12" s="104">
        <f t="shared" si="3"/>
        <v>0.84</v>
      </c>
      <c r="L12" s="104">
        <f t="shared" si="4"/>
        <v>8.5647058823529409</v>
      </c>
      <c r="O12" s="14">
        <v>800</v>
      </c>
      <c r="P12" s="14">
        <v>4200</v>
      </c>
      <c r="Q12" s="14">
        <v>4500</v>
      </c>
      <c r="R12" s="14">
        <v>2600</v>
      </c>
      <c r="S12" s="14">
        <v>700</v>
      </c>
    </row>
    <row r="13" spans="1:33" ht="14.25" customHeight="1" x14ac:dyDescent="0.2">
      <c r="A13" s="1460"/>
      <c r="B13" s="299" t="s">
        <v>93</v>
      </c>
      <c r="C13" s="106" t="s">
        <v>14</v>
      </c>
      <c r="D13" s="98">
        <v>4</v>
      </c>
      <c r="E13" s="98">
        <f t="shared" si="0"/>
        <v>10.5</v>
      </c>
      <c r="F13" s="109">
        <v>0.75</v>
      </c>
      <c r="G13" s="101">
        <f t="shared" si="1"/>
        <v>42</v>
      </c>
      <c r="H13" s="102">
        <f t="shared" si="2"/>
        <v>31.5</v>
      </c>
      <c r="I13" s="65">
        <f>VLOOKUP(B13,All_Ingredients!$A$1:$F$156,6,FALSE())</f>
        <v>1</v>
      </c>
      <c r="J13" s="101">
        <f>VLOOKUP(B13,All_Ingredients!$A$1:$J$156,10,FALSE())</f>
        <v>0.74</v>
      </c>
      <c r="K13" s="104">
        <f t="shared" si="3"/>
        <v>3.15E-2</v>
      </c>
      <c r="L13" s="104">
        <f t="shared" si="4"/>
        <v>2.3310000000000001E-2</v>
      </c>
      <c r="O13" s="14">
        <f>O11+O12</f>
        <v>1900</v>
      </c>
      <c r="P13" s="14">
        <f t="shared" ref="P13:S13" si="5">P11+P12</f>
        <v>9000</v>
      </c>
      <c r="Q13" s="14">
        <f t="shared" si="5"/>
        <v>9000</v>
      </c>
      <c r="R13" s="14">
        <f t="shared" si="5"/>
        <v>5300</v>
      </c>
      <c r="S13" s="14">
        <f t="shared" si="5"/>
        <v>1700</v>
      </c>
      <c r="T13" s="14">
        <f>SUM(O13:S13)</f>
        <v>26900</v>
      </c>
    </row>
    <row r="14" spans="1:33" ht="14.25" customHeight="1" x14ac:dyDescent="0.2">
      <c r="A14" s="1460"/>
      <c r="B14" s="299" t="s">
        <v>99</v>
      </c>
      <c r="C14" s="106" t="s">
        <v>14</v>
      </c>
      <c r="D14" s="177">
        <v>0.5</v>
      </c>
      <c r="E14" s="98">
        <f t="shared" si="0"/>
        <v>10.5</v>
      </c>
      <c r="F14" s="109">
        <v>1</v>
      </c>
      <c r="G14" s="101">
        <f t="shared" si="1"/>
        <v>5.25</v>
      </c>
      <c r="H14" s="102">
        <f t="shared" si="2"/>
        <v>5.25</v>
      </c>
      <c r="I14" s="65">
        <f>VLOOKUP(B14,All_Ingredients!$A$1:$F$156,6,FALSE())</f>
        <v>1</v>
      </c>
      <c r="J14" s="101">
        <f>VLOOKUP(B14,All_Ingredients!$A$1:$J$156,10,FALSE())</f>
        <v>31</v>
      </c>
      <c r="K14" s="104">
        <f t="shared" si="3"/>
        <v>5.2500000000000003E-3</v>
      </c>
      <c r="L14" s="104">
        <f t="shared" si="4"/>
        <v>0.16275000000000001</v>
      </c>
    </row>
    <row r="15" spans="1:33" ht="14.25" customHeight="1" x14ac:dyDescent="0.2">
      <c r="A15" s="1461"/>
      <c r="B15" s="332"/>
      <c r="C15" s="333"/>
      <c r="D15" s="335"/>
      <c r="E15" s="335"/>
      <c r="F15" s="336"/>
      <c r="G15" s="337"/>
      <c r="H15" s="338"/>
    </row>
    <row r="16" spans="1:33" ht="14.25" customHeight="1" x14ac:dyDescent="0.2">
      <c r="A16" s="1461"/>
      <c r="E16" s="203"/>
      <c r="F16" s="117"/>
      <c r="G16" s="121"/>
      <c r="H16" s="119"/>
      <c r="P16" s="14">
        <v>12000</v>
      </c>
      <c r="R16" s="14">
        <v>22300</v>
      </c>
      <c r="S16" s="14">
        <f>R16/T13</f>
        <v>0.82899628252788105</v>
      </c>
    </row>
    <row r="17" spans="1:29" ht="14.25" customHeight="1" x14ac:dyDescent="0.2">
      <c r="A17" s="1461"/>
      <c r="E17" s="84"/>
      <c r="F17" s="84"/>
      <c r="P17" s="14">
        <v>10300</v>
      </c>
    </row>
    <row r="18" spans="1:29" ht="14.25" customHeight="1" x14ac:dyDescent="0.2">
      <c r="A18" s="1461"/>
      <c r="E18" s="84"/>
      <c r="F18" s="84"/>
    </row>
    <row r="19" spans="1:29" ht="14.25" customHeight="1" x14ac:dyDescent="0.2">
      <c r="A19" s="1461"/>
      <c r="E19" s="84"/>
      <c r="F19" s="84"/>
    </row>
    <row r="20" spans="1:29" ht="14.25" customHeight="1" x14ac:dyDescent="0.2">
      <c r="A20" s="1461"/>
      <c r="E20" s="84"/>
      <c r="F20" s="84"/>
    </row>
    <row r="21" spans="1:29" ht="14.25" customHeight="1" x14ac:dyDescent="0.2">
      <c r="A21" s="1461"/>
      <c r="E21" s="84"/>
      <c r="F21" s="84"/>
    </row>
    <row r="22" spans="1:29" ht="14.25" customHeight="1" x14ac:dyDescent="0.25">
      <c r="A22" s="1461"/>
      <c r="B22" s="11"/>
      <c r="C22" s="312"/>
      <c r="D22" s="313"/>
      <c r="E22" s="84"/>
      <c r="F22" s="84"/>
      <c r="M22" s="1"/>
      <c r="N22"/>
      <c r="O22"/>
    </row>
    <row r="23" spans="1:29" ht="14.25" customHeight="1" x14ac:dyDescent="0.2">
      <c r="A23" s="1461"/>
      <c r="B23" s="11"/>
      <c r="C23" s="312"/>
      <c r="D23" s="313"/>
      <c r="E23" s="84"/>
      <c r="F23" s="84"/>
      <c r="M23" s="160"/>
      <c r="N23" s="458"/>
      <c r="O23"/>
    </row>
    <row r="24" spans="1:29" ht="14.25" customHeight="1" x14ac:dyDescent="0.2">
      <c r="A24" s="1461"/>
      <c r="B24" s="11"/>
      <c r="C24" s="312"/>
      <c r="D24" s="313"/>
      <c r="E24" s="84"/>
      <c r="F24" s="84"/>
      <c r="Z24" s="1073"/>
    </row>
    <row r="25" spans="1:29" ht="14.25" customHeight="1" x14ac:dyDescent="0.2">
      <c r="A25" s="1461"/>
      <c r="B25" s="11"/>
      <c r="C25" s="312"/>
      <c r="D25" s="313"/>
      <c r="E25" s="84"/>
      <c r="F25" s="84"/>
      <c r="R25" s="1662" t="s">
        <v>342</v>
      </c>
      <c r="S25" s="1633"/>
      <c r="T25" s="1633"/>
      <c r="Z25" s="122" t="s">
        <v>14</v>
      </c>
      <c r="AA25" s="123">
        <v>1</v>
      </c>
      <c r="AB25" s="122" t="s">
        <v>249</v>
      </c>
      <c r="AC25" s="124">
        <f>(S34/S30)*AA25</f>
        <v>8.9168764365888595E-3</v>
      </c>
    </row>
    <row r="26" spans="1:29" ht="14.25" customHeight="1" x14ac:dyDescent="0.2">
      <c r="A26" s="1461"/>
      <c r="B26" s="11"/>
      <c r="C26" s="312"/>
      <c r="D26" s="313"/>
      <c r="E26" s="84"/>
      <c r="F26" s="84"/>
      <c r="R26" s="1672" t="s">
        <v>338</v>
      </c>
      <c r="S26" s="1639"/>
      <c r="T26" s="1639"/>
    </row>
    <row r="27" spans="1:29" ht="14.25" customHeight="1" x14ac:dyDescent="0.2">
      <c r="A27" s="1461"/>
      <c r="B27" s="11"/>
      <c r="C27" s="312"/>
      <c r="D27" s="313"/>
      <c r="E27" s="84"/>
      <c r="F27" s="84"/>
      <c r="R27" s="126" t="s">
        <v>254</v>
      </c>
      <c r="S27" s="126" t="s">
        <v>339</v>
      </c>
      <c r="T27" s="126" t="s">
        <v>257</v>
      </c>
    </row>
    <row r="28" spans="1:29" ht="14.25" customHeight="1" x14ac:dyDescent="0.2">
      <c r="A28" s="1461"/>
      <c r="B28" s="11"/>
      <c r="C28" s="312"/>
      <c r="D28" s="313"/>
      <c r="E28" s="84"/>
      <c r="F28" s="84"/>
      <c r="R28" s="126" t="s">
        <v>263</v>
      </c>
      <c r="S28" s="722">
        <f>T28</f>
        <v>10500</v>
      </c>
      <c r="T28" s="720">
        <f>Z1</f>
        <v>10500</v>
      </c>
    </row>
    <row r="29" spans="1:29" ht="14.25" customHeight="1" x14ac:dyDescent="0.2">
      <c r="A29" s="1461"/>
      <c r="B29" s="11"/>
      <c r="C29" s="312"/>
      <c r="D29" s="313"/>
      <c r="E29" s="84"/>
      <c r="F29" s="84"/>
      <c r="N29" s="314"/>
      <c r="R29" s="126" t="s">
        <v>265</v>
      </c>
      <c r="S29" s="720">
        <f>AB1</f>
        <v>0</v>
      </c>
      <c r="T29" s="723">
        <f>S29</f>
        <v>0</v>
      </c>
    </row>
    <row r="30" spans="1:29" ht="14.25" customHeight="1" x14ac:dyDescent="0.2">
      <c r="A30" s="1461"/>
      <c r="B30" s="84"/>
      <c r="E30" s="84"/>
      <c r="F30" s="84"/>
      <c r="R30" s="126" t="s">
        <v>257</v>
      </c>
      <c r="S30" s="315">
        <f>SUM(S28:S29)</f>
        <v>10500</v>
      </c>
      <c r="T30" s="315">
        <f>S30</f>
        <v>10500</v>
      </c>
    </row>
    <row r="31" spans="1:29" ht="14.25" customHeight="1" x14ac:dyDescent="0.2">
      <c r="A31" s="1461"/>
      <c r="B31" s="84"/>
      <c r="E31" s="84"/>
      <c r="F31" s="84"/>
    </row>
    <row r="32" spans="1:29" ht="14.25" customHeight="1" x14ac:dyDescent="0.2">
      <c r="A32" s="1461"/>
      <c r="B32" s="84"/>
      <c r="E32" s="84"/>
      <c r="F32" s="84"/>
    </row>
    <row r="33" spans="1:20" ht="13.5" thickBot="1" x14ac:dyDescent="0.25">
      <c r="A33" s="1461"/>
    </row>
    <row r="34" spans="1:20" ht="15" thickBot="1" x14ac:dyDescent="0.25">
      <c r="A34" s="1461"/>
      <c r="R34" s="144" t="s">
        <v>249</v>
      </c>
      <c r="S34" s="990">
        <f>SUM(L6:L14)</f>
        <v>93.627202584183024</v>
      </c>
      <c r="T34" s="1061">
        <f>S34</f>
        <v>93.627202584183024</v>
      </c>
    </row>
    <row r="35" spans="1:20" x14ac:dyDescent="0.2">
      <c r="A35" s="1461"/>
    </row>
    <row r="36" spans="1:20" x14ac:dyDescent="0.2">
      <c r="A36" s="1461"/>
    </row>
    <row r="37" spans="1:20" x14ac:dyDescent="0.2">
      <c r="A37" s="1461"/>
    </row>
    <row r="38" spans="1:20" x14ac:dyDescent="0.2">
      <c r="A38" s="1461"/>
    </row>
    <row r="39" spans="1:20" x14ac:dyDescent="0.2">
      <c r="A39" s="1461"/>
    </row>
    <row r="40" spans="1:20" x14ac:dyDescent="0.2">
      <c r="A40" s="1461"/>
    </row>
    <row r="41" spans="1:20" x14ac:dyDescent="0.2">
      <c r="A41" s="1461"/>
    </row>
    <row r="42" spans="1:20" x14ac:dyDescent="0.2">
      <c r="A42" s="1461"/>
    </row>
    <row r="43" spans="1:20" ht="14.25" customHeight="1" x14ac:dyDescent="0.2">
      <c r="A43" s="1461"/>
    </row>
    <row r="44" spans="1:20" ht="14.25" customHeight="1" x14ac:dyDescent="0.2">
      <c r="A44" s="1461"/>
    </row>
    <row r="45" spans="1:20" x14ac:dyDescent="0.2">
      <c r="A45" s="1461"/>
    </row>
    <row r="46" spans="1:20" x14ac:dyDescent="0.2">
      <c r="A46" s="1461"/>
    </row>
    <row r="47" spans="1:20" x14ac:dyDescent="0.2">
      <c r="A47" s="1461"/>
    </row>
    <row r="48" spans="1:20" x14ac:dyDescent="0.2">
      <c r="A48" s="1461"/>
    </row>
    <row r="49" spans="1:8" x14ac:dyDescent="0.2">
      <c r="A49" s="1461"/>
    </row>
    <row r="50" spans="1:8" ht="14.25" x14ac:dyDescent="0.2">
      <c r="A50" s="1461"/>
      <c r="B50" s="204"/>
      <c r="C50" s="204" t="s">
        <v>233</v>
      </c>
      <c r="D50" s="204" t="s">
        <v>279</v>
      </c>
    </row>
    <row r="51" spans="1:8" ht="14.25" x14ac:dyDescent="0.2">
      <c r="A51" s="1461"/>
      <c r="B51" s="161" t="s">
        <v>283</v>
      </c>
      <c r="C51" s="162">
        <f>10/$K$1</f>
        <v>10</v>
      </c>
      <c r="D51" s="163">
        <f>$C$1*10</f>
        <v>10000</v>
      </c>
    </row>
    <row r="52" spans="1:8" ht="14.25" x14ac:dyDescent="0.2">
      <c r="A52" s="1461"/>
      <c r="B52" s="209" t="s">
        <v>257</v>
      </c>
      <c r="C52" s="211">
        <f>G1</f>
        <v>10.5</v>
      </c>
      <c r="D52" s="211">
        <f>E1</f>
        <v>10500</v>
      </c>
    </row>
    <row r="53" spans="1:8" ht="14.25" x14ac:dyDescent="0.2">
      <c r="A53" s="1461"/>
      <c r="B53" s="209" t="s">
        <v>284</v>
      </c>
      <c r="C53" s="212">
        <f>MIN($C$52, $C$51)</f>
        <v>10</v>
      </c>
      <c r="D53" s="211">
        <f>(C53*$K$1)*$C$1</f>
        <v>10000</v>
      </c>
    </row>
    <row r="54" spans="1:8" ht="14.25" x14ac:dyDescent="0.2">
      <c r="A54" s="1461"/>
      <c r="B54" s="209" t="s">
        <v>285</v>
      </c>
      <c r="C54" s="212">
        <f>MIN(MAX($C$52-C53,0),$C$51)</f>
        <v>0.5</v>
      </c>
      <c r="D54" s="211">
        <f>(C54*$K$1)*$C$1</f>
        <v>500</v>
      </c>
    </row>
    <row r="55" spans="1:8" ht="14.25" x14ac:dyDescent="0.2">
      <c r="A55" s="1461"/>
      <c r="B55" s="209" t="s">
        <v>286</v>
      </c>
      <c r="C55" s="212">
        <f>MIN(MAX($C$52-C53-C54,0),$C$51)</f>
        <v>0</v>
      </c>
      <c r="D55" s="211">
        <f>(C55*$K$1)*$C$1</f>
        <v>0</v>
      </c>
    </row>
    <row r="56" spans="1:8" x14ac:dyDescent="0.2">
      <c r="A56" s="1461"/>
    </row>
    <row r="57" spans="1:8" x14ac:dyDescent="0.2">
      <c r="A57" s="1461"/>
    </row>
    <row r="58" spans="1:8" x14ac:dyDescent="0.2">
      <c r="A58" s="1461"/>
    </row>
    <row r="59" spans="1:8" x14ac:dyDescent="0.2">
      <c r="A59" s="1461"/>
    </row>
    <row r="60" spans="1:8" x14ac:dyDescent="0.2">
      <c r="A60" s="1461"/>
    </row>
    <row r="61" spans="1:8" x14ac:dyDescent="0.2">
      <c r="A61" s="1461"/>
    </row>
    <row r="62" spans="1:8" ht="18" customHeight="1" x14ac:dyDescent="0.2">
      <c r="A62" s="1461"/>
    </row>
    <row r="63" spans="1:8" ht="18" customHeight="1" x14ac:dyDescent="0.2">
      <c r="A63" s="1464"/>
      <c r="B63" s="1636" t="s">
        <v>787</v>
      </c>
      <c r="C63" s="1637"/>
      <c r="D63" s="1637"/>
      <c r="E63" s="1637"/>
      <c r="F63" s="1637"/>
      <c r="G63" s="1637"/>
      <c r="H63" s="1637"/>
    </row>
    <row r="64" spans="1:8" ht="14.25" x14ac:dyDescent="0.2">
      <c r="A64" s="1464"/>
      <c r="B64" s="1634" t="s">
        <v>341</v>
      </c>
      <c r="C64" s="1635"/>
      <c r="D64" s="1635"/>
      <c r="E64" s="1635"/>
      <c r="F64" s="1635"/>
      <c r="G64" s="1635"/>
      <c r="H64" s="1635"/>
    </row>
    <row r="65" spans="1:8" ht="39.75" customHeight="1" x14ac:dyDescent="0.2">
      <c r="A65" s="1457"/>
      <c r="B65" s="221" t="s">
        <v>241</v>
      </c>
      <c r="C65" s="222" t="s">
        <v>242</v>
      </c>
      <c r="D65" s="223" t="s">
        <v>231</v>
      </c>
      <c r="E65" s="197" t="s">
        <v>234</v>
      </c>
      <c r="F65" s="197" t="s">
        <v>243</v>
      </c>
      <c r="G65" s="223" t="s">
        <v>244</v>
      </c>
      <c r="H65" s="197" t="s">
        <v>245</v>
      </c>
    </row>
    <row r="66" spans="1:8" ht="14.25" customHeight="1" x14ac:dyDescent="0.2">
      <c r="A66" s="1460"/>
      <c r="B66" s="299" t="str">
        <f t="shared" ref="B66:D74" si="6">B6</f>
        <v>Carrot - جزر</v>
      </c>
      <c r="C66" s="106" t="str">
        <f t="shared" si="6"/>
        <v>gm</v>
      </c>
      <c r="D66" s="98">
        <f t="shared" si="6"/>
        <v>450</v>
      </c>
      <c r="E66" s="98">
        <f>$C$52</f>
        <v>10.5</v>
      </c>
      <c r="F66" s="109">
        <f t="shared" ref="F66:F74" si="7">F6</f>
        <v>1</v>
      </c>
      <c r="G66" s="101">
        <f t="shared" ref="G66:G74" si="8">D66*E66</f>
        <v>4725</v>
      </c>
      <c r="H66" s="102">
        <f t="shared" ref="H66:H74" si="9">G66*F66</f>
        <v>4725</v>
      </c>
    </row>
    <row r="67" spans="1:8" ht="14.25" customHeight="1" x14ac:dyDescent="0.2">
      <c r="A67" s="1460"/>
      <c r="B67" s="299" t="str">
        <f t="shared" si="6"/>
        <v>Zucchini - كوسة</v>
      </c>
      <c r="C67" s="106" t="str">
        <f t="shared" si="6"/>
        <v>gm</v>
      </c>
      <c r="D67" s="98">
        <f t="shared" si="6"/>
        <v>450</v>
      </c>
      <c r="E67" s="98">
        <f t="shared" ref="E67:E74" si="10">$C$52</f>
        <v>10.5</v>
      </c>
      <c r="F67" s="109">
        <f t="shared" si="7"/>
        <v>1</v>
      </c>
      <c r="G67" s="101">
        <f t="shared" si="8"/>
        <v>4725</v>
      </c>
      <c r="H67" s="102">
        <f t="shared" si="9"/>
        <v>4725</v>
      </c>
    </row>
    <row r="68" spans="1:8" ht="14.25" customHeight="1" x14ac:dyDescent="0.2">
      <c r="A68" s="1460"/>
      <c r="B68" s="299" t="str">
        <f t="shared" si="6"/>
        <v xml:space="preserve">Red Bell Pepper - فلفل أحمر </v>
      </c>
      <c r="C68" s="106" t="str">
        <f t="shared" si="6"/>
        <v>gm</v>
      </c>
      <c r="D68" s="98">
        <f t="shared" si="6"/>
        <v>80</v>
      </c>
      <c r="E68" s="98">
        <f t="shared" si="10"/>
        <v>10.5</v>
      </c>
      <c r="F68" s="109">
        <f t="shared" si="7"/>
        <v>1</v>
      </c>
      <c r="G68" s="101">
        <f t="shared" si="8"/>
        <v>840</v>
      </c>
      <c r="H68" s="102">
        <f t="shared" si="9"/>
        <v>840</v>
      </c>
    </row>
    <row r="69" spans="1:8" ht="14.25" customHeight="1" x14ac:dyDescent="0.2">
      <c r="A69" s="1460"/>
      <c r="B69" s="299" t="str">
        <f t="shared" si="6"/>
        <v xml:space="preserve">Yellow Bell Pepper - فلفل أصفر </v>
      </c>
      <c r="C69" s="106" t="str">
        <f t="shared" si="6"/>
        <v>gm</v>
      </c>
      <c r="D69" s="98">
        <f t="shared" si="6"/>
        <v>80</v>
      </c>
      <c r="E69" s="98">
        <f t="shared" si="10"/>
        <v>10.5</v>
      </c>
      <c r="F69" s="109">
        <f t="shared" si="7"/>
        <v>1</v>
      </c>
      <c r="G69" s="101">
        <f t="shared" si="8"/>
        <v>840</v>
      </c>
      <c r="H69" s="102">
        <f t="shared" si="9"/>
        <v>840</v>
      </c>
    </row>
    <row r="70" spans="1:8" ht="14.25" customHeight="1" x14ac:dyDescent="0.2">
      <c r="A70" s="1460"/>
      <c r="B70" s="299" t="str">
        <f t="shared" si="6"/>
        <v>Green Bell Pepper - فلفل أخضر رومى</v>
      </c>
      <c r="C70" s="106" t="str">
        <f t="shared" si="6"/>
        <v>gm</v>
      </c>
      <c r="D70" s="98">
        <f t="shared" si="6"/>
        <v>80</v>
      </c>
      <c r="E70" s="98">
        <f t="shared" si="10"/>
        <v>10.5</v>
      </c>
      <c r="F70" s="109">
        <f t="shared" si="7"/>
        <v>1</v>
      </c>
      <c r="G70" s="101">
        <f t="shared" si="8"/>
        <v>840</v>
      </c>
      <c r="H70" s="102">
        <f t="shared" si="9"/>
        <v>840</v>
      </c>
    </row>
    <row r="71" spans="1:8" ht="14.25" customHeight="1" x14ac:dyDescent="0.2">
      <c r="A71" s="1460"/>
      <c r="B71" s="299" t="str">
        <f t="shared" si="6"/>
        <v>Chinese Cabbage - ملفوف صيني</v>
      </c>
      <c r="C71" s="106" t="str">
        <f t="shared" si="6"/>
        <v>gm</v>
      </c>
      <c r="D71" s="98">
        <f t="shared" si="6"/>
        <v>80</v>
      </c>
      <c r="E71" s="98">
        <f t="shared" si="10"/>
        <v>10.5</v>
      </c>
      <c r="F71" s="109">
        <f t="shared" si="7"/>
        <v>1</v>
      </c>
      <c r="G71" s="101">
        <f t="shared" si="8"/>
        <v>840</v>
      </c>
      <c r="H71" s="102">
        <f t="shared" si="9"/>
        <v>840</v>
      </c>
    </row>
    <row r="72" spans="1:8" ht="14.25" customHeight="1" x14ac:dyDescent="0.2">
      <c r="A72" s="1460"/>
      <c r="B72" s="299" t="str">
        <f t="shared" si="6"/>
        <v>Sweet Corn - ذرة حلوة</v>
      </c>
      <c r="C72" s="106" t="str">
        <f t="shared" si="6"/>
        <v>gm</v>
      </c>
      <c r="D72" s="98">
        <f t="shared" si="6"/>
        <v>80</v>
      </c>
      <c r="E72" s="98">
        <f t="shared" si="10"/>
        <v>10.5</v>
      </c>
      <c r="F72" s="109">
        <f t="shared" si="7"/>
        <v>1</v>
      </c>
      <c r="G72" s="101">
        <f t="shared" si="8"/>
        <v>840</v>
      </c>
      <c r="H72" s="102">
        <f t="shared" si="9"/>
        <v>840</v>
      </c>
    </row>
    <row r="73" spans="1:8" ht="14.25" customHeight="1" x14ac:dyDescent="0.2">
      <c r="A73" s="1460"/>
      <c r="B73" s="299" t="str">
        <f t="shared" si="6"/>
        <v>Salt - ملح</v>
      </c>
      <c r="C73" s="106" t="str">
        <f t="shared" si="6"/>
        <v>gm</v>
      </c>
      <c r="D73" s="98">
        <f t="shared" si="6"/>
        <v>4</v>
      </c>
      <c r="E73" s="98">
        <f t="shared" si="10"/>
        <v>10.5</v>
      </c>
      <c r="F73" s="109">
        <f t="shared" si="7"/>
        <v>0.75</v>
      </c>
      <c r="G73" s="101">
        <f t="shared" si="8"/>
        <v>42</v>
      </c>
      <c r="H73" s="102">
        <f t="shared" si="9"/>
        <v>31.5</v>
      </c>
    </row>
    <row r="74" spans="1:8" ht="12.75" customHeight="1" x14ac:dyDescent="0.2">
      <c r="A74" s="1460"/>
      <c r="B74" s="299" t="str">
        <f t="shared" si="6"/>
        <v>Black Pepper Powder - فلفل أسود مطحون</v>
      </c>
      <c r="C74" s="106" t="str">
        <f t="shared" si="6"/>
        <v>gm</v>
      </c>
      <c r="D74" s="177">
        <f t="shared" si="6"/>
        <v>0.5</v>
      </c>
      <c r="E74" s="98">
        <f t="shared" si="10"/>
        <v>10.5</v>
      </c>
      <c r="F74" s="109">
        <f t="shared" si="7"/>
        <v>1</v>
      </c>
      <c r="G74" s="101">
        <f t="shared" si="8"/>
        <v>5.25</v>
      </c>
      <c r="H74" s="102">
        <f t="shared" si="9"/>
        <v>5.25</v>
      </c>
    </row>
    <row r="75" spans="1:8" ht="14.25" customHeight="1" x14ac:dyDescent="0.2">
      <c r="A75" s="1461"/>
      <c r="B75" s="178" t="s">
        <v>706</v>
      </c>
      <c r="E75" s="84"/>
      <c r="F75" s="84"/>
    </row>
    <row r="76" spans="1:8" ht="22.5" customHeight="1" x14ac:dyDescent="0.3">
      <c r="A76" s="1461"/>
      <c r="B76" s="179">
        <f>D52</f>
        <v>10500</v>
      </c>
      <c r="C76" s="188"/>
      <c r="D76" s="4"/>
      <c r="E76" s="84"/>
      <c r="F76" s="164"/>
    </row>
    <row r="77" spans="1:8" ht="12.75" customHeight="1" x14ac:dyDescent="0.2">
      <c r="A77" s="1461"/>
      <c r="B77" s="84"/>
      <c r="E77" s="84"/>
      <c r="F77" s="84"/>
    </row>
    <row r="78" spans="1:8" x14ac:dyDescent="0.2">
      <c r="A78" s="1461"/>
      <c r="B78" s="84"/>
      <c r="C78" s="84"/>
      <c r="D78" s="322"/>
      <c r="E78" s="84"/>
      <c r="F78" s="84"/>
      <c r="G78" s="84"/>
      <c r="H78" s="84"/>
    </row>
    <row r="79" spans="1:8" ht="18" customHeight="1" x14ac:dyDescent="0.2">
      <c r="A79" s="1461"/>
    </row>
    <row r="80" spans="1:8" ht="18" customHeight="1" x14ac:dyDescent="0.2">
      <c r="A80" s="1462"/>
      <c r="B80" s="1673"/>
      <c r="C80" s="1674"/>
      <c r="D80" s="1674"/>
      <c r="E80" s="1674"/>
      <c r="F80" s="1674"/>
      <c r="G80" s="1674"/>
      <c r="H80" s="1674"/>
    </row>
    <row r="81" spans="1:8" ht="25.5" customHeight="1" x14ac:dyDescent="0.2">
      <c r="A81" s="1462"/>
      <c r="B81" s="1673"/>
      <c r="C81" s="1674"/>
      <c r="D81" s="1674"/>
      <c r="E81" s="1674"/>
      <c r="F81" s="1674"/>
      <c r="G81" s="1674"/>
      <c r="H81" s="1674"/>
    </row>
    <row r="82" spans="1:8" x14ac:dyDescent="0.2">
      <c r="A82" s="1463"/>
      <c r="B82" s="1103"/>
      <c r="C82" s="1104"/>
      <c r="D82" s="1103"/>
      <c r="E82" s="1105"/>
      <c r="F82" s="1105"/>
      <c r="G82" s="1103"/>
      <c r="H82" s="1105"/>
    </row>
    <row r="83" spans="1:8" ht="14.25" customHeight="1" x14ac:dyDescent="0.2">
      <c r="A83" s="1462"/>
      <c r="B83" s="1106"/>
      <c r="C83" s="1106"/>
      <c r="D83" s="1111"/>
      <c r="E83" s="1112"/>
      <c r="F83" s="1108"/>
      <c r="G83" s="1109"/>
      <c r="H83" s="1110"/>
    </row>
    <row r="84" spans="1:8" ht="14.25" customHeight="1" x14ac:dyDescent="0.2">
      <c r="A84" s="1462"/>
      <c r="B84" s="1106"/>
      <c r="C84" s="1106"/>
      <c r="D84" s="1111"/>
      <c r="E84" s="1112"/>
      <c r="F84" s="1108"/>
      <c r="G84" s="1109"/>
      <c r="H84" s="1110"/>
    </row>
    <row r="85" spans="1:8" ht="14.25" customHeight="1" x14ac:dyDescent="0.2">
      <c r="A85" s="1462"/>
      <c r="B85" s="1106"/>
      <c r="C85" s="1106"/>
      <c r="D85" s="1111"/>
      <c r="E85" s="1112"/>
      <c r="F85" s="1108"/>
      <c r="G85" s="1109"/>
      <c r="H85" s="1110"/>
    </row>
    <row r="86" spans="1:8" ht="14.25" customHeight="1" x14ac:dyDescent="0.2">
      <c r="A86" s="1462"/>
      <c r="B86" s="1106"/>
      <c r="C86" s="1106"/>
      <c r="D86" s="1111"/>
      <c r="E86" s="1112"/>
      <c r="F86" s="1108"/>
      <c r="G86" s="1109"/>
      <c r="H86" s="1110"/>
    </row>
    <row r="87" spans="1:8" ht="14.25" customHeight="1" x14ac:dyDescent="0.2">
      <c r="A87" s="1462"/>
      <c r="B87" s="1106"/>
      <c r="C87" s="1106"/>
      <c r="D87" s="1111"/>
      <c r="E87" s="1112"/>
      <c r="F87" s="1108"/>
      <c r="G87" s="1109"/>
      <c r="H87" s="1110"/>
    </row>
    <row r="88" spans="1:8" ht="14.25" customHeight="1" x14ac:dyDescent="0.2">
      <c r="A88" s="1462"/>
      <c r="B88" s="1106"/>
      <c r="C88" s="1106"/>
      <c r="D88" s="1111"/>
      <c r="E88" s="1112"/>
      <c r="F88" s="1108"/>
      <c r="G88" s="1109"/>
      <c r="H88" s="1110"/>
    </row>
    <row r="89" spans="1:8" ht="14.25" customHeight="1" x14ac:dyDescent="0.2">
      <c r="A89" s="1462"/>
      <c r="B89" s="1106"/>
      <c r="C89" s="1106"/>
      <c r="D89" s="1111"/>
      <c r="E89" s="1112"/>
      <c r="F89" s="1108"/>
      <c r="G89" s="1109"/>
      <c r="H89" s="1110"/>
    </row>
    <row r="90" spans="1:8" ht="14.25" customHeight="1" x14ac:dyDescent="0.2">
      <c r="A90" s="1462"/>
      <c r="B90" s="1106"/>
      <c r="C90" s="1106"/>
      <c r="D90" s="1111"/>
      <c r="E90" s="1112"/>
      <c r="F90" s="1108"/>
      <c r="G90" s="1109"/>
      <c r="H90" s="1110"/>
    </row>
    <row r="91" spans="1:8" ht="12.75" customHeight="1" x14ac:dyDescent="0.2">
      <c r="A91" s="1462"/>
      <c r="B91" s="1106"/>
      <c r="C91" s="1106"/>
      <c r="D91" s="1113"/>
      <c r="E91" s="1112"/>
      <c r="F91" s="1108"/>
      <c r="G91" s="1109"/>
      <c r="H91" s="1110"/>
    </row>
    <row r="92" spans="1:8" ht="14.25" customHeight="1" x14ac:dyDescent="0.2">
      <c r="A92" s="1462"/>
      <c r="B92" s="814"/>
      <c r="C92" s="796"/>
      <c r="D92" s="796"/>
      <c r="E92" s="790"/>
      <c r="F92" s="790"/>
      <c r="G92" s="796"/>
      <c r="H92" s="796"/>
    </row>
    <row r="93" spans="1:8" ht="21.75" customHeight="1" x14ac:dyDescent="0.3">
      <c r="A93" s="1462"/>
      <c r="B93" s="815"/>
      <c r="C93" s="819"/>
      <c r="D93" s="1114"/>
      <c r="E93" s="790"/>
      <c r="F93" s="1115"/>
      <c r="G93" s="796"/>
      <c r="H93" s="796"/>
    </row>
    <row r="94" spans="1:8" ht="18" customHeight="1" x14ac:dyDescent="0.2">
      <c r="A94" s="1462"/>
      <c r="B94" s="790"/>
      <c r="C94" s="790"/>
      <c r="D94" s="790"/>
      <c r="E94" s="790"/>
      <c r="F94" s="790"/>
      <c r="G94" s="790"/>
      <c r="H94" s="790"/>
    </row>
    <row r="95" spans="1:8" ht="18" customHeight="1" x14ac:dyDescent="0.2">
      <c r="A95" s="1462"/>
      <c r="B95" s="1673"/>
      <c r="C95" s="1674"/>
      <c r="D95" s="1674"/>
      <c r="E95" s="1674"/>
      <c r="F95" s="1674"/>
      <c r="G95" s="1674"/>
      <c r="H95" s="1674"/>
    </row>
    <row r="96" spans="1:8" ht="25.5" customHeight="1" x14ac:dyDescent="0.2">
      <c r="A96" s="1462"/>
      <c r="B96" s="1673"/>
      <c r="C96" s="1674"/>
      <c r="D96" s="1674"/>
      <c r="E96" s="1674"/>
      <c r="F96" s="1674"/>
      <c r="G96" s="1674"/>
      <c r="H96" s="1674"/>
    </row>
    <row r="97" spans="1:8" x14ac:dyDescent="0.2">
      <c r="A97" s="1463"/>
      <c r="B97" s="1103"/>
      <c r="C97" s="1104"/>
      <c r="D97" s="1103"/>
      <c r="E97" s="1105"/>
      <c r="F97" s="1105"/>
      <c r="G97" s="1103"/>
      <c r="H97" s="1105"/>
    </row>
    <row r="98" spans="1:8" ht="14.25" customHeight="1" x14ac:dyDescent="0.2">
      <c r="A98" s="1462"/>
      <c r="B98" s="1106"/>
      <c r="C98" s="1106"/>
      <c r="D98" s="1106"/>
      <c r="E98" s="1107"/>
      <c r="F98" s="1108"/>
      <c r="G98" s="1109"/>
      <c r="H98" s="1110"/>
    </row>
    <row r="99" spans="1:8" ht="14.25" customHeight="1" x14ac:dyDescent="0.2">
      <c r="A99" s="1462"/>
      <c r="B99" s="1106"/>
      <c r="C99" s="1106"/>
      <c r="D99" s="1106"/>
      <c r="E99" s="1107"/>
      <c r="F99" s="1108"/>
      <c r="G99" s="1109"/>
      <c r="H99" s="1110"/>
    </row>
    <row r="100" spans="1:8" ht="14.25" customHeight="1" x14ac:dyDescent="0.2">
      <c r="A100" s="1462"/>
      <c r="B100" s="1106"/>
      <c r="C100" s="1106"/>
      <c r="D100" s="1106"/>
      <c r="E100" s="1107"/>
      <c r="F100" s="1108"/>
      <c r="G100" s="1109"/>
      <c r="H100" s="1110"/>
    </row>
    <row r="101" spans="1:8" ht="14.25" customHeight="1" x14ac:dyDescent="0.2">
      <c r="A101" s="1462"/>
      <c r="B101" s="1106"/>
      <c r="C101" s="1106"/>
      <c r="D101" s="1106"/>
      <c r="E101" s="1107"/>
      <c r="F101" s="1108"/>
      <c r="G101" s="1109"/>
      <c r="H101" s="1110"/>
    </row>
    <row r="102" spans="1:8" ht="14.25" customHeight="1" x14ac:dyDescent="0.2">
      <c r="A102" s="1462"/>
      <c r="B102" s="1106"/>
      <c r="C102" s="1106"/>
      <c r="D102" s="1106"/>
      <c r="E102" s="1107"/>
      <c r="F102" s="1108"/>
      <c r="G102" s="1109"/>
      <c r="H102" s="1110"/>
    </row>
    <row r="103" spans="1:8" ht="14.25" customHeight="1" x14ac:dyDescent="0.2">
      <c r="A103" s="1462"/>
      <c r="B103" s="1106"/>
      <c r="C103" s="1106"/>
      <c r="D103" s="1106"/>
      <c r="E103" s="1107"/>
      <c r="F103" s="1108"/>
      <c r="G103" s="1109"/>
      <c r="H103" s="1110"/>
    </row>
    <row r="104" spans="1:8" ht="14.25" customHeight="1" x14ac:dyDescent="0.2">
      <c r="A104" s="1462"/>
      <c r="B104" s="1106"/>
      <c r="C104" s="1106"/>
      <c r="D104" s="1106"/>
      <c r="E104" s="1107"/>
      <c r="F104" s="1108"/>
      <c r="G104" s="1109"/>
      <c r="H104" s="1110"/>
    </row>
    <row r="105" spans="1:8" ht="14.25" customHeight="1" x14ac:dyDescent="0.2">
      <c r="A105" s="1462"/>
      <c r="B105" s="1106"/>
      <c r="C105" s="1106"/>
      <c r="D105" s="1106"/>
      <c r="E105" s="1107"/>
      <c r="F105" s="1108"/>
      <c r="G105" s="1109"/>
      <c r="H105" s="1110"/>
    </row>
    <row r="106" spans="1:8" ht="14.25" x14ac:dyDescent="0.2">
      <c r="A106" s="1462"/>
      <c r="B106" s="1106"/>
      <c r="C106" s="1106"/>
      <c r="D106" s="1106"/>
      <c r="E106" s="1107"/>
      <c r="F106" s="1108"/>
      <c r="G106" s="1120"/>
      <c r="H106" s="1121"/>
    </row>
    <row r="107" spans="1:8" ht="15.75" x14ac:dyDescent="0.2">
      <c r="A107" s="1462"/>
      <c r="B107" s="814"/>
      <c r="C107" s="796"/>
      <c r="D107" s="796"/>
      <c r="E107" s="796"/>
      <c r="F107" s="796"/>
      <c r="G107" s="796"/>
      <c r="H107" s="796"/>
    </row>
    <row r="108" spans="1:8" ht="20.25" x14ac:dyDescent="0.3">
      <c r="A108" s="1462"/>
      <c r="B108" s="815"/>
      <c r="C108" s="796"/>
      <c r="D108" s="796"/>
      <c r="E108" s="796"/>
      <c r="F108" s="796"/>
      <c r="G108" s="796"/>
      <c r="H108" s="796"/>
    </row>
    <row r="109" spans="1:8" x14ac:dyDescent="0.2">
      <c r="A109" s="1461"/>
    </row>
    <row r="110" spans="1:8" x14ac:dyDescent="0.2">
      <c r="A110" s="1461"/>
    </row>
    <row r="111" spans="1:8" x14ac:dyDescent="0.2">
      <c r="A111" s="1461"/>
    </row>
    <row r="112" spans="1:8" x14ac:dyDescent="0.2">
      <c r="A112" s="1461"/>
    </row>
    <row r="113" spans="1:1" x14ac:dyDescent="0.2">
      <c r="A113" s="1461"/>
    </row>
    <row r="114" spans="1:1" x14ac:dyDescent="0.2">
      <c r="A114" s="1461"/>
    </row>
    <row r="115" spans="1:1" x14ac:dyDescent="0.2">
      <c r="A115" s="1461"/>
    </row>
    <row r="116" spans="1:1" x14ac:dyDescent="0.2">
      <c r="A116" s="1461"/>
    </row>
    <row r="117" spans="1:1" x14ac:dyDescent="0.2">
      <c r="A117" s="1461"/>
    </row>
    <row r="118" spans="1:1" x14ac:dyDescent="0.2">
      <c r="A118" s="1461"/>
    </row>
    <row r="119" spans="1:1" x14ac:dyDescent="0.2">
      <c r="A119" s="1461"/>
    </row>
    <row r="120" spans="1:1" x14ac:dyDescent="0.2">
      <c r="A120" s="1461"/>
    </row>
    <row r="121" spans="1:1" x14ac:dyDescent="0.2">
      <c r="A121" s="1461"/>
    </row>
    <row r="122" spans="1:1" x14ac:dyDescent="0.2">
      <c r="A122" s="1461"/>
    </row>
    <row r="123" spans="1:1" x14ac:dyDescent="0.2">
      <c r="A123" s="1461"/>
    </row>
    <row r="124" spans="1:1" x14ac:dyDescent="0.2">
      <c r="A124" s="1461"/>
    </row>
    <row r="125" spans="1:1" x14ac:dyDescent="0.2">
      <c r="A125" s="1461"/>
    </row>
    <row r="126" spans="1:1" x14ac:dyDescent="0.2">
      <c r="A126" s="1461"/>
    </row>
    <row r="127" spans="1:1" x14ac:dyDescent="0.2">
      <c r="A127" s="1461"/>
    </row>
    <row r="128" spans="1:1" x14ac:dyDescent="0.2">
      <c r="A128" s="1461"/>
    </row>
    <row r="129" spans="1:1" x14ac:dyDescent="0.2">
      <c r="A129" s="1461"/>
    </row>
    <row r="130" spans="1:1" x14ac:dyDescent="0.2">
      <c r="A130" s="1461"/>
    </row>
    <row r="131" spans="1:1" x14ac:dyDescent="0.2">
      <c r="A131" s="1461"/>
    </row>
    <row r="132" spans="1:1" x14ac:dyDescent="0.2">
      <c r="A132" s="1461"/>
    </row>
    <row r="133" spans="1:1" x14ac:dyDescent="0.2">
      <c r="A133" s="1461"/>
    </row>
    <row r="134" spans="1:1" x14ac:dyDescent="0.2">
      <c r="A134" s="1461"/>
    </row>
    <row r="135" spans="1:1" x14ac:dyDescent="0.2">
      <c r="A135" s="1461"/>
    </row>
    <row r="136" spans="1:1" x14ac:dyDescent="0.2">
      <c r="A136" s="1461"/>
    </row>
    <row r="137" spans="1:1" x14ac:dyDescent="0.2">
      <c r="A137" s="1461"/>
    </row>
    <row r="138" spans="1:1" x14ac:dyDescent="0.2">
      <c r="A138" s="1461"/>
    </row>
    <row r="139" spans="1:1" x14ac:dyDescent="0.2">
      <c r="A139" s="1461"/>
    </row>
    <row r="140" spans="1:1" x14ac:dyDescent="0.2">
      <c r="A140" s="1461"/>
    </row>
    <row r="141" spans="1:1" x14ac:dyDescent="0.2">
      <c r="A141" s="1461"/>
    </row>
    <row r="142" spans="1:1" x14ac:dyDescent="0.2">
      <c r="A142" s="1461"/>
    </row>
    <row r="143" spans="1:1" x14ac:dyDescent="0.2">
      <c r="A143" s="1461"/>
    </row>
    <row r="144" spans="1:1"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10">
    <mergeCell ref="B96:H96"/>
    <mergeCell ref="B2:H3"/>
    <mergeCell ref="R25:T25"/>
    <mergeCell ref="B64:H64"/>
    <mergeCell ref="AE2:AG3"/>
    <mergeCell ref="B95:H95"/>
    <mergeCell ref="B80:H80"/>
    <mergeCell ref="B81:H81"/>
    <mergeCell ref="B63:H63"/>
    <mergeCell ref="R26:T26"/>
  </mergeCells>
  <printOptions horizontalCentered="1"/>
  <pageMargins left="0.5" right="0.5" top="1" bottom="0.5" header="0.3" footer="0.511811023622047"/>
  <pageSetup paperSize="9" scale="3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4E423-C4D7-42C3-8CBD-E01898735CEC}">
  <sheetPr codeName="Sheet101">
    <tabColor theme="6" tint="-0.249977111117893"/>
    <pageSetUpPr fitToPage="1"/>
  </sheetPr>
  <dimension ref="A1:AD82"/>
  <sheetViews>
    <sheetView topLeftCell="G1" zoomScale="130" zoomScaleNormal="130" workbookViewId="0">
      <selection activeCell="U13" sqref="U13"/>
    </sheetView>
  </sheetViews>
  <sheetFormatPr defaultColWidth="12.5" defaultRowHeight="12.75" x14ac:dyDescent="0.2"/>
  <cols>
    <col min="1" max="1" width="8.125" style="629" customWidth="1"/>
    <col min="2" max="2" width="40.25" style="629" customWidth="1"/>
    <col min="3" max="3" width="24" style="629" customWidth="1"/>
    <col min="4" max="4" width="21.875" style="629" customWidth="1"/>
    <col min="5" max="5" width="16.125" style="629" customWidth="1"/>
    <col min="6" max="6" width="19.625" style="629" customWidth="1"/>
    <col min="7" max="7" width="10.875" style="629" customWidth="1"/>
    <col min="8" max="8" width="17.375" style="629" customWidth="1"/>
    <col min="9" max="11" width="12.5" style="629"/>
    <col min="12" max="12" width="8.375" style="629" customWidth="1"/>
    <col min="13" max="17" width="3.875" style="629" customWidth="1"/>
    <col min="18" max="16384" width="12.5" style="629"/>
  </cols>
  <sheetData>
    <row r="1" spans="1:30" ht="36" customHeight="1" x14ac:dyDescent="0.2">
      <c r="B1" s="684" t="s">
        <v>530</v>
      </c>
      <c r="C1" s="688">
        <v>5000</v>
      </c>
      <c r="D1" s="687" t="s">
        <v>232</v>
      </c>
      <c r="E1" s="686">
        <f>T29</f>
        <v>1917</v>
      </c>
      <c r="F1" s="684" t="s">
        <v>233</v>
      </c>
      <c r="G1" s="685">
        <f>E1/C1</f>
        <v>0.38340000000000002</v>
      </c>
      <c r="H1" s="684" t="s">
        <v>234</v>
      </c>
      <c r="I1" s="683">
        <f>(G1/K1)</f>
        <v>0.38340000000000002</v>
      </c>
      <c r="J1" s="682" t="s">
        <v>235</v>
      </c>
      <c r="K1" s="681">
        <v>1</v>
      </c>
      <c r="L1" s="636"/>
      <c r="M1" s="636"/>
      <c r="N1" s="636"/>
      <c r="Y1" s="75" t="s">
        <v>453</v>
      </c>
      <c r="Z1" s="766">
        <v>12780</v>
      </c>
      <c r="AA1" s="75" t="s">
        <v>556</v>
      </c>
      <c r="AB1" s="766">
        <v>0</v>
      </c>
      <c r="AC1" s="75" t="s">
        <v>546</v>
      </c>
      <c r="AD1" s="766">
        <v>87</v>
      </c>
    </row>
    <row r="2" spans="1:30" ht="12.75" customHeight="1" x14ac:dyDescent="0.2">
      <c r="A2" s="1663"/>
      <c r="B2" s="1729" t="s">
        <v>901</v>
      </c>
      <c r="C2" s="1729"/>
      <c r="D2" s="1729"/>
      <c r="E2" s="1729"/>
      <c r="F2" s="1729"/>
      <c r="G2" s="1729"/>
      <c r="H2" s="1729"/>
      <c r="I2" s="652"/>
      <c r="J2" s="652"/>
      <c r="K2" s="1665"/>
      <c r="L2" s="636"/>
      <c r="M2" s="636"/>
      <c r="N2" s="636"/>
    </row>
    <row r="3" spans="1:30" ht="12.75" customHeight="1" x14ac:dyDescent="0.2">
      <c r="A3" s="1663"/>
      <c r="B3" s="1663"/>
      <c r="C3" s="1663"/>
      <c r="D3" s="1663"/>
      <c r="E3" s="1663"/>
      <c r="F3" s="1663"/>
      <c r="G3" s="1663"/>
      <c r="H3" s="1663"/>
      <c r="I3" s="651"/>
      <c r="J3" s="651"/>
      <c r="K3" s="1666"/>
      <c r="L3" s="636"/>
      <c r="M3" s="636"/>
      <c r="N3" s="636"/>
    </row>
    <row r="4" spans="1:30" ht="57" customHeight="1" x14ac:dyDescent="0.2">
      <c r="A4" s="634" t="s">
        <v>903</v>
      </c>
      <c r="B4" s="634" t="s">
        <v>241</v>
      </c>
      <c r="C4" s="635" t="s">
        <v>317</v>
      </c>
      <c r="D4" s="635" t="s">
        <v>528</v>
      </c>
      <c r="E4" s="650" t="s">
        <v>527</v>
      </c>
      <c r="F4" s="1575" t="s">
        <v>949</v>
      </c>
      <c r="G4" s="648" t="s">
        <v>244</v>
      </c>
      <c r="H4" s="647" t="s">
        <v>322</v>
      </c>
      <c r="I4" s="75" t="s">
        <v>246</v>
      </c>
      <c r="J4" s="75" t="s">
        <v>247</v>
      </c>
      <c r="K4" s="75" t="s">
        <v>248</v>
      </c>
      <c r="L4" s="75" t="s">
        <v>249</v>
      </c>
      <c r="M4" s="636"/>
      <c r="N4" s="636"/>
    </row>
    <row r="5" spans="1:30" x14ac:dyDescent="0.2">
      <c r="B5" s="633" t="s">
        <v>54</v>
      </c>
      <c r="C5" s="641" t="s">
        <v>14</v>
      </c>
      <c r="D5" s="676">
        <v>125</v>
      </c>
      <c r="E5" s="632">
        <f t="shared" ref="E5:E19" si="0">$G$1</f>
        <v>0.38340000000000002</v>
      </c>
      <c r="F5" s="631">
        <v>1</v>
      </c>
      <c r="G5" s="675">
        <f t="shared" ref="G5:G20" si="1">D5*E5</f>
        <v>47.925000000000004</v>
      </c>
      <c r="H5" s="680">
        <f t="shared" ref="H5:H20" si="2">G5*F5</f>
        <v>47.925000000000004</v>
      </c>
      <c r="I5" s="65">
        <f>VLOOKUP(B5,All_Ingredients!$A$1:$F$156,6,FALSE())</f>
        <v>0.87</v>
      </c>
      <c r="J5" s="101">
        <f>VLOOKUP(B5,All_Ingredients!$A$1:$J$156,10,FALSE())</f>
        <v>7</v>
      </c>
      <c r="K5" s="104">
        <f t="shared" ref="K5:K20" si="3">(H5/I5)/1000</f>
        <v>5.5086206896551727E-2</v>
      </c>
      <c r="L5" s="104">
        <f t="shared" ref="L5:L20" si="4">K5*J5</f>
        <v>0.38560344827586207</v>
      </c>
    </row>
    <row r="6" spans="1:30" x14ac:dyDescent="0.2">
      <c r="B6" s="633" t="s">
        <v>727</v>
      </c>
      <c r="C6" s="641" t="s">
        <v>14</v>
      </c>
      <c r="D6" s="676">
        <v>250</v>
      </c>
      <c r="E6" s="632">
        <f t="shared" si="0"/>
        <v>0.38340000000000002</v>
      </c>
      <c r="F6" s="631">
        <v>1</v>
      </c>
      <c r="G6" s="675">
        <f t="shared" si="1"/>
        <v>95.850000000000009</v>
      </c>
      <c r="H6" s="630">
        <f t="shared" si="2"/>
        <v>95.850000000000009</v>
      </c>
      <c r="I6" s="65">
        <f>VLOOKUP(B6,All_Ingredients!$A$1:$F$156,6,FALSE())</f>
        <v>1</v>
      </c>
      <c r="J6" s="101">
        <f>VLOOKUP(B6,All_Ingredients!$A$1:$J$156,10,FALSE())</f>
        <v>10.5</v>
      </c>
      <c r="K6" s="104">
        <f t="shared" si="3"/>
        <v>9.5850000000000005E-2</v>
      </c>
      <c r="L6" s="104">
        <f t="shared" si="4"/>
        <v>1.0064250000000001</v>
      </c>
    </row>
    <row r="7" spans="1:30" x14ac:dyDescent="0.2">
      <c r="B7" s="633" t="s">
        <v>193</v>
      </c>
      <c r="C7" s="641" t="s">
        <v>14</v>
      </c>
      <c r="D7" s="676">
        <v>250</v>
      </c>
      <c r="E7" s="632">
        <f t="shared" si="0"/>
        <v>0.38340000000000002</v>
      </c>
      <c r="F7" s="631">
        <v>1</v>
      </c>
      <c r="G7" s="675">
        <f t="shared" si="1"/>
        <v>95.850000000000009</v>
      </c>
      <c r="H7" s="630">
        <f t="shared" si="2"/>
        <v>95.850000000000009</v>
      </c>
      <c r="I7" s="65">
        <f>VLOOKUP(B7,All_Ingredients!$A$1:$F$156,6,FALSE())</f>
        <v>1</v>
      </c>
      <c r="J7" s="101">
        <f>VLOOKUP(B7,All_Ingredients!$A$1:$J$156,10,FALSE())</f>
        <v>37.001287001286997</v>
      </c>
      <c r="K7" s="104">
        <f t="shared" si="3"/>
        <v>9.5850000000000005E-2</v>
      </c>
      <c r="L7" s="104">
        <f t="shared" si="4"/>
        <v>3.546573359073359</v>
      </c>
    </row>
    <row r="8" spans="1:30" x14ac:dyDescent="0.2">
      <c r="B8" s="633" t="s">
        <v>19</v>
      </c>
      <c r="C8" s="641" t="s">
        <v>14</v>
      </c>
      <c r="D8" s="676">
        <v>500</v>
      </c>
      <c r="E8" s="679">
        <f t="shared" si="0"/>
        <v>0.38340000000000002</v>
      </c>
      <c r="F8" s="646">
        <v>1</v>
      </c>
      <c r="G8" s="678">
        <f t="shared" si="1"/>
        <v>191.70000000000002</v>
      </c>
      <c r="H8" s="677">
        <f t="shared" si="2"/>
        <v>191.70000000000002</v>
      </c>
      <c r="I8" s="65">
        <f>VLOOKUP(B8,All_Ingredients!$A$1:$F$156,6,FALSE())</f>
        <v>0.8</v>
      </c>
      <c r="J8" s="101">
        <f>VLOOKUP(B8,All_Ingredients!$A$1:$J$156,10,FALSE())</f>
        <v>2.6</v>
      </c>
      <c r="K8" s="104">
        <f t="shared" si="3"/>
        <v>0.239625</v>
      </c>
      <c r="L8" s="104">
        <f t="shared" si="4"/>
        <v>0.62302500000000005</v>
      </c>
    </row>
    <row r="9" spans="1:30" x14ac:dyDescent="0.2">
      <c r="B9" s="633" t="s">
        <v>533</v>
      </c>
      <c r="C9" s="641" t="s">
        <v>14</v>
      </c>
      <c r="D9" s="676">
        <v>250</v>
      </c>
      <c r="E9" s="679">
        <f t="shared" si="0"/>
        <v>0.38340000000000002</v>
      </c>
      <c r="F9" s="646">
        <v>1</v>
      </c>
      <c r="G9" s="678">
        <f t="shared" si="1"/>
        <v>95.850000000000009</v>
      </c>
      <c r="H9" s="677">
        <f t="shared" si="2"/>
        <v>95.850000000000009</v>
      </c>
      <c r="I9" s="65">
        <f>VLOOKUP(B9,All_Ingredients!$A$1:$F$156,6,FALSE())</f>
        <v>0.56999999999999995</v>
      </c>
      <c r="J9" s="101">
        <f>VLOOKUP(B9,All_Ingredients!$A$1:$J$156,10,FALSE())</f>
        <v>5</v>
      </c>
      <c r="K9" s="104">
        <f t="shared" si="3"/>
        <v>0.16815789473684215</v>
      </c>
      <c r="L9" s="104">
        <f t="shared" si="4"/>
        <v>0.84078947368421075</v>
      </c>
    </row>
    <row r="10" spans="1:30" x14ac:dyDescent="0.2">
      <c r="B10" s="633" t="s">
        <v>99</v>
      </c>
      <c r="C10" s="641" t="s">
        <v>14</v>
      </c>
      <c r="D10" s="676">
        <v>10</v>
      </c>
      <c r="E10" s="679">
        <f t="shared" si="0"/>
        <v>0.38340000000000002</v>
      </c>
      <c r="F10" s="646">
        <v>1</v>
      </c>
      <c r="G10" s="678">
        <f t="shared" si="1"/>
        <v>3.8340000000000001</v>
      </c>
      <c r="H10" s="677">
        <f t="shared" si="2"/>
        <v>3.8340000000000001</v>
      </c>
      <c r="I10" s="65">
        <f>VLOOKUP(B10,All_Ingredients!$A$1:$F$156,6,FALSE())</f>
        <v>1</v>
      </c>
      <c r="J10" s="101">
        <f>VLOOKUP(B10,All_Ingredients!$A$1:$J$156,10,FALSE())</f>
        <v>31</v>
      </c>
      <c r="K10" s="104">
        <f t="shared" si="3"/>
        <v>3.8340000000000002E-3</v>
      </c>
      <c r="L10" s="104">
        <f t="shared" si="4"/>
        <v>0.118854</v>
      </c>
    </row>
    <row r="11" spans="1:30" ht="13.5" customHeight="1" x14ac:dyDescent="0.2">
      <c r="B11" s="633" t="s">
        <v>28</v>
      </c>
      <c r="C11" s="641" t="s">
        <v>14</v>
      </c>
      <c r="D11" s="676">
        <v>250</v>
      </c>
      <c r="E11" s="679">
        <f t="shared" si="0"/>
        <v>0.38340000000000002</v>
      </c>
      <c r="F11" s="646">
        <v>1</v>
      </c>
      <c r="G11" s="678">
        <f t="shared" si="1"/>
        <v>95.850000000000009</v>
      </c>
      <c r="H11" s="677">
        <f t="shared" si="2"/>
        <v>95.850000000000009</v>
      </c>
      <c r="I11" s="65">
        <f>VLOOKUP(B11,All_Ingredients!$A$1:$F$156,6,FALSE())</f>
        <v>0.73</v>
      </c>
      <c r="J11" s="101">
        <f>VLOOKUP(B11,All_Ingredients!$A$1:$J$156,10,FALSE())</f>
        <v>8.5</v>
      </c>
      <c r="K11" s="104">
        <f t="shared" si="3"/>
        <v>0.13130136986301372</v>
      </c>
      <c r="L11" s="104">
        <f t="shared" si="4"/>
        <v>1.1160616438356166</v>
      </c>
    </row>
    <row r="12" spans="1:30" ht="13.5" customHeight="1" x14ac:dyDescent="0.2">
      <c r="B12" s="633" t="s">
        <v>30</v>
      </c>
      <c r="C12" s="641" t="s">
        <v>14</v>
      </c>
      <c r="D12" s="676">
        <v>250</v>
      </c>
      <c r="E12" s="679">
        <f t="shared" si="0"/>
        <v>0.38340000000000002</v>
      </c>
      <c r="F12" s="646">
        <v>1</v>
      </c>
      <c r="G12" s="678">
        <f t="shared" si="1"/>
        <v>95.850000000000009</v>
      </c>
      <c r="H12" s="677">
        <f t="shared" si="2"/>
        <v>95.850000000000009</v>
      </c>
      <c r="I12" s="65">
        <f>VLOOKUP(B12,All_Ingredients!$A$1:$F$156,6,FALSE())</f>
        <v>0.71</v>
      </c>
      <c r="J12" s="101">
        <f>VLOOKUP(B12,All_Ingredients!$A$1:$J$156,10,FALSE())</f>
        <v>8.5</v>
      </c>
      <c r="K12" s="104">
        <f t="shared" si="3"/>
        <v>0.13500000000000004</v>
      </c>
      <c r="L12" s="104">
        <f t="shared" si="4"/>
        <v>1.1475000000000004</v>
      </c>
    </row>
    <row r="13" spans="1:30" ht="13.5" customHeight="1" x14ac:dyDescent="0.2">
      <c r="B13" s="633" t="s">
        <v>32</v>
      </c>
      <c r="C13" s="641" t="s">
        <v>14</v>
      </c>
      <c r="D13" s="676">
        <v>250</v>
      </c>
      <c r="E13" s="679">
        <f t="shared" si="0"/>
        <v>0.38340000000000002</v>
      </c>
      <c r="F13" s="646">
        <v>1</v>
      </c>
      <c r="G13" s="678">
        <f t="shared" si="1"/>
        <v>95.850000000000009</v>
      </c>
      <c r="H13" s="677">
        <f t="shared" si="2"/>
        <v>95.850000000000009</v>
      </c>
      <c r="I13" s="65">
        <f>VLOOKUP(B13,All_Ingredients!$A$1:$F$156,6,FALSE())</f>
        <v>0.69</v>
      </c>
      <c r="J13" s="101">
        <f>VLOOKUP(B13,All_Ingredients!$A$1:$J$156,10,FALSE())</f>
        <v>4</v>
      </c>
      <c r="K13" s="104">
        <f t="shared" si="3"/>
        <v>0.13891304347826089</v>
      </c>
      <c r="L13" s="104">
        <f t="shared" si="4"/>
        <v>0.55565217391304356</v>
      </c>
    </row>
    <row r="14" spans="1:30" ht="13.5" customHeight="1" x14ac:dyDescent="0.2">
      <c r="B14" s="633" t="s">
        <v>178</v>
      </c>
      <c r="C14" s="641" t="s">
        <v>14</v>
      </c>
      <c r="D14" s="676">
        <v>250</v>
      </c>
      <c r="E14" s="679">
        <f t="shared" si="0"/>
        <v>0.38340000000000002</v>
      </c>
      <c r="F14" s="646">
        <v>1</v>
      </c>
      <c r="G14" s="678">
        <f t="shared" si="1"/>
        <v>95.850000000000009</v>
      </c>
      <c r="H14" s="677">
        <f t="shared" si="2"/>
        <v>95.850000000000009</v>
      </c>
      <c r="I14" s="65">
        <f>VLOOKUP(B14,All_Ingredients!$A$1:$F$156,6,FALSE())</f>
        <v>1</v>
      </c>
      <c r="J14" s="101">
        <f>VLOOKUP(B14,All_Ingredients!$A$1:$J$156,10,FALSE())</f>
        <v>40</v>
      </c>
      <c r="K14" s="104">
        <f t="shared" si="3"/>
        <v>9.5850000000000005E-2</v>
      </c>
      <c r="L14" s="104">
        <f t="shared" si="4"/>
        <v>3.8340000000000001</v>
      </c>
      <c r="N14" s="1669"/>
      <c r="O14" s="1669"/>
    </row>
    <row r="15" spans="1:30" ht="14.25" customHeight="1" x14ac:dyDescent="0.2">
      <c r="B15" s="633" t="s">
        <v>192</v>
      </c>
      <c r="C15" s="641" t="s">
        <v>160</v>
      </c>
      <c r="D15" s="676">
        <v>100</v>
      </c>
      <c r="E15" s="679">
        <f t="shared" si="0"/>
        <v>0.38340000000000002</v>
      </c>
      <c r="F15" s="646">
        <v>1</v>
      </c>
      <c r="G15" s="678">
        <f t="shared" si="1"/>
        <v>38.340000000000003</v>
      </c>
      <c r="H15" s="677">
        <f t="shared" si="2"/>
        <v>38.340000000000003</v>
      </c>
      <c r="I15" s="65">
        <f>VLOOKUP(B15,All_Ingredients!$A$1:$F$156,6,FALSE())</f>
        <v>1</v>
      </c>
      <c r="J15" s="101">
        <f>VLOOKUP(B15,All_Ingredients!$A$1:$J$156,10,FALSE())</f>
        <v>58.685446009389672</v>
      </c>
      <c r="K15" s="104">
        <f t="shared" si="3"/>
        <v>3.8340000000000006E-2</v>
      </c>
      <c r="L15" s="104">
        <f t="shared" si="4"/>
        <v>2.2500000000000004</v>
      </c>
    </row>
    <row r="16" spans="1:30" ht="14.25" customHeight="1" x14ac:dyDescent="0.2">
      <c r="B16" s="633" t="s">
        <v>532</v>
      </c>
      <c r="C16" s="641" t="s">
        <v>14</v>
      </c>
      <c r="D16" s="676">
        <v>100</v>
      </c>
      <c r="E16" s="679">
        <f t="shared" si="0"/>
        <v>0.38340000000000002</v>
      </c>
      <c r="F16" s="646">
        <v>1</v>
      </c>
      <c r="G16" s="678">
        <f t="shared" si="1"/>
        <v>38.340000000000003</v>
      </c>
      <c r="H16" s="677">
        <f t="shared" si="2"/>
        <v>38.340000000000003</v>
      </c>
      <c r="I16" s="65">
        <f>VLOOKUP(B16,All_Ingredients!$A$1:$F$156,6,FALSE())</f>
        <v>1</v>
      </c>
      <c r="J16" s="101">
        <f>VLOOKUP(B16,All_Ingredients!$A$1:$J$156,10,FALSE())</f>
        <v>0</v>
      </c>
      <c r="K16" s="104">
        <f t="shared" si="3"/>
        <v>3.8340000000000006E-2</v>
      </c>
      <c r="L16" s="104">
        <f t="shared" si="4"/>
        <v>0</v>
      </c>
    </row>
    <row r="17" spans="2:29" ht="15" x14ac:dyDescent="0.25">
      <c r="B17" s="633" t="s">
        <v>198</v>
      </c>
      <c r="C17" s="906" t="s">
        <v>160</v>
      </c>
      <c r="D17" s="676">
        <v>100</v>
      </c>
      <c r="E17" s="632">
        <f t="shared" si="0"/>
        <v>0.38340000000000002</v>
      </c>
      <c r="F17" s="631">
        <v>1</v>
      </c>
      <c r="G17" s="675">
        <f t="shared" si="1"/>
        <v>38.340000000000003</v>
      </c>
      <c r="H17" s="630">
        <f t="shared" si="2"/>
        <v>38.340000000000003</v>
      </c>
      <c r="I17" s="65">
        <f>VLOOKUP(B17,All_Ingredients!$A$1:$F$156,6,FALSE())</f>
        <v>1</v>
      </c>
      <c r="J17" s="101">
        <f>VLOOKUP(B17,All_Ingredients!$A$1:$J$156,10,FALSE())</f>
        <v>3.25</v>
      </c>
      <c r="K17" s="104">
        <f t="shared" si="3"/>
        <v>3.8340000000000006E-2</v>
      </c>
      <c r="L17" s="104">
        <f t="shared" si="4"/>
        <v>0.12460500000000002</v>
      </c>
    </row>
    <row r="18" spans="2:29" x14ac:dyDescent="0.2">
      <c r="B18" s="633" t="s">
        <v>837</v>
      </c>
      <c r="C18" s="641" t="s">
        <v>14</v>
      </c>
      <c r="D18" s="676">
        <v>15</v>
      </c>
      <c r="E18" s="632">
        <f t="shared" si="0"/>
        <v>0.38340000000000002</v>
      </c>
      <c r="F18" s="631">
        <v>1</v>
      </c>
      <c r="G18" s="675">
        <f t="shared" si="1"/>
        <v>5.7510000000000003</v>
      </c>
      <c r="H18" s="630">
        <f t="shared" si="2"/>
        <v>5.7510000000000003</v>
      </c>
      <c r="I18" s="65">
        <f>VLOOKUP(B18,All_Ingredients!$A$1:$F$156,6,FALSE())</f>
        <v>1</v>
      </c>
      <c r="J18" s="101">
        <f>VLOOKUP(B18,All_Ingredients!$A$1:$J$156,10,FALSE())</f>
        <v>22.5</v>
      </c>
      <c r="K18" s="104">
        <f t="shared" si="3"/>
        <v>5.751E-3</v>
      </c>
      <c r="L18" s="104">
        <f t="shared" si="4"/>
        <v>0.1293975</v>
      </c>
    </row>
    <row r="19" spans="2:29" x14ac:dyDescent="0.2">
      <c r="B19" s="633" t="s">
        <v>478</v>
      </c>
      <c r="C19" s="641" t="s">
        <v>14</v>
      </c>
      <c r="D19" s="676">
        <v>125</v>
      </c>
      <c r="E19" s="632">
        <f t="shared" si="0"/>
        <v>0.38340000000000002</v>
      </c>
      <c r="F19" s="631">
        <v>1</v>
      </c>
      <c r="G19" s="675">
        <f t="shared" si="1"/>
        <v>47.925000000000004</v>
      </c>
      <c r="H19" s="630">
        <f t="shared" si="2"/>
        <v>47.925000000000004</v>
      </c>
      <c r="I19" s="65">
        <f>VLOOKUP(B19,All_Ingredients!$A$1:$F$156,6,FALSE())</f>
        <v>1</v>
      </c>
      <c r="J19" s="101">
        <f>VLOOKUP(B19,All_Ingredients!$A$1:$J$156,10,FALSE())</f>
        <v>16.666666666666668</v>
      </c>
      <c r="K19" s="104">
        <f t="shared" si="3"/>
        <v>4.7925000000000002E-2</v>
      </c>
      <c r="L19" s="104">
        <f t="shared" si="4"/>
        <v>0.79875000000000007</v>
      </c>
      <c r="R19" s="629" t="s">
        <v>531</v>
      </c>
    </row>
    <row r="20" spans="2:29" ht="15" x14ac:dyDescent="0.2">
      <c r="B20" s="605" t="s">
        <v>203</v>
      </c>
      <c r="C20" s="1213" t="s">
        <v>160</v>
      </c>
      <c r="D20" s="606">
        <v>2000</v>
      </c>
      <c r="E20" s="640">
        <f t="shared" ref="E20" si="5">$I$1</f>
        <v>0.38340000000000002</v>
      </c>
      <c r="F20" s="631">
        <v>1</v>
      </c>
      <c r="G20" s="639">
        <f t="shared" si="1"/>
        <v>766.80000000000007</v>
      </c>
      <c r="H20" s="638">
        <f t="shared" si="2"/>
        <v>766.80000000000007</v>
      </c>
      <c r="I20" s="65">
        <f>VLOOKUP(B20,All_Ingredients!$A$1:$F$156,6,FALSE())</f>
        <v>1</v>
      </c>
      <c r="J20" s="101">
        <f>VLOOKUP(B20,All_Ingredients!$A$1:$J$156,10,FALSE())</f>
        <v>0</v>
      </c>
      <c r="K20" s="104">
        <f t="shared" si="3"/>
        <v>0.76680000000000004</v>
      </c>
      <c r="L20" s="104">
        <f t="shared" si="4"/>
        <v>0</v>
      </c>
    </row>
    <row r="21" spans="2:29" ht="13.5" customHeight="1" x14ac:dyDescent="0.2">
      <c r="N21" s="1669"/>
      <c r="O21" s="1669"/>
    </row>
    <row r="24" spans="2:29" x14ac:dyDescent="0.2">
      <c r="Z24" s="1125"/>
    </row>
    <row r="25" spans="2:29" ht="14.25" x14ac:dyDescent="0.2">
      <c r="R25" s="1728" t="s">
        <v>901</v>
      </c>
      <c r="S25" s="1728"/>
      <c r="T25" s="1728"/>
      <c r="Z25" s="122" t="s">
        <v>14</v>
      </c>
      <c r="AA25" s="1145">
        <v>3.2</v>
      </c>
      <c r="AB25" s="122" t="s">
        <v>249</v>
      </c>
      <c r="AC25" s="124">
        <f>(T33/T29)*AA25</f>
        <v>2.7505037619250234E-2</v>
      </c>
    </row>
    <row r="26" spans="2:29" ht="14.25" x14ac:dyDescent="0.2">
      <c r="R26" s="645" t="s">
        <v>254</v>
      </c>
      <c r="S26" s="645" t="s">
        <v>510</v>
      </c>
      <c r="T26" s="645" t="s">
        <v>535</v>
      </c>
    </row>
    <row r="27" spans="2:29" ht="14.25" x14ac:dyDescent="0.2">
      <c r="R27" s="645" t="s">
        <v>511</v>
      </c>
      <c r="S27" s="1197">
        <f>Z1</f>
        <v>12780</v>
      </c>
      <c r="T27" s="1199">
        <f>S27*0.15</f>
        <v>1917</v>
      </c>
    </row>
    <row r="28" spans="2:29" ht="14.25" x14ac:dyDescent="0.2">
      <c r="O28" s="661"/>
      <c r="P28" s="661"/>
      <c r="Q28" s="661"/>
      <c r="R28" s="645"/>
      <c r="S28" s="1198">
        <f>AB1</f>
        <v>0</v>
      </c>
      <c r="T28" s="1209"/>
      <c r="U28" s="661"/>
    </row>
    <row r="29" spans="2:29" ht="14.25" x14ac:dyDescent="0.2">
      <c r="O29" s="661"/>
      <c r="P29" s="661"/>
      <c r="Q29" s="661"/>
      <c r="R29" s="645"/>
      <c r="S29" s="1210">
        <f>S27+S28</f>
        <v>12780</v>
      </c>
      <c r="T29" s="1576">
        <f>S29*0.15</f>
        <v>1917</v>
      </c>
      <c r="U29" s="661"/>
    </row>
    <row r="30" spans="2:29" x14ac:dyDescent="0.2">
      <c r="O30" s="661"/>
      <c r="P30" s="661"/>
      <c r="Q30" s="661"/>
      <c r="U30" s="661"/>
    </row>
    <row r="31" spans="2:29" ht="15" x14ac:dyDescent="0.25">
      <c r="O31" s="745"/>
      <c r="P31" s="672"/>
      <c r="Q31" s="672"/>
      <c r="R31" s="672"/>
      <c r="S31" s="661"/>
      <c r="T31" s="672"/>
      <c r="U31" s="661"/>
      <c r="Y31" s="629">
        <v>30000</v>
      </c>
      <c r="Z31" s="629">
        <v>5000</v>
      </c>
      <c r="AA31" s="629">
        <f>Y31+Z31</f>
        <v>35000</v>
      </c>
    </row>
    <row r="32" spans="2:29" ht="15" thickBot="1" x14ac:dyDescent="0.25">
      <c r="O32" s="672"/>
      <c r="P32" s="672"/>
      <c r="Q32" s="672"/>
      <c r="R32" s="672"/>
      <c r="S32" s="672"/>
      <c r="T32" s="661"/>
      <c r="U32" s="661"/>
      <c r="Y32" s="1202">
        <f>Y31/AA31</f>
        <v>0.8571428571428571</v>
      </c>
      <c r="Z32" s="1202">
        <f>Z31/AA31</f>
        <v>0.14285714285714285</v>
      </c>
    </row>
    <row r="33" spans="2:26" ht="15.75" thickBot="1" x14ac:dyDescent="0.3">
      <c r="O33" s="745"/>
      <c r="P33" s="746"/>
      <c r="Q33" s="746"/>
      <c r="R33" s="144" t="s">
        <v>249</v>
      </c>
      <c r="S33" s="990">
        <f>SUM(L5:L19)</f>
        <v>16.477236598782092</v>
      </c>
      <c r="T33" s="1078">
        <f>SUM(L5:L19)</f>
        <v>16.477236598782092</v>
      </c>
      <c r="U33" s="661"/>
      <c r="Y33" s="664">
        <v>0.85</v>
      </c>
      <c r="Z33" s="664">
        <v>0.15</v>
      </c>
    </row>
    <row r="34" spans="2:26" ht="15" x14ac:dyDescent="0.25">
      <c r="O34" s="745"/>
      <c r="P34" s="746"/>
      <c r="Q34" s="746"/>
      <c r="R34" s="672"/>
      <c r="S34" s="672"/>
      <c r="T34" s="661"/>
      <c r="U34" s="661"/>
    </row>
    <row r="35" spans="2:26" ht="15" x14ac:dyDescent="0.25">
      <c r="O35" s="745"/>
      <c r="P35" s="746"/>
      <c r="Q35" s="746"/>
      <c r="R35" s="672"/>
      <c r="S35" s="672"/>
      <c r="T35" s="661"/>
      <c r="U35" s="661"/>
    </row>
    <row r="36" spans="2:26" ht="15" x14ac:dyDescent="0.25">
      <c r="O36" s="745"/>
      <c r="P36" s="746"/>
      <c r="Q36" s="746"/>
      <c r="R36" s="672"/>
      <c r="S36" s="672"/>
      <c r="T36" s="661"/>
      <c r="U36" s="661"/>
    </row>
    <row r="37" spans="2:26" ht="15" x14ac:dyDescent="0.25">
      <c r="O37" s="745"/>
      <c r="P37" s="746"/>
      <c r="Q37" s="746"/>
      <c r="R37" s="672"/>
      <c r="S37" s="672"/>
      <c r="T37" s="661"/>
      <c r="U37" s="661"/>
    </row>
    <row r="38" spans="2:26" ht="15" x14ac:dyDescent="0.25">
      <c r="O38" s="745"/>
      <c r="P38" s="746"/>
      <c r="Q38" s="746"/>
      <c r="R38" s="672"/>
      <c r="S38" s="672"/>
      <c r="T38" s="661"/>
      <c r="U38" s="661"/>
    </row>
    <row r="39" spans="2:26" ht="18" x14ac:dyDescent="0.25">
      <c r="B39" s="668"/>
      <c r="C39" s="668"/>
      <c r="D39" s="668"/>
      <c r="E39" s="668"/>
      <c r="F39" s="668"/>
      <c r="G39" s="668"/>
      <c r="H39" s="668"/>
      <c r="O39" s="745"/>
      <c r="P39" s="746"/>
      <c r="Q39" s="746"/>
      <c r="R39" s="672"/>
      <c r="S39" s="672"/>
      <c r="T39" s="661"/>
      <c r="U39" s="661"/>
    </row>
    <row r="40" spans="2:26" ht="18" x14ac:dyDescent="0.25">
      <c r="B40" s="668"/>
      <c r="C40" s="668"/>
      <c r="D40" s="668"/>
      <c r="E40" s="668"/>
      <c r="F40" s="668"/>
      <c r="G40" s="668"/>
      <c r="H40" s="668"/>
      <c r="I40" s="668"/>
      <c r="O40" s="745"/>
      <c r="P40" s="746"/>
      <c r="Q40" s="746"/>
      <c r="R40" s="672"/>
      <c r="S40" s="672"/>
      <c r="T40" s="661"/>
      <c r="U40" s="661"/>
    </row>
    <row r="41" spans="2:26" ht="18" customHeight="1" x14ac:dyDescent="0.25">
      <c r="B41" s="670"/>
      <c r="C41" s="671"/>
      <c r="D41" s="670"/>
      <c r="E41" s="670"/>
      <c r="F41" s="667"/>
      <c r="G41" s="670"/>
      <c r="H41" s="669"/>
      <c r="I41" s="668"/>
      <c r="O41" s="745"/>
      <c r="P41" s="746"/>
      <c r="Q41" s="746"/>
      <c r="R41" s="672"/>
      <c r="S41" s="672"/>
      <c r="T41" s="661"/>
      <c r="U41" s="661"/>
    </row>
    <row r="42" spans="2:26" ht="28.5" customHeight="1" x14ac:dyDescent="0.25">
      <c r="B42" s="636"/>
      <c r="C42" s="636"/>
      <c r="D42" s="636"/>
      <c r="E42" s="674"/>
      <c r="F42" s="674"/>
      <c r="G42" s="664"/>
      <c r="H42" s="673"/>
      <c r="I42" s="667"/>
      <c r="O42" s="745"/>
      <c r="P42" s="746"/>
      <c r="Q42" s="746"/>
      <c r="R42" s="672"/>
      <c r="S42" s="672"/>
      <c r="T42" s="661"/>
      <c r="U42" s="661"/>
    </row>
    <row r="43" spans="2:26" ht="15" x14ac:dyDescent="0.25">
      <c r="B43" s="636"/>
      <c r="C43" s="636"/>
      <c r="D43" s="636"/>
      <c r="E43" s="674"/>
      <c r="F43" s="674"/>
      <c r="G43" s="664"/>
      <c r="H43" s="673"/>
      <c r="I43" s="662"/>
      <c r="O43" s="745"/>
      <c r="P43" s="746"/>
      <c r="Q43" s="746"/>
      <c r="R43" s="672"/>
      <c r="S43" s="672"/>
      <c r="T43" s="661"/>
      <c r="U43" s="661"/>
    </row>
    <row r="44" spans="2:26" ht="15" x14ac:dyDescent="0.25">
      <c r="B44" s="636"/>
      <c r="C44" s="636"/>
      <c r="D44" s="636"/>
      <c r="E44" s="674"/>
      <c r="F44" s="674"/>
      <c r="G44" s="664"/>
      <c r="H44" s="673"/>
      <c r="I44" s="662"/>
      <c r="O44" s="745"/>
      <c r="P44" s="746"/>
      <c r="Q44" s="746"/>
      <c r="R44" s="672"/>
      <c r="S44" s="672"/>
      <c r="T44" s="661"/>
      <c r="U44" s="661"/>
    </row>
    <row r="45" spans="2:26" ht="15" x14ac:dyDescent="0.25">
      <c r="B45" s="636"/>
      <c r="C45" s="636"/>
      <c r="D45" s="636"/>
      <c r="E45" s="674"/>
      <c r="F45" s="674"/>
      <c r="G45" s="664"/>
      <c r="H45" s="673"/>
      <c r="I45" s="662"/>
      <c r="O45" s="745"/>
      <c r="P45" s="746"/>
      <c r="Q45" s="746"/>
      <c r="R45" s="672"/>
      <c r="S45" s="672"/>
      <c r="T45" s="661"/>
      <c r="U45" s="661"/>
    </row>
    <row r="46" spans="2:26" ht="15" x14ac:dyDescent="0.25">
      <c r="B46" s="636"/>
      <c r="C46" s="636"/>
      <c r="D46" s="636"/>
      <c r="E46" s="674"/>
      <c r="F46" s="674"/>
      <c r="G46" s="664"/>
      <c r="H46" s="673"/>
      <c r="I46" s="662"/>
      <c r="O46" s="745"/>
      <c r="P46" s="746"/>
      <c r="Q46" s="746"/>
      <c r="R46" s="672"/>
      <c r="S46" s="672"/>
      <c r="T46" s="661"/>
      <c r="U46" s="661"/>
    </row>
    <row r="47" spans="2:26" ht="15" x14ac:dyDescent="0.25">
      <c r="B47" s="636"/>
      <c r="C47" s="636"/>
      <c r="D47" s="636"/>
      <c r="E47" s="674"/>
      <c r="F47" s="674"/>
      <c r="G47" s="664"/>
      <c r="H47" s="673"/>
      <c r="I47" s="662"/>
      <c r="O47" s="745"/>
      <c r="P47" s="746"/>
      <c r="Q47" s="746"/>
      <c r="R47" s="672"/>
      <c r="S47" s="672"/>
      <c r="T47" s="661"/>
      <c r="U47" s="661"/>
    </row>
    <row r="48" spans="2:26" ht="15" x14ac:dyDescent="0.25">
      <c r="I48" s="662"/>
      <c r="O48" s="745"/>
      <c r="P48" s="746"/>
      <c r="Q48" s="746"/>
      <c r="R48" s="672"/>
      <c r="S48" s="672"/>
      <c r="T48" s="661"/>
      <c r="U48" s="661"/>
    </row>
    <row r="49" spans="1:21" ht="15" x14ac:dyDescent="0.25">
      <c r="O49" s="745"/>
      <c r="P49" s="746"/>
      <c r="Q49" s="746"/>
      <c r="R49" s="672"/>
      <c r="S49" s="672"/>
      <c r="T49" s="661"/>
      <c r="U49" s="661"/>
    </row>
    <row r="50" spans="1:21" ht="14.25" x14ac:dyDescent="0.2">
      <c r="B50" s="204" t="s">
        <v>310</v>
      </c>
      <c r="C50" s="204" t="s">
        <v>233</v>
      </c>
      <c r="D50" s="204" t="s">
        <v>279</v>
      </c>
      <c r="O50" s="661"/>
      <c r="P50" s="661"/>
      <c r="Q50" s="661"/>
      <c r="R50" s="661"/>
      <c r="S50" s="661"/>
      <c r="T50" s="661"/>
      <c r="U50" s="661"/>
    </row>
    <row r="51" spans="1:21" ht="14.25" x14ac:dyDescent="0.2">
      <c r="B51" s="161" t="s">
        <v>283</v>
      </c>
      <c r="C51" s="162">
        <f>5/$K$1</f>
        <v>5</v>
      </c>
      <c r="D51" s="163">
        <f>$C$1</f>
        <v>5000</v>
      </c>
    </row>
    <row r="52" spans="1:21" ht="14.25" x14ac:dyDescent="0.2">
      <c r="B52" s="209" t="s">
        <v>257</v>
      </c>
      <c r="C52" s="211">
        <f>G1</f>
        <v>0.38340000000000002</v>
      </c>
      <c r="D52" s="211">
        <f>E1</f>
        <v>1917</v>
      </c>
    </row>
    <row r="53" spans="1:21" ht="18" x14ac:dyDescent="0.2">
      <c r="B53" s="209" t="s">
        <v>284</v>
      </c>
      <c r="C53" s="212">
        <f>MIN($C$52, $C$51)</f>
        <v>0.38340000000000002</v>
      </c>
      <c r="D53" s="211">
        <f>(C53*$K$1)*1000</f>
        <v>383.40000000000003</v>
      </c>
      <c r="E53" s="668"/>
      <c r="F53" s="668"/>
      <c r="G53" s="668"/>
      <c r="H53" s="668"/>
    </row>
    <row r="54" spans="1:21" ht="18" x14ac:dyDescent="0.2">
      <c r="B54" s="209" t="s">
        <v>285</v>
      </c>
      <c r="C54" s="212">
        <f>MIN(MAX($C$52-C53,0),$C$51)</f>
        <v>0</v>
      </c>
      <c r="D54" s="211">
        <f>(C54*$K$1)*1000</f>
        <v>0</v>
      </c>
      <c r="E54" s="668"/>
      <c r="F54" s="668"/>
      <c r="G54" s="668"/>
      <c r="H54" s="668"/>
      <c r="I54" s="668"/>
    </row>
    <row r="55" spans="1:21" ht="18" customHeight="1" x14ac:dyDescent="0.2">
      <c r="B55" s="209" t="s">
        <v>286</v>
      </c>
      <c r="C55" s="212">
        <f>MIN(MAX($C$52-C53-C54,0),$C$51)</f>
        <v>0</v>
      </c>
      <c r="D55" s="211">
        <f>(C55*$K$1)*1000</f>
        <v>0</v>
      </c>
      <c r="E55" s="670"/>
      <c r="F55" s="667"/>
      <c r="G55" s="670"/>
      <c r="H55" s="669"/>
      <c r="I55" s="668"/>
    </row>
    <row r="56" spans="1:21" x14ac:dyDescent="0.2">
      <c r="B56" s="636"/>
      <c r="C56" s="636"/>
      <c r="D56" s="636"/>
      <c r="E56" s="666"/>
      <c r="F56" s="665"/>
      <c r="G56" s="664"/>
      <c r="H56" s="663"/>
      <c r="I56" s="667"/>
    </row>
    <row r="57" spans="1:21" x14ac:dyDescent="0.2">
      <c r="B57" s="636"/>
      <c r="C57" s="636"/>
      <c r="D57" s="636"/>
      <c r="E57" s="666"/>
      <c r="F57" s="665"/>
      <c r="G57" s="664"/>
      <c r="H57" s="663"/>
      <c r="I57" s="662"/>
    </row>
    <row r="58" spans="1:21" x14ac:dyDescent="0.2">
      <c r="B58" s="636"/>
      <c r="C58" s="636"/>
      <c r="D58" s="636"/>
      <c r="E58" s="666"/>
      <c r="F58" s="665"/>
      <c r="G58" s="664"/>
      <c r="H58" s="663"/>
      <c r="I58" s="662"/>
    </row>
    <row r="59" spans="1:21" x14ac:dyDescent="0.2">
      <c r="B59" s="636"/>
      <c r="C59" s="636"/>
      <c r="D59" s="636"/>
      <c r="E59" s="666"/>
      <c r="F59" s="665"/>
      <c r="G59" s="664"/>
      <c r="H59" s="663"/>
      <c r="I59" s="662"/>
    </row>
    <row r="60" spans="1:21" x14ac:dyDescent="0.2">
      <c r="B60" s="636"/>
      <c r="C60" s="636"/>
      <c r="D60" s="636"/>
      <c r="E60" s="666"/>
      <c r="F60" s="665"/>
      <c r="G60" s="664"/>
      <c r="H60" s="663"/>
      <c r="I60" s="662"/>
    </row>
    <row r="61" spans="1:21" x14ac:dyDescent="0.2">
      <c r="B61" s="636"/>
      <c r="C61" s="636"/>
      <c r="D61" s="636"/>
      <c r="E61" s="666"/>
      <c r="F61" s="665"/>
      <c r="G61" s="664"/>
      <c r="H61" s="663"/>
      <c r="I61" s="662"/>
    </row>
    <row r="62" spans="1:21" ht="18" x14ac:dyDescent="0.2">
      <c r="A62" s="1464"/>
      <c r="B62" s="1636"/>
      <c r="C62" s="1637"/>
      <c r="D62" s="1637"/>
      <c r="E62" s="1637"/>
      <c r="F62" s="1637"/>
      <c r="G62" s="1637"/>
      <c r="H62" s="1637"/>
      <c r="I62" s="662"/>
    </row>
    <row r="63" spans="1:21" ht="14.25" x14ac:dyDescent="0.2">
      <c r="A63" s="1464"/>
      <c r="B63" s="1634" t="s">
        <v>901</v>
      </c>
      <c r="C63" s="1635"/>
      <c r="D63" s="1635"/>
      <c r="E63" s="1635"/>
      <c r="F63" s="1635"/>
      <c r="G63" s="1635"/>
      <c r="H63" s="1635"/>
    </row>
    <row r="64" spans="1:21" ht="51" x14ac:dyDescent="0.2">
      <c r="A64" s="1457"/>
      <c r="B64" s="221" t="s">
        <v>241</v>
      </c>
      <c r="C64" s="222" t="s">
        <v>242</v>
      </c>
      <c r="D64" s="223" t="s">
        <v>231</v>
      </c>
      <c r="E64" s="197" t="s">
        <v>234</v>
      </c>
      <c r="F64" s="197" t="s">
        <v>243</v>
      </c>
      <c r="G64" s="223" t="s">
        <v>244</v>
      </c>
      <c r="H64" s="197" t="s">
        <v>245</v>
      </c>
    </row>
    <row r="65" spans="1:8" ht="14.25" x14ac:dyDescent="0.2">
      <c r="A65" s="1460"/>
      <c r="B65" s="299" t="str">
        <f>B5</f>
        <v>Ginger - زنجبيل</v>
      </c>
      <c r="C65" s="106" t="str">
        <f t="shared" ref="B65:D67" si="6">C5</f>
        <v>gm</v>
      </c>
      <c r="D65" s="98">
        <f t="shared" si="6"/>
        <v>125</v>
      </c>
      <c r="E65" s="98">
        <f>$C$52</f>
        <v>0.38340000000000002</v>
      </c>
      <c r="F65" s="109">
        <f t="shared" ref="F65:F80" si="7">F5</f>
        <v>1</v>
      </c>
      <c r="G65" s="101">
        <f t="shared" ref="G65:G67" si="8">D65*E65</f>
        <v>47.925000000000004</v>
      </c>
      <c r="H65" s="102">
        <f t="shared" ref="H65:H67" si="9">G65*F65</f>
        <v>47.925000000000004</v>
      </c>
    </row>
    <row r="66" spans="1:8" ht="14.25" x14ac:dyDescent="0.2">
      <c r="A66" s="1460"/>
      <c r="B66" s="299" t="str">
        <f t="shared" si="6"/>
        <v>Garlic - ثوم مقشر</v>
      </c>
      <c r="C66" s="106" t="str">
        <f t="shared" si="6"/>
        <v>gm</v>
      </c>
      <c r="D66" s="98">
        <f t="shared" si="6"/>
        <v>250</v>
      </c>
      <c r="E66" s="98">
        <f t="shared" ref="E66:E80" si="10">$C$52</f>
        <v>0.38340000000000002</v>
      </c>
      <c r="F66" s="109">
        <f t="shared" si="7"/>
        <v>1</v>
      </c>
      <c r="G66" s="101">
        <f t="shared" si="8"/>
        <v>95.850000000000009</v>
      </c>
      <c r="H66" s="102">
        <f t="shared" si="9"/>
        <v>95.850000000000009</v>
      </c>
    </row>
    <row r="67" spans="1:8" ht="14.25" x14ac:dyDescent="0.2">
      <c r="A67" s="1460"/>
      <c r="B67" s="299" t="str">
        <f t="shared" si="6"/>
        <v>Light Soy Sauce - صويا صوص خفيف</v>
      </c>
      <c r="C67" s="106" t="str">
        <f t="shared" si="6"/>
        <v>gm</v>
      </c>
      <c r="D67" s="98">
        <f t="shared" si="6"/>
        <v>250</v>
      </c>
      <c r="E67" s="98">
        <f t="shared" si="10"/>
        <v>0.38340000000000002</v>
      </c>
      <c r="F67" s="109">
        <f t="shared" si="7"/>
        <v>1</v>
      </c>
      <c r="G67" s="101">
        <f t="shared" si="8"/>
        <v>95.850000000000009</v>
      </c>
      <c r="H67" s="102">
        <f t="shared" si="9"/>
        <v>95.850000000000009</v>
      </c>
    </row>
    <row r="68" spans="1:8" ht="14.25" x14ac:dyDescent="0.2">
      <c r="A68" s="1460"/>
      <c r="B68" s="299" t="str">
        <f t="shared" ref="B68:D68" si="11">B8</f>
        <v>Carrot - جزر</v>
      </c>
      <c r="C68" s="106" t="str">
        <f t="shared" si="11"/>
        <v>gm</v>
      </c>
      <c r="D68" s="98">
        <f t="shared" si="11"/>
        <v>500</v>
      </c>
      <c r="E68" s="98">
        <f t="shared" si="10"/>
        <v>0.38340000000000002</v>
      </c>
      <c r="F68" s="109">
        <f t="shared" si="7"/>
        <v>1</v>
      </c>
      <c r="G68" s="101">
        <f t="shared" ref="G68:G80" si="12">D68*E68</f>
        <v>191.70000000000002</v>
      </c>
      <c r="H68" s="102">
        <f t="shared" ref="H68:H80" si="13">G68*F68</f>
        <v>191.70000000000002</v>
      </c>
    </row>
    <row r="69" spans="1:8" ht="14.25" x14ac:dyDescent="0.2">
      <c r="A69" s="1460"/>
      <c r="B69" s="299" t="str">
        <f t="shared" ref="B69:D69" si="14">B9</f>
        <v>Green Beans - فاصوليا خضراء</v>
      </c>
      <c r="C69" s="106" t="str">
        <f t="shared" si="14"/>
        <v>gm</v>
      </c>
      <c r="D69" s="98">
        <f t="shared" si="14"/>
        <v>250</v>
      </c>
      <c r="E69" s="98">
        <f t="shared" si="10"/>
        <v>0.38340000000000002</v>
      </c>
      <c r="F69" s="109">
        <f t="shared" si="7"/>
        <v>1</v>
      </c>
      <c r="G69" s="101">
        <f t="shared" si="12"/>
        <v>95.850000000000009</v>
      </c>
      <c r="H69" s="102">
        <f t="shared" si="13"/>
        <v>95.850000000000009</v>
      </c>
    </row>
    <row r="70" spans="1:8" ht="14.25" x14ac:dyDescent="0.2">
      <c r="A70" s="1460"/>
      <c r="B70" s="299" t="str">
        <f t="shared" ref="B70:D70" si="15">B10</f>
        <v>Black Pepper Powder - فلفل أسود مطحون</v>
      </c>
      <c r="C70" s="106" t="str">
        <f t="shared" si="15"/>
        <v>gm</v>
      </c>
      <c r="D70" s="98">
        <f t="shared" si="15"/>
        <v>10</v>
      </c>
      <c r="E70" s="98">
        <f t="shared" si="10"/>
        <v>0.38340000000000002</v>
      </c>
      <c r="F70" s="109">
        <f t="shared" si="7"/>
        <v>1</v>
      </c>
      <c r="G70" s="101">
        <f t="shared" si="12"/>
        <v>3.8340000000000001</v>
      </c>
      <c r="H70" s="102">
        <f t="shared" si="13"/>
        <v>3.8340000000000001</v>
      </c>
    </row>
    <row r="71" spans="1:8" ht="14.25" x14ac:dyDescent="0.2">
      <c r="A71" s="1460"/>
      <c r="B71" s="299" t="str">
        <f t="shared" ref="B71:D71" si="16">B11</f>
        <v xml:space="preserve">Red Bell Pepper - فلفل أحمر </v>
      </c>
      <c r="C71" s="106" t="str">
        <f t="shared" si="16"/>
        <v>gm</v>
      </c>
      <c r="D71" s="98">
        <f t="shared" si="16"/>
        <v>250</v>
      </c>
      <c r="E71" s="98">
        <f t="shared" si="10"/>
        <v>0.38340000000000002</v>
      </c>
      <c r="F71" s="109">
        <f t="shared" si="7"/>
        <v>1</v>
      </c>
      <c r="G71" s="101">
        <f t="shared" si="12"/>
        <v>95.850000000000009</v>
      </c>
      <c r="H71" s="102">
        <f t="shared" si="13"/>
        <v>95.850000000000009</v>
      </c>
    </row>
    <row r="72" spans="1:8" ht="14.25" x14ac:dyDescent="0.2">
      <c r="A72" s="1460"/>
      <c r="B72" s="299" t="str">
        <f t="shared" ref="B72:D72" si="17">B12</f>
        <v xml:space="preserve">Yellow Bell Pepper - فلفل أصفر </v>
      </c>
      <c r="C72" s="106" t="str">
        <f t="shared" si="17"/>
        <v>gm</v>
      </c>
      <c r="D72" s="98">
        <f t="shared" si="17"/>
        <v>250</v>
      </c>
      <c r="E72" s="98">
        <f t="shared" si="10"/>
        <v>0.38340000000000002</v>
      </c>
      <c r="F72" s="109">
        <f t="shared" si="7"/>
        <v>1</v>
      </c>
      <c r="G72" s="101">
        <f t="shared" si="12"/>
        <v>95.850000000000009</v>
      </c>
      <c r="H72" s="102">
        <f t="shared" si="13"/>
        <v>95.850000000000009</v>
      </c>
    </row>
    <row r="73" spans="1:8" ht="14.25" x14ac:dyDescent="0.2">
      <c r="A73" s="1460"/>
      <c r="B73" s="299" t="str">
        <f t="shared" ref="B73:D73" si="18">B13</f>
        <v>Green Bell Pepper - فلفل أخضر رومى</v>
      </c>
      <c r="C73" s="106" t="str">
        <f t="shared" si="18"/>
        <v>gm</v>
      </c>
      <c r="D73" s="98">
        <f t="shared" si="18"/>
        <v>250</v>
      </c>
      <c r="E73" s="98">
        <f t="shared" si="10"/>
        <v>0.38340000000000002</v>
      </c>
      <c r="F73" s="109">
        <f t="shared" si="7"/>
        <v>1</v>
      </c>
      <c r="G73" s="101">
        <f t="shared" si="12"/>
        <v>95.850000000000009</v>
      </c>
      <c r="H73" s="102">
        <f t="shared" si="13"/>
        <v>95.850000000000009</v>
      </c>
    </row>
    <row r="74" spans="1:8" ht="14.25" x14ac:dyDescent="0.2">
      <c r="A74" s="1460"/>
      <c r="B74" s="299" t="str">
        <f t="shared" ref="B74:D74" si="19">B14</f>
        <v>Cashew Nut - كاجو</v>
      </c>
      <c r="C74" s="106" t="str">
        <f t="shared" si="19"/>
        <v>gm</v>
      </c>
      <c r="D74" s="98">
        <f t="shared" si="19"/>
        <v>250</v>
      </c>
      <c r="E74" s="98">
        <f t="shared" si="10"/>
        <v>0.38340000000000002</v>
      </c>
      <c r="F74" s="109">
        <f t="shared" si="7"/>
        <v>1</v>
      </c>
      <c r="G74" s="101">
        <f t="shared" si="12"/>
        <v>95.850000000000009</v>
      </c>
      <c r="H74" s="102">
        <f t="shared" si="13"/>
        <v>95.850000000000009</v>
      </c>
    </row>
    <row r="75" spans="1:8" ht="14.25" x14ac:dyDescent="0.2">
      <c r="A75" s="1460"/>
      <c r="B75" s="299" t="str">
        <f t="shared" ref="B75:D75" si="20">B15</f>
        <v>Sriracha Sauce - صوص سريراتشا</v>
      </c>
      <c r="C75" s="106" t="str">
        <f t="shared" si="20"/>
        <v>ml</v>
      </c>
      <c r="D75" s="98">
        <f t="shared" si="20"/>
        <v>100</v>
      </c>
      <c r="E75" s="98">
        <f t="shared" si="10"/>
        <v>0.38340000000000002</v>
      </c>
      <c r="F75" s="109">
        <f t="shared" si="7"/>
        <v>1</v>
      </c>
      <c r="G75" s="101">
        <f t="shared" si="12"/>
        <v>38.340000000000003</v>
      </c>
      <c r="H75" s="102">
        <f t="shared" si="13"/>
        <v>38.340000000000003</v>
      </c>
    </row>
    <row r="76" spans="1:8" ht="14.25" x14ac:dyDescent="0.2">
      <c r="A76" s="1460"/>
      <c r="B76" s="299" t="str">
        <f t="shared" ref="B76:D76" si="21">B16</f>
        <v>Chicken Stock - مرق دجاج</v>
      </c>
      <c r="C76" s="106" t="str">
        <f t="shared" si="21"/>
        <v>gm</v>
      </c>
      <c r="D76" s="98">
        <f t="shared" si="21"/>
        <v>100</v>
      </c>
      <c r="E76" s="98">
        <f t="shared" si="10"/>
        <v>0.38340000000000002</v>
      </c>
      <c r="F76" s="109">
        <f t="shared" si="7"/>
        <v>1</v>
      </c>
      <c r="G76" s="101">
        <f t="shared" si="12"/>
        <v>38.340000000000003</v>
      </c>
      <c r="H76" s="102">
        <f t="shared" si="13"/>
        <v>38.340000000000003</v>
      </c>
    </row>
    <row r="77" spans="1:8" ht="14.25" x14ac:dyDescent="0.2">
      <c r="A77" s="1460"/>
      <c r="B77" s="299" t="str">
        <f t="shared" ref="B77:D77" si="22">B17</f>
        <v>Tomato Ketchup - كاتشب طماطم</v>
      </c>
      <c r="C77" s="106" t="str">
        <f t="shared" si="22"/>
        <v>ml</v>
      </c>
      <c r="D77" s="98">
        <f t="shared" si="22"/>
        <v>100</v>
      </c>
      <c r="E77" s="98">
        <f t="shared" si="10"/>
        <v>0.38340000000000002</v>
      </c>
      <c r="F77" s="109">
        <f t="shared" si="7"/>
        <v>1</v>
      </c>
      <c r="G77" s="101">
        <f t="shared" si="12"/>
        <v>38.340000000000003</v>
      </c>
      <c r="H77" s="102">
        <f t="shared" si="13"/>
        <v>38.340000000000003</v>
      </c>
    </row>
    <row r="78" spans="1:8" ht="14.25" x14ac:dyDescent="0.2">
      <c r="A78" s="1460"/>
      <c r="B78" s="299" t="str">
        <f t="shared" ref="B78:D78" si="23">B18</f>
        <v>Saffron yellow color powder - لون صفار زعفران بودر</v>
      </c>
      <c r="C78" s="106" t="str">
        <f t="shared" si="23"/>
        <v>gm</v>
      </c>
      <c r="D78" s="98">
        <f t="shared" si="23"/>
        <v>15</v>
      </c>
      <c r="E78" s="98">
        <f t="shared" si="10"/>
        <v>0.38340000000000002</v>
      </c>
      <c r="F78" s="109">
        <f t="shared" si="7"/>
        <v>1</v>
      </c>
      <c r="G78" s="101">
        <f t="shared" si="12"/>
        <v>5.7510000000000003</v>
      </c>
      <c r="H78" s="102">
        <f t="shared" si="13"/>
        <v>5.7510000000000003</v>
      </c>
    </row>
    <row r="79" spans="1:8" ht="14.25" x14ac:dyDescent="0.2">
      <c r="A79" s="1460"/>
      <c r="B79" s="299" t="str">
        <f t="shared" ref="B79:D80" si="24">B19</f>
        <v>Frozen Green Peas - بازلاء خضراء مجمده</v>
      </c>
      <c r="C79" s="106" t="str">
        <f t="shared" si="24"/>
        <v>gm</v>
      </c>
      <c r="D79" s="98">
        <f t="shared" si="24"/>
        <v>125</v>
      </c>
      <c r="E79" s="98">
        <f t="shared" si="10"/>
        <v>0.38340000000000002</v>
      </c>
      <c r="F79" s="109">
        <f t="shared" si="7"/>
        <v>1</v>
      </c>
      <c r="G79" s="101">
        <f t="shared" si="12"/>
        <v>47.925000000000004</v>
      </c>
      <c r="H79" s="102">
        <f t="shared" si="13"/>
        <v>47.925000000000004</v>
      </c>
    </row>
    <row r="80" spans="1:8" ht="14.25" x14ac:dyDescent="0.2">
      <c r="A80" s="1460"/>
      <c r="B80" s="299" t="str">
        <f t="shared" si="24"/>
        <v>Water - ماء</v>
      </c>
      <c r="C80" s="106" t="str">
        <f t="shared" si="24"/>
        <v>ml</v>
      </c>
      <c r="D80" s="98">
        <f t="shared" si="24"/>
        <v>2000</v>
      </c>
      <c r="E80" s="98">
        <f t="shared" si="10"/>
        <v>0.38340000000000002</v>
      </c>
      <c r="F80" s="109">
        <f t="shared" si="7"/>
        <v>1</v>
      </c>
      <c r="G80" s="101">
        <f t="shared" si="12"/>
        <v>766.80000000000007</v>
      </c>
      <c r="H80" s="102">
        <f t="shared" si="13"/>
        <v>766.80000000000007</v>
      </c>
    </row>
    <row r="81" spans="2:2" ht="15.75" x14ac:dyDescent="0.2">
      <c r="B81" s="178" t="s">
        <v>706</v>
      </c>
    </row>
    <row r="82" spans="2:2" ht="20.25" x14ac:dyDescent="0.3">
      <c r="B82" s="179">
        <f>D52</f>
        <v>1917</v>
      </c>
    </row>
  </sheetData>
  <mergeCells count="8">
    <mergeCell ref="B62:H62"/>
    <mergeCell ref="B63:H63"/>
    <mergeCell ref="R25:T25"/>
    <mergeCell ref="A2:A3"/>
    <mergeCell ref="B2:H3"/>
    <mergeCell ref="K2:K3"/>
    <mergeCell ref="N14:O14"/>
    <mergeCell ref="N21:O21"/>
  </mergeCells>
  <printOptions horizontalCentered="1"/>
  <pageMargins left="0.5" right="0.5" top="1" bottom="0.5" header="0.3" footer="0.511811023622047"/>
  <pageSetup paperSize="9" scale="22" orientation="portrait" r:id="rId1"/>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tabColor theme="5" tint="-0.249977111117893"/>
    <pageSetUpPr fitToPage="1"/>
  </sheetPr>
  <dimension ref="A1:AT174"/>
  <sheetViews>
    <sheetView topLeftCell="H1" zoomScale="64" zoomScaleNormal="64" workbookViewId="0">
      <selection activeCell="A5" sqref="A5:A174"/>
    </sheetView>
  </sheetViews>
  <sheetFormatPr defaultColWidth="12.5" defaultRowHeight="15" x14ac:dyDescent="0.25"/>
  <cols>
    <col min="1" max="1" width="12.5" style="63" customWidth="1"/>
    <col min="2" max="2" width="28.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4.625" style="14" customWidth="1"/>
    <col min="15" max="17" width="12.5" style="14" customWidth="1"/>
    <col min="18" max="18" width="35.125" style="14" customWidth="1"/>
    <col min="19" max="19" width="12.5" style="14" customWidth="1"/>
    <col min="20" max="23" width="12.5" style="14"/>
    <col min="24" max="24" width="21.625" style="14" bestFit="1" customWidth="1"/>
    <col min="25" max="26" width="12.5" style="14"/>
    <col min="27" max="28" width="11" style="14" bestFit="1" customWidth="1"/>
    <col min="29" max="29" width="11.75" style="14" bestFit="1" customWidth="1"/>
    <col min="30" max="30" width="13.25" style="14" bestFit="1" customWidth="1"/>
    <col min="31" max="31" width="11.375" style="14" bestFit="1" customWidth="1"/>
    <col min="32" max="34" width="5.375" style="14" customWidth="1"/>
    <col min="35" max="35" width="12.5" style="14"/>
    <col min="36" max="36" width="40" style="14" customWidth="1"/>
    <col min="37" max="16384" width="12.5" style="14"/>
  </cols>
  <sheetData>
    <row r="1" spans="1:46" ht="35.25" customHeight="1" x14ac:dyDescent="0.25">
      <c r="B1" s="64" t="s">
        <v>231</v>
      </c>
      <c r="C1" s="65">
        <v>1000</v>
      </c>
      <c r="D1" s="66" t="s">
        <v>232</v>
      </c>
      <c r="E1" s="99">
        <f>T32</f>
        <v>4821.3</v>
      </c>
      <c r="F1" s="64" t="s">
        <v>233</v>
      </c>
      <c r="G1" s="65">
        <f>E1/C1</f>
        <v>4.8212999999999999</v>
      </c>
      <c r="H1" s="64" t="s">
        <v>234</v>
      </c>
      <c r="I1" s="227">
        <f>(G1/K1)</f>
        <v>5.0750526315789477</v>
      </c>
      <c r="J1" s="70" t="s">
        <v>235</v>
      </c>
      <c r="K1" s="65">
        <v>0.95</v>
      </c>
      <c r="L1" s="84"/>
      <c r="M1" s="73"/>
      <c r="N1" s="74"/>
      <c r="O1" s="75" t="s">
        <v>236</v>
      </c>
      <c r="P1" s="76" t="s">
        <v>237</v>
      </c>
      <c r="Q1" s="77" t="s">
        <v>238</v>
      </c>
      <c r="R1" s="76">
        <v>0.59</v>
      </c>
      <c r="Y1" s="75" t="s">
        <v>453</v>
      </c>
      <c r="Z1" s="766">
        <v>13610</v>
      </c>
      <c r="AA1" s="75" t="s">
        <v>556</v>
      </c>
      <c r="AB1" s="766">
        <v>1000</v>
      </c>
      <c r="AC1" s="75" t="s">
        <v>546</v>
      </c>
      <c r="AD1" s="766">
        <v>92</v>
      </c>
      <c r="AE1" s="228"/>
      <c r="AF1" s="230"/>
      <c r="AG1" s="76"/>
      <c r="AI1" s="63"/>
      <c r="AJ1" s="78" t="s">
        <v>250</v>
      </c>
      <c r="AK1" s="78">
        <v>10000</v>
      </c>
      <c r="AL1" s="561" t="s">
        <v>483</v>
      </c>
      <c r="AM1" s="562">
        <f>$S$32</f>
        <v>9920.19</v>
      </c>
      <c r="AN1" s="78" t="s">
        <v>239</v>
      </c>
      <c r="AO1" s="305">
        <f>((S32)/$R$1)/$AK$1</f>
        <v>1.6813881355932205</v>
      </c>
      <c r="AP1" s="79"/>
    </row>
    <row r="2" spans="1:46" ht="15.75" customHeight="1" x14ac:dyDescent="0.25">
      <c r="A2" s="81"/>
      <c r="B2" s="82"/>
      <c r="C2" s="82"/>
      <c r="D2" s="82"/>
      <c r="E2" s="82"/>
      <c r="F2" s="1688" t="s">
        <v>123</v>
      </c>
      <c r="G2" s="82"/>
      <c r="H2" s="82"/>
      <c r="I2" s="82"/>
      <c r="J2" s="82"/>
      <c r="K2" s="82"/>
      <c r="L2" s="270"/>
      <c r="M2" s="84"/>
      <c r="N2" s="84"/>
      <c r="O2" s="84"/>
      <c r="P2" s="84"/>
      <c r="Q2" s="84"/>
      <c r="R2" s="84"/>
      <c r="AC2" s="83"/>
      <c r="AD2" s="83"/>
      <c r="AE2" s="1652"/>
      <c r="AF2" s="1655"/>
      <c r="AG2" s="1655"/>
      <c r="AI2" s="63"/>
      <c r="AJ2" s="85"/>
      <c r="AK2" s="1631" t="s">
        <v>433</v>
      </c>
      <c r="AL2" s="1631"/>
      <c r="AM2" s="1631"/>
      <c r="AN2" s="1631"/>
      <c r="AO2" s="85"/>
      <c r="AP2" s="85"/>
    </row>
    <row r="3" spans="1:46" ht="15.75" customHeight="1" x14ac:dyDescent="0.25">
      <c r="A3" s="81"/>
      <c r="B3" s="87"/>
      <c r="C3" s="87"/>
      <c r="D3" s="87"/>
      <c r="E3" s="87"/>
      <c r="F3" s="1633"/>
      <c r="G3" s="87"/>
      <c r="H3" s="87"/>
      <c r="I3" s="87"/>
      <c r="J3" s="87"/>
      <c r="K3" s="87"/>
      <c r="L3" s="270"/>
      <c r="M3" s="84"/>
      <c r="N3" s="84"/>
      <c r="O3" s="84"/>
      <c r="P3" s="84"/>
      <c r="Q3" s="84"/>
      <c r="R3" s="84"/>
      <c r="AC3" s="83"/>
      <c r="AD3" s="83"/>
      <c r="AE3" s="1655"/>
      <c r="AF3" s="1655"/>
      <c r="AG3" s="1655"/>
      <c r="AI3" s="63"/>
      <c r="AJ3" s="85"/>
      <c r="AK3" s="85"/>
      <c r="AL3" s="85"/>
      <c r="AM3" s="85"/>
      <c r="AN3" s="1655"/>
      <c r="AO3" s="85"/>
      <c r="AP3" s="85"/>
    </row>
    <row r="4" spans="1:46" ht="46.5" customHeight="1" x14ac:dyDescent="0.25">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c r="P4" s="84"/>
      <c r="AC4" s="229"/>
      <c r="AD4" s="231"/>
      <c r="AE4" s="229"/>
      <c r="AF4" s="229"/>
      <c r="AG4" s="229"/>
      <c r="AI4" s="63"/>
      <c r="AJ4" s="78" t="s">
        <v>241</v>
      </c>
      <c r="AK4" s="493" t="s">
        <v>242</v>
      </c>
      <c r="AL4" s="78" t="s">
        <v>250</v>
      </c>
      <c r="AM4" s="78" t="s">
        <v>234</v>
      </c>
      <c r="AN4" s="78" t="s">
        <v>243</v>
      </c>
      <c r="AO4" s="78" t="s">
        <v>244</v>
      </c>
      <c r="AP4" s="78" t="s">
        <v>335</v>
      </c>
      <c r="AQ4" s="75" t="s">
        <v>246</v>
      </c>
      <c r="AR4" s="75" t="s">
        <v>247</v>
      </c>
      <c r="AS4" s="75" t="s">
        <v>248</v>
      </c>
      <c r="AT4" s="75" t="s">
        <v>249</v>
      </c>
    </row>
    <row r="5" spans="1:46" ht="14.25" customHeight="1" x14ac:dyDescent="0.25">
      <c r="A5" s="1454"/>
      <c r="B5" s="286" t="s">
        <v>220</v>
      </c>
      <c r="C5" s="97" t="s">
        <v>14</v>
      </c>
      <c r="D5" s="103">
        <f>I51/10</f>
        <v>3389.8305084745762</v>
      </c>
      <c r="E5" s="99">
        <f>H52</f>
        <v>4.9600950000000008</v>
      </c>
      <c r="F5" s="276">
        <v>1</v>
      </c>
      <c r="G5" s="101">
        <f t="shared" ref="G5:G16" si="0">D5*E5</f>
        <v>16813.881355932204</v>
      </c>
      <c r="H5" s="187">
        <f t="shared" ref="H5:H16" si="1">G5*F5</f>
        <v>16813.881355932204</v>
      </c>
      <c r="I5" s="65">
        <f>VLOOKUP(B5,All_Ingredients!$A$1:$F$156,6,FALSE())</f>
        <v>0.86</v>
      </c>
      <c r="J5" s="101">
        <f>VLOOKUP(B5,All_Ingredients!$A$1:$J$156,10,FALSE())</f>
        <v>17.100000000000001</v>
      </c>
      <c r="K5" s="104">
        <f t="shared" ref="K5" si="2">(H5/I5)/1000</f>
        <v>19.551024832479307</v>
      </c>
      <c r="L5" s="104">
        <f t="shared" ref="L5" si="3">K5*J5</f>
        <v>334.32252463539618</v>
      </c>
      <c r="M5" s="84"/>
      <c r="N5" s="84"/>
      <c r="O5" s="84"/>
      <c r="P5" s="84"/>
      <c r="AC5" s="76"/>
      <c r="AD5" s="114"/>
      <c r="AE5" s="232"/>
      <c r="AF5" s="116"/>
      <c r="AG5" s="117"/>
      <c r="AI5" s="63"/>
      <c r="AJ5" s="350" t="s">
        <v>220</v>
      </c>
      <c r="AK5" s="97" t="s">
        <v>227</v>
      </c>
      <c r="AL5" s="107">
        <v>10</v>
      </c>
      <c r="AM5" s="177">
        <f t="shared" ref="AM5:AM13" si="4">$AO$1</f>
        <v>1.6813881355932205</v>
      </c>
      <c r="AN5" s="276">
        <v>1</v>
      </c>
      <c r="AO5" s="101">
        <f t="shared" ref="AO5:AO13" si="5">AL5*AM5</f>
        <v>16.813881355932207</v>
      </c>
      <c r="AP5" s="187">
        <f t="shared" ref="AP5:AP13" si="6">AO5*AN5</f>
        <v>16.813881355932207</v>
      </c>
      <c r="AQ5" s="272"/>
      <c r="AR5" s="1017"/>
      <c r="AS5" s="156"/>
      <c r="AT5" s="1018"/>
    </row>
    <row r="6" spans="1:46" ht="14.25" customHeight="1" x14ac:dyDescent="0.25">
      <c r="A6" s="1471"/>
      <c r="B6" s="233" t="s">
        <v>198</v>
      </c>
      <c r="C6" s="906" t="s">
        <v>160</v>
      </c>
      <c r="D6" s="107">
        <v>500</v>
      </c>
      <c r="E6" s="177">
        <f t="shared" ref="E6:E17" si="7">$I$1</f>
        <v>5.0750526315789477</v>
      </c>
      <c r="F6" s="276">
        <v>1</v>
      </c>
      <c r="G6" s="101">
        <f t="shared" si="0"/>
        <v>2537.5263157894738</v>
      </c>
      <c r="H6" s="187">
        <f t="shared" si="1"/>
        <v>2537.5263157894738</v>
      </c>
      <c r="I6" s="65">
        <f>VLOOKUP(B6,All_Ingredients!$A$1:$F$156,6,FALSE())</f>
        <v>1</v>
      </c>
      <c r="J6" s="101">
        <f>VLOOKUP(B6,All_Ingredients!$A$1:$J$156,10,FALSE())</f>
        <v>3.25</v>
      </c>
      <c r="K6" s="104">
        <f t="shared" ref="K6:K17" si="8">(H6/I6)/1000</f>
        <v>2.5375263157894739</v>
      </c>
      <c r="L6" s="104">
        <f t="shared" ref="L6:L17" si="9">K6*J6</f>
        <v>8.2469605263157906</v>
      </c>
      <c r="AI6" s="63" t="s">
        <v>55</v>
      </c>
      <c r="AJ6" s="233" t="s">
        <v>54</v>
      </c>
      <c r="AK6" s="97" t="s">
        <v>14</v>
      </c>
      <c r="AL6" s="107">
        <v>100</v>
      </c>
      <c r="AM6" s="177">
        <f t="shared" si="4"/>
        <v>1.6813881355932205</v>
      </c>
      <c r="AN6" s="276">
        <v>1</v>
      </c>
      <c r="AO6" s="101">
        <f t="shared" si="5"/>
        <v>168.13881355932205</v>
      </c>
      <c r="AP6" s="187">
        <f t="shared" si="6"/>
        <v>168.13881355932205</v>
      </c>
      <c r="AQ6" s="1018">
        <f>VLOOKUP(AJ6,Marination_Ordering!$A:$J,6,FALSE)</f>
        <v>0.87</v>
      </c>
      <c r="AR6" s="1018">
        <f>VLOOKUP(AJ6,Marination_Ordering!$A:$J,10,FALSE)</f>
        <v>7</v>
      </c>
      <c r="AS6" s="156">
        <f>AP6/AQ6</f>
        <v>193.26300409117476</v>
      </c>
      <c r="AT6" s="1018">
        <f>AR6*(AS6/1000)</f>
        <v>1.3528410286382233</v>
      </c>
    </row>
    <row r="7" spans="1:46" ht="14.25" customHeight="1" x14ac:dyDescent="0.25">
      <c r="A7" s="1471"/>
      <c r="B7" s="233" t="s">
        <v>192</v>
      </c>
      <c r="C7" s="97" t="s">
        <v>160</v>
      </c>
      <c r="D7" s="107">
        <v>40</v>
      </c>
      <c r="E7" s="177">
        <f t="shared" si="7"/>
        <v>5.0750526315789477</v>
      </c>
      <c r="F7" s="276">
        <v>0.75</v>
      </c>
      <c r="G7" s="101">
        <f t="shared" si="0"/>
        <v>203.00210526315792</v>
      </c>
      <c r="H7" s="187">
        <f t="shared" si="1"/>
        <v>152.25157894736844</v>
      </c>
      <c r="I7" s="65">
        <f>VLOOKUP(B7,All_Ingredients!$A$1:$F$156,6,FALSE())</f>
        <v>1</v>
      </c>
      <c r="J7" s="101">
        <f>VLOOKUP(B7,All_Ingredients!$A$1:$J$156,10,FALSE())</f>
        <v>58.685446009389672</v>
      </c>
      <c r="K7" s="104">
        <f t="shared" si="8"/>
        <v>0.15225157894736843</v>
      </c>
      <c r="L7" s="104">
        <f t="shared" si="9"/>
        <v>8.9349518161601189</v>
      </c>
      <c r="AI7" s="63" t="s">
        <v>13</v>
      </c>
      <c r="AJ7" s="233" t="s">
        <v>727</v>
      </c>
      <c r="AK7" s="97" t="s">
        <v>14</v>
      </c>
      <c r="AL7" s="107">
        <v>100</v>
      </c>
      <c r="AM7" s="177">
        <f t="shared" si="4"/>
        <v>1.6813881355932205</v>
      </c>
      <c r="AN7" s="276">
        <v>1</v>
      </c>
      <c r="AO7" s="101">
        <f t="shared" si="5"/>
        <v>168.13881355932205</v>
      </c>
      <c r="AP7" s="187">
        <f t="shared" si="6"/>
        <v>168.13881355932205</v>
      </c>
      <c r="AQ7" s="1018">
        <f>VLOOKUP(AJ7,Marination_Ordering!$A:$J,6,FALSE)</f>
        <v>1</v>
      </c>
      <c r="AR7" s="1018">
        <f>VLOOKUP(AJ7,Marination_Ordering!$A:$J,10,FALSE)</f>
        <v>10.5</v>
      </c>
      <c r="AS7" s="156">
        <f t="shared" ref="AS7:AS8" si="10">AP7/AQ7</f>
        <v>168.13881355932205</v>
      </c>
      <c r="AT7" s="1018">
        <f t="shared" ref="AT7:AT8" si="11">AR7*(AS7/1000)</f>
        <v>1.7654575423728815</v>
      </c>
    </row>
    <row r="8" spans="1:46" x14ac:dyDescent="0.25">
      <c r="A8" s="1471"/>
      <c r="B8" s="233" t="s">
        <v>193</v>
      </c>
      <c r="C8" s="97" t="s">
        <v>160</v>
      </c>
      <c r="D8" s="107">
        <v>60</v>
      </c>
      <c r="E8" s="177">
        <f t="shared" si="7"/>
        <v>5.0750526315789477</v>
      </c>
      <c r="F8" s="276">
        <v>0.9</v>
      </c>
      <c r="G8" s="101">
        <f t="shared" si="0"/>
        <v>304.50315789473689</v>
      </c>
      <c r="H8" s="187">
        <f t="shared" si="1"/>
        <v>274.05284210526321</v>
      </c>
      <c r="I8" s="65">
        <f>VLOOKUP(B8,All_Ingredients!$A$1:$F$156,6,FALSE())</f>
        <v>1</v>
      </c>
      <c r="J8" s="101">
        <f>VLOOKUP(B8,All_Ingredients!$A$1:$J$156,10,FALSE())</f>
        <v>37.001287001286997</v>
      </c>
      <c r="K8" s="104">
        <f t="shared" si="8"/>
        <v>0.27405284210526321</v>
      </c>
      <c r="L8" s="104">
        <f t="shared" si="9"/>
        <v>10.140307864255233</v>
      </c>
      <c r="AI8" s="63" t="s">
        <v>204</v>
      </c>
      <c r="AJ8" s="496" t="s">
        <v>212</v>
      </c>
      <c r="AK8" s="97" t="s">
        <v>160</v>
      </c>
      <c r="AL8" s="107">
        <v>200</v>
      </c>
      <c r="AM8" s="177">
        <f t="shared" si="4"/>
        <v>1.6813881355932205</v>
      </c>
      <c r="AN8" s="276">
        <v>1</v>
      </c>
      <c r="AO8" s="101">
        <f t="shared" si="5"/>
        <v>336.27762711864409</v>
      </c>
      <c r="AP8" s="187">
        <f t="shared" si="6"/>
        <v>336.27762711864409</v>
      </c>
      <c r="AQ8" s="1018">
        <f>VLOOKUP(AJ8,Marination_Ordering!$A:$J,6,FALSE)</f>
        <v>1</v>
      </c>
      <c r="AR8" s="1018">
        <f>VLOOKUP(AJ8,Marination_Ordering!$A:$J,10,FALSE)</f>
        <v>5</v>
      </c>
      <c r="AS8" s="156">
        <f t="shared" si="10"/>
        <v>336.27762711864409</v>
      </c>
      <c r="AT8" s="1018">
        <f t="shared" si="11"/>
        <v>1.6813881355932205</v>
      </c>
    </row>
    <row r="9" spans="1:46" ht="14.25" customHeight="1" x14ac:dyDescent="0.25">
      <c r="A9" s="1471"/>
      <c r="B9" s="233" t="s">
        <v>194</v>
      </c>
      <c r="C9" s="97" t="s">
        <v>160</v>
      </c>
      <c r="D9" s="107">
        <v>40</v>
      </c>
      <c r="E9" s="177">
        <f t="shared" si="7"/>
        <v>5.0750526315789477</v>
      </c>
      <c r="F9" s="276">
        <v>1</v>
      </c>
      <c r="G9" s="101">
        <f t="shared" si="0"/>
        <v>203.00210526315792</v>
      </c>
      <c r="H9" s="187">
        <f t="shared" si="1"/>
        <v>203.00210526315792</v>
      </c>
      <c r="I9" s="65">
        <f>VLOOKUP(B9,All_Ingredients!$A$1:$F$156,6,FALSE())</f>
        <v>1</v>
      </c>
      <c r="J9" s="101">
        <f>VLOOKUP(B9,All_Ingredients!$A$1:$J$156,10,FALSE())</f>
        <v>22.666666666666668</v>
      </c>
      <c r="K9" s="104">
        <f t="shared" si="8"/>
        <v>0.20300210526315793</v>
      </c>
      <c r="L9" s="104">
        <f t="shared" si="9"/>
        <v>4.6013810526315799</v>
      </c>
      <c r="AI9" s="63" t="s">
        <v>204</v>
      </c>
      <c r="AJ9" s="496" t="s">
        <v>208</v>
      </c>
      <c r="AK9" s="106" t="s">
        <v>160</v>
      </c>
      <c r="AL9" s="107">
        <v>150</v>
      </c>
      <c r="AM9" s="177">
        <f t="shared" si="4"/>
        <v>1.6813881355932205</v>
      </c>
      <c r="AN9" s="276">
        <v>1</v>
      </c>
      <c r="AO9" s="101">
        <f t="shared" si="5"/>
        <v>252.20822033898307</v>
      </c>
      <c r="AP9" s="187">
        <f t="shared" si="6"/>
        <v>252.20822033898307</v>
      </c>
      <c r="AQ9" s="1018">
        <f>VLOOKUP(AJ9,Marination_Ordering!$A:$J,6,FALSE)</f>
        <v>1</v>
      </c>
      <c r="AR9" s="1018">
        <f>VLOOKUP(AJ9,Marination_Ordering!$A:$J,10,FALSE)</f>
        <v>2.1621621621621623</v>
      </c>
      <c r="AS9" s="156">
        <f t="shared" ref="AS9:AS13" si="12">AP9/AQ9</f>
        <v>252.20822033898307</v>
      </c>
      <c r="AT9" s="1018">
        <f t="shared" ref="AT9:AT13" si="13">AR9*(AS9/1000)</f>
        <v>0.54531507100320664</v>
      </c>
    </row>
    <row r="10" spans="1:46" ht="14.25" customHeight="1" x14ac:dyDescent="0.25">
      <c r="A10" s="1471" t="s">
        <v>907</v>
      </c>
      <c r="B10" s="233" t="s">
        <v>727</v>
      </c>
      <c r="C10" s="97" t="s">
        <v>14</v>
      </c>
      <c r="D10" s="107">
        <v>40</v>
      </c>
      <c r="E10" s="177">
        <f t="shared" si="7"/>
        <v>5.0750526315789477</v>
      </c>
      <c r="F10" s="276">
        <v>1</v>
      </c>
      <c r="G10" s="101">
        <f t="shared" si="0"/>
        <v>203.00210526315792</v>
      </c>
      <c r="H10" s="187">
        <f t="shared" si="1"/>
        <v>203.00210526315792</v>
      </c>
      <c r="I10" s="65">
        <f>VLOOKUP(B10,All_Ingredients!$A$1:$F$156,6,FALSE())</f>
        <v>1</v>
      </c>
      <c r="J10" s="101">
        <f>VLOOKUP(B10,All_Ingredients!$A$1:$J$156,10,FALSE())</f>
        <v>10.5</v>
      </c>
      <c r="K10" s="104">
        <f t="shared" si="8"/>
        <v>0.20300210526315793</v>
      </c>
      <c r="L10" s="104">
        <f t="shared" si="9"/>
        <v>2.1315221052631581</v>
      </c>
      <c r="AI10" s="63" t="s">
        <v>94</v>
      </c>
      <c r="AJ10" s="496" t="s">
        <v>93</v>
      </c>
      <c r="AK10" s="97" t="s">
        <v>14</v>
      </c>
      <c r="AL10" s="107">
        <v>2</v>
      </c>
      <c r="AM10" s="177">
        <f t="shared" si="4"/>
        <v>1.6813881355932205</v>
      </c>
      <c r="AN10" s="276">
        <v>1</v>
      </c>
      <c r="AO10" s="101">
        <f t="shared" si="5"/>
        <v>3.3627762711864411</v>
      </c>
      <c r="AP10" s="187">
        <f t="shared" si="6"/>
        <v>3.3627762711864411</v>
      </c>
      <c r="AQ10" s="1018">
        <f>VLOOKUP(AJ10,Marination_Ordering!$A:$J,6,FALSE)</f>
        <v>1</v>
      </c>
      <c r="AR10" s="1018">
        <f>VLOOKUP(AJ10,Marination_Ordering!$A:$J,10,FALSE)</f>
        <v>0.74</v>
      </c>
      <c r="AS10" s="156">
        <f t="shared" si="12"/>
        <v>3.3627762711864411</v>
      </c>
      <c r="AT10" s="1018">
        <f t="shared" si="13"/>
        <v>2.4884544406779661E-3</v>
      </c>
    </row>
    <row r="11" spans="1:46" x14ac:dyDescent="0.25">
      <c r="A11" s="1471"/>
      <c r="B11" s="497" t="s">
        <v>187</v>
      </c>
      <c r="C11" s="97" t="s">
        <v>14</v>
      </c>
      <c r="D11" s="107">
        <v>40</v>
      </c>
      <c r="E11" s="177">
        <f t="shared" si="7"/>
        <v>5.0750526315789477</v>
      </c>
      <c r="F11" s="276">
        <v>0.95</v>
      </c>
      <c r="G11" s="101">
        <f t="shared" si="0"/>
        <v>203.00210526315792</v>
      </c>
      <c r="H11" s="187">
        <f t="shared" si="1"/>
        <v>192.852</v>
      </c>
      <c r="I11" s="65">
        <f>VLOOKUP(B11,All_Ingredients!$A$1:$F$156,6,FALSE())</f>
        <v>0.9</v>
      </c>
      <c r="J11" s="101">
        <f>VLOOKUP(B11,All_Ingredients!$A$1:$J$156,10,FALSE())</f>
        <v>2.3199999999999998</v>
      </c>
      <c r="K11" s="104">
        <f t="shared" si="8"/>
        <v>0.21428</v>
      </c>
      <c r="L11" s="104">
        <f t="shared" si="9"/>
        <v>0.49712959999999995</v>
      </c>
      <c r="AI11" s="63" t="s">
        <v>94</v>
      </c>
      <c r="AJ11" s="496" t="s">
        <v>99</v>
      </c>
      <c r="AK11" s="97" t="s">
        <v>14</v>
      </c>
      <c r="AL11" s="107">
        <v>5</v>
      </c>
      <c r="AM11" s="177">
        <f t="shared" si="4"/>
        <v>1.6813881355932205</v>
      </c>
      <c r="AN11" s="276">
        <v>1</v>
      </c>
      <c r="AO11" s="101">
        <f t="shared" si="5"/>
        <v>8.4069406779661033</v>
      </c>
      <c r="AP11" s="187">
        <f t="shared" si="6"/>
        <v>8.4069406779661033</v>
      </c>
      <c r="AQ11" s="1018">
        <f>VLOOKUP(AJ11,Marination_Ordering!$A:$J,6,FALSE)</f>
        <v>1</v>
      </c>
      <c r="AR11" s="1018">
        <f>VLOOKUP(AJ11,Marination_Ordering!$A:$J,10,FALSE)</f>
        <v>31</v>
      </c>
      <c r="AS11" s="156">
        <f t="shared" si="12"/>
        <v>8.4069406779661033</v>
      </c>
      <c r="AT11" s="1018">
        <f t="shared" si="13"/>
        <v>0.2606151610169492</v>
      </c>
    </row>
    <row r="12" spans="1:46" ht="15" customHeight="1" x14ac:dyDescent="0.25">
      <c r="A12" s="1471"/>
      <c r="B12" s="233" t="s">
        <v>93</v>
      </c>
      <c r="C12" s="97" t="s">
        <v>14</v>
      </c>
      <c r="D12" s="107">
        <v>11</v>
      </c>
      <c r="E12" s="177">
        <f t="shared" si="7"/>
        <v>5.0750526315789477</v>
      </c>
      <c r="F12" s="276">
        <v>0.75</v>
      </c>
      <c r="G12" s="101">
        <f t="shared" si="0"/>
        <v>55.825578947368427</v>
      </c>
      <c r="H12" s="187">
        <f t="shared" si="1"/>
        <v>41.869184210526321</v>
      </c>
      <c r="I12" s="65">
        <f>VLOOKUP(B12,All_Ingredients!$A$1:$F$156,6,FALSE())</f>
        <v>1</v>
      </c>
      <c r="J12" s="101">
        <f>VLOOKUP(B12,All_Ingredients!$A$1:$J$156,10,FALSE())</f>
        <v>0.74</v>
      </c>
      <c r="K12" s="104">
        <f t="shared" si="8"/>
        <v>4.1869184210526322E-2</v>
      </c>
      <c r="L12" s="104">
        <f t="shared" si="9"/>
        <v>3.0983196315789479E-2</v>
      </c>
      <c r="AI12" s="63" t="s">
        <v>213</v>
      </c>
      <c r="AJ12" s="496" t="s">
        <v>214</v>
      </c>
      <c r="AK12" s="97" t="s">
        <v>14</v>
      </c>
      <c r="AL12" s="107">
        <v>25</v>
      </c>
      <c r="AM12" s="177">
        <f t="shared" si="4"/>
        <v>1.6813881355932205</v>
      </c>
      <c r="AN12" s="276">
        <v>1</v>
      </c>
      <c r="AO12" s="101">
        <f t="shared" si="5"/>
        <v>42.034703389830511</v>
      </c>
      <c r="AP12" s="187">
        <f t="shared" si="6"/>
        <v>42.034703389830511</v>
      </c>
      <c r="AQ12" s="1018">
        <f>VLOOKUP(AJ12,Marination_Ordering!$A:$J,6,FALSE)</f>
        <v>1</v>
      </c>
      <c r="AR12" s="1018">
        <f>VLOOKUP(AJ12,Marination_Ordering!$A:$J,10,FALSE)</f>
        <v>35</v>
      </c>
      <c r="AS12" s="156">
        <f t="shared" si="12"/>
        <v>42.034703389830511</v>
      </c>
      <c r="AT12" s="1018">
        <f t="shared" si="13"/>
        <v>1.471214618644068</v>
      </c>
    </row>
    <row r="13" spans="1:46" ht="18" customHeight="1" x14ac:dyDescent="0.25">
      <c r="A13" s="1471" t="s">
        <v>906</v>
      </c>
      <c r="B13" s="233" t="s">
        <v>54</v>
      </c>
      <c r="C13" s="97" t="s">
        <v>14</v>
      </c>
      <c r="D13" s="107">
        <v>40</v>
      </c>
      <c r="E13" s="177">
        <f t="shared" si="7"/>
        <v>5.0750526315789477</v>
      </c>
      <c r="F13" s="276">
        <v>1</v>
      </c>
      <c r="G13" s="101">
        <f t="shared" si="0"/>
        <v>203.00210526315792</v>
      </c>
      <c r="H13" s="187">
        <f t="shared" si="1"/>
        <v>203.00210526315792</v>
      </c>
      <c r="I13" s="65">
        <f>VLOOKUP(B13,All_Ingredients!$A$1:$F$156,6,FALSE())</f>
        <v>0.87</v>
      </c>
      <c r="J13" s="101">
        <f>VLOOKUP(B13,All_Ingredients!$A$1:$J$156,10,FALSE())</f>
        <v>7</v>
      </c>
      <c r="K13" s="104">
        <f t="shared" si="8"/>
        <v>0.2333357531760436</v>
      </c>
      <c r="L13" s="104">
        <f t="shared" si="9"/>
        <v>1.6333502722323052</v>
      </c>
      <c r="AI13" s="63" t="s">
        <v>190</v>
      </c>
      <c r="AJ13" s="496" t="s">
        <v>192</v>
      </c>
      <c r="AK13" s="97" t="s">
        <v>14</v>
      </c>
      <c r="AL13" s="107">
        <v>20</v>
      </c>
      <c r="AM13" s="177">
        <f t="shared" si="4"/>
        <v>1.6813881355932205</v>
      </c>
      <c r="AN13" s="276">
        <v>1</v>
      </c>
      <c r="AO13" s="101">
        <f t="shared" si="5"/>
        <v>33.627762711864413</v>
      </c>
      <c r="AP13" s="187">
        <f t="shared" si="6"/>
        <v>33.627762711864413</v>
      </c>
      <c r="AQ13" s="1018">
        <f>VLOOKUP(AJ13,Marination_Ordering!$A:$J,6,FALSE)</f>
        <v>1</v>
      </c>
      <c r="AR13" s="1018">
        <f>VLOOKUP(AJ13,Marination_Ordering!$A:$J,10,FALSE)</f>
        <v>58.685446009389672</v>
      </c>
      <c r="AS13" s="156">
        <f t="shared" si="12"/>
        <v>33.627762711864413</v>
      </c>
      <c r="AT13" s="1018">
        <f t="shared" si="13"/>
        <v>1.9734602530436862</v>
      </c>
    </row>
    <row r="14" spans="1:46" ht="14.25" customHeight="1" x14ac:dyDescent="0.25">
      <c r="A14" s="1471"/>
      <c r="B14" s="233" t="s">
        <v>183</v>
      </c>
      <c r="C14" s="97" t="s">
        <v>14</v>
      </c>
      <c r="D14" s="107">
        <v>40</v>
      </c>
      <c r="E14" s="177">
        <f t="shared" si="7"/>
        <v>5.0750526315789477</v>
      </c>
      <c r="F14" s="276">
        <v>1</v>
      </c>
      <c r="G14" s="101">
        <f t="shared" si="0"/>
        <v>203.00210526315792</v>
      </c>
      <c r="H14" s="187">
        <f t="shared" si="1"/>
        <v>203.00210526315792</v>
      </c>
      <c r="I14" s="65">
        <f>VLOOKUP(B14,All_Ingredients!$A$1:$F$156,6,FALSE())</f>
        <v>1</v>
      </c>
      <c r="J14" s="101">
        <f>VLOOKUP(B14,All_Ingredients!$A$1:$J$156,10,FALSE())</f>
        <v>17</v>
      </c>
      <c r="K14" s="104">
        <f t="shared" si="8"/>
        <v>0.20300210526315793</v>
      </c>
      <c r="L14" s="104">
        <f t="shared" si="9"/>
        <v>3.4510357894736847</v>
      </c>
    </row>
    <row r="15" spans="1:46" ht="14.25" customHeight="1" x14ac:dyDescent="0.25">
      <c r="A15" s="1471"/>
      <c r="B15" s="20" t="s">
        <v>698</v>
      </c>
      <c r="C15" s="97" t="s">
        <v>14</v>
      </c>
      <c r="D15" s="107">
        <v>45</v>
      </c>
      <c r="E15" s="177">
        <f t="shared" si="7"/>
        <v>5.0750526315789477</v>
      </c>
      <c r="F15" s="276">
        <v>1</v>
      </c>
      <c r="G15" s="101">
        <f t="shared" si="0"/>
        <v>228.37736842105264</v>
      </c>
      <c r="H15" s="187">
        <f t="shared" si="1"/>
        <v>228.37736842105264</v>
      </c>
      <c r="I15" s="65">
        <f>VLOOKUP(B15,All_Ingredients!$A$1:$F$156,6,FALSE())</f>
        <v>1</v>
      </c>
      <c r="J15" s="101">
        <f>VLOOKUP(B15,All_Ingredients!$A$1:$J$156,10,FALSE())</f>
        <v>8.1520833333333336</v>
      </c>
      <c r="K15" s="104">
        <f t="shared" si="8"/>
        <v>0.22837736842105263</v>
      </c>
      <c r="L15" s="104">
        <f t="shared" si="9"/>
        <v>1.8617513388157896</v>
      </c>
    </row>
    <row r="16" spans="1:46" ht="14.25" customHeight="1" x14ac:dyDescent="0.25">
      <c r="A16" s="1471"/>
      <c r="B16" s="200" t="s">
        <v>152</v>
      </c>
      <c r="C16" s="97" t="s">
        <v>14</v>
      </c>
      <c r="D16" s="107">
        <v>30</v>
      </c>
      <c r="E16" s="177">
        <f t="shared" si="7"/>
        <v>5.0750526315789477</v>
      </c>
      <c r="F16" s="276">
        <v>1</v>
      </c>
      <c r="G16" s="101">
        <f t="shared" si="0"/>
        <v>152.25157894736844</v>
      </c>
      <c r="H16" s="187">
        <f t="shared" si="1"/>
        <v>152.25157894736844</v>
      </c>
      <c r="I16" s="65">
        <f>VLOOKUP(B16,All_Ingredients!$A$1:$F$156,6,FALSE())</f>
        <v>1</v>
      </c>
      <c r="J16" s="101">
        <f>VLOOKUP(B16,All_Ingredients!$A$1:$J$156,10,FALSE())</f>
        <v>30</v>
      </c>
      <c r="K16" s="104">
        <f t="shared" si="8"/>
        <v>0.15225157894736843</v>
      </c>
      <c r="L16" s="104">
        <f t="shared" si="9"/>
        <v>4.567547368421053</v>
      </c>
    </row>
    <row r="17" spans="1:31" ht="14.25" customHeight="1" x14ac:dyDescent="0.25">
      <c r="A17" s="1472"/>
      <c r="B17" s="200" t="s">
        <v>214</v>
      </c>
      <c r="C17" s="97" t="s">
        <v>14</v>
      </c>
      <c r="D17" s="107">
        <v>2</v>
      </c>
      <c r="E17" s="177">
        <f t="shared" si="7"/>
        <v>5.0750526315789477</v>
      </c>
      <c r="F17" s="276">
        <v>1</v>
      </c>
      <c r="G17" s="101">
        <f>D17*E17</f>
        <v>10.150105263157895</v>
      </c>
      <c r="H17" s="187">
        <f>G17*F17</f>
        <v>10.150105263157895</v>
      </c>
      <c r="I17" s="65">
        <f>VLOOKUP(B17,All_Ingredients!$A$1:$F$156,6,FALSE())</f>
        <v>1</v>
      </c>
      <c r="J17" s="101">
        <f>VLOOKUP(B17,All_Ingredients!$A$1:$J$156,10,FALSE())</f>
        <v>35</v>
      </c>
      <c r="K17" s="104">
        <f t="shared" si="8"/>
        <v>1.0150105263157896E-2</v>
      </c>
      <c r="L17" s="104">
        <f t="shared" si="9"/>
        <v>0.35525368421052639</v>
      </c>
      <c r="M17" s="112"/>
      <c r="N17" s="112"/>
    </row>
    <row r="18" spans="1:31" ht="14.25" customHeight="1" x14ac:dyDescent="0.25">
      <c r="A18" s="1472"/>
      <c r="B18"/>
      <c r="C18" s="228"/>
      <c r="D18" s="232" t="s">
        <v>553</v>
      </c>
      <c r="E18" s="273"/>
      <c r="F18" s="498"/>
      <c r="G18" s="118"/>
      <c r="H18" s="499"/>
      <c r="I18" s="76"/>
      <c r="J18" s="120"/>
      <c r="K18" s="76"/>
      <c r="L18" s="118"/>
      <c r="M18" s="112"/>
      <c r="N18" s="112"/>
    </row>
    <row r="19" spans="1:31" ht="14.25" customHeight="1" x14ac:dyDescent="0.25">
      <c r="A19" s="1472"/>
      <c r="I19" s="76"/>
      <c r="J19" s="120"/>
      <c r="K19" s="76"/>
      <c r="L19" s="118"/>
      <c r="M19" s="112"/>
      <c r="N19" s="112"/>
    </row>
    <row r="20" spans="1:31" ht="14.25" customHeight="1" x14ac:dyDescent="0.25">
      <c r="A20" s="1472"/>
      <c r="I20" s="76"/>
      <c r="J20" s="120"/>
      <c r="K20" s="76"/>
      <c r="L20" s="118"/>
      <c r="M20" s="112"/>
      <c r="N20" s="112"/>
    </row>
    <row r="21" spans="1:31" ht="14.25" customHeight="1" x14ac:dyDescent="0.25">
      <c r="A21" s="1472"/>
      <c r="I21" s="76"/>
      <c r="J21" s="120"/>
      <c r="K21" s="76"/>
      <c r="L21" s="118"/>
      <c r="M21" s="112"/>
      <c r="N21" s="112"/>
    </row>
    <row r="22" spans="1:31" ht="14.25" customHeight="1" x14ac:dyDescent="0.25">
      <c r="A22" s="1472"/>
      <c r="I22" s="76"/>
      <c r="J22" s="120"/>
      <c r="K22" s="76"/>
      <c r="L22" s="118"/>
      <c r="M22" s="112"/>
      <c r="N22" s="112"/>
    </row>
    <row r="23" spans="1:31" ht="14.25" customHeight="1" x14ac:dyDescent="0.25">
      <c r="A23" s="1472"/>
      <c r="I23" s="76"/>
      <c r="J23" s="120"/>
      <c r="K23" s="76"/>
      <c r="L23" s="118"/>
      <c r="M23" s="112"/>
      <c r="N23" s="112"/>
    </row>
    <row r="24" spans="1:31" ht="14.25" customHeight="1" x14ac:dyDescent="0.25">
      <c r="A24" s="1472"/>
      <c r="I24" s="76"/>
      <c r="J24" s="120"/>
      <c r="K24" s="76"/>
      <c r="L24" s="118"/>
      <c r="M24" s="112"/>
      <c r="N24" s="112"/>
      <c r="Z24" s="1073"/>
    </row>
    <row r="25" spans="1:31" ht="14.25" customHeight="1" x14ac:dyDescent="0.25">
      <c r="A25" s="1472"/>
      <c r="B25" s="796"/>
      <c r="C25" s="796"/>
      <c r="D25" s="796"/>
      <c r="E25" s="796"/>
      <c r="F25" s="796"/>
      <c r="G25" s="796"/>
      <c r="H25" s="796"/>
      <c r="I25" s="76"/>
      <c r="J25" s="120"/>
      <c r="K25" s="76"/>
      <c r="L25" s="118"/>
      <c r="M25" s="112"/>
      <c r="N25" s="112"/>
      <c r="R25" s="1726" t="s">
        <v>433</v>
      </c>
      <c r="S25" s="1714"/>
      <c r="T25" s="1714"/>
      <c r="U25" s="1714"/>
      <c r="V25" s="1052"/>
      <c r="W25" s="1052"/>
      <c r="Z25" s="122" t="s">
        <v>252</v>
      </c>
      <c r="AA25" s="123">
        <v>1</v>
      </c>
      <c r="AB25" s="122" t="s">
        <v>249</v>
      </c>
      <c r="AC25" s="124">
        <f>(AA25*1.1)*(AE30)+(AA30*(AB28/R1))</f>
        <v>2.9066047952466596E-2</v>
      </c>
    </row>
    <row r="26" spans="1:31" ht="14.25" customHeight="1" x14ac:dyDescent="0.25">
      <c r="A26" s="1472"/>
      <c r="B26" s="796"/>
      <c r="C26" s="796"/>
      <c r="D26" s="796"/>
      <c r="E26" s="796"/>
      <c r="F26" s="796"/>
      <c r="G26" s="796"/>
      <c r="H26" s="796"/>
      <c r="I26" s="76"/>
      <c r="J26" s="120"/>
      <c r="K26" s="76"/>
      <c r="L26" s="118"/>
      <c r="M26" s="112"/>
      <c r="N26" s="112"/>
      <c r="R26" s="1654" t="s">
        <v>434</v>
      </c>
      <c r="S26" s="1714"/>
      <c r="T26" s="1714"/>
      <c r="U26" s="1714"/>
      <c r="V26" s="1052"/>
      <c r="W26" s="1052"/>
    </row>
    <row r="27" spans="1:31" ht="14.25" customHeight="1" thickBot="1" x14ac:dyDescent="0.3">
      <c r="A27" s="1472"/>
      <c r="I27" s="76"/>
      <c r="J27" s="120"/>
      <c r="K27" s="76"/>
      <c r="L27" s="118"/>
      <c r="M27" s="112"/>
      <c r="N27" s="112"/>
      <c r="R27" s="126" t="s">
        <v>254</v>
      </c>
      <c r="S27" s="127" t="s">
        <v>255</v>
      </c>
      <c r="T27" s="127" t="s">
        <v>256</v>
      </c>
      <c r="U27" s="127" t="s">
        <v>257</v>
      </c>
      <c r="V27" s="127" t="s">
        <v>772</v>
      </c>
      <c r="W27" s="127" t="s">
        <v>779</v>
      </c>
      <c r="Z27" s="122" t="s">
        <v>258</v>
      </c>
      <c r="AA27" s="1031" t="s">
        <v>312</v>
      </c>
      <c r="AB27" s="128" t="s">
        <v>259</v>
      </c>
      <c r="AC27" s="128" t="s">
        <v>260</v>
      </c>
      <c r="AD27" s="1032" t="s">
        <v>779</v>
      </c>
      <c r="AE27" s="128" t="s">
        <v>262</v>
      </c>
    </row>
    <row r="28" spans="1:31" ht="15" customHeight="1" thickBot="1" x14ac:dyDescent="0.3">
      <c r="A28" s="1472"/>
      <c r="I28" s="76"/>
      <c r="J28" s="120"/>
      <c r="K28" s="76"/>
      <c r="L28" s="118"/>
      <c r="M28" s="112"/>
      <c r="N28" s="112"/>
      <c r="R28" s="129" t="s">
        <v>263</v>
      </c>
      <c r="S28" s="690">
        <f>U28*S40</f>
        <v>9241.19</v>
      </c>
      <c r="T28" s="1196">
        <f>U28*U40</f>
        <v>4491.3</v>
      </c>
      <c r="U28" s="696">
        <f>$Z$1</f>
        <v>13610</v>
      </c>
      <c r="V28" s="130">
        <f>SUM(AP5:AP13)</f>
        <v>1029.0095389830508</v>
      </c>
      <c r="W28" s="130">
        <f>H37</f>
        <v>6.44</v>
      </c>
      <c r="Z28" s="132"/>
      <c r="AA28" s="1034"/>
      <c r="AB28" s="133">
        <f>AA25*$S$40</f>
        <v>0.67900000000000005</v>
      </c>
      <c r="AC28" s="133">
        <f>AA25*$U$40</f>
        <v>0.33</v>
      </c>
      <c r="AD28" s="1034"/>
      <c r="AE28" s="135">
        <f>SUM(AB28:AC28)</f>
        <v>1.0090000000000001</v>
      </c>
    </row>
    <row r="29" spans="1:31" ht="14.25" customHeight="1" thickBot="1" x14ac:dyDescent="0.3">
      <c r="A29" s="1472"/>
      <c r="I29" s="76"/>
      <c r="J29" s="120"/>
      <c r="K29" s="76"/>
      <c r="L29" s="118"/>
      <c r="M29" s="112"/>
      <c r="N29" s="112"/>
      <c r="R29" s="129" t="s">
        <v>264</v>
      </c>
      <c r="S29" s="692"/>
      <c r="T29" s="690"/>
      <c r="U29" s="1163">
        <f>T29</f>
        <v>0</v>
      </c>
      <c r="V29" s="130"/>
      <c r="W29" s="130"/>
      <c r="Z29" s="132"/>
      <c r="AA29" s="1038"/>
      <c r="AB29" s="137">
        <f>AB28/$AE$28</f>
        <v>0.67294350842418238</v>
      </c>
      <c r="AC29" s="137">
        <f>AC28/$AE$28</f>
        <v>0.32705649157581762</v>
      </c>
      <c r="AD29" s="1038"/>
      <c r="AE29" s="137">
        <f>AE28/$AE$28</f>
        <v>1</v>
      </c>
    </row>
    <row r="30" spans="1:31" ht="14.25" customHeight="1" thickBot="1" x14ac:dyDescent="0.3">
      <c r="A30" s="1472"/>
      <c r="B30"/>
      <c r="C30" s="228"/>
      <c r="D30" s="232"/>
      <c r="E30" s="273"/>
      <c r="F30" s="498"/>
      <c r="G30" s="796"/>
      <c r="H30" s="796"/>
      <c r="I30" s="76"/>
      <c r="J30" s="120"/>
      <c r="K30" s="76"/>
      <c r="L30" s="118"/>
      <c r="M30" s="112"/>
      <c r="N30" s="112"/>
      <c r="R30" s="129" t="s">
        <v>265</v>
      </c>
      <c r="S30" s="1162">
        <f>U30*S40</f>
        <v>679</v>
      </c>
      <c r="T30" s="1162">
        <f>U30*U40</f>
        <v>330</v>
      </c>
      <c r="U30" s="696">
        <f>$AB$1</f>
        <v>1000</v>
      </c>
      <c r="V30" s="989"/>
      <c r="W30" s="989"/>
      <c r="Z30" s="122" t="s">
        <v>266</v>
      </c>
      <c r="AA30" s="1042">
        <f>V35/(S32/R1)</f>
        <v>5.3841109456615431E-4</v>
      </c>
      <c r="AB30" s="138">
        <f>S35/(S32)</f>
        <v>3.3701221915648408E-2</v>
      </c>
      <c r="AC30" s="139">
        <f>T35/T32</f>
        <v>9.6347820326665081E-3</v>
      </c>
      <c r="AD30" s="1045">
        <f>W35/U32</f>
        <v>3.0244307315349658E-5</v>
      </c>
      <c r="AE30" s="1047">
        <f>SUMPRODUCT(AB30:AC30,AB29:AC29)+AD30</f>
        <v>2.5860380830115364E-2</v>
      </c>
    </row>
    <row r="31" spans="1:31" ht="14.25" customHeight="1" thickBot="1" x14ac:dyDescent="0.3">
      <c r="A31" s="1472"/>
      <c r="B31" s="796"/>
      <c r="C31" s="796"/>
      <c r="D31" s="796"/>
      <c r="E31" s="796"/>
      <c r="F31" s="796"/>
      <c r="G31" s="796"/>
      <c r="H31" s="796"/>
      <c r="I31" s="76"/>
      <c r="J31" s="120"/>
      <c r="K31" s="76"/>
      <c r="L31" s="118"/>
      <c r="M31" s="112"/>
      <c r="N31" s="112"/>
      <c r="R31" s="693" t="s">
        <v>267</v>
      </c>
      <c r="S31" s="136"/>
      <c r="T31" s="130"/>
      <c r="U31" s="130"/>
      <c r="V31" s="130"/>
      <c r="W31" s="130"/>
    </row>
    <row r="32" spans="1:31" ht="14.25" customHeight="1" thickBot="1" x14ac:dyDescent="0.3">
      <c r="A32" s="1472"/>
      <c r="B32"/>
      <c r="C32" s="228"/>
      <c r="D32" s="232"/>
      <c r="E32" s="273"/>
      <c r="F32" s="498"/>
      <c r="G32" s="118"/>
      <c r="H32" s="499"/>
      <c r="I32" s="76"/>
      <c r="J32" s="120"/>
      <c r="K32" s="76"/>
      <c r="L32" s="118"/>
      <c r="M32" s="112"/>
      <c r="N32" s="112"/>
      <c r="R32" s="141" t="s">
        <v>257</v>
      </c>
      <c r="S32" s="1063">
        <f>SUM(S28:S30)</f>
        <v>9920.19</v>
      </c>
      <c r="T32" s="1063">
        <f>SUM(T28:T30)</f>
        <v>4821.3</v>
      </c>
      <c r="U32" s="130">
        <f>SUM(S32:T32)</f>
        <v>14741.490000000002</v>
      </c>
      <c r="V32" s="130"/>
      <c r="W32" s="130">
        <f>SUM(W28:W30)</f>
        <v>6.44</v>
      </c>
    </row>
    <row r="33" spans="1:24" ht="14.25" customHeight="1" thickBot="1" x14ac:dyDescent="0.3">
      <c r="A33" s="1472"/>
      <c r="B33"/>
      <c r="C33" s="228"/>
      <c r="D33" s="232"/>
      <c r="E33" s="273"/>
      <c r="F33" s="498"/>
      <c r="G33" s="118"/>
      <c r="H33" s="499"/>
      <c r="I33" s="76"/>
      <c r="J33" s="120"/>
      <c r="K33" s="76"/>
      <c r="L33" s="118"/>
      <c r="M33" s="112"/>
      <c r="N33" s="112"/>
      <c r="R33" s="142" t="s">
        <v>268</v>
      </c>
      <c r="S33" s="136"/>
      <c r="T33" s="136">
        <f>F79+F99</f>
        <v>0</v>
      </c>
      <c r="U33" s="136"/>
      <c r="V33" s="136"/>
      <c r="W33" s="136"/>
    </row>
    <row r="34" spans="1:24" ht="14.25" customHeight="1" thickBot="1" x14ac:dyDescent="0.3">
      <c r="A34" s="1472"/>
      <c r="B34"/>
      <c r="C34" s="228"/>
      <c r="D34" s="232"/>
      <c r="E34" s="273"/>
      <c r="F34" s="498"/>
      <c r="G34" s="118"/>
      <c r="H34" s="499"/>
      <c r="I34" s="76"/>
      <c r="J34" s="120"/>
      <c r="K34" s="76"/>
      <c r="L34" s="118"/>
      <c r="M34" s="112"/>
      <c r="N34" s="112"/>
      <c r="R34" s="143" t="s">
        <v>269</v>
      </c>
      <c r="S34" s="136"/>
      <c r="T34" s="130">
        <f>T33-(T28+T29)</f>
        <v>-4491.3</v>
      </c>
      <c r="U34" s="136"/>
      <c r="V34" s="136"/>
      <c r="W34" s="136"/>
    </row>
    <row r="35" spans="1:24" ht="14.25" customHeight="1" thickBot="1" x14ac:dyDescent="0.3">
      <c r="A35" s="1472"/>
      <c r="B35" s="1681" t="s">
        <v>664</v>
      </c>
      <c r="C35" s="1681"/>
      <c r="D35" s="1681"/>
      <c r="E35" s="1681"/>
      <c r="F35" s="1681"/>
      <c r="G35" s="797"/>
      <c r="H35" s="797"/>
      <c r="I35" s="803"/>
      <c r="J35" s="803"/>
      <c r="K35" s="803"/>
      <c r="L35" s="803"/>
      <c r="M35" s="112"/>
      <c r="N35" s="112"/>
      <c r="R35" s="144" t="s">
        <v>249</v>
      </c>
      <c r="S35" s="1049">
        <f>$L$5</f>
        <v>334.32252463539618</v>
      </c>
      <c r="T35" s="1049">
        <f>SUM(L6:L17)</f>
        <v>46.452174614095036</v>
      </c>
      <c r="U35" s="990">
        <f>S35+T35+V35+W35</f>
        <v>390.27332566809031</v>
      </c>
      <c r="V35" s="990">
        <f>SUM(AT6:AT13)</f>
        <v>9.0527802647529132</v>
      </c>
      <c r="W35" s="1049">
        <f>L37</f>
        <v>0.44584615384615389</v>
      </c>
    </row>
    <row r="36" spans="1:24" ht="14.2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c r="M36" s="112"/>
      <c r="N36" s="112"/>
    </row>
    <row r="37" spans="1:24" ht="14.25" customHeight="1" x14ac:dyDescent="0.25">
      <c r="A37" s="1472"/>
      <c r="B37" s="772" t="s">
        <v>686</v>
      </c>
      <c r="C37" s="773" t="s">
        <v>14</v>
      </c>
      <c r="D37" s="774">
        <v>7.0000000000000007E-2</v>
      </c>
      <c r="E37" s="772">
        <f>$AD$1</f>
        <v>92</v>
      </c>
      <c r="F37" s="772">
        <f>D37*E37</f>
        <v>6.44</v>
      </c>
      <c r="G37" s="796"/>
      <c r="H37" s="772">
        <f>F37</f>
        <v>6.44</v>
      </c>
      <c r="I37" s="772">
        <f>VLOOKUP(B37,All_Ingredients!$A$1:$F$156,6,FALSE())</f>
        <v>0.65</v>
      </c>
      <c r="J37" s="772">
        <f>VLOOKUP(B37,All_Ingredients!$A$1:$J$156,10,FALSE())</f>
        <v>45</v>
      </c>
      <c r="K37" s="772">
        <f>(H37/I37)/1000</f>
        <v>9.9076923076923083E-3</v>
      </c>
      <c r="L37" s="772">
        <f>K37*J37</f>
        <v>0.44584615384615389</v>
      </c>
      <c r="M37" s="112"/>
      <c r="N37" s="112"/>
    </row>
    <row r="38" spans="1:24" ht="14.25" customHeight="1" x14ac:dyDescent="0.25">
      <c r="A38" s="1472"/>
      <c r="B38"/>
      <c r="C38" s="228"/>
      <c r="D38" s="232"/>
      <c r="E38" s="273"/>
      <c r="F38" s="498"/>
      <c r="G38" s="118"/>
      <c r="H38" s="499"/>
      <c r="I38" s="76"/>
      <c r="J38" s="120"/>
      <c r="K38" s="76"/>
      <c r="L38" s="118"/>
      <c r="M38" s="112"/>
      <c r="N38" s="112"/>
    </row>
    <row r="39" spans="1:24" ht="14.25" customHeight="1" x14ac:dyDescent="0.25">
      <c r="A39" s="1472"/>
      <c r="B39"/>
      <c r="C39" s="228"/>
      <c r="D39" s="232"/>
      <c r="E39" s="273"/>
      <c r="F39" s="498"/>
      <c r="G39" s="118"/>
      <c r="H39" s="499"/>
      <c r="I39" s="76"/>
      <c r="J39" s="120"/>
      <c r="K39" s="76"/>
      <c r="L39" s="118"/>
      <c r="M39" s="112"/>
      <c r="N39" s="112"/>
    </row>
    <row r="40" spans="1:24" ht="18.75" customHeight="1" x14ac:dyDescent="0.25">
      <c r="A40" s="1472"/>
      <c r="B40"/>
      <c r="C40" s="228"/>
      <c r="D40" s="232"/>
      <c r="E40" s="273"/>
      <c r="F40" s="498"/>
      <c r="G40" s="118"/>
      <c r="H40" s="499"/>
      <c r="I40" s="76"/>
      <c r="J40" s="120"/>
      <c r="K40" s="76"/>
      <c r="L40" s="118"/>
      <c r="M40" s="112"/>
      <c r="N40" s="112"/>
      <c r="R40" s="146" t="s">
        <v>270</v>
      </c>
      <c r="S40" s="217">
        <v>0.67900000000000005</v>
      </c>
      <c r="T40" s="146" t="s">
        <v>271</v>
      </c>
      <c r="U40" s="217">
        <v>0.33</v>
      </c>
      <c r="V40" s="149">
        <f>U40+S40</f>
        <v>1.0090000000000001</v>
      </c>
      <c r="W40" s="384">
        <v>1.1000000000000001</v>
      </c>
      <c r="X40" s="1140"/>
    </row>
    <row r="41" spans="1:24" ht="14.25" customHeight="1" x14ac:dyDescent="0.25">
      <c r="A41" s="1472"/>
      <c r="B41"/>
      <c r="C41" s="228"/>
      <c r="D41" s="232"/>
      <c r="E41" s="273"/>
      <c r="F41" s="498"/>
      <c r="G41" s="118"/>
      <c r="H41" s="499"/>
      <c r="I41" s="76"/>
      <c r="J41" s="120"/>
      <c r="K41" s="76"/>
      <c r="L41" s="118"/>
      <c r="M41" s="112"/>
      <c r="N41" s="112"/>
      <c r="U41" s="150"/>
    </row>
    <row r="42" spans="1:24" x14ac:dyDescent="0.25">
      <c r="A42" s="1472"/>
    </row>
    <row r="43" spans="1:24" ht="14.25" customHeight="1" x14ac:dyDescent="0.25">
      <c r="A43" s="1472"/>
      <c r="L43" s="274"/>
      <c r="Q43" s="151" t="s">
        <v>272</v>
      </c>
      <c r="R43" s="151" t="s">
        <v>273</v>
      </c>
      <c r="S43" s="151" t="s">
        <v>274</v>
      </c>
      <c r="T43" s="151" t="s">
        <v>275</v>
      </c>
      <c r="U43" s="151" t="s">
        <v>276</v>
      </c>
      <c r="V43" s="151" t="s">
        <v>277</v>
      </c>
      <c r="W43" s="235" t="s">
        <v>278</v>
      </c>
    </row>
    <row r="44" spans="1:24" ht="14.25" customHeight="1" x14ac:dyDescent="0.25">
      <c r="A44" s="1472"/>
      <c r="L44" s="274"/>
      <c r="Q44" s="153">
        <v>30000</v>
      </c>
      <c r="R44" s="154">
        <f>D51</f>
        <v>10000</v>
      </c>
      <c r="S44" s="155">
        <v>1</v>
      </c>
      <c r="T44" s="155">
        <v>0</v>
      </c>
      <c r="U44" s="220">
        <f>R44*S44</f>
        <v>10000</v>
      </c>
      <c r="V44" s="157">
        <f>R44*T44</f>
        <v>0</v>
      </c>
      <c r="W44" s="237">
        <f>Q44-U44</f>
        <v>20000</v>
      </c>
    </row>
    <row r="45" spans="1:24" ht="14.25" customHeight="1" x14ac:dyDescent="0.25">
      <c r="A45" s="1472"/>
      <c r="L45" s="274"/>
    </row>
    <row r="46" spans="1:24" ht="14.25" customHeight="1" x14ac:dyDescent="0.25">
      <c r="A46" s="1472"/>
      <c r="L46" s="274"/>
    </row>
    <row r="47" spans="1:24" ht="14.25" customHeight="1" x14ac:dyDescent="0.25">
      <c r="A47" s="1472"/>
      <c r="L47" s="274"/>
      <c r="S47" s="465"/>
      <c r="U47" s="465"/>
    </row>
    <row r="48" spans="1:24" ht="14.25" customHeight="1" x14ac:dyDescent="0.25">
      <c r="A48" s="1472"/>
      <c r="L48" s="274"/>
    </row>
    <row r="49" spans="1:17" ht="14.25" customHeight="1" x14ac:dyDescent="0.25">
      <c r="A49" s="1472"/>
      <c r="B49" s="84"/>
      <c r="E49" s="84"/>
      <c r="F49" s="84"/>
      <c r="L49" s="274"/>
      <c r="Q49" s="495"/>
    </row>
    <row r="50" spans="1:17" ht="14.25" customHeight="1" x14ac:dyDescent="0.25">
      <c r="A50" s="1472"/>
      <c r="B50" s="253"/>
      <c r="C50" s="126" t="s">
        <v>233</v>
      </c>
      <c r="D50" s="126" t="s">
        <v>279</v>
      </c>
      <c r="E50" s="84"/>
      <c r="F50" s="84"/>
      <c r="G50" s="126" t="s">
        <v>280</v>
      </c>
      <c r="H50" s="126" t="s">
        <v>233</v>
      </c>
      <c r="I50" s="126" t="s">
        <v>281</v>
      </c>
      <c r="J50" s="126" t="s">
        <v>282</v>
      </c>
      <c r="L50" s="274"/>
    </row>
    <row r="51" spans="1:17" x14ac:dyDescent="0.25">
      <c r="A51" s="1472"/>
      <c r="B51" s="161" t="s">
        <v>283</v>
      </c>
      <c r="C51" s="162">
        <f>10/$K$1</f>
        <v>10.526315789473685</v>
      </c>
      <c r="D51" s="163">
        <f>$C$1*10</f>
        <v>10000</v>
      </c>
      <c r="E51" s="164"/>
      <c r="F51" s="84"/>
      <c r="G51" s="161" t="s">
        <v>283</v>
      </c>
      <c r="H51" s="254">
        <f>I51/$D$5</f>
        <v>10</v>
      </c>
      <c r="I51" s="162">
        <f>J51/$R$1</f>
        <v>33898.305084745763</v>
      </c>
      <c r="J51" s="162">
        <f>$W$44</f>
        <v>20000</v>
      </c>
    </row>
    <row r="52" spans="1:17" x14ac:dyDescent="0.25">
      <c r="A52" s="1472"/>
      <c r="B52" s="209" t="s">
        <v>262</v>
      </c>
      <c r="C52" s="210">
        <f>$I$1</f>
        <v>5.0750526315789477</v>
      </c>
      <c r="D52" s="211">
        <f>$E$1</f>
        <v>4821.3</v>
      </c>
      <c r="E52" s="84"/>
      <c r="F52" s="84"/>
      <c r="G52" s="129" t="s">
        <v>262</v>
      </c>
      <c r="H52" s="190">
        <f>I52/$D$5</f>
        <v>4.9600950000000008</v>
      </c>
      <c r="I52" s="157">
        <f>J52/$R$1</f>
        <v>16813.881355932204</v>
      </c>
      <c r="J52" s="165">
        <f>$S$32</f>
        <v>9920.19</v>
      </c>
    </row>
    <row r="53" spans="1:17" x14ac:dyDescent="0.25">
      <c r="A53" s="1472"/>
      <c r="B53" s="209" t="s">
        <v>284</v>
      </c>
      <c r="C53" s="212">
        <f>MIN(C52, C51)</f>
        <v>5.0750526315789477</v>
      </c>
      <c r="D53" s="211">
        <f>(C53*$K$1)*$C$1</f>
        <v>4821.3</v>
      </c>
      <c r="E53" s="84"/>
      <c r="F53" s="84"/>
      <c r="G53" s="129" t="s">
        <v>284</v>
      </c>
      <c r="H53" s="168">
        <f>MIN(H52,H51)</f>
        <v>4.9600950000000008</v>
      </c>
      <c r="I53" s="157">
        <f>J53/$R$1</f>
        <v>16813.881355932204</v>
      </c>
      <c r="J53" s="157">
        <f>MIN(J52,J51)</f>
        <v>9920.19</v>
      </c>
    </row>
    <row r="54" spans="1:17"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7"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7" x14ac:dyDescent="0.25">
      <c r="A56" s="1472"/>
    </row>
    <row r="57" spans="1:17" x14ac:dyDescent="0.25">
      <c r="A57" s="1472"/>
    </row>
    <row r="58" spans="1:17" x14ac:dyDescent="0.25">
      <c r="A58" s="1472"/>
    </row>
    <row r="59" spans="1:17" x14ac:dyDescent="0.25">
      <c r="A59" s="1472"/>
    </row>
    <row r="60" spans="1:17" x14ac:dyDescent="0.25">
      <c r="A60" s="1472"/>
    </row>
    <row r="61" spans="1:17" x14ac:dyDescent="0.25">
      <c r="A61" s="1472"/>
    </row>
    <row r="62" spans="1:17" ht="18" customHeight="1" x14ac:dyDescent="0.25">
      <c r="A62" s="1473"/>
      <c r="B62" s="1636" t="str">
        <f>"دجاج سيراتشا 1 / " &amp; COUNTIF($C$53:$C$55, "&gt;0")</f>
        <v>دجاج سيراتشا 1 / 1</v>
      </c>
      <c r="C62" s="1637"/>
      <c r="D62" s="1637"/>
      <c r="E62" s="1637"/>
      <c r="F62" s="1637"/>
      <c r="G62" s="1637"/>
      <c r="H62" s="1637"/>
    </row>
    <row r="63" spans="1:17" ht="18" customHeight="1" x14ac:dyDescent="0.25">
      <c r="A63" s="1473"/>
      <c r="B63" s="1634" t="str">
        <f>"Sriracha Chicken 1 / " &amp; COUNTIF($C$53:$C$55, "&gt;0")</f>
        <v>Sriracha Chicken 1 / 1</v>
      </c>
      <c r="C63" s="1635"/>
      <c r="D63" s="1635"/>
      <c r="E63" s="1635"/>
      <c r="F63" s="1635"/>
      <c r="G63" s="1635"/>
      <c r="H63" s="1635"/>
    </row>
    <row r="64" spans="1:17" ht="48.75" customHeight="1" x14ac:dyDescent="0.2">
      <c r="A64" s="1457"/>
      <c r="B64" s="221" t="s">
        <v>241</v>
      </c>
      <c r="C64" s="222" t="s">
        <v>242</v>
      </c>
      <c r="D64" s="223" t="s">
        <v>231</v>
      </c>
      <c r="E64" s="197" t="s">
        <v>234</v>
      </c>
      <c r="F64" s="197" t="s">
        <v>243</v>
      </c>
      <c r="G64" s="223" t="s">
        <v>244</v>
      </c>
      <c r="H64" s="197" t="s">
        <v>245</v>
      </c>
    </row>
    <row r="65" spans="1:8" ht="14.25" customHeight="1" x14ac:dyDescent="0.2">
      <c r="A65" s="1459"/>
      <c r="B65" s="105" t="str">
        <f t="shared" ref="B65:D75" si="14">B5</f>
        <v>Chicken - دجاج</v>
      </c>
      <c r="C65" s="105" t="str">
        <f t="shared" si="14"/>
        <v>gm</v>
      </c>
      <c r="D65" s="240">
        <f t="shared" si="14"/>
        <v>3389.8305084745762</v>
      </c>
      <c r="E65" s="403">
        <f>H53</f>
        <v>4.9600950000000008</v>
      </c>
      <c r="F65" s="109">
        <f t="shared" ref="F65:F77" si="15">F5</f>
        <v>1</v>
      </c>
      <c r="G65" s="99">
        <f t="shared" ref="G65:G75" si="16">D65*E65</f>
        <v>16813.881355932204</v>
      </c>
      <c r="H65" s="102">
        <f t="shared" ref="H65:H75" si="17">G65*F65</f>
        <v>16813.881355932204</v>
      </c>
    </row>
    <row r="66" spans="1:8" ht="14.25" customHeight="1" x14ac:dyDescent="0.25">
      <c r="A66" s="1471"/>
      <c r="B66" s="105" t="str">
        <f t="shared" si="14"/>
        <v>Tomato Ketchup - كاتشب طماطم</v>
      </c>
      <c r="C66" s="105" t="str">
        <f t="shared" si="14"/>
        <v>ml</v>
      </c>
      <c r="D66" s="105">
        <f t="shared" si="14"/>
        <v>500</v>
      </c>
      <c r="E66" s="403">
        <f>$C$53</f>
        <v>5.0750526315789477</v>
      </c>
      <c r="F66" s="109">
        <f t="shared" si="15"/>
        <v>1</v>
      </c>
      <c r="G66" s="99">
        <f t="shared" si="16"/>
        <v>2537.5263157894738</v>
      </c>
      <c r="H66" s="102">
        <f t="shared" si="17"/>
        <v>2537.5263157894738</v>
      </c>
    </row>
    <row r="67" spans="1:8" ht="14.25" customHeight="1" x14ac:dyDescent="0.25">
      <c r="A67" s="1471"/>
      <c r="B67" s="105" t="str">
        <f t="shared" si="14"/>
        <v>Sriracha Sauce - صوص سريراتشا</v>
      </c>
      <c r="C67" s="105" t="str">
        <f t="shared" si="14"/>
        <v>ml</v>
      </c>
      <c r="D67" s="105">
        <f t="shared" si="14"/>
        <v>40</v>
      </c>
      <c r="E67" s="403">
        <f t="shared" ref="E67:E77" si="18">$C$53</f>
        <v>5.0750526315789477</v>
      </c>
      <c r="F67" s="109">
        <f t="shared" si="15"/>
        <v>0.75</v>
      </c>
      <c r="G67" s="99">
        <f t="shared" si="16"/>
        <v>203.00210526315792</v>
      </c>
      <c r="H67" s="102">
        <f t="shared" si="17"/>
        <v>152.25157894736844</v>
      </c>
    </row>
    <row r="68" spans="1:8" ht="14.25" customHeight="1" x14ac:dyDescent="0.25">
      <c r="A68" s="1471"/>
      <c r="B68" s="105" t="str">
        <f t="shared" si="14"/>
        <v>Light Soy Sauce - صويا صوص خفيف</v>
      </c>
      <c r="C68" s="105" t="str">
        <f t="shared" si="14"/>
        <v>ml</v>
      </c>
      <c r="D68" s="105">
        <f t="shared" si="14"/>
        <v>60</v>
      </c>
      <c r="E68" s="403">
        <f t="shared" si="18"/>
        <v>5.0750526315789477</v>
      </c>
      <c r="F68" s="109">
        <f t="shared" si="15"/>
        <v>0.9</v>
      </c>
      <c r="G68" s="99">
        <f t="shared" si="16"/>
        <v>304.50315789473689</v>
      </c>
      <c r="H68" s="102">
        <f t="shared" si="17"/>
        <v>274.05284210526321</v>
      </c>
    </row>
    <row r="69" spans="1:8" ht="14.25" customHeight="1" x14ac:dyDescent="0.25">
      <c r="A69" s="1471"/>
      <c r="B69" s="105" t="str">
        <f t="shared" si="14"/>
        <v>Sweet Soy Sauce - صويا صوص حلو</v>
      </c>
      <c r="C69" s="105" t="str">
        <f t="shared" si="14"/>
        <v>ml</v>
      </c>
      <c r="D69" s="105">
        <f t="shared" si="14"/>
        <v>40</v>
      </c>
      <c r="E69" s="403">
        <f t="shared" si="18"/>
        <v>5.0750526315789477</v>
      </c>
      <c r="F69" s="109">
        <f t="shared" si="15"/>
        <v>1</v>
      </c>
      <c r="G69" s="99">
        <f t="shared" si="16"/>
        <v>203.00210526315792</v>
      </c>
      <c r="H69" s="102">
        <f t="shared" si="17"/>
        <v>203.00210526315792</v>
      </c>
    </row>
    <row r="70" spans="1:8" ht="14.25" customHeight="1" x14ac:dyDescent="0.25">
      <c r="A70" s="1471" t="s">
        <v>907</v>
      </c>
      <c r="B70" s="105" t="str">
        <f t="shared" si="14"/>
        <v>Garlic - ثوم مقشر</v>
      </c>
      <c r="C70" s="105" t="str">
        <f t="shared" si="14"/>
        <v>gm</v>
      </c>
      <c r="D70" s="105">
        <f t="shared" si="14"/>
        <v>40</v>
      </c>
      <c r="E70" s="403">
        <f t="shared" si="18"/>
        <v>5.0750526315789477</v>
      </c>
      <c r="F70" s="109">
        <f t="shared" si="15"/>
        <v>1</v>
      </c>
      <c r="G70" s="99">
        <f t="shared" si="16"/>
        <v>203.00210526315792</v>
      </c>
      <c r="H70" s="102">
        <f t="shared" si="17"/>
        <v>203.00210526315792</v>
      </c>
    </row>
    <row r="71" spans="1:8" ht="14.25" customHeight="1" x14ac:dyDescent="0.25">
      <c r="A71" s="1471"/>
      <c r="B71" s="105" t="str">
        <f t="shared" si="14"/>
        <v>Corn Starch - نشا ذرة</v>
      </c>
      <c r="C71" s="105" t="str">
        <f t="shared" si="14"/>
        <v>gm</v>
      </c>
      <c r="D71" s="105">
        <f t="shared" si="14"/>
        <v>40</v>
      </c>
      <c r="E71" s="403">
        <f t="shared" si="18"/>
        <v>5.0750526315789477</v>
      </c>
      <c r="F71" s="109">
        <f t="shared" si="15"/>
        <v>0.95</v>
      </c>
      <c r="G71" s="99">
        <f t="shared" si="16"/>
        <v>203.00210526315792</v>
      </c>
      <c r="H71" s="102">
        <f t="shared" si="17"/>
        <v>192.852</v>
      </c>
    </row>
    <row r="72" spans="1:8" ht="14.25" customHeight="1" x14ac:dyDescent="0.25">
      <c r="A72" s="1471"/>
      <c r="B72" s="105" t="str">
        <f t="shared" si="14"/>
        <v>Salt - ملح</v>
      </c>
      <c r="C72" s="105" t="str">
        <f t="shared" si="14"/>
        <v>gm</v>
      </c>
      <c r="D72" s="105">
        <f t="shared" si="14"/>
        <v>11</v>
      </c>
      <c r="E72" s="403">
        <f t="shared" si="18"/>
        <v>5.0750526315789477</v>
      </c>
      <c r="F72" s="109">
        <f t="shared" si="15"/>
        <v>0.75</v>
      </c>
      <c r="G72" s="99">
        <f t="shared" si="16"/>
        <v>55.825578947368427</v>
      </c>
      <c r="H72" s="102">
        <f t="shared" si="17"/>
        <v>41.869184210526321</v>
      </c>
    </row>
    <row r="73" spans="1:8" ht="14.25" customHeight="1" x14ac:dyDescent="0.25">
      <c r="A73" s="1471" t="s">
        <v>906</v>
      </c>
      <c r="B73" s="105" t="str">
        <f t="shared" si="14"/>
        <v>Ginger - زنجبيل</v>
      </c>
      <c r="C73" s="105" t="str">
        <f t="shared" si="14"/>
        <v>gm</v>
      </c>
      <c r="D73" s="105">
        <f t="shared" si="14"/>
        <v>40</v>
      </c>
      <c r="E73" s="403">
        <f t="shared" si="18"/>
        <v>5.0750526315789477</v>
      </c>
      <c r="F73" s="109">
        <f t="shared" si="15"/>
        <v>1</v>
      </c>
      <c r="G73" s="99">
        <f t="shared" si="16"/>
        <v>203.00210526315792</v>
      </c>
      <c r="H73" s="102">
        <f t="shared" si="17"/>
        <v>203.00210526315792</v>
      </c>
    </row>
    <row r="74" spans="1:8" ht="14.25" customHeight="1" x14ac:dyDescent="0.25">
      <c r="A74" s="1471"/>
      <c r="B74" s="105" t="str">
        <f t="shared" si="14"/>
        <v>Honey - عسل</v>
      </c>
      <c r="C74" s="105" t="str">
        <f t="shared" si="14"/>
        <v>gm</v>
      </c>
      <c r="D74" s="105">
        <f t="shared" si="14"/>
        <v>40</v>
      </c>
      <c r="E74" s="403">
        <f t="shared" si="18"/>
        <v>5.0750526315789477</v>
      </c>
      <c r="F74" s="109">
        <f t="shared" si="15"/>
        <v>1</v>
      </c>
      <c r="G74" s="99">
        <f t="shared" si="16"/>
        <v>203.00210526315792</v>
      </c>
      <c r="H74" s="102">
        <f t="shared" si="17"/>
        <v>203.00210526315792</v>
      </c>
    </row>
    <row r="75" spans="1:8" ht="14.25" customHeight="1" x14ac:dyDescent="0.25">
      <c r="A75" s="1471"/>
      <c r="B75" s="105" t="str">
        <f t="shared" si="14"/>
        <v>Tomato Paste - صلصة طماطم</v>
      </c>
      <c r="C75" s="105" t="str">
        <f t="shared" si="14"/>
        <v>gm</v>
      </c>
      <c r="D75" s="105">
        <f t="shared" si="14"/>
        <v>45</v>
      </c>
      <c r="E75" s="403">
        <f t="shared" si="18"/>
        <v>5.0750526315789477</v>
      </c>
      <c r="F75" s="109">
        <f t="shared" si="15"/>
        <v>1</v>
      </c>
      <c r="G75" s="99">
        <f t="shared" si="16"/>
        <v>228.37736842105264</v>
      </c>
      <c r="H75" s="102">
        <f t="shared" si="17"/>
        <v>228.37736842105264</v>
      </c>
    </row>
    <row r="76" spans="1:8" ht="14.25" customHeight="1" x14ac:dyDescent="0.25">
      <c r="A76" s="1471"/>
      <c r="B76" s="105" t="str">
        <f t="shared" ref="B76:D77" si="19">B16</f>
        <v>Butter - زبدة</v>
      </c>
      <c r="C76" s="105" t="str">
        <f t="shared" si="19"/>
        <v>gm</v>
      </c>
      <c r="D76" s="105">
        <f t="shared" si="19"/>
        <v>30</v>
      </c>
      <c r="E76" s="403">
        <f t="shared" si="18"/>
        <v>5.0750526315789477</v>
      </c>
      <c r="F76" s="109">
        <f t="shared" si="15"/>
        <v>1</v>
      </c>
      <c r="G76" s="99">
        <f>D76*E76</f>
        <v>152.25157894736844</v>
      </c>
      <c r="H76" s="102">
        <f>G76*F76</f>
        <v>152.25157894736844</v>
      </c>
    </row>
    <row r="77" spans="1:8" ht="20.25" customHeight="1" x14ac:dyDescent="0.25">
      <c r="A77" s="1471"/>
      <c r="B77" s="105" t="str">
        <f t="shared" si="19"/>
        <v>Orange Color - لون برتقالي</v>
      </c>
      <c r="C77" s="105" t="str">
        <f t="shared" si="19"/>
        <v>gm</v>
      </c>
      <c r="D77" s="105">
        <f t="shared" si="19"/>
        <v>2</v>
      </c>
      <c r="E77" s="403">
        <f t="shared" si="18"/>
        <v>5.0750526315789477</v>
      </c>
      <c r="F77" s="109">
        <f t="shared" si="15"/>
        <v>1</v>
      </c>
      <c r="G77" s="99">
        <f>D77*E77</f>
        <v>10.150105263157895</v>
      </c>
      <c r="H77" s="102">
        <f>G77*F77</f>
        <v>10.150105263157895</v>
      </c>
    </row>
    <row r="78" spans="1:8" ht="18" x14ac:dyDescent="0.25">
      <c r="A78" s="1458"/>
      <c r="B78" s="178" t="s">
        <v>287</v>
      </c>
      <c r="C78" s="180" t="s">
        <v>273</v>
      </c>
      <c r="E78" s="180" t="s">
        <v>288</v>
      </c>
      <c r="G78" s="804" t="s">
        <v>264</v>
      </c>
      <c r="H78" s="804" t="s">
        <v>673</v>
      </c>
    </row>
    <row r="79" spans="1:8" ht="25.5" customHeight="1" x14ac:dyDescent="0.3">
      <c r="A79" s="1458"/>
      <c r="B79" s="179">
        <f>$J$53</f>
        <v>9920.19</v>
      </c>
      <c r="C79" s="179">
        <f>E79+G79</f>
        <v>4821.3</v>
      </c>
      <c r="D79" s="839"/>
      <c r="E79" s="179">
        <f>$D$53*$S$44</f>
        <v>4821.3</v>
      </c>
      <c r="F79" s="843"/>
      <c r="G79" s="179">
        <f>$D$53*$T$44</f>
        <v>0</v>
      </c>
      <c r="H79" s="179">
        <f>B79+E79</f>
        <v>14741.490000000002</v>
      </c>
    </row>
    <row r="80" spans="1:8" ht="14.25" customHeight="1" x14ac:dyDescent="0.25">
      <c r="A80" s="1472"/>
      <c r="B80" s="84"/>
      <c r="E80" s="84"/>
      <c r="F80" s="84"/>
    </row>
    <row r="81" spans="1:8" ht="18" customHeight="1" x14ac:dyDescent="0.25">
      <c r="A81" s="1472"/>
      <c r="B81" s="84"/>
      <c r="E81" s="84"/>
      <c r="F81" s="84"/>
    </row>
    <row r="82" spans="1:8" ht="18" customHeight="1" x14ac:dyDescent="0.25">
      <c r="A82" s="1486"/>
      <c r="B82" s="1636" t="str">
        <f>"دجاج سيراتشا 2 / " &amp; COUNTIF($C$53:$C$55, "&gt;0")</f>
        <v>دجاج سيراتشا 2 / 1</v>
      </c>
      <c r="C82" s="1633"/>
      <c r="D82" s="1633"/>
      <c r="E82" s="1633"/>
      <c r="F82" s="1633"/>
      <c r="G82" s="1633"/>
      <c r="H82" s="1633"/>
    </row>
    <row r="83" spans="1:8" ht="25.5" customHeight="1" x14ac:dyDescent="0.25">
      <c r="A83" s="1486"/>
      <c r="B83" s="1634" t="str">
        <f>"Sriracha Chicken 2 / " &amp; COUNTIF($C$53:$C$55, "&gt;0")</f>
        <v>Sriracha Chicken 2 / 1</v>
      </c>
      <c r="C83" s="1639"/>
      <c r="D83" s="1639"/>
      <c r="E83" s="1639"/>
      <c r="F83" s="1639"/>
      <c r="G83" s="1639"/>
      <c r="H83" s="1639"/>
    </row>
    <row r="84" spans="1:8" ht="45.75" customHeight="1" x14ac:dyDescent="0.2">
      <c r="A84" s="1457"/>
      <c r="B84" s="221" t="s">
        <v>241</v>
      </c>
      <c r="C84" s="222" t="s">
        <v>242</v>
      </c>
      <c r="D84" s="223" t="s">
        <v>231</v>
      </c>
      <c r="E84" s="197" t="s">
        <v>234</v>
      </c>
      <c r="F84" s="197" t="s">
        <v>243</v>
      </c>
      <c r="G84" s="223" t="s">
        <v>244</v>
      </c>
      <c r="H84" s="197" t="s">
        <v>245</v>
      </c>
    </row>
    <row r="85" spans="1:8" ht="14.25" customHeight="1" x14ac:dyDescent="0.25">
      <c r="A85" s="1471"/>
      <c r="B85" s="105" t="str">
        <f t="shared" ref="B85:D97" si="20">B5</f>
        <v>Chicken - دجاج</v>
      </c>
      <c r="C85" s="105" t="str">
        <f t="shared" si="20"/>
        <v>gm</v>
      </c>
      <c r="D85" s="256">
        <f t="shared" si="20"/>
        <v>3389.8305084745762</v>
      </c>
      <c r="E85" s="108">
        <f>H54</f>
        <v>0</v>
      </c>
      <c r="F85" s="109">
        <f t="shared" ref="F85:F97" si="21">F5</f>
        <v>1</v>
      </c>
      <c r="G85" s="99">
        <f t="shared" ref="G85:G95" si="22">D85*E85</f>
        <v>0</v>
      </c>
      <c r="H85" s="102">
        <f t="shared" ref="H85:H95" si="23">G85*F85</f>
        <v>0</v>
      </c>
    </row>
    <row r="86" spans="1:8" ht="14.25" customHeight="1" x14ac:dyDescent="0.25">
      <c r="A86" s="1471"/>
      <c r="B86" s="105" t="str">
        <f t="shared" si="20"/>
        <v>Tomato Ketchup - كاتشب طماطم</v>
      </c>
      <c r="C86" s="105" t="str">
        <f t="shared" si="20"/>
        <v>ml</v>
      </c>
      <c r="D86" s="105">
        <f t="shared" si="20"/>
        <v>500</v>
      </c>
      <c r="E86" s="108">
        <f t="shared" ref="E86:E97" si="24">$C$54</f>
        <v>0</v>
      </c>
      <c r="F86" s="109">
        <f t="shared" si="21"/>
        <v>1</v>
      </c>
      <c r="G86" s="99">
        <f t="shared" si="22"/>
        <v>0</v>
      </c>
      <c r="H86" s="102">
        <f t="shared" si="23"/>
        <v>0</v>
      </c>
    </row>
    <row r="87" spans="1:8" ht="14.25" customHeight="1" x14ac:dyDescent="0.25">
      <c r="A87" s="1471"/>
      <c r="B87" s="105" t="str">
        <f t="shared" si="20"/>
        <v>Sriracha Sauce - صوص سريراتشا</v>
      </c>
      <c r="C87" s="105" t="str">
        <f t="shared" si="20"/>
        <v>ml</v>
      </c>
      <c r="D87" s="105">
        <f t="shared" si="20"/>
        <v>40</v>
      </c>
      <c r="E87" s="108">
        <f t="shared" si="24"/>
        <v>0</v>
      </c>
      <c r="F87" s="109">
        <f t="shared" si="21"/>
        <v>0.75</v>
      </c>
      <c r="G87" s="99">
        <f t="shared" si="22"/>
        <v>0</v>
      </c>
      <c r="H87" s="102">
        <f t="shared" si="23"/>
        <v>0</v>
      </c>
    </row>
    <row r="88" spans="1:8" ht="14.25" customHeight="1" x14ac:dyDescent="0.25">
      <c r="A88" s="1471"/>
      <c r="B88" s="105" t="str">
        <f t="shared" si="20"/>
        <v>Light Soy Sauce - صويا صوص خفيف</v>
      </c>
      <c r="C88" s="105" t="str">
        <f t="shared" si="20"/>
        <v>ml</v>
      </c>
      <c r="D88" s="105">
        <f t="shared" si="20"/>
        <v>60</v>
      </c>
      <c r="E88" s="108">
        <f t="shared" si="24"/>
        <v>0</v>
      </c>
      <c r="F88" s="109">
        <f t="shared" si="21"/>
        <v>0.9</v>
      </c>
      <c r="G88" s="99">
        <f t="shared" si="22"/>
        <v>0</v>
      </c>
      <c r="H88" s="102">
        <f t="shared" si="23"/>
        <v>0</v>
      </c>
    </row>
    <row r="89" spans="1:8" ht="14.25" customHeight="1" x14ac:dyDescent="0.25">
      <c r="A89" s="1471"/>
      <c r="B89" s="105" t="str">
        <f t="shared" si="20"/>
        <v>Sweet Soy Sauce - صويا صوص حلو</v>
      </c>
      <c r="C89" s="105" t="str">
        <f t="shared" si="20"/>
        <v>ml</v>
      </c>
      <c r="D89" s="105">
        <f t="shared" si="20"/>
        <v>40</v>
      </c>
      <c r="E89" s="108">
        <f t="shared" si="24"/>
        <v>0</v>
      </c>
      <c r="F89" s="109">
        <f t="shared" si="21"/>
        <v>1</v>
      </c>
      <c r="G89" s="99">
        <f t="shared" si="22"/>
        <v>0</v>
      </c>
      <c r="H89" s="102">
        <f t="shared" si="23"/>
        <v>0</v>
      </c>
    </row>
    <row r="90" spans="1:8" ht="14.25" customHeight="1" x14ac:dyDescent="0.25">
      <c r="A90" s="1471" t="s">
        <v>907</v>
      </c>
      <c r="B90" s="105" t="str">
        <f t="shared" si="20"/>
        <v>Garlic - ثوم مقشر</v>
      </c>
      <c r="C90" s="105" t="str">
        <f t="shared" si="20"/>
        <v>gm</v>
      </c>
      <c r="D90" s="105">
        <f t="shared" si="20"/>
        <v>40</v>
      </c>
      <c r="E90" s="108">
        <f t="shared" si="24"/>
        <v>0</v>
      </c>
      <c r="F90" s="109">
        <f t="shared" si="21"/>
        <v>1</v>
      </c>
      <c r="G90" s="99">
        <f t="shared" si="22"/>
        <v>0</v>
      </c>
      <c r="H90" s="102">
        <f t="shared" si="23"/>
        <v>0</v>
      </c>
    </row>
    <row r="91" spans="1:8" ht="14.25" customHeight="1" x14ac:dyDescent="0.25">
      <c r="A91" s="1471"/>
      <c r="B91" s="105" t="str">
        <f t="shared" si="20"/>
        <v>Corn Starch - نشا ذرة</v>
      </c>
      <c r="C91" s="105" t="str">
        <f t="shared" si="20"/>
        <v>gm</v>
      </c>
      <c r="D91" s="105">
        <f t="shared" si="20"/>
        <v>40</v>
      </c>
      <c r="E91" s="108">
        <f t="shared" si="24"/>
        <v>0</v>
      </c>
      <c r="F91" s="109">
        <f t="shared" si="21"/>
        <v>0.95</v>
      </c>
      <c r="G91" s="99">
        <f t="shared" si="22"/>
        <v>0</v>
      </c>
      <c r="H91" s="102">
        <f t="shared" si="23"/>
        <v>0</v>
      </c>
    </row>
    <row r="92" spans="1:8" ht="14.25" customHeight="1" x14ac:dyDescent="0.25">
      <c r="A92" s="1471"/>
      <c r="B92" s="105" t="str">
        <f t="shared" si="20"/>
        <v>Salt - ملح</v>
      </c>
      <c r="C92" s="105" t="str">
        <f t="shared" si="20"/>
        <v>gm</v>
      </c>
      <c r="D92" s="105">
        <f t="shared" si="20"/>
        <v>11</v>
      </c>
      <c r="E92" s="108">
        <f t="shared" si="24"/>
        <v>0</v>
      </c>
      <c r="F92" s="109">
        <f t="shared" si="21"/>
        <v>0.75</v>
      </c>
      <c r="G92" s="99">
        <f t="shared" si="22"/>
        <v>0</v>
      </c>
      <c r="H92" s="102">
        <f t="shared" si="23"/>
        <v>0</v>
      </c>
    </row>
    <row r="93" spans="1:8" ht="14.25" customHeight="1" x14ac:dyDescent="0.25">
      <c r="A93" s="1471" t="s">
        <v>906</v>
      </c>
      <c r="B93" s="105" t="str">
        <f t="shared" si="20"/>
        <v>Ginger - زنجبيل</v>
      </c>
      <c r="C93" s="105" t="str">
        <f t="shared" si="20"/>
        <v>gm</v>
      </c>
      <c r="D93" s="105">
        <f t="shared" si="20"/>
        <v>40</v>
      </c>
      <c r="E93" s="108">
        <f t="shared" si="24"/>
        <v>0</v>
      </c>
      <c r="F93" s="109">
        <f t="shared" si="21"/>
        <v>1</v>
      </c>
      <c r="G93" s="99">
        <f t="shared" si="22"/>
        <v>0</v>
      </c>
      <c r="H93" s="102">
        <f t="shared" si="23"/>
        <v>0</v>
      </c>
    </row>
    <row r="94" spans="1:8" ht="14.25" customHeight="1" x14ac:dyDescent="0.25">
      <c r="A94" s="1471"/>
      <c r="B94" s="105" t="str">
        <f t="shared" si="20"/>
        <v>Honey - عسل</v>
      </c>
      <c r="C94" s="105" t="str">
        <f t="shared" si="20"/>
        <v>gm</v>
      </c>
      <c r="D94" s="105">
        <f t="shared" si="20"/>
        <v>40</v>
      </c>
      <c r="E94" s="108">
        <f t="shared" si="24"/>
        <v>0</v>
      </c>
      <c r="F94" s="109">
        <f t="shared" si="21"/>
        <v>1</v>
      </c>
      <c r="G94" s="99">
        <f t="shared" si="22"/>
        <v>0</v>
      </c>
      <c r="H94" s="102">
        <f t="shared" si="23"/>
        <v>0</v>
      </c>
    </row>
    <row r="95" spans="1:8" ht="14.25" customHeight="1" x14ac:dyDescent="0.25">
      <c r="A95" s="1471"/>
      <c r="B95" s="105" t="str">
        <f t="shared" si="20"/>
        <v>Tomato Paste - صلصة طماطم</v>
      </c>
      <c r="C95" s="105" t="str">
        <f t="shared" si="20"/>
        <v>gm</v>
      </c>
      <c r="D95" s="105">
        <f t="shared" si="20"/>
        <v>45</v>
      </c>
      <c r="E95" s="108">
        <f t="shared" si="24"/>
        <v>0</v>
      </c>
      <c r="F95" s="109">
        <f t="shared" si="21"/>
        <v>1</v>
      </c>
      <c r="G95" s="99">
        <f t="shared" si="22"/>
        <v>0</v>
      </c>
      <c r="H95" s="102">
        <f t="shared" si="23"/>
        <v>0</v>
      </c>
    </row>
    <row r="96" spans="1:8" ht="20.25" customHeight="1" x14ac:dyDescent="0.25">
      <c r="A96" s="1471"/>
      <c r="B96" s="105" t="str">
        <f t="shared" si="20"/>
        <v>Butter - زبدة</v>
      </c>
      <c r="C96" s="105" t="str">
        <f t="shared" si="20"/>
        <v>gm</v>
      </c>
      <c r="D96" s="105">
        <f t="shared" si="20"/>
        <v>30</v>
      </c>
      <c r="E96" s="108">
        <f t="shared" si="24"/>
        <v>0</v>
      </c>
      <c r="F96" s="109">
        <f t="shared" si="21"/>
        <v>1</v>
      </c>
      <c r="G96" s="99">
        <f>D96*E96</f>
        <v>0</v>
      </c>
      <c r="H96" s="102">
        <f>G96*F96</f>
        <v>0</v>
      </c>
    </row>
    <row r="97" spans="1:8" x14ac:dyDescent="0.25">
      <c r="A97" s="1471"/>
      <c r="B97" s="105" t="str">
        <f t="shared" si="20"/>
        <v>Orange Color - لون برتقالي</v>
      </c>
      <c r="C97" s="105" t="str">
        <f t="shared" si="20"/>
        <v>gm</v>
      </c>
      <c r="D97" s="105">
        <f t="shared" si="20"/>
        <v>2</v>
      </c>
      <c r="E97" s="108">
        <f t="shared" si="24"/>
        <v>0</v>
      </c>
      <c r="F97" s="109">
        <f t="shared" si="21"/>
        <v>1</v>
      </c>
      <c r="G97" s="99">
        <f>D97*E97</f>
        <v>0</v>
      </c>
      <c r="H97" s="102">
        <f>G97*F97</f>
        <v>0</v>
      </c>
    </row>
    <row r="98" spans="1:8" ht="18" x14ac:dyDescent="0.25">
      <c r="A98" s="1458"/>
      <c r="B98" s="178" t="s">
        <v>287</v>
      </c>
      <c r="C98" s="180" t="s">
        <v>273</v>
      </c>
      <c r="E98" s="180" t="s">
        <v>288</v>
      </c>
      <c r="G98" s="804" t="s">
        <v>264</v>
      </c>
      <c r="H98" s="804" t="s">
        <v>673</v>
      </c>
    </row>
    <row r="99" spans="1:8" ht="20.25" x14ac:dyDescent="0.3">
      <c r="A99" s="1458"/>
      <c r="B99" s="179">
        <f>$J$54</f>
        <v>0</v>
      </c>
      <c r="C99" s="179">
        <f>E99+G99</f>
        <v>0</v>
      </c>
      <c r="D99" s="839"/>
      <c r="E99" s="179">
        <f>$D$54*$S$44</f>
        <v>0</v>
      </c>
      <c r="F99" s="843"/>
      <c r="G99" s="179">
        <f>$D$54*$T$44</f>
        <v>0</v>
      </c>
      <c r="H99" s="179">
        <f>B99+E99</f>
        <v>0</v>
      </c>
    </row>
    <row r="100" spans="1:8" x14ac:dyDescent="0.25">
      <c r="A100" s="1472"/>
    </row>
    <row r="101" spans="1:8" x14ac:dyDescent="0.25">
      <c r="A101" s="1472"/>
    </row>
    <row r="102" spans="1:8" x14ac:dyDescent="0.25">
      <c r="A102" s="1472"/>
    </row>
    <row r="103" spans="1:8" x14ac:dyDescent="0.25">
      <c r="A103" s="1472"/>
    </row>
    <row r="104" spans="1:8" x14ac:dyDescent="0.25">
      <c r="A104" s="1472"/>
    </row>
    <row r="105" spans="1:8" x14ac:dyDescent="0.25">
      <c r="A105" s="1472"/>
    </row>
    <row r="106" spans="1:8" x14ac:dyDescent="0.25">
      <c r="A106" s="1472"/>
    </row>
    <row r="107" spans="1:8" x14ac:dyDescent="0.25">
      <c r="A107" s="1472"/>
    </row>
    <row r="108" spans="1:8" x14ac:dyDescent="0.25">
      <c r="A108" s="1472"/>
    </row>
    <row r="109" spans="1:8" x14ac:dyDescent="0.25">
      <c r="A109" s="1472"/>
    </row>
    <row r="110" spans="1:8" x14ac:dyDescent="0.25">
      <c r="A110" s="1472"/>
    </row>
    <row r="111" spans="1:8" x14ac:dyDescent="0.25">
      <c r="A111" s="1472"/>
    </row>
    <row r="112" spans="1:8"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1">
    <mergeCell ref="AE2:AG3"/>
    <mergeCell ref="B83:H83"/>
    <mergeCell ref="R26:U26"/>
    <mergeCell ref="AN2:AN3"/>
    <mergeCell ref="B62:H62"/>
    <mergeCell ref="R25:U25"/>
    <mergeCell ref="F2:F3"/>
    <mergeCell ref="B82:H82"/>
    <mergeCell ref="B63:H63"/>
    <mergeCell ref="AK2:AM2"/>
    <mergeCell ref="B35:F35"/>
  </mergeCells>
  <printOptions horizontalCentered="1"/>
  <pageMargins left="0.4" right="0.4" top="1" bottom="0.5" header="0.3" footer="0.511811023622047"/>
  <pageSetup paperSize="9" scale="69" orientation="landscape" r:id="rId1"/>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C55A11"/>
    <pageSetUpPr fitToPage="1"/>
  </sheetPr>
  <dimension ref="A1:AT174"/>
  <sheetViews>
    <sheetView topLeftCell="A51" zoomScale="55" zoomScaleNormal="55" workbookViewId="0">
      <selection activeCell="A5" sqref="A5:A174"/>
    </sheetView>
  </sheetViews>
  <sheetFormatPr defaultColWidth="12.5" defaultRowHeight="15" x14ac:dyDescent="0.25"/>
  <cols>
    <col min="1" max="1" width="12.5" style="1" customWidth="1"/>
    <col min="2" max="2" width="40" customWidth="1"/>
    <col min="3" max="3" width="19.375" customWidth="1"/>
    <col min="4" max="4" width="19" customWidth="1"/>
    <col min="5" max="5" width="16.125" customWidth="1"/>
    <col min="6" max="6" width="23.125" customWidth="1"/>
    <col min="7" max="7" width="25.125" customWidth="1"/>
    <col min="8" max="8" width="41.375" customWidth="1"/>
    <col min="12" max="12" width="8.375" customWidth="1"/>
    <col min="13" max="14" width="5.625" customWidth="1"/>
    <col min="18" max="18" width="30.5" customWidth="1"/>
    <col min="29" max="30" width="13.375" bestFit="1" customWidth="1"/>
    <col min="31" max="31" width="10" bestFit="1" customWidth="1"/>
    <col min="32" max="32" width="11.625" bestFit="1" customWidth="1"/>
    <col min="33" max="34" width="5.875" customWidth="1"/>
    <col min="36" max="36" width="29.875" customWidth="1"/>
  </cols>
  <sheetData>
    <row r="1" spans="1:46" s="114" customFormat="1" ht="35.25" customHeight="1" x14ac:dyDescent="0.25">
      <c r="A1" s="241"/>
      <c r="B1" s="64" t="s">
        <v>231</v>
      </c>
      <c r="C1" s="65">
        <v>1000</v>
      </c>
      <c r="D1" s="66" t="s">
        <v>232</v>
      </c>
      <c r="E1" s="67">
        <f>T32</f>
        <v>18086.883333333331</v>
      </c>
      <c r="F1" s="64" t="s">
        <v>233</v>
      </c>
      <c r="G1" s="68">
        <f>E1/C1</f>
        <v>18.086883333333333</v>
      </c>
      <c r="H1" s="64" t="s">
        <v>234</v>
      </c>
      <c r="I1" s="69">
        <f>(G1/K1)</f>
        <v>19.038824561403509</v>
      </c>
      <c r="J1" s="70" t="s">
        <v>235</v>
      </c>
      <c r="K1" s="69">
        <v>0.95</v>
      </c>
      <c r="L1" s="361"/>
      <c r="M1" s="73"/>
      <c r="N1" s="74"/>
      <c r="O1" s="75" t="s">
        <v>236</v>
      </c>
      <c r="P1" s="76" t="s">
        <v>237</v>
      </c>
      <c r="Q1" s="77" t="s">
        <v>238</v>
      </c>
      <c r="R1" s="76">
        <v>0.59</v>
      </c>
      <c r="S1" s="76"/>
      <c r="T1" s="76"/>
      <c r="Y1" s="75" t="s">
        <v>453</v>
      </c>
      <c r="Z1" s="766">
        <v>31050</v>
      </c>
      <c r="AA1" s="75" t="s">
        <v>556</v>
      </c>
      <c r="AB1" s="766">
        <v>1000</v>
      </c>
      <c r="AC1" s="75" t="s">
        <v>546</v>
      </c>
      <c r="AD1" s="766">
        <v>214</v>
      </c>
      <c r="AE1" s="228"/>
      <c r="AF1" s="230"/>
      <c r="AG1" s="76"/>
      <c r="AI1" s="1"/>
      <c r="AJ1" s="78" t="s">
        <v>250</v>
      </c>
      <c r="AK1" s="78">
        <v>10000</v>
      </c>
      <c r="AL1" s="561" t="s">
        <v>483</v>
      </c>
      <c r="AM1" s="562">
        <f>$S$32</f>
        <v>24646.45</v>
      </c>
      <c r="AN1" s="78" t="s">
        <v>239</v>
      </c>
      <c r="AO1" s="305">
        <f>((S32)/$R$1)/$AK$1</f>
        <v>4.1773644067796614</v>
      </c>
      <c r="AP1" s="80"/>
    </row>
    <row r="2" spans="1:46" ht="15.75" customHeight="1" x14ac:dyDescent="0.25">
      <c r="A2" s="242"/>
      <c r="B2" s="82"/>
      <c r="C2" s="82"/>
      <c r="D2" s="82"/>
      <c r="E2" s="82"/>
      <c r="F2" s="1632" t="s">
        <v>125</v>
      </c>
      <c r="G2" s="82"/>
      <c r="H2" s="82"/>
      <c r="I2" s="82"/>
      <c r="J2" s="82"/>
      <c r="K2" s="82"/>
      <c r="L2" s="82"/>
      <c r="M2" s="83"/>
      <c r="N2" s="83"/>
      <c r="O2" s="84"/>
      <c r="P2" s="84"/>
      <c r="Q2" s="84"/>
      <c r="R2" s="84"/>
      <c r="S2" s="84"/>
      <c r="T2" s="84"/>
      <c r="U2" s="84"/>
      <c r="AC2" s="83"/>
      <c r="AD2" s="83"/>
      <c r="AE2" s="1652"/>
      <c r="AF2" s="1653"/>
      <c r="AG2" s="1653"/>
      <c r="AI2" s="1"/>
      <c r="AJ2" s="85"/>
      <c r="AK2" s="1631" t="s">
        <v>435</v>
      </c>
      <c r="AL2" s="1631"/>
      <c r="AM2" s="1631"/>
      <c r="AN2" s="1631"/>
      <c r="AO2" s="85"/>
      <c r="AP2" s="85"/>
    </row>
    <row r="3" spans="1:46" ht="15.75" customHeight="1" x14ac:dyDescent="0.25">
      <c r="A3" s="242"/>
      <c r="B3" s="87"/>
      <c r="C3" s="87"/>
      <c r="D3" s="87"/>
      <c r="E3" s="87"/>
      <c r="F3" s="1633"/>
      <c r="G3" s="87"/>
      <c r="H3" s="87"/>
      <c r="I3" s="87"/>
      <c r="J3" s="87"/>
      <c r="K3" s="87"/>
      <c r="L3" s="87"/>
      <c r="M3" s="83"/>
      <c r="N3" s="83"/>
      <c r="O3" s="84"/>
      <c r="P3" s="84"/>
      <c r="Q3" s="84"/>
      <c r="R3" s="84"/>
      <c r="S3" s="84"/>
      <c r="T3" s="84"/>
      <c r="U3" s="84"/>
      <c r="AC3" s="83"/>
      <c r="AD3" s="83"/>
      <c r="AE3" s="1653"/>
      <c r="AF3" s="1653"/>
      <c r="AG3" s="1653"/>
      <c r="AI3" s="1"/>
      <c r="AJ3" s="85"/>
      <c r="AK3" s="85"/>
      <c r="AL3" s="85"/>
      <c r="AM3" s="85"/>
      <c r="AN3" s="1653"/>
      <c r="AO3" s="85"/>
      <c r="AP3" s="85"/>
    </row>
    <row r="4" spans="1:46" ht="46.5" customHeight="1" x14ac:dyDescent="0.25">
      <c r="A4" s="75" t="s">
        <v>903</v>
      </c>
      <c r="B4" s="75" t="s">
        <v>241</v>
      </c>
      <c r="C4" s="90" t="s">
        <v>242</v>
      </c>
      <c r="D4" s="75" t="s">
        <v>231</v>
      </c>
      <c r="E4" s="91" t="s">
        <v>234</v>
      </c>
      <c r="F4" s="91" t="s">
        <v>243</v>
      </c>
      <c r="G4" s="75" t="s">
        <v>244</v>
      </c>
      <c r="H4" s="307" t="s">
        <v>335</v>
      </c>
      <c r="I4" s="75" t="s">
        <v>246</v>
      </c>
      <c r="J4" s="75" t="s">
        <v>247</v>
      </c>
      <c r="K4" s="75" t="s">
        <v>248</v>
      </c>
      <c r="L4" s="73" t="s">
        <v>249</v>
      </c>
      <c r="M4" s="347"/>
      <c r="N4" s="347"/>
      <c r="O4" s="84"/>
      <c r="P4" s="84"/>
      <c r="Q4" s="84"/>
      <c r="R4" s="84"/>
      <c r="S4" s="84"/>
      <c r="T4" s="84"/>
      <c r="U4" s="84"/>
      <c r="AC4" s="229"/>
      <c r="AD4" s="231"/>
      <c r="AE4" s="229"/>
      <c r="AF4" s="229"/>
      <c r="AG4" s="229"/>
      <c r="AI4" s="1"/>
      <c r="AJ4" s="78" t="s">
        <v>241</v>
      </c>
      <c r="AK4" s="493" t="s">
        <v>242</v>
      </c>
      <c r="AL4" s="78" t="s">
        <v>250</v>
      </c>
      <c r="AM4" s="78" t="s">
        <v>234</v>
      </c>
      <c r="AN4" s="78" t="s">
        <v>243</v>
      </c>
      <c r="AO4" s="78" t="s">
        <v>244</v>
      </c>
      <c r="AP4" s="78" t="s">
        <v>335</v>
      </c>
      <c r="AQ4" s="75" t="s">
        <v>246</v>
      </c>
      <c r="AR4" s="75" t="s">
        <v>247</v>
      </c>
      <c r="AS4" s="75" t="s">
        <v>248</v>
      </c>
      <c r="AT4" s="75" t="s">
        <v>249</v>
      </c>
    </row>
    <row r="5" spans="1:46" ht="14.25" customHeight="1" x14ac:dyDescent="0.25">
      <c r="A5" s="1454"/>
      <c r="B5" s="286" t="s">
        <v>220</v>
      </c>
      <c r="C5" s="97" t="s">
        <v>14</v>
      </c>
      <c r="D5" s="103">
        <f>I51/10</f>
        <v>2311.3713405238827</v>
      </c>
      <c r="E5" s="99">
        <f>H52</f>
        <v>18.073099434696822</v>
      </c>
      <c r="F5" s="109">
        <v>1</v>
      </c>
      <c r="G5" s="101">
        <f t="shared" ref="G5:G25" si="0">D5*E5</f>
        <v>41773.644067796617</v>
      </c>
      <c r="H5" s="102">
        <f t="shared" ref="H5:H25" si="1">G5*F5</f>
        <v>41773.644067796617</v>
      </c>
      <c r="I5" s="65">
        <f>VLOOKUP(B5,All_Ingredients!$A$1:$F$156,6,FALSE())</f>
        <v>0.86</v>
      </c>
      <c r="J5" s="101">
        <f>VLOOKUP(B5,All_Ingredients!$A$1:$J$156,10,FALSE())</f>
        <v>17.100000000000001</v>
      </c>
      <c r="K5" s="104">
        <f t="shared" ref="K5" si="2">(H5/I5)/1000</f>
        <v>48.574004729996062</v>
      </c>
      <c r="L5" s="104">
        <f t="shared" ref="L5" si="3">K5*J5</f>
        <v>830.61548088293273</v>
      </c>
      <c r="M5" s="112"/>
      <c r="N5" s="112"/>
      <c r="O5" s="84"/>
      <c r="P5" s="84"/>
      <c r="Q5" s="84"/>
      <c r="R5" s="84"/>
      <c r="S5" s="84"/>
      <c r="T5" s="84"/>
      <c r="U5" s="84"/>
      <c r="AC5" s="76"/>
      <c r="AD5" s="114"/>
      <c r="AE5" s="232"/>
      <c r="AF5" s="116"/>
      <c r="AG5" s="117"/>
      <c r="AI5" s="1"/>
      <c r="AJ5" s="350" t="s">
        <v>220</v>
      </c>
      <c r="AK5" s="106" t="s">
        <v>227</v>
      </c>
      <c r="AL5" s="107">
        <v>10</v>
      </c>
      <c r="AM5" s="98">
        <f t="shared" ref="AM5:AM19" si="4">$AO$1</f>
        <v>4.1773644067796614</v>
      </c>
      <c r="AN5" s="109">
        <v>1</v>
      </c>
      <c r="AO5" s="101">
        <f t="shared" ref="AO5:AO19" si="5">AL5*AM5</f>
        <v>41.77364406779661</v>
      </c>
      <c r="AP5" s="187">
        <f t="shared" ref="AP5:AP19" si="6">AO5*AN5</f>
        <v>41.77364406779661</v>
      </c>
      <c r="AQ5" s="272"/>
      <c r="AR5" s="1017"/>
      <c r="AS5" s="156"/>
      <c r="AT5" s="1018"/>
    </row>
    <row r="6" spans="1:46" ht="14.25" customHeight="1" x14ac:dyDescent="0.25">
      <c r="A6" s="1455" t="s">
        <v>905</v>
      </c>
      <c r="B6" s="96" t="s">
        <v>12</v>
      </c>
      <c r="C6" s="106" t="s">
        <v>14</v>
      </c>
      <c r="D6" s="107">
        <v>80</v>
      </c>
      <c r="E6" s="98">
        <f t="shared" ref="E6:E25" si="7">$I$1</f>
        <v>19.038824561403509</v>
      </c>
      <c r="F6" s="109">
        <v>1</v>
      </c>
      <c r="G6" s="101">
        <f t="shared" si="0"/>
        <v>1523.1059649122808</v>
      </c>
      <c r="H6" s="102">
        <f t="shared" si="1"/>
        <v>1523.1059649122808</v>
      </c>
      <c r="I6" s="65">
        <f>VLOOKUP(B6,All_Ingredients!$A$1:$F$156,6,FALSE())</f>
        <v>0.9</v>
      </c>
      <c r="J6" s="101">
        <f>VLOOKUP(B6,All_Ingredients!$A$1:$J$156,10,FALSE())</f>
        <v>3</v>
      </c>
      <c r="K6" s="104">
        <f t="shared" ref="K6:K25" si="8">(H6/I6)/1000</f>
        <v>1.6923399610136454</v>
      </c>
      <c r="L6" s="104">
        <f t="shared" ref="L6:L25" si="9">K6*J6</f>
        <v>5.0770198830409363</v>
      </c>
      <c r="M6" s="112"/>
      <c r="N6" s="112"/>
      <c r="AI6" s="1" t="s">
        <v>94</v>
      </c>
      <c r="AJ6" s="106" t="s">
        <v>105</v>
      </c>
      <c r="AK6" s="106" t="s">
        <v>14</v>
      </c>
      <c r="AL6" s="107">
        <v>25</v>
      </c>
      <c r="AM6" s="98">
        <f t="shared" si="4"/>
        <v>4.1773644067796614</v>
      </c>
      <c r="AN6" s="109">
        <v>1</v>
      </c>
      <c r="AO6" s="101">
        <f t="shared" si="5"/>
        <v>104.43411016949153</v>
      </c>
      <c r="AP6" s="187">
        <f t="shared" si="6"/>
        <v>104.43411016949153</v>
      </c>
      <c r="AQ6" s="1018">
        <f>VLOOKUP(AJ6,Marination_Ordering!$A:$J,6,FALSE)</f>
        <v>1</v>
      </c>
      <c r="AR6" s="1018">
        <f>VLOOKUP(AJ6,Marination_Ordering!$A:$J,10,FALSE)</f>
        <v>15</v>
      </c>
      <c r="AS6" s="156">
        <f>AP6/AQ6</f>
        <v>104.43411016949153</v>
      </c>
      <c r="AT6" s="1018">
        <f>AR6*(AS6/1000)</f>
        <v>1.566511652542373</v>
      </c>
    </row>
    <row r="7" spans="1:46" ht="14.25" customHeight="1" x14ac:dyDescent="0.25">
      <c r="A7" s="1455" t="s">
        <v>909</v>
      </c>
      <c r="B7" s="96" t="s">
        <v>17</v>
      </c>
      <c r="C7" s="106" t="s">
        <v>14</v>
      </c>
      <c r="D7" s="107">
        <v>400</v>
      </c>
      <c r="E7" s="98">
        <f t="shared" si="7"/>
        <v>19.038824561403509</v>
      </c>
      <c r="F7" s="109">
        <v>1</v>
      </c>
      <c r="G7" s="101">
        <f t="shared" si="0"/>
        <v>7615.5298245614031</v>
      </c>
      <c r="H7" s="102">
        <f t="shared" si="1"/>
        <v>7615.5298245614031</v>
      </c>
      <c r="I7" s="65">
        <f>VLOOKUP(B7,All_Ingredients!$A$1:$F$156,6,FALSE())</f>
        <v>0.98</v>
      </c>
      <c r="J7" s="101">
        <f>VLOOKUP(B7,All_Ingredients!$A$1:$J$156,10,FALSE())</f>
        <v>3.5</v>
      </c>
      <c r="K7" s="104">
        <f t="shared" si="8"/>
        <v>7.7709488005728611</v>
      </c>
      <c r="L7" s="104">
        <f t="shared" si="9"/>
        <v>27.198320802005014</v>
      </c>
      <c r="M7" s="112"/>
      <c r="N7" s="112"/>
      <c r="AI7" s="1" t="s">
        <v>94</v>
      </c>
      <c r="AJ7" s="106" t="s">
        <v>107</v>
      </c>
      <c r="AK7" s="106" t="s">
        <v>14</v>
      </c>
      <c r="AL7" s="107">
        <v>15</v>
      </c>
      <c r="AM7" s="98">
        <f t="shared" si="4"/>
        <v>4.1773644067796614</v>
      </c>
      <c r="AN7" s="109">
        <v>1</v>
      </c>
      <c r="AO7" s="101">
        <f t="shared" si="5"/>
        <v>62.660466101694922</v>
      </c>
      <c r="AP7" s="187">
        <f t="shared" si="6"/>
        <v>62.660466101694922</v>
      </c>
      <c r="AQ7" s="1018">
        <f>VLOOKUP(AJ7,Marination_Ordering!$A:$J,6,FALSE)</f>
        <v>1</v>
      </c>
      <c r="AR7" s="1018">
        <f>VLOOKUP(AJ7,Marination_Ordering!$A:$J,10,FALSE)</f>
        <v>8</v>
      </c>
      <c r="AS7" s="156">
        <f t="shared" ref="AS7:AS8" si="10">AP7/AQ7</f>
        <v>62.660466101694922</v>
      </c>
      <c r="AT7" s="1018">
        <f t="shared" ref="AT7:AT8" si="11">AR7*(AS7/1000)</f>
        <v>0.50128372881355943</v>
      </c>
    </row>
    <row r="8" spans="1:46" ht="14.25" customHeight="1" x14ac:dyDescent="0.25">
      <c r="A8" s="1455"/>
      <c r="B8" s="96" t="s">
        <v>178</v>
      </c>
      <c r="C8" s="106" t="s">
        <v>14</v>
      </c>
      <c r="D8" s="107">
        <v>50</v>
      </c>
      <c r="E8" s="98">
        <f t="shared" si="7"/>
        <v>19.038824561403509</v>
      </c>
      <c r="F8" s="109">
        <v>0.5</v>
      </c>
      <c r="G8" s="101">
        <f t="shared" si="0"/>
        <v>951.94122807017538</v>
      </c>
      <c r="H8" s="102">
        <f t="shared" si="1"/>
        <v>475.97061403508769</v>
      </c>
      <c r="I8" s="65">
        <f>VLOOKUP(B8,All_Ingredients!$A$1:$F$156,6,FALSE())</f>
        <v>1</v>
      </c>
      <c r="J8" s="101">
        <f>VLOOKUP(B8,All_Ingredients!$A$1:$J$156,10,FALSE())</f>
        <v>40</v>
      </c>
      <c r="K8" s="104">
        <f t="shared" si="8"/>
        <v>0.47597061403508767</v>
      </c>
      <c r="L8" s="104">
        <f t="shared" si="9"/>
        <v>19.038824561403509</v>
      </c>
      <c r="M8" s="112"/>
      <c r="N8" s="112"/>
      <c r="AI8" s="1" t="s">
        <v>153</v>
      </c>
      <c r="AJ8" s="106" t="s">
        <v>163</v>
      </c>
      <c r="AK8" s="106" t="s">
        <v>14</v>
      </c>
      <c r="AL8" s="107">
        <v>500</v>
      </c>
      <c r="AM8" s="98">
        <f t="shared" si="4"/>
        <v>4.1773644067796614</v>
      </c>
      <c r="AN8" s="109">
        <v>1</v>
      </c>
      <c r="AO8" s="101">
        <f t="shared" si="5"/>
        <v>2088.6822033898306</v>
      </c>
      <c r="AP8" s="187">
        <f t="shared" si="6"/>
        <v>2088.6822033898306</v>
      </c>
      <c r="AQ8" s="1018">
        <f>VLOOKUP(AJ8,Marination_Ordering!$A:$J,6,FALSE)</f>
        <v>1</v>
      </c>
      <c r="AR8" s="1018">
        <f>VLOOKUP(AJ8,Marination_Ordering!$A:$J,10,FALSE)</f>
        <v>6.6959999999999997</v>
      </c>
      <c r="AS8" s="156">
        <f t="shared" si="10"/>
        <v>2088.6822033898306</v>
      </c>
      <c r="AT8" s="1018">
        <f t="shared" si="11"/>
        <v>13.985816033898306</v>
      </c>
    </row>
    <row r="9" spans="1:46" ht="14.25" customHeight="1" x14ac:dyDescent="0.25">
      <c r="A9" s="1455"/>
      <c r="B9" s="96" t="s">
        <v>115</v>
      </c>
      <c r="C9" s="106" t="s">
        <v>14</v>
      </c>
      <c r="D9" s="107">
        <v>5</v>
      </c>
      <c r="E9" s="98">
        <f t="shared" si="7"/>
        <v>19.038824561403509</v>
      </c>
      <c r="F9" s="109">
        <v>0.75</v>
      </c>
      <c r="G9" s="101">
        <f t="shared" si="0"/>
        <v>95.19412280701755</v>
      </c>
      <c r="H9" s="102">
        <f t="shared" si="1"/>
        <v>71.395592105263162</v>
      </c>
      <c r="I9" s="65">
        <f>VLOOKUP(B9,All_Ingredients!$A$1:$F$156,6,FALSE())</f>
        <v>1</v>
      </c>
      <c r="J9" s="101">
        <f>VLOOKUP(B9,All_Ingredients!$A$1:$J$156,10,FALSE())</f>
        <v>14.5</v>
      </c>
      <c r="K9" s="104">
        <f t="shared" si="8"/>
        <v>7.1395592105263167E-2</v>
      </c>
      <c r="L9" s="104">
        <f t="shared" si="9"/>
        <v>1.0352360855263159</v>
      </c>
      <c r="M9" s="112"/>
      <c r="N9" s="112"/>
      <c r="AI9" s="1" t="s">
        <v>94</v>
      </c>
      <c r="AJ9" s="106" t="s">
        <v>113</v>
      </c>
      <c r="AK9" s="106" t="s">
        <v>14</v>
      </c>
      <c r="AL9" s="107">
        <v>5</v>
      </c>
      <c r="AM9" s="98">
        <f t="shared" si="4"/>
        <v>4.1773644067796614</v>
      </c>
      <c r="AN9" s="109">
        <v>1</v>
      </c>
      <c r="AO9" s="101">
        <f t="shared" si="5"/>
        <v>20.886822033898305</v>
      </c>
      <c r="AP9" s="187">
        <f t="shared" si="6"/>
        <v>20.886822033898305</v>
      </c>
      <c r="AQ9" s="1018">
        <f>VLOOKUP(AJ9,Marination_Ordering!$A:$J,6,FALSE)</f>
        <v>1</v>
      </c>
      <c r="AR9" s="1018">
        <f>VLOOKUP(AJ9,Marination_Ordering!$A:$J,10,FALSE)</f>
        <v>20</v>
      </c>
      <c r="AS9" s="156">
        <f t="shared" ref="AS9:AS19" si="12">AP9/AQ9</f>
        <v>20.886822033898305</v>
      </c>
      <c r="AT9" s="1018">
        <f t="shared" ref="AT9:AT19" si="13">AR9*(AS9/1000)</f>
        <v>0.41773644067796606</v>
      </c>
    </row>
    <row r="10" spans="1:46" ht="14.25" customHeight="1" x14ac:dyDescent="0.25">
      <c r="A10" s="1455" t="s">
        <v>906</v>
      </c>
      <c r="B10" s="96" t="s">
        <v>54</v>
      </c>
      <c r="C10" s="106" t="s">
        <v>14</v>
      </c>
      <c r="D10" s="107">
        <v>5</v>
      </c>
      <c r="E10" s="98">
        <f t="shared" si="7"/>
        <v>19.038824561403509</v>
      </c>
      <c r="F10" s="109">
        <v>1</v>
      </c>
      <c r="G10" s="101">
        <f t="shared" si="0"/>
        <v>95.19412280701755</v>
      </c>
      <c r="H10" s="102">
        <f t="shared" si="1"/>
        <v>95.19412280701755</v>
      </c>
      <c r="I10" s="65">
        <f>VLOOKUP(B10,All_Ingredients!$A$1:$F$156,6,FALSE())</f>
        <v>0.87</v>
      </c>
      <c r="J10" s="101">
        <f>VLOOKUP(B10,All_Ingredients!$A$1:$J$156,10,FALSE())</f>
        <v>7</v>
      </c>
      <c r="K10" s="104">
        <f t="shared" si="8"/>
        <v>0.10941853196208913</v>
      </c>
      <c r="L10" s="104">
        <f t="shared" si="9"/>
        <v>0.76592972373462387</v>
      </c>
      <c r="M10" s="112"/>
      <c r="N10" s="112"/>
      <c r="AI10" s="1" t="s">
        <v>94</v>
      </c>
      <c r="AJ10" s="106" t="s">
        <v>118</v>
      </c>
      <c r="AK10" s="106" t="s">
        <v>14</v>
      </c>
      <c r="AL10" s="107">
        <v>15</v>
      </c>
      <c r="AM10" s="98">
        <f t="shared" si="4"/>
        <v>4.1773644067796614</v>
      </c>
      <c r="AN10" s="109">
        <v>1</v>
      </c>
      <c r="AO10" s="101">
        <f t="shared" si="5"/>
        <v>62.660466101694922</v>
      </c>
      <c r="AP10" s="187">
        <f t="shared" si="6"/>
        <v>62.660466101694922</v>
      </c>
      <c r="AQ10" s="1018">
        <f>VLOOKUP(AJ10,Marination_Ordering!$A:$J,6,FALSE)</f>
        <v>1</v>
      </c>
      <c r="AR10" s="1018">
        <f>VLOOKUP(AJ10,Marination_Ordering!$A:$J,10,FALSE)</f>
        <v>15</v>
      </c>
      <c r="AS10" s="156">
        <f t="shared" si="12"/>
        <v>62.660466101694922</v>
      </c>
      <c r="AT10" s="1018">
        <f t="shared" si="13"/>
        <v>0.9399069915254239</v>
      </c>
    </row>
    <row r="11" spans="1:46" ht="14.25" customHeight="1" x14ac:dyDescent="0.25">
      <c r="A11" s="1455" t="s">
        <v>907</v>
      </c>
      <c r="B11" s="96" t="s">
        <v>727</v>
      </c>
      <c r="C11" s="106" t="s">
        <v>14</v>
      </c>
      <c r="D11" s="107">
        <v>20</v>
      </c>
      <c r="E11" s="98">
        <f t="shared" si="7"/>
        <v>19.038824561403509</v>
      </c>
      <c r="F11" s="109">
        <v>1</v>
      </c>
      <c r="G11" s="101">
        <f t="shared" si="0"/>
        <v>380.7764912280702</v>
      </c>
      <c r="H11" s="102">
        <f t="shared" si="1"/>
        <v>380.7764912280702</v>
      </c>
      <c r="I11" s="65">
        <f>VLOOKUP(B11,All_Ingredients!$A$1:$F$156,6,FALSE())</f>
        <v>1</v>
      </c>
      <c r="J11" s="101">
        <f>VLOOKUP(B11,All_Ingredients!$A$1:$J$156,10,FALSE())</f>
        <v>10.5</v>
      </c>
      <c r="K11" s="104">
        <f t="shared" si="8"/>
        <v>0.38077649122807022</v>
      </c>
      <c r="L11" s="104">
        <f t="shared" si="9"/>
        <v>3.9981531578947376</v>
      </c>
      <c r="M11" s="112"/>
      <c r="N11" s="112"/>
      <c r="AI11" s="1" t="s">
        <v>94</v>
      </c>
      <c r="AJ11" s="106" t="s">
        <v>724</v>
      </c>
      <c r="AK11" s="106" t="s">
        <v>14</v>
      </c>
      <c r="AL11" s="107">
        <v>5</v>
      </c>
      <c r="AM11" s="98">
        <f t="shared" si="4"/>
        <v>4.1773644067796614</v>
      </c>
      <c r="AN11" s="109">
        <v>1</v>
      </c>
      <c r="AO11" s="101">
        <f t="shared" si="5"/>
        <v>20.886822033898305</v>
      </c>
      <c r="AP11" s="187">
        <f t="shared" si="6"/>
        <v>20.886822033898305</v>
      </c>
      <c r="AQ11" s="1018">
        <f>VLOOKUP(AJ11,Marination_Ordering!$A:$J,6,FALSE)</f>
        <v>1</v>
      </c>
      <c r="AR11" s="1018">
        <f>VLOOKUP(AJ11,Marination_Ordering!$A:$J,10,FALSE)</f>
        <v>52</v>
      </c>
      <c r="AS11" s="156">
        <f t="shared" si="12"/>
        <v>20.886822033898305</v>
      </c>
      <c r="AT11" s="1018">
        <f t="shared" si="13"/>
        <v>1.0861147457627118</v>
      </c>
    </row>
    <row r="12" spans="1:46" ht="14.25" customHeight="1" x14ac:dyDescent="0.25">
      <c r="A12" s="1455" t="s">
        <v>908</v>
      </c>
      <c r="B12" s="96" t="s">
        <v>60</v>
      </c>
      <c r="C12" s="106" t="s">
        <v>14</v>
      </c>
      <c r="D12" s="107">
        <v>10</v>
      </c>
      <c r="E12" s="98">
        <f t="shared" si="7"/>
        <v>19.038824561403509</v>
      </c>
      <c r="F12" s="109">
        <v>1</v>
      </c>
      <c r="G12" s="101">
        <f t="shared" si="0"/>
        <v>190.3882456140351</v>
      </c>
      <c r="H12" s="102">
        <f t="shared" si="1"/>
        <v>190.3882456140351</v>
      </c>
      <c r="I12" s="65">
        <f>VLOOKUP(B12,All_Ingredients!$A$1:$F$156,6,FALSE())</f>
        <v>0.94</v>
      </c>
      <c r="J12" s="101">
        <f>VLOOKUP(B12,All_Ingredients!$A$1:$J$156,10,FALSE())</f>
        <v>3.6363636363636367</v>
      </c>
      <c r="K12" s="104">
        <f t="shared" si="8"/>
        <v>0.20254068682344159</v>
      </c>
      <c r="L12" s="104">
        <f t="shared" si="9"/>
        <v>0.73651158844887854</v>
      </c>
      <c r="M12" s="112"/>
      <c r="N12" s="112"/>
      <c r="AI12" s="1" t="s">
        <v>94</v>
      </c>
      <c r="AJ12" s="106" t="s">
        <v>93</v>
      </c>
      <c r="AK12" s="106" t="s">
        <v>14</v>
      </c>
      <c r="AL12" s="107">
        <v>5</v>
      </c>
      <c r="AM12" s="98">
        <f t="shared" si="4"/>
        <v>4.1773644067796614</v>
      </c>
      <c r="AN12" s="109">
        <v>1</v>
      </c>
      <c r="AO12" s="101">
        <f t="shared" si="5"/>
        <v>20.886822033898305</v>
      </c>
      <c r="AP12" s="187">
        <f t="shared" si="6"/>
        <v>20.886822033898305</v>
      </c>
      <c r="AQ12" s="1018">
        <f>VLOOKUP(AJ12,Marination_Ordering!$A:$J,6,FALSE)</f>
        <v>1</v>
      </c>
      <c r="AR12" s="1018">
        <f>VLOOKUP(AJ12,Marination_Ordering!$A:$J,10,FALSE)</f>
        <v>0.74</v>
      </c>
      <c r="AS12" s="156">
        <f t="shared" si="12"/>
        <v>20.886822033898305</v>
      </c>
      <c r="AT12" s="1018">
        <f t="shared" si="13"/>
        <v>1.5456248305084744E-2</v>
      </c>
    </row>
    <row r="13" spans="1:46" ht="14.25" customHeight="1" x14ac:dyDescent="0.25">
      <c r="A13" s="1455"/>
      <c r="B13" s="96" t="s">
        <v>183</v>
      </c>
      <c r="C13" s="106" t="s">
        <v>14</v>
      </c>
      <c r="D13" s="107">
        <v>30</v>
      </c>
      <c r="E13" s="98">
        <f t="shared" si="7"/>
        <v>19.038824561403509</v>
      </c>
      <c r="F13" s="109">
        <v>1</v>
      </c>
      <c r="G13" s="101">
        <f t="shared" si="0"/>
        <v>571.1647368421053</v>
      </c>
      <c r="H13" s="102">
        <f t="shared" si="1"/>
        <v>571.1647368421053</v>
      </c>
      <c r="I13" s="65">
        <f>VLOOKUP(B13,All_Ingredients!$A$1:$F$156,6,FALSE())</f>
        <v>1</v>
      </c>
      <c r="J13" s="101">
        <f>VLOOKUP(B13,All_Ingredients!$A$1:$J$156,10,FALSE())</f>
        <v>17</v>
      </c>
      <c r="K13" s="104">
        <f t="shared" si="8"/>
        <v>0.57116473684210534</v>
      </c>
      <c r="L13" s="104">
        <f t="shared" si="9"/>
        <v>9.7098005263157905</v>
      </c>
      <c r="M13" s="112"/>
      <c r="N13" s="112"/>
      <c r="AI13" s="1" t="s">
        <v>213</v>
      </c>
      <c r="AJ13" s="106" t="s">
        <v>214</v>
      </c>
      <c r="AK13" s="106" t="s">
        <v>14</v>
      </c>
      <c r="AL13" s="107">
        <v>3</v>
      </c>
      <c r="AM13" s="98">
        <f t="shared" si="4"/>
        <v>4.1773644067796614</v>
      </c>
      <c r="AN13" s="109">
        <v>1</v>
      </c>
      <c r="AO13" s="101">
        <f t="shared" si="5"/>
        <v>12.532093220338984</v>
      </c>
      <c r="AP13" s="187">
        <f t="shared" si="6"/>
        <v>12.532093220338984</v>
      </c>
      <c r="AQ13" s="1018">
        <f>VLOOKUP(AJ13,Marination_Ordering!$A:$J,6,FALSE)</f>
        <v>1</v>
      </c>
      <c r="AR13" s="1018">
        <f>VLOOKUP(AJ13,Marination_Ordering!$A:$J,10,FALSE)</f>
        <v>35</v>
      </c>
      <c r="AS13" s="156">
        <f t="shared" si="12"/>
        <v>12.532093220338984</v>
      </c>
      <c r="AT13" s="1018">
        <f t="shared" si="13"/>
        <v>0.43862326271186447</v>
      </c>
    </row>
    <row r="14" spans="1:46" ht="14.25" customHeight="1" x14ac:dyDescent="0.25">
      <c r="A14" s="1455"/>
      <c r="B14" s="96" t="s">
        <v>93</v>
      </c>
      <c r="C14" s="106" t="s">
        <v>14</v>
      </c>
      <c r="D14" s="107">
        <v>13</v>
      </c>
      <c r="E14" s="98">
        <f t="shared" si="7"/>
        <v>19.038824561403509</v>
      </c>
      <c r="F14" s="109">
        <v>0.75</v>
      </c>
      <c r="G14" s="101">
        <f t="shared" si="0"/>
        <v>247.50471929824562</v>
      </c>
      <c r="H14" s="102">
        <f t="shared" si="1"/>
        <v>185.62853947368421</v>
      </c>
      <c r="I14" s="65">
        <f>VLOOKUP(B14,All_Ingredients!$A$1:$F$156,6,FALSE())</f>
        <v>1</v>
      </c>
      <c r="J14" s="101">
        <f>VLOOKUP(B14,All_Ingredients!$A$1:$J$156,10,FALSE())</f>
        <v>0.74</v>
      </c>
      <c r="K14" s="104">
        <f t="shared" si="8"/>
        <v>0.18562853947368421</v>
      </c>
      <c r="L14" s="104">
        <f t="shared" si="9"/>
        <v>0.13736511921052633</v>
      </c>
      <c r="M14" s="112"/>
      <c r="N14" s="112"/>
      <c r="AI14" s="1" t="s">
        <v>94</v>
      </c>
      <c r="AJ14" s="106" t="s">
        <v>126</v>
      </c>
      <c r="AK14" s="106" t="s">
        <v>14</v>
      </c>
      <c r="AL14" s="107">
        <v>10</v>
      </c>
      <c r="AM14" s="98">
        <f t="shared" si="4"/>
        <v>4.1773644067796614</v>
      </c>
      <c r="AN14" s="109">
        <v>1</v>
      </c>
      <c r="AO14" s="101">
        <f t="shared" si="5"/>
        <v>41.77364406779661</v>
      </c>
      <c r="AP14" s="187">
        <f t="shared" si="6"/>
        <v>41.77364406779661</v>
      </c>
      <c r="AQ14" s="1018">
        <f>VLOOKUP(AJ14,Marination_Ordering!$A:$J,6,FALSE)</f>
        <v>1</v>
      </c>
      <c r="AR14" s="1018">
        <f>VLOOKUP(AJ14,Marination_Ordering!$A:$J,10,FALSE)</f>
        <v>125</v>
      </c>
      <c r="AS14" s="156">
        <f t="shared" si="12"/>
        <v>41.77364406779661</v>
      </c>
      <c r="AT14" s="1018">
        <f t="shared" si="13"/>
        <v>5.2217055084745763</v>
      </c>
    </row>
    <row r="15" spans="1:46" ht="14.25" customHeight="1" x14ac:dyDescent="0.25">
      <c r="A15" s="1455"/>
      <c r="B15" s="96" t="s">
        <v>166</v>
      </c>
      <c r="C15" s="106" t="s">
        <v>160</v>
      </c>
      <c r="D15" s="107">
        <v>350</v>
      </c>
      <c r="E15" s="98">
        <f t="shared" si="7"/>
        <v>19.038824561403509</v>
      </c>
      <c r="F15" s="109">
        <v>1</v>
      </c>
      <c r="G15" s="101">
        <f t="shared" si="0"/>
        <v>6663.5885964912277</v>
      </c>
      <c r="H15" s="102">
        <f t="shared" si="1"/>
        <v>6663.5885964912277</v>
      </c>
      <c r="I15" s="65">
        <f>VLOOKUP(B15,All_Ingredients!$A$1:$F$156,6,FALSE())</f>
        <v>1</v>
      </c>
      <c r="J15" s="101">
        <f>VLOOKUP(B15,All_Ingredients!$A$1:$J$156,10,FALSE())</f>
        <v>12.666666666666666</v>
      </c>
      <c r="K15" s="104">
        <f t="shared" si="8"/>
        <v>6.6635885964912278</v>
      </c>
      <c r="L15" s="104">
        <f t="shared" si="9"/>
        <v>84.405455555555548</v>
      </c>
      <c r="M15" s="112"/>
      <c r="N15" s="112"/>
      <c r="AI15" s="1" t="s">
        <v>94</v>
      </c>
      <c r="AJ15" s="106" t="s">
        <v>122</v>
      </c>
      <c r="AK15" s="106" t="s">
        <v>14</v>
      </c>
      <c r="AL15" s="107">
        <v>5</v>
      </c>
      <c r="AM15" s="98">
        <f t="shared" si="4"/>
        <v>4.1773644067796614</v>
      </c>
      <c r="AN15" s="109">
        <v>1</v>
      </c>
      <c r="AO15" s="101">
        <f t="shared" si="5"/>
        <v>20.886822033898305</v>
      </c>
      <c r="AP15" s="187">
        <f t="shared" si="6"/>
        <v>20.886822033898305</v>
      </c>
      <c r="AQ15" s="1018">
        <f>VLOOKUP(AJ15,Marination_Ordering!$A:$J,6,FALSE)</f>
        <v>1</v>
      </c>
      <c r="AR15" s="1018">
        <f>VLOOKUP(AJ15,Marination_Ordering!$A:$J,10,FALSE)</f>
        <v>14</v>
      </c>
      <c r="AS15" s="156">
        <f t="shared" si="12"/>
        <v>20.886822033898305</v>
      </c>
      <c r="AT15" s="1018">
        <f t="shared" si="13"/>
        <v>0.29241550847457626</v>
      </c>
    </row>
    <row r="16" spans="1:46" ht="14.25" customHeight="1" x14ac:dyDescent="0.25">
      <c r="A16" s="1455"/>
      <c r="B16" s="96" t="s">
        <v>203</v>
      </c>
      <c r="C16" s="106" t="s">
        <v>160</v>
      </c>
      <c r="D16" s="107">
        <v>250</v>
      </c>
      <c r="E16" s="98">
        <f t="shared" si="7"/>
        <v>19.038824561403509</v>
      </c>
      <c r="F16" s="109">
        <v>1</v>
      </c>
      <c r="G16" s="101">
        <f t="shared" si="0"/>
        <v>4759.7061403508769</v>
      </c>
      <c r="H16" s="102">
        <f t="shared" si="1"/>
        <v>4759.7061403508769</v>
      </c>
      <c r="I16" s="65">
        <f>VLOOKUP(B16,All_Ingredients!$A$1:$F$156,6,FALSE())</f>
        <v>1</v>
      </c>
      <c r="J16" s="101">
        <f>VLOOKUP(B16,All_Ingredients!$A$1:$J$156,10,FALSE())</f>
        <v>0</v>
      </c>
      <c r="K16" s="104">
        <f t="shared" si="8"/>
        <v>4.7597061403508771</v>
      </c>
      <c r="L16" s="104">
        <f t="shared" si="9"/>
        <v>0</v>
      </c>
      <c r="M16" s="112"/>
      <c r="N16" s="112"/>
      <c r="AI16" s="1" t="s">
        <v>55</v>
      </c>
      <c r="AJ16" s="106" t="s">
        <v>54</v>
      </c>
      <c r="AK16" s="106" t="s">
        <v>14</v>
      </c>
      <c r="AL16" s="107">
        <v>100</v>
      </c>
      <c r="AM16" s="98">
        <f t="shared" si="4"/>
        <v>4.1773644067796614</v>
      </c>
      <c r="AN16" s="109">
        <v>1</v>
      </c>
      <c r="AO16" s="101">
        <f t="shared" si="5"/>
        <v>417.73644067796613</v>
      </c>
      <c r="AP16" s="187">
        <f t="shared" si="6"/>
        <v>417.73644067796613</v>
      </c>
      <c r="AQ16" s="1018">
        <f>VLOOKUP(AJ16,Marination_Ordering!$A:$J,6,FALSE)</f>
        <v>0.87</v>
      </c>
      <c r="AR16" s="1018">
        <f>VLOOKUP(AJ16,Marination_Ordering!$A:$J,10,FALSE)</f>
        <v>7</v>
      </c>
      <c r="AS16" s="156">
        <f t="shared" si="12"/>
        <v>480.1568283654783</v>
      </c>
      <c r="AT16" s="1018">
        <f t="shared" si="13"/>
        <v>3.3610977985583479</v>
      </c>
    </row>
    <row r="17" spans="1:46" ht="14.25" customHeight="1" x14ac:dyDescent="0.25">
      <c r="A17" s="1455"/>
      <c r="B17" s="96" t="s">
        <v>152</v>
      </c>
      <c r="C17" s="106" t="s">
        <v>14</v>
      </c>
      <c r="D17" s="107">
        <v>50</v>
      </c>
      <c r="E17" s="98">
        <f t="shared" si="7"/>
        <v>19.038824561403509</v>
      </c>
      <c r="F17" s="109">
        <v>1</v>
      </c>
      <c r="G17" s="101">
        <f t="shared" si="0"/>
        <v>951.94122807017538</v>
      </c>
      <c r="H17" s="102">
        <f t="shared" si="1"/>
        <v>951.94122807017538</v>
      </c>
      <c r="I17" s="65">
        <f>VLOOKUP(B17,All_Ingredients!$A$1:$F$156,6,FALSE())</f>
        <v>1</v>
      </c>
      <c r="J17" s="101">
        <f>VLOOKUP(B17,All_Ingredients!$A$1:$J$156,10,FALSE())</f>
        <v>30</v>
      </c>
      <c r="K17" s="104">
        <f t="shared" si="8"/>
        <v>0.95194122807017534</v>
      </c>
      <c r="L17" s="104">
        <f t="shared" si="9"/>
        <v>28.558236842105259</v>
      </c>
      <c r="M17" s="112"/>
      <c r="N17" s="112"/>
      <c r="AI17" s="1" t="s">
        <v>13</v>
      </c>
      <c r="AJ17" s="106" t="s">
        <v>727</v>
      </c>
      <c r="AK17" s="106" t="s">
        <v>14</v>
      </c>
      <c r="AL17" s="107">
        <v>150</v>
      </c>
      <c r="AM17" s="98">
        <f t="shared" si="4"/>
        <v>4.1773644067796614</v>
      </c>
      <c r="AN17" s="109">
        <v>1</v>
      </c>
      <c r="AO17" s="101">
        <f t="shared" si="5"/>
        <v>626.60466101694919</v>
      </c>
      <c r="AP17" s="187">
        <f t="shared" si="6"/>
        <v>626.60466101694919</v>
      </c>
      <c r="AQ17" s="1018">
        <f>VLOOKUP(AJ17,Marination_Ordering!$A:$J,6,FALSE)</f>
        <v>1</v>
      </c>
      <c r="AR17" s="1018">
        <f>VLOOKUP(AJ17,Marination_Ordering!$A:$J,10,FALSE)</f>
        <v>10.5</v>
      </c>
      <c r="AS17" s="156">
        <f t="shared" si="12"/>
        <v>626.60466101694919</v>
      </c>
      <c r="AT17" s="1018">
        <f t="shared" si="13"/>
        <v>6.5793489406779671</v>
      </c>
    </row>
    <row r="18" spans="1:46" ht="14.25" customHeight="1" x14ac:dyDescent="0.25">
      <c r="A18" s="1455"/>
      <c r="B18" s="96" t="s">
        <v>214</v>
      </c>
      <c r="C18" s="106" t="s">
        <v>14</v>
      </c>
      <c r="D18" s="107">
        <v>2</v>
      </c>
      <c r="E18" s="98">
        <f t="shared" si="7"/>
        <v>19.038824561403509</v>
      </c>
      <c r="F18" s="109">
        <v>0.75</v>
      </c>
      <c r="G18" s="101">
        <f t="shared" si="0"/>
        <v>38.077649122807017</v>
      </c>
      <c r="H18" s="102">
        <f t="shared" si="1"/>
        <v>28.558236842105263</v>
      </c>
      <c r="I18" s="65">
        <f>VLOOKUP(B18,All_Ingredients!$A$1:$F$156,6,FALSE())</f>
        <v>1</v>
      </c>
      <c r="J18" s="101">
        <f>VLOOKUP(B18,All_Ingredients!$A$1:$J$156,10,FALSE())</f>
        <v>35</v>
      </c>
      <c r="K18" s="104">
        <f t="shared" si="8"/>
        <v>2.8558236842105261E-2</v>
      </c>
      <c r="L18" s="104">
        <f t="shared" si="9"/>
        <v>0.99953828947368417</v>
      </c>
      <c r="M18" s="112"/>
      <c r="N18" s="112"/>
      <c r="AI18" s="1" t="s">
        <v>204</v>
      </c>
      <c r="AJ18" s="106" t="s">
        <v>212</v>
      </c>
      <c r="AK18" s="106" t="s">
        <v>160</v>
      </c>
      <c r="AL18" s="107">
        <v>300</v>
      </c>
      <c r="AM18" s="98">
        <f t="shared" si="4"/>
        <v>4.1773644067796614</v>
      </c>
      <c r="AN18" s="109">
        <v>1</v>
      </c>
      <c r="AO18" s="101">
        <f t="shared" si="5"/>
        <v>1253.2093220338984</v>
      </c>
      <c r="AP18" s="187">
        <f t="shared" si="6"/>
        <v>1253.2093220338984</v>
      </c>
      <c r="AQ18" s="1018">
        <f>VLOOKUP(AJ18,Marination_Ordering!$A:$J,6,FALSE)</f>
        <v>1</v>
      </c>
      <c r="AR18" s="1018">
        <f>VLOOKUP(AJ18,Marination_Ordering!$A:$J,10,FALSE)</f>
        <v>5</v>
      </c>
      <c r="AS18" s="156">
        <f t="shared" si="12"/>
        <v>1253.2093220338984</v>
      </c>
      <c r="AT18" s="1018">
        <f t="shared" si="13"/>
        <v>6.266046610169492</v>
      </c>
    </row>
    <row r="19" spans="1:46" ht="14.25" customHeight="1" x14ac:dyDescent="0.25">
      <c r="A19" s="1455"/>
      <c r="B19" s="263" t="s">
        <v>724</v>
      </c>
      <c r="C19" s="106" t="s">
        <v>14</v>
      </c>
      <c r="D19" s="107">
        <v>1</v>
      </c>
      <c r="E19" s="98">
        <f t="shared" si="7"/>
        <v>19.038824561403509</v>
      </c>
      <c r="F19" s="109">
        <v>1</v>
      </c>
      <c r="G19" s="101">
        <f t="shared" si="0"/>
        <v>19.038824561403509</v>
      </c>
      <c r="H19" s="102">
        <f t="shared" si="1"/>
        <v>19.038824561403509</v>
      </c>
      <c r="I19" s="65">
        <f>VLOOKUP(B19,All_Ingredients!$A$1:$F$156,6,FALSE())</f>
        <v>1</v>
      </c>
      <c r="J19" s="101">
        <f>VLOOKUP(B19,All_Ingredients!$A$1:$J$156,10,FALSE())</f>
        <v>52</v>
      </c>
      <c r="K19" s="104">
        <f t="shared" si="8"/>
        <v>1.903882456140351E-2</v>
      </c>
      <c r="L19" s="104">
        <f t="shared" si="9"/>
        <v>0.99001887719298254</v>
      </c>
      <c r="M19" s="112"/>
      <c r="N19" s="112"/>
      <c r="AI19" s="1" t="s">
        <v>204</v>
      </c>
      <c r="AJ19" s="106" t="s">
        <v>208</v>
      </c>
      <c r="AK19" s="106" t="s">
        <v>160</v>
      </c>
      <c r="AL19" s="107">
        <v>50</v>
      </c>
      <c r="AM19" s="98">
        <f t="shared" si="4"/>
        <v>4.1773644067796614</v>
      </c>
      <c r="AN19" s="109">
        <v>1</v>
      </c>
      <c r="AO19" s="101">
        <f t="shared" si="5"/>
        <v>208.86822033898306</v>
      </c>
      <c r="AP19" s="187">
        <f t="shared" si="6"/>
        <v>208.86822033898306</v>
      </c>
      <c r="AQ19" s="1018">
        <f>VLOOKUP(AJ19,Marination_Ordering!$A:$J,6,FALSE)</f>
        <v>1</v>
      </c>
      <c r="AR19" s="1018">
        <f>VLOOKUP(AJ19,Marination_Ordering!$A:$J,10,FALSE)</f>
        <v>2.1621621621621623</v>
      </c>
      <c r="AS19" s="156">
        <f t="shared" si="12"/>
        <v>208.86822033898306</v>
      </c>
      <c r="AT19" s="1018">
        <f t="shared" si="13"/>
        <v>0.45160696289509855</v>
      </c>
    </row>
    <row r="20" spans="1:46" ht="14.25" customHeight="1" x14ac:dyDescent="0.25">
      <c r="A20" s="1455"/>
      <c r="B20" s="263" t="s">
        <v>97</v>
      </c>
      <c r="C20" s="106" t="s">
        <v>14</v>
      </c>
      <c r="D20" s="107">
        <v>1</v>
      </c>
      <c r="E20" s="98">
        <f t="shared" si="7"/>
        <v>19.038824561403509</v>
      </c>
      <c r="F20" s="109">
        <v>1</v>
      </c>
      <c r="G20" s="101">
        <f t="shared" si="0"/>
        <v>19.038824561403509</v>
      </c>
      <c r="H20" s="102">
        <f t="shared" si="1"/>
        <v>19.038824561403509</v>
      </c>
      <c r="I20" s="65">
        <f>VLOOKUP(B20,All_Ingredients!$A$1:$F$156,6,FALSE())</f>
        <v>1</v>
      </c>
      <c r="J20" s="101">
        <f>VLOOKUP(B20,All_Ingredients!$A$1:$J$156,10,FALSE())</f>
        <v>38</v>
      </c>
      <c r="K20" s="104">
        <f t="shared" si="8"/>
        <v>1.903882456140351E-2</v>
      </c>
      <c r="L20" s="104">
        <f t="shared" si="9"/>
        <v>0.72347533333333336</v>
      </c>
      <c r="M20" s="112"/>
      <c r="N20" s="112"/>
    </row>
    <row r="21" spans="1:46" ht="14.25" customHeight="1" x14ac:dyDescent="0.25">
      <c r="A21" s="1455"/>
      <c r="B21" s="263" t="s">
        <v>103</v>
      </c>
      <c r="C21" s="106" t="s">
        <v>14</v>
      </c>
      <c r="D21" s="107">
        <v>1</v>
      </c>
      <c r="E21" s="98">
        <f t="shared" si="7"/>
        <v>19.038824561403509</v>
      </c>
      <c r="F21" s="109">
        <v>1</v>
      </c>
      <c r="G21" s="101">
        <f t="shared" si="0"/>
        <v>19.038824561403509</v>
      </c>
      <c r="H21" s="102">
        <f t="shared" si="1"/>
        <v>19.038824561403509</v>
      </c>
      <c r="I21" s="65">
        <f>VLOOKUP(B21,All_Ingredients!$A$1:$F$156,6,FALSE())</f>
        <v>1</v>
      </c>
      <c r="J21" s="101">
        <f>VLOOKUP(B21,All_Ingredients!$A$1:$J$156,10,FALSE())</f>
        <v>19</v>
      </c>
      <c r="K21" s="104">
        <f t="shared" si="8"/>
        <v>1.903882456140351E-2</v>
      </c>
      <c r="L21" s="104">
        <f t="shared" si="9"/>
        <v>0.36173766666666668</v>
      </c>
      <c r="M21" s="112"/>
      <c r="N21" s="112"/>
    </row>
    <row r="22" spans="1:46" ht="14.25" customHeight="1" x14ac:dyDescent="0.25">
      <c r="A22" s="1455"/>
      <c r="B22" s="263" t="s">
        <v>124</v>
      </c>
      <c r="C22" s="106" t="s">
        <v>14</v>
      </c>
      <c r="D22" s="107">
        <v>1</v>
      </c>
      <c r="E22" s="98">
        <f t="shared" si="7"/>
        <v>19.038824561403509</v>
      </c>
      <c r="F22" s="109">
        <v>1</v>
      </c>
      <c r="G22" s="101">
        <f t="shared" si="0"/>
        <v>19.038824561403509</v>
      </c>
      <c r="H22" s="102">
        <f t="shared" si="1"/>
        <v>19.038824561403509</v>
      </c>
      <c r="I22" s="65">
        <f>VLOOKUP(B22,All_Ingredients!$A$1:$F$156,6,FALSE())</f>
        <v>1</v>
      </c>
      <c r="J22" s="101">
        <f>VLOOKUP(B22,All_Ingredients!$A$1:$J$156,10,FALSE())</f>
        <v>37</v>
      </c>
      <c r="K22" s="104">
        <f t="shared" si="8"/>
        <v>1.903882456140351E-2</v>
      </c>
      <c r="L22" s="104">
        <f t="shared" si="9"/>
        <v>0.70443650877192987</v>
      </c>
      <c r="M22" s="112"/>
      <c r="N22" s="112"/>
    </row>
    <row r="23" spans="1:46" ht="14.25" customHeight="1" x14ac:dyDescent="0.25">
      <c r="A23" s="1455"/>
      <c r="B23" s="263" t="s">
        <v>120</v>
      </c>
      <c r="C23" s="106" t="s">
        <v>14</v>
      </c>
      <c r="D23" s="107">
        <v>0.5</v>
      </c>
      <c r="E23" s="98">
        <f t="shared" si="7"/>
        <v>19.038824561403509</v>
      </c>
      <c r="F23" s="109">
        <v>1</v>
      </c>
      <c r="G23" s="101">
        <f t="shared" si="0"/>
        <v>9.5194122807017543</v>
      </c>
      <c r="H23" s="102">
        <f t="shared" si="1"/>
        <v>9.5194122807017543</v>
      </c>
      <c r="I23" s="65">
        <f>VLOOKUP(B23,All_Ingredients!$A$1:$F$156,6,FALSE())</f>
        <v>1</v>
      </c>
      <c r="J23" s="101">
        <f>VLOOKUP(B23,All_Ingredients!$A$1:$J$156,10,FALSE())</f>
        <v>15</v>
      </c>
      <c r="K23" s="104">
        <f t="shared" si="8"/>
        <v>9.5194122807017549E-3</v>
      </c>
      <c r="L23" s="104">
        <f t="shared" si="9"/>
        <v>0.14279118421052633</v>
      </c>
      <c r="M23" s="112"/>
      <c r="N23" s="112"/>
    </row>
    <row r="24" spans="1:46" ht="14.25" customHeight="1" x14ac:dyDescent="0.25">
      <c r="A24" s="1455"/>
      <c r="B24" s="105" t="s">
        <v>126</v>
      </c>
      <c r="C24" s="106" t="s">
        <v>14</v>
      </c>
      <c r="D24" s="107">
        <v>0.5</v>
      </c>
      <c r="E24" s="98">
        <f t="shared" si="7"/>
        <v>19.038824561403509</v>
      </c>
      <c r="F24" s="109">
        <v>1</v>
      </c>
      <c r="G24" s="101">
        <f t="shared" si="0"/>
        <v>9.5194122807017543</v>
      </c>
      <c r="H24" s="102">
        <f t="shared" si="1"/>
        <v>9.5194122807017543</v>
      </c>
      <c r="I24" s="65">
        <f>VLOOKUP(B24,All_Ingredients!$A$1:$F$156,6,FALSE())</f>
        <v>1</v>
      </c>
      <c r="J24" s="101">
        <f>VLOOKUP(B24,All_Ingredients!$A$1:$J$156,10,FALSE())</f>
        <v>125</v>
      </c>
      <c r="K24" s="104">
        <f t="shared" si="8"/>
        <v>9.5194122807017549E-3</v>
      </c>
      <c r="L24" s="104">
        <f t="shared" si="9"/>
        <v>1.1899265350877193</v>
      </c>
      <c r="M24" s="112"/>
      <c r="N24" s="112"/>
      <c r="Z24" s="1124"/>
    </row>
    <row r="25" spans="1:46" ht="14.25" customHeight="1" x14ac:dyDescent="0.25">
      <c r="A25" s="1455"/>
      <c r="B25" s="389" t="s">
        <v>198</v>
      </c>
      <c r="C25" s="906" t="s">
        <v>160</v>
      </c>
      <c r="D25" s="107">
        <v>50</v>
      </c>
      <c r="E25" s="98">
        <f t="shared" si="7"/>
        <v>19.038824561403509</v>
      </c>
      <c r="F25" s="109">
        <v>1</v>
      </c>
      <c r="G25" s="101">
        <f t="shared" si="0"/>
        <v>951.94122807017538</v>
      </c>
      <c r="H25" s="102">
        <f t="shared" si="1"/>
        <v>951.94122807017538</v>
      </c>
      <c r="I25" s="65">
        <f>VLOOKUP(B25,All_Ingredients!$A$1:$F$156,6,FALSE())</f>
        <v>1</v>
      </c>
      <c r="J25" s="101">
        <f>VLOOKUP(B25,All_Ingredients!$A$1:$J$156,10,FALSE())</f>
        <v>3.25</v>
      </c>
      <c r="K25" s="104">
        <f t="shared" si="8"/>
        <v>0.95194122807017534</v>
      </c>
      <c r="L25" s="104">
        <f t="shared" si="9"/>
        <v>3.09380899122807</v>
      </c>
      <c r="M25" s="112"/>
      <c r="N25" s="112"/>
      <c r="R25" s="1640" t="s">
        <v>435</v>
      </c>
      <c r="S25" s="1633"/>
      <c r="T25" s="1633"/>
      <c r="U25" s="1633"/>
      <c r="V25" s="997"/>
      <c r="Z25" s="122" t="s">
        <v>252</v>
      </c>
      <c r="AA25" s="123">
        <v>1</v>
      </c>
      <c r="AB25" s="122" t="s">
        <v>249</v>
      </c>
      <c r="AC25" s="124">
        <f>(AA25*(4/3))*AF30+(AA30*(AB28/R1))</f>
        <v>3.3146281293937693E-2</v>
      </c>
      <c r="AD25" s="14"/>
    </row>
    <row r="26" spans="1:46" ht="14.25" customHeight="1" x14ac:dyDescent="0.25">
      <c r="A26" s="62"/>
      <c r="B26" s="333"/>
      <c r="C26" s="114"/>
      <c r="D26" s="232"/>
      <c r="E26" s="309"/>
      <c r="F26" s="117"/>
      <c r="G26" s="118"/>
      <c r="H26" s="119"/>
      <c r="I26" s="76"/>
      <c r="J26" s="120"/>
      <c r="K26" s="76"/>
      <c r="L26" s="118"/>
      <c r="M26" s="112"/>
      <c r="N26" s="112"/>
      <c r="R26" s="1654" t="s">
        <v>253</v>
      </c>
      <c r="S26" s="1633"/>
      <c r="T26" s="1633"/>
      <c r="U26" s="1633"/>
      <c r="V26" s="997"/>
      <c r="Z26" s="14"/>
      <c r="AA26" s="14"/>
      <c r="AB26" s="14"/>
      <c r="AC26" s="14"/>
      <c r="AD26" s="14"/>
    </row>
    <row r="27" spans="1:46" ht="14.25" customHeight="1" thickBot="1" x14ac:dyDescent="0.3">
      <c r="A27" s="62"/>
      <c r="B27" s="114"/>
      <c r="C27" s="114"/>
      <c r="D27" s="232"/>
      <c r="E27" s="309"/>
      <c r="F27" s="117"/>
      <c r="G27" s="118"/>
      <c r="H27" s="119"/>
      <c r="I27" s="76"/>
      <c r="J27" s="120"/>
      <c r="K27" s="76"/>
      <c r="L27" s="118"/>
      <c r="M27" s="112"/>
      <c r="N27" s="112"/>
      <c r="R27" s="126" t="s">
        <v>254</v>
      </c>
      <c r="S27" s="127" t="s">
        <v>255</v>
      </c>
      <c r="T27" s="127" t="s">
        <v>256</v>
      </c>
      <c r="U27" s="127" t="s">
        <v>257</v>
      </c>
      <c r="V27" s="127" t="s">
        <v>772</v>
      </c>
      <c r="W27" s="127" t="s">
        <v>779</v>
      </c>
      <c r="Z27" s="122" t="s">
        <v>258</v>
      </c>
      <c r="AA27" s="128" t="s">
        <v>772</v>
      </c>
      <c r="AB27" s="128" t="s">
        <v>259</v>
      </c>
      <c r="AC27" s="128" t="s">
        <v>260</v>
      </c>
      <c r="AD27" s="128" t="s">
        <v>261</v>
      </c>
      <c r="AE27" s="1032" t="s">
        <v>779</v>
      </c>
      <c r="AF27" s="128" t="s">
        <v>262</v>
      </c>
    </row>
    <row r="28" spans="1:46" ht="14.25" customHeight="1" thickBot="1" x14ac:dyDescent="0.3">
      <c r="A28" s="62"/>
      <c r="I28" s="76"/>
      <c r="J28" s="120"/>
      <c r="K28" s="76"/>
      <c r="L28" s="118"/>
      <c r="M28" s="112"/>
      <c r="N28" s="112"/>
      <c r="R28" s="129" t="s">
        <v>263</v>
      </c>
      <c r="S28" s="690">
        <f>U28*S40</f>
        <v>23877.45</v>
      </c>
      <c r="T28" s="690">
        <f>U28*U40</f>
        <v>7172.55</v>
      </c>
      <c r="U28" s="1188">
        <f>$Z$1</f>
        <v>31050</v>
      </c>
      <c r="V28" s="130">
        <f>SUM(AP5:AP13)</f>
        <v>2435.4034491525422</v>
      </c>
      <c r="W28" s="130">
        <f>SUM(H37:H38)</f>
        <v>228.98</v>
      </c>
      <c r="Z28" s="132"/>
      <c r="AA28" s="1051"/>
      <c r="AB28" s="133">
        <f>AA25*$S$40</f>
        <v>0.76900000000000002</v>
      </c>
      <c r="AC28" s="133">
        <f>AA25*$U$40</f>
        <v>0.23100000000000001</v>
      </c>
      <c r="AD28" s="134">
        <f>AA25*(1/3)</f>
        <v>0.33333333333333331</v>
      </c>
      <c r="AE28" s="1034"/>
      <c r="AF28" s="135">
        <f>SUM(AB28:AD28)</f>
        <v>1.3333333333333333</v>
      </c>
    </row>
    <row r="29" spans="1:46" ht="14.25" customHeight="1" thickBot="1" x14ac:dyDescent="0.3">
      <c r="A29" s="62"/>
      <c r="I29" s="76"/>
      <c r="J29" s="120"/>
      <c r="K29" s="76"/>
      <c r="L29" s="118"/>
      <c r="M29" s="112"/>
      <c r="N29" s="112"/>
      <c r="R29" s="129" t="s">
        <v>264</v>
      </c>
      <c r="S29" s="136"/>
      <c r="T29" s="130">
        <f>U28*(1/3)</f>
        <v>10350</v>
      </c>
      <c r="U29" s="690">
        <f>T29</f>
        <v>10350</v>
      </c>
      <c r="V29" s="130"/>
      <c r="W29" s="130"/>
      <c r="Z29" s="132"/>
      <c r="AA29" s="1051"/>
      <c r="AB29" s="137">
        <f>AB28/$AF$28</f>
        <v>0.5767500000000001</v>
      </c>
      <c r="AC29" s="137">
        <f>AC28/$AF$28</f>
        <v>0.17325000000000002</v>
      </c>
      <c r="AD29" s="137">
        <f>AD28/$AF$28</f>
        <v>0.25</v>
      </c>
      <c r="AE29" s="1038"/>
      <c r="AF29" s="137">
        <f>AF28/$AF$28</f>
        <v>1</v>
      </c>
    </row>
    <row r="30" spans="1:46" ht="14.25" customHeight="1" thickBot="1" x14ac:dyDescent="0.3">
      <c r="A30" s="62"/>
      <c r="I30" s="76"/>
      <c r="J30" s="120"/>
      <c r="K30" s="76"/>
      <c r="L30" s="118"/>
      <c r="M30" s="112"/>
      <c r="N30" s="112"/>
      <c r="R30" s="129" t="s">
        <v>265</v>
      </c>
      <c r="S30" s="1187">
        <f>U30*S40</f>
        <v>769</v>
      </c>
      <c r="T30" s="690">
        <f>(U30*U40)+(U30*(1/3))</f>
        <v>564.33333333333326</v>
      </c>
      <c r="U30" s="1173">
        <f>$AB$1</f>
        <v>1000</v>
      </c>
      <c r="V30" s="989"/>
      <c r="W30" s="989"/>
      <c r="Z30" s="122" t="s">
        <v>266</v>
      </c>
      <c r="AA30" s="1138">
        <f>V35/(S32/R1)</f>
        <v>9.8444058092575309E-4</v>
      </c>
      <c r="AB30" s="138">
        <f>S35/(S32)</f>
        <v>3.3701221915648408E-2</v>
      </c>
      <c r="AC30" s="139">
        <f>T35/T32</f>
        <v>1.0442185298068089E-2</v>
      </c>
      <c r="AD30" s="139">
        <f>T35/T32</f>
        <v>1.0442185298068089E-2</v>
      </c>
      <c r="AE30" s="1045">
        <f>W35/U32</f>
        <v>4.0543921756870282E-5</v>
      </c>
      <c r="AF30" s="1047">
        <f>SUMPRODUCT(AB30:AD30,AB29:AD29)+AE30</f>
        <v>2.3897378589014411E-2</v>
      </c>
    </row>
    <row r="31" spans="1:46" ht="14.25" customHeight="1" thickBot="1" x14ac:dyDescent="0.3">
      <c r="A31" s="62"/>
      <c r="I31" s="76"/>
      <c r="J31" s="120"/>
      <c r="K31" s="76"/>
      <c r="L31" s="118"/>
      <c r="M31" s="112"/>
      <c r="N31" s="112"/>
      <c r="R31" s="693" t="s">
        <v>267</v>
      </c>
      <c r="S31" s="136"/>
      <c r="T31" s="130"/>
      <c r="U31" s="130"/>
      <c r="V31" s="130"/>
      <c r="W31" s="130"/>
    </row>
    <row r="32" spans="1:46" ht="14.25" customHeight="1" thickBot="1" x14ac:dyDescent="0.3">
      <c r="A32" s="62"/>
      <c r="I32" s="76"/>
      <c r="J32" s="120"/>
      <c r="K32" s="76"/>
      <c r="L32" s="118"/>
      <c r="M32" s="112"/>
      <c r="N32" s="112"/>
      <c r="R32" s="141" t="s">
        <v>257</v>
      </c>
      <c r="S32" s="130">
        <f>SUM(S28:S30)</f>
        <v>24646.45</v>
      </c>
      <c r="T32" s="130">
        <f>SUM(T28:T30)</f>
        <v>18086.883333333331</v>
      </c>
      <c r="U32" s="130">
        <f>SUM(S32:T32)</f>
        <v>42733.333333333328</v>
      </c>
      <c r="V32" s="130"/>
      <c r="W32" s="130">
        <f>SUM(W28:W30)</f>
        <v>228.98</v>
      </c>
    </row>
    <row r="33" spans="1:23" ht="14.25" customHeight="1" thickBot="1" x14ac:dyDescent="0.3">
      <c r="A33" s="62"/>
      <c r="I33" s="76"/>
      <c r="J33" s="120"/>
      <c r="K33" s="76"/>
      <c r="L33" s="118"/>
      <c r="M33" s="112"/>
      <c r="N33" s="112"/>
      <c r="R33" s="142" t="s">
        <v>268</v>
      </c>
      <c r="S33" s="136"/>
      <c r="T33" s="136">
        <f>F88+F115+F142</f>
        <v>0</v>
      </c>
      <c r="U33" s="136"/>
      <c r="V33" s="136"/>
      <c r="W33" s="136"/>
    </row>
    <row r="34" spans="1:23" ht="14.25" customHeight="1" thickBot="1" x14ac:dyDescent="0.3">
      <c r="A34" s="62"/>
      <c r="I34" s="76"/>
      <c r="J34" s="120"/>
      <c r="K34" s="76"/>
      <c r="L34" s="118"/>
      <c r="M34" s="112"/>
      <c r="N34" s="112"/>
      <c r="R34" s="143" t="s">
        <v>269</v>
      </c>
      <c r="S34" s="136"/>
      <c r="T34" s="130">
        <f>T33-(T28+T29)</f>
        <v>-17522.55</v>
      </c>
      <c r="U34" s="136"/>
      <c r="V34" s="136"/>
      <c r="W34" s="136"/>
    </row>
    <row r="35" spans="1:23" ht="14.25" customHeight="1" thickBot="1" x14ac:dyDescent="0.3">
      <c r="A35" s="62"/>
      <c r="B35" s="1681" t="s">
        <v>665</v>
      </c>
      <c r="C35" s="1681"/>
      <c r="D35" s="1681"/>
      <c r="E35" s="1681"/>
      <c r="F35" s="1681"/>
      <c r="G35" s="798"/>
      <c r="H35" s="799"/>
      <c r="I35" s="803"/>
      <c r="J35" s="803"/>
      <c r="K35" s="803"/>
      <c r="L35" s="803"/>
      <c r="M35" s="112"/>
      <c r="N35" s="112"/>
      <c r="R35" s="144" t="s">
        <v>249</v>
      </c>
      <c r="S35" s="990">
        <f>$L$5</f>
        <v>830.61548088293273</v>
      </c>
      <c r="T35" s="990">
        <f>SUM(L6:L25)</f>
        <v>188.86658723120607</v>
      </c>
      <c r="U35" s="990">
        <f>S35+T35+V35+W35</f>
        <v>1062.338315470703</v>
      </c>
      <c r="V35" s="990">
        <f>SUM(AT6:AT19)</f>
        <v>41.123670433487341</v>
      </c>
      <c r="W35" s="130">
        <f>SUM(L37:L38)</f>
        <v>1.7325769230769232</v>
      </c>
    </row>
    <row r="36" spans="1:23" ht="14.25" customHeight="1" x14ac:dyDescent="0.25">
      <c r="A36" s="62"/>
      <c r="B36" s="776" t="s">
        <v>241</v>
      </c>
      <c r="C36" s="776" t="s">
        <v>317</v>
      </c>
      <c r="D36" s="778" t="s">
        <v>622</v>
      </c>
      <c r="E36" s="775" t="s">
        <v>623</v>
      </c>
      <c r="F36" s="778" t="s">
        <v>624</v>
      </c>
      <c r="G36" s="800"/>
      <c r="H36" s="778" t="s">
        <v>624</v>
      </c>
      <c r="I36" s="778" t="s">
        <v>246</v>
      </c>
      <c r="J36" s="778" t="s">
        <v>247</v>
      </c>
      <c r="K36" s="778" t="s">
        <v>248</v>
      </c>
      <c r="L36" s="778" t="s">
        <v>249</v>
      </c>
      <c r="M36" s="112"/>
      <c r="N36" s="112"/>
    </row>
    <row r="37" spans="1:23" ht="14.25" customHeight="1" x14ac:dyDescent="0.25">
      <c r="A37" s="62"/>
      <c r="B37" s="772" t="s">
        <v>686</v>
      </c>
      <c r="C37" s="773" t="s">
        <v>14</v>
      </c>
      <c r="D37" s="774">
        <v>7.0000000000000007E-2</v>
      </c>
      <c r="E37" s="772">
        <f>$AD$1</f>
        <v>214</v>
      </c>
      <c r="F37" s="772">
        <f>D37*E37</f>
        <v>14.980000000000002</v>
      </c>
      <c r="G37" s="794"/>
      <c r="H37" s="772">
        <f>F37</f>
        <v>14.980000000000002</v>
      </c>
      <c r="I37" s="772">
        <f>VLOOKUP(B37,All_Ingredients!$A$1:$F$156,6,FALSE())</f>
        <v>0.65</v>
      </c>
      <c r="J37" s="772">
        <f>VLOOKUP(B37,All_Ingredients!$A$1:$J$156,10,FALSE())</f>
        <v>45</v>
      </c>
      <c r="K37" s="772">
        <f>(H37/I37)/1000</f>
        <v>2.3046153846153848E-2</v>
      </c>
      <c r="L37" s="772">
        <f>K37*J37</f>
        <v>1.0370769230769232</v>
      </c>
      <c r="M37" s="112"/>
      <c r="N37" s="112"/>
    </row>
    <row r="38" spans="1:23" ht="14.25" customHeight="1" x14ac:dyDescent="0.25">
      <c r="A38" s="62"/>
      <c r="B38" s="772" t="s">
        <v>19</v>
      </c>
      <c r="C38" s="773" t="s">
        <v>14</v>
      </c>
      <c r="D38" s="774">
        <v>1</v>
      </c>
      <c r="E38" s="772">
        <f>$AD$1</f>
        <v>214</v>
      </c>
      <c r="F38" s="772">
        <f>D38*E38</f>
        <v>214</v>
      </c>
      <c r="H38" s="772">
        <f>F38</f>
        <v>214</v>
      </c>
      <c r="I38" s="772">
        <f>VLOOKUP(B38,All_Ingredients!$A$1:$F$156,6,FALSE())</f>
        <v>0.8</v>
      </c>
      <c r="J38" s="772">
        <f>VLOOKUP(B38,All_Ingredients!$A$1:$J$156,10,FALSE())</f>
        <v>2.6</v>
      </c>
      <c r="K38" s="772">
        <f>(H38/I38)/1000</f>
        <v>0.26750000000000002</v>
      </c>
      <c r="L38" s="772">
        <f>K38*J38</f>
        <v>0.69550000000000012</v>
      </c>
      <c r="M38" s="112"/>
      <c r="N38" s="112"/>
    </row>
    <row r="39" spans="1:23" ht="14.25" customHeight="1" x14ac:dyDescent="0.25">
      <c r="A39" s="62"/>
      <c r="I39" s="76"/>
      <c r="J39" s="120"/>
      <c r="K39" s="76"/>
      <c r="L39" s="118"/>
      <c r="M39" s="112"/>
      <c r="N39" s="112"/>
      <c r="S39" s="466"/>
      <c r="U39" s="466"/>
    </row>
    <row r="40" spans="1:23" ht="18.75" customHeight="1" x14ac:dyDescent="0.25">
      <c r="A40" s="62"/>
      <c r="I40" s="76"/>
      <c r="J40" s="120"/>
      <c r="K40" s="76"/>
      <c r="L40" s="118"/>
      <c r="M40" s="112"/>
      <c r="N40" s="112"/>
      <c r="Q40" s="14"/>
      <c r="R40" s="146" t="s">
        <v>270</v>
      </c>
      <c r="S40" s="500">
        <v>0.76900000000000002</v>
      </c>
      <c r="T40" s="146" t="s">
        <v>271</v>
      </c>
      <c r="U40" s="500">
        <v>0.23100000000000001</v>
      </c>
      <c r="V40" s="149">
        <f>S40+U40</f>
        <v>1</v>
      </c>
      <c r="W40" s="14"/>
    </row>
    <row r="41" spans="1:23" ht="14.25" customHeight="1" x14ac:dyDescent="0.25">
      <c r="A41" s="62"/>
      <c r="I41" s="76"/>
      <c r="J41" s="120"/>
      <c r="K41" s="76"/>
      <c r="L41" s="118"/>
      <c r="M41" s="112"/>
      <c r="N41" s="112"/>
      <c r="Q41" s="14"/>
      <c r="R41" s="14"/>
      <c r="S41" s="14"/>
      <c r="T41" s="14"/>
      <c r="U41" s="150"/>
      <c r="V41" s="14"/>
      <c r="W41" s="14"/>
    </row>
    <row r="42" spans="1:23" ht="14.25" customHeight="1" x14ac:dyDescent="0.25">
      <c r="A42" s="62"/>
      <c r="I42" s="76"/>
      <c r="J42" s="120"/>
      <c r="K42" s="76"/>
      <c r="L42" s="118"/>
      <c r="M42" s="112"/>
      <c r="N42" s="112"/>
      <c r="Q42" s="14"/>
      <c r="R42" s="14"/>
      <c r="S42" s="14"/>
      <c r="T42" s="14"/>
      <c r="U42" s="14"/>
      <c r="V42" s="14"/>
      <c r="W42" s="14"/>
    </row>
    <row r="43" spans="1:23" ht="14.25" customHeight="1" thickBot="1" x14ac:dyDescent="0.3">
      <c r="A43" s="62"/>
      <c r="I43" s="76"/>
      <c r="J43" s="120"/>
      <c r="K43" s="76"/>
      <c r="L43" s="118"/>
      <c r="M43" s="112"/>
      <c r="N43" s="112"/>
      <c r="Q43" s="151" t="s">
        <v>272</v>
      </c>
      <c r="R43" s="151" t="s">
        <v>273</v>
      </c>
      <c r="S43" s="151" t="s">
        <v>274</v>
      </c>
      <c r="T43" s="151" t="s">
        <v>275</v>
      </c>
      <c r="U43" s="151" t="s">
        <v>276</v>
      </c>
      <c r="V43" s="151" t="s">
        <v>277</v>
      </c>
      <c r="W43" s="235" t="s">
        <v>278</v>
      </c>
    </row>
    <row r="44" spans="1:23" ht="14.25" customHeight="1" thickBot="1" x14ac:dyDescent="0.3">
      <c r="A44" s="62"/>
      <c r="I44" s="76"/>
      <c r="J44" s="120"/>
      <c r="K44" s="76"/>
      <c r="L44" s="118"/>
      <c r="M44" s="112"/>
      <c r="N44" s="112"/>
      <c r="Q44" s="1182">
        <v>17728</v>
      </c>
      <c r="R44" s="154">
        <f>D51</f>
        <v>10000</v>
      </c>
      <c r="S44" s="461">
        <v>0.40909090909090912</v>
      </c>
      <c r="T44" s="461">
        <v>0.59090909090909094</v>
      </c>
      <c r="U44" s="220">
        <f>R44*S44</f>
        <v>4090.909090909091</v>
      </c>
      <c r="V44" s="157">
        <f>R44*T44</f>
        <v>5909.090909090909</v>
      </c>
      <c r="W44" s="237">
        <f>Q44-U44</f>
        <v>13637.090909090908</v>
      </c>
    </row>
    <row r="45" spans="1:23" ht="14.25" customHeight="1" x14ac:dyDescent="0.25">
      <c r="A45" s="62"/>
      <c r="I45" s="76"/>
      <c r="J45" s="120"/>
      <c r="K45" s="76"/>
      <c r="L45" s="118"/>
      <c r="M45" s="112"/>
      <c r="N45" s="112"/>
    </row>
    <row r="46" spans="1:23" ht="14.25" customHeight="1" x14ac:dyDescent="0.25">
      <c r="A46" s="62"/>
      <c r="I46" s="76"/>
      <c r="J46" s="120"/>
      <c r="K46" s="76"/>
      <c r="L46" s="118"/>
      <c r="M46" s="112"/>
      <c r="N46" s="112"/>
    </row>
    <row r="47" spans="1:23" ht="14.25" customHeight="1" x14ac:dyDescent="0.25">
      <c r="A47" s="62"/>
      <c r="B47" s="114"/>
      <c r="C47" s="114"/>
      <c r="D47" s="232"/>
      <c r="E47" s="309"/>
      <c r="F47" s="117"/>
      <c r="G47" s="118"/>
      <c r="H47" s="119"/>
      <c r="I47" s="76"/>
      <c r="J47" s="120"/>
      <c r="K47" s="76"/>
      <c r="L47" s="118"/>
      <c r="M47" s="112"/>
      <c r="N47" s="112"/>
    </row>
    <row r="48" spans="1:23" ht="14.25" customHeight="1" x14ac:dyDescent="0.25">
      <c r="A48" s="62"/>
      <c r="B48" s="114"/>
      <c r="C48" s="114"/>
      <c r="D48" s="232"/>
      <c r="E48" s="309"/>
      <c r="F48" s="117"/>
      <c r="G48" s="118"/>
      <c r="H48" s="119"/>
      <c r="I48" s="76"/>
      <c r="J48" s="120"/>
      <c r="K48" s="76"/>
      <c r="L48" s="118"/>
      <c r="M48" s="112"/>
      <c r="N48" s="112"/>
    </row>
    <row r="49" spans="1:12" ht="14.25" customHeight="1" x14ac:dyDescent="0.25">
      <c r="A49" s="62"/>
      <c r="B49" s="113"/>
      <c r="E49" s="84"/>
      <c r="F49" s="84"/>
      <c r="L49" s="84"/>
    </row>
    <row r="50" spans="1:12" ht="14.25" customHeight="1" x14ac:dyDescent="0.25">
      <c r="A50" s="62"/>
      <c r="B50" s="159"/>
      <c r="C50" s="126" t="s">
        <v>233</v>
      </c>
      <c r="D50" s="126" t="s">
        <v>279</v>
      </c>
      <c r="F50" s="84"/>
      <c r="G50" s="126" t="s">
        <v>280</v>
      </c>
      <c r="H50" s="126" t="s">
        <v>233</v>
      </c>
      <c r="I50" s="126" t="s">
        <v>281</v>
      </c>
      <c r="J50" s="126" t="s">
        <v>282</v>
      </c>
    </row>
    <row r="51" spans="1:12" ht="15" customHeight="1" x14ac:dyDescent="0.25">
      <c r="A51" s="62"/>
      <c r="B51" s="161" t="s">
        <v>283</v>
      </c>
      <c r="C51" s="162">
        <f>10/$K$1</f>
        <v>10.526315789473685</v>
      </c>
      <c r="D51" s="163">
        <f>$C$1*10</f>
        <v>10000</v>
      </c>
      <c r="E51" s="164"/>
      <c r="F51" s="84"/>
      <c r="G51" s="161" t="s">
        <v>283</v>
      </c>
      <c r="H51" s="254">
        <f>I51/$D$5</f>
        <v>10</v>
      </c>
      <c r="I51" s="162">
        <f t="shared" ref="I51:I56" si="14">J51/$R$1</f>
        <v>23113.713405238828</v>
      </c>
      <c r="J51" s="162">
        <f>$W$44</f>
        <v>13637.090909090908</v>
      </c>
    </row>
    <row r="52" spans="1:12" ht="14.25" customHeight="1" x14ac:dyDescent="0.25">
      <c r="A52" s="62"/>
      <c r="B52" s="209" t="s">
        <v>262</v>
      </c>
      <c r="C52" s="210">
        <f>$I$1</f>
        <v>19.038824561403509</v>
      </c>
      <c r="D52" s="211">
        <f>$E$1</f>
        <v>18086.883333333331</v>
      </c>
      <c r="E52" s="84"/>
      <c r="F52" s="84"/>
      <c r="G52" s="129" t="s">
        <v>262</v>
      </c>
      <c r="H52" s="190">
        <f>I52/$D$5</f>
        <v>18.073099434696822</v>
      </c>
      <c r="I52" s="157">
        <f t="shared" si="14"/>
        <v>41773.644067796617</v>
      </c>
      <c r="J52" s="165">
        <f>$S$32</f>
        <v>24646.45</v>
      </c>
    </row>
    <row r="53" spans="1:12" ht="14.25" customHeight="1" x14ac:dyDescent="0.25">
      <c r="A53" s="62"/>
      <c r="B53" s="209" t="s">
        <v>284</v>
      </c>
      <c r="C53" s="212">
        <f>MIN(C52, C51)</f>
        <v>10.526315789473685</v>
      </c>
      <c r="D53" s="211">
        <f>(C53*$K$1)*$C$1</f>
        <v>10000</v>
      </c>
      <c r="E53" s="84"/>
      <c r="F53" s="84"/>
      <c r="G53" s="129" t="s">
        <v>284</v>
      </c>
      <c r="H53" s="168">
        <f>MIN(H52,H51)</f>
        <v>10</v>
      </c>
      <c r="I53" s="157">
        <f t="shared" si="14"/>
        <v>23113.713405238828</v>
      </c>
      <c r="J53" s="157">
        <f>MIN(J52,J51)</f>
        <v>13637.090909090908</v>
      </c>
    </row>
    <row r="54" spans="1:12" ht="14.25" customHeight="1" x14ac:dyDescent="0.25">
      <c r="A54" s="62"/>
      <c r="B54" s="209" t="s">
        <v>285</v>
      </c>
      <c r="C54" s="212">
        <f>MIN(MAX(C52-C53,0),C51)</f>
        <v>8.5125087719298236</v>
      </c>
      <c r="D54" s="211">
        <f>(C54*$K$1)*$C$1</f>
        <v>8086.8833333333332</v>
      </c>
      <c r="E54" s="84"/>
      <c r="F54" s="84"/>
      <c r="G54" s="129" t="s">
        <v>285</v>
      </c>
      <c r="H54" s="168">
        <f>MIN(MAX(H52-H53),H51)</f>
        <v>8.0730994346968217</v>
      </c>
      <c r="I54" s="157">
        <f t="shared" si="14"/>
        <v>18659.930662557785</v>
      </c>
      <c r="J54" s="157">
        <f>MIN(MAX(J52-J53),J51)</f>
        <v>11009.359090909093</v>
      </c>
    </row>
    <row r="55" spans="1:12" ht="14.25" customHeight="1" x14ac:dyDescent="0.25">
      <c r="A55" s="62"/>
      <c r="B55" s="209" t="s">
        <v>286</v>
      </c>
      <c r="C55" s="212">
        <f>MIN(MAX(C52-C53-C54,0),C51)</f>
        <v>0</v>
      </c>
      <c r="D55" s="211">
        <f>(C55*$K$1)*$C$1</f>
        <v>0</v>
      </c>
      <c r="E55" s="84"/>
      <c r="F55" s="84"/>
      <c r="G55" s="126" t="s">
        <v>286</v>
      </c>
      <c r="H55" s="168">
        <f>MIN(MAX(H52-H53-H54),H51)</f>
        <v>0</v>
      </c>
      <c r="I55" s="157">
        <f t="shared" si="14"/>
        <v>0</v>
      </c>
      <c r="J55" s="157">
        <f>MIN(MAX(J52-J53-J54),J51)</f>
        <v>0</v>
      </c>
    </row>
    <row r="56" spans="1:12" ht="14.25" customHeight="1" x14ac:dyDescent="0.25">
      <c r="A56" s="62"/>
      <c r="B56" s="209" t="s">
        <v>293</v>
      </c>
      <c r="C56" s="212">
        <f>MIN(MAX(C52-C53-C54-C55,0),C51)</f>
        <v>0</v>
      </c>
      <c r="D56" s="211">
        <f>(C56*$K$1)*$C$1</f>
        <v>0</v>
      </c>
      <c r="E56" s="84"/>
      <c r="F56" s="84"/>
      <c r="G56" s="126" t="s">
        <v>293</v>
      </c>
      <c r="H56" s="168">
        <f>MIN(MAX(H52-H53-H54-H55),H51)</f>
        <v>0</v>
      </c>
      <c r="I56" s="157">
        <f t="shared" si="14"/>
        <v>0</v>
      </c>
      <c r="J56" s="157">
        <f>MIN(MAX(J52-J53-J54-J55),J51)</f>
        <v>0</v>
      </c>
    </row>
    <row r="57" spans="1:12" ht="14.25" customHeight="1" x14ac:dyDescent="0.25">
      <c r="A57" s="62"/>
      <c r="B57" s="84"/>
      <c r="E57" s="84"/>
      <c r="F57" s="84"/>
    </row>
    <row r="58" spans="1:12" ht="15" customHeight="1" x14ac:dyDescent="0.25">
      <c r="A58" s="62"/>
      <c r="B58" s="84"/>
      <c r="E58" s="84"/>
      <c r="F58" s="84"/>
    </row>
    <row r="59" spans="1:12" ht="15" customHeight="1" x14ac:dyDescent="0.25">
      <c r="A59" s="62"/>
      <c r="B59" s="84"/>
      <c r="E59" s="84"/>
      <c r="F59" s="84"/>
    </row>
    <row r="60" spans="1:12" ht="15" customHeight="1" x14ac:dyDescent="0.25">
      <c r="A60" s="62"/>
      <c r="B60" s="84"/>
      <c r="E60" s="84"/>
      <c r="F60" s="84"/>
    </row>
    <row r="61" spans="1:12" ht="15" customHeight="1" x14ac:dyDescent="0.25">
      <c r="A61" s="62"/>
      <c r="B61" s="84"/>
      <c r="E61" s="84"/>
      <c r="F61" s="84"/>
    </row>
    <row r="62" spans="1:12" ht="15" customHeight="1" x14ac:dyDescent="0.25">
      <c r="A62" s="1456"/>
      <c r="B62" s="1636" t="str">
        <f>"دجاج هندي بالزبدة 1 / " &amp; COUNTIF($C$53:$C$55, "&gt;0")</f>
        <v>دجاج هندي بالزبدة 1 / 2</v>
      </c>
      <c r="C62" s="1637"/>
      <c r="D62" s="1637"/>
      <c r="E62" s="1637"/>
      <c r="F62" s="1637"/>
      <c r="G62" s="1637"/>
      <c r="H62" s="1637"/>
    </row>
    <row r="63" spans="1:12" ht="18" customHeight="1" x14ac:dyDescent="0.25">
      <c r="A63" s="1456"/>
      <c r="B63" s="1634" t="str">
        <f>"Butter Chicken 1 / " &amp; COUNTIF($C$53:$C$55, "&gt;0")</f>
        <v>Butter Chicken 1 / 2</v>
      </c>
      <c r="C63" s="1635"/>
      <c r="D63" s="1635"/>
      <c r="E63" s="1635"/>
      <c r="F63" s="1635"/>
      <c r="G63" s="1635"/>
      <c r="H63" s="1635"/>
    </row>
    <row r="64" spans="1:12" ht="43.5" customHeight="1" x14ac:dyDescent="0.2">
      <c r="A64" s="1457"/>
      <c r="B64" s="221" t="s">
        <v>241</v>
      </c>
      <c r="C64" s="222" t="s">
        <v>242</v>
      </c>
      <c r="D64" s="223" t="s">
        <v>231</v>
      </c>
      <c r="E64" s="197" t="s">
        <v>234</v>
      </c>
      <c r="F64" s="197" t="s">
        <v>243</v>
      </c>
      <c r="G64" s="223" t="s">
        <v>244</v>
      </c>
      <c r="H64" s="197" t="s">
        <v>245</v>
      </c>
    </row>
    <row r="65" spans="1:8" ht="14.25" customHeight="1" x14ac:dyDescent="0.2">
      <c r="A65" s="1459"/>
      <c r="B65" s="105" t="str">
        <f t="shared" ref="B65:D85" si="15">B5</f>
        <v>Chicken - دجاج</v>
      </c>
      <c r="C65" s="105" t="str">
        <f t="shared" si="15"/>
        <v>gm</v>
      </c>
      <c r="D65" s="256">
        <f t="shared" si="15"/>
        <v>2311.3713405238827</v>
      </c>
      <c r="E65" s="98">
        <f>H53</f>
        <v>10</v>
      </c>
      <c r="F65" s="109">
        <f t="shared" ref="F65:F85" si="16">F5</f>
        <v>1</v>
      </c>
      <c r="G65" s="101">
        <f t="shared" ref="G65:G85" si="17">D65*E65</f>
        <v>23113.713405238828</v>
      </c>
      <c r="H65" s="102">
        <f t="shared" ref="H65:H85" si="18">G65*F65</f>
        <v>23113.713405238828</v>
      </c>
    </row>
    <row r="66" spans="1:8" ht="14.25" customHeight="1" x14ac:dyDescent="0.25">
      <c r="A66" s="1455" t="s">
        <v>905</v>
      </c>
      <c r="B66" s="105" t="str">
        <f t="shared" si="15"/>
        <v>Onion - بصل</v>
      </c>
      <c r="C66" s="105" t="str">
        <f t="shared" si="15"/>
        <v>gm</v>
      </c>
      <c r="D66" s="105">
        <f t="shared" si="15"/>
        <v>80</v>
      </c>
      <c r="E66" s="98">
        <f t="shared" ref="E66:E85" si="19">$C$53</f>
        <v>10.526315789473685</v>
      </c>
      <c r="F66" s="109">
        <f t="shared" si="16"/>
        <v>1</v>
      </c>
      <c r="G66" s="101">
        <f t="shared" si="17"/>
        <v>842.1052631578948</v>
      </c>
      <c r="H66" s="102">
        <f t="shared" si="18"/>
        <v>842.1052631578948</v>
      </c>
    </row>
    <row r="67" spans="1:8" ht="14.25" customHeight="1" x14ac:dyDescent="0.25">
      <c r="A67" s="1455" t="s">
        <v>909</v>
      </c>
      <c r="B67" s="105" t="str">
        <f t="shared" si="15"/>
        <v>Tomato - طماطم</v>
      </c>
      <c r="C67" s="105" t="str">
        <f t="shared" si="15"/>
        <v>gm</v>
      </c>
      <c r="D67" s="105">
        <f t="shared" si="15"/>
        <v>400</v>
      </c>
      <c r="E67" s="98">
        <f t="shared" si="19"/>
        <v>10.526315789473685</v>
      </c>
      <c r="F67" s="109">
        <f t="shared" si="16"/>
        <v>1</v>
      </c>
      <c r="G67" s="101">
        <f t="shared" si="17"/>
        <v>4210.5263157894742</v>
      </c>
      <c r="H67" s="102">
        <f t="shared" si="18"/>
        <v>4210.5263157894742</v>
      </c>
    </row>
    <row r="68" spans="1:8" ht="14.25" customHeight="1" x14ac:dyDescent="0.25">
      <c r="A68" s="1455"/>
      <c r="B68" s="105" t="str">
        <f t="shared" si="15"/>
        <v>Cashew Nut - كاجو</v>
      </c>
      <c r="C68" s="105" t="str">
        <f t="shared" si="15"/>
        <v>gm</v>
      </c>
      <c r="D68" s="105">
        <f t="shared" si="15"/>
        <v>50</v>
      </c>
      <c r="E68" s="98">
        <f t="shared" si="19"/>
        <v>10.526315789473685</v>
      </c>
      <c r="F68" s="109">
        <f t="shared" si="16"/>
        <v>0.5</v>
      </c>
      <c r="G68" s="101">
        <f t="shared" si="17"/>
        <v>526.31578947368428</v>
      </c>
      <c r="H68" s="102">
        <f t="shared" si="18"/>
        <v>263.15789473684214</v>
      </c>
    </row>
    <row r="69" spans="1:8" ht="14.25" customHeight="1" x14ac:dyDescent="0.25">
      <c r="A69" s="1455"/>
      <c r="B69" s="105" t="str">
        <f t="shared" si="15"/>
        <v>Kashmiri Red Chilli Whole - فلفل كشميري أحمر كامل</v>
      </c>
      <c r="C69" s="105" t="str">
        <f t="shared" si="15"/>
        <v>gm</v>
      </c>
      <c r="D69" s="105">
        <f t="shared" si="15"/>
        <v>5</v>
      </c>
      <c r="E69" s="98">
        <f t="shared" si="19"/>
        <v>10.526315789473685</v>
      </c>
      <c r="F69" s="109">
        <f t="shared" si="16"/>
        <v>0.75</v>
      </c>
      <c r="G69" s="101">
        <f t="shared" si="17"/>
        <v>52.631578947368425</v>
      </c>
      <c r="H69" s="102">
        <f t="shared" si="18"/>
        <v>39.473684210526315</v>
      </c>
    </row>
    <row r="70" spans="1:8" ht="14.25" customHeight="1" x14ac:dyDescent="0.25">
      <c r="A70" s="1455" t="s">
        <v>906</v>
      </c>
      <c r="B70" s="105" t="str">
        <f t="shared" si="15"/>
        <v>Ginger - زنجبيل</v>
      </c>
      <c r="C70" s="105" t="str">
        <f t="shared" si="15"/>
        <v>gm</v>
      </c>
      <c r="D70" s="105">
        <f t="shared" si="15"/>
        <v>5</v>
      </c>
      <c r="E70" s="98">
        <f t="shared" si="19"/>
        <v>10.526315789473685</v>
      </c>
      <c r="F70" s="109">
        <f t="shared" si="16"/>
        <v>1</v>
      </c>
      <c r="G70" s="101">
        <f t="shared" si="17"/>
        <v>52.631578947368425</v>
      </c>
      <c r="H70" s="102">
        <f t="shared" si="18"/>
        <v>52.631578947368425</v>
      </c>
    </row>
    <row r="71" spans="1:8" ht="14.25" customHeight="1" x14ac:dyDescent="0.25">
      <c r="A71" s="1455" t="s">
        <v>907</v>
      </c>
      <c r="B71" s="105" t="str">
        <f t="shared" si="15"/>
        <v>Garlic - ثوم مقشر</v>
      </c>
      <c r="C71" s="105" t="str">
        <f t="shared" si="15"/>
        <v>gm</v>
      </c>
      <c r="D71" s="105">
        <f t="shared" si="15"/>
        <v>20</v>
      </c>
      <c r="E71" s="98">
        <f t="shared" si="19"/>
        <v>10.526315789473685</v>
      </c>
      <c r="F71" s="109">
        <f t="shared" si="16"/>
        <v>1</v>
      </c>
      <c r="G71" s="101">
        <f t="shared" si="17"/>
        <v>210.5263157894737</v>
      </c>
      <c r="H71" s="102">
        <f t="shared" si="18"/>
        <v>210.5263157894737</v>
      </c>
    </row>
    <row r="72" spans="1:8" ht="14.25" customHeight="1" x14ac:dyDescent="0.25">
      <c r="A72" s="1455" t="s">
        <v>908</v>
      </c>
      <c r="B72" s="105" t="str">
        <f t="shared" si="15"/>
        <v>Coriander Leaves - كزبرة خضراء</v>
      </c>
      <c r="C72" s="105" t="str">
        <f t="shared" si="15"/>
        <v>gm</v>
      </c>
      <c r="D72" s="105">
        <f t="shared" si="15"/>
        <v>10</v>
      </c>
      <c r="E72" s="98">
        <f t="shared" si="19"/>
        <v>10.526315789473685</v>
      </c>
      <c r="F72" s="109">
        <f t="shared" si="16"/>
        <v>1</v>
      </c>
      <c r="G72" s="101">
        <f t="shared" si="17"/>
        <v>105.26315789473685</v>
      </c>
      <c r="H72" s="102">
        <f t="shared" si="18"/>
        <v>105.26315789473685</v>
      </c>
    </row>
    <row r="73" spans="1:8" ht="14.25" customHeight="1" x14ac:dyDescent="0.25">
      <c r="A73" s="1455"/>
      <c r="B73" s="105" t="str">
        <f t="shared" si="15"/>
        <v>Honey - عسل</v>
      </c>
      <c r="C73" s="105" t="str">
        <f t="shared" si="15"/>
        <v>gm</v>
      </c>
      <c r="D73" s="105">
        <f t="shared" si="15"/>
        <v>30</v>
      </c>
      <c r="E73" s="98">
        <f t="shared" si="19"/>
        <v>10.526315789473685</v>
      </c>
      <c r="F73" s="109">
        <f t="shared" si="16"/>
        <v>1</v>
      </c>
      <c r="G73" s="101">
        <f t="shared" si="17"/>
        <v>315.78947368421052</v>
      </c>
      <c r="H73" s="102">
        <f t="shared" si="18"/>
        <v>315.78947368421052</v>
      </c>
    </row>
    <row r="74" spans="1:8" ht="14.25" customHeight="1" x14ac:dyDescent="0.25">
      <c r="A74" s="1455"/>
      <c r="B74" s="105" t="str">
        <f t="shared" si="15"/>
        <v>Salt - ملح</v>
      </c>
      <c r="C74" s="105" t="str">
        <f t="shared" si="15"/>
        <v>gm</v>
      </c>
      <c r="D74" s="105">
        <f t="shared" si="15"/>
        <v>13</v>
      </c>
      <c r="E74" s="98">
        <f t="shared" si="19"/>
        <v>10.526315789473685</v>
      </c>
      <c r="F74" s="109">
        <f t="shared" si="16"/>
        <v>0.75</v>
      </c>
      <c r="G74" s="101">
        <f t="shared" si="17"/>
        <v>136.84210526315792</v>
      </c>
      <c r="H74" s="102">
        <f t="shared" si="18"/>
        <v>102.63157894736844</v>
      </c>
    </row>
    <row r="75" spans="1:8" ht="14.25" customHeight="1" x14ac:dyDescent="0.25">
      <c r="A75" s="1455"/>
      <c r="B75" s="105" t="str">
        <f t="shared" si="15"/>
        <v>Cooking Cream - كريمة طبخ</v>
      </c>
      <c r="C75" s="105" t="str">
        <f t="shared" si="15"/>
        <v>ml</v>
      </c>
      <c r="D75" s="105">
        <f t="shared" si="15"/>
        <v>350</v>
      </c>
      <c r="E75" s="98">
        <f t="shared" si="19"/>
        <v>10.526315789473685</v>
      </c>
      <c r="F75" s="109">
        <f t="shared" si="16"/>
        <v>1</v>
      </c>
      <c r="G75" s="101">
        <f t="shared" si="17"/>
        <v>3684.2105263157896</v>
      </c>
      <c r="H75" s="102">
        <f t="shared" si="18"/>
        <v>3684.2105263157896</v>
      </c>
    </row>
    <row r="76" spans="1:8" ht="14.25" customHeight="1" x14ac:dyDescent="0.25">
      <c r="A76" s="1455"/>
      <c r="B76" s="105" t="str">
        <f t="shared" si="15"/>
        <v>Water - ماء</v>
      </c>
      <c r="C76" s="105" t="str">
        <f t="shared" si="15"/>
        <v>ml</v>
      </c>
      <c r="D76" s="105">
        <f t="shared" si="15"/>
        <v>250</v>
      </c>
      <c r="E76" s="98">
        <f t="shared" si="19"/>
        <v>10.526315789473685</v>
      </c>
      <c r="F76" s="109">
        <f t="shared" si="16"/>
        <v>1</v>
      </c>
      <c r="G76" s="101">
        <f t="shared" si="17"/>
        <v>2631.5789473684213</v>
      </c>
      <c r="H76" s="102">
        <f t="shared" si="18"/>
        <v>2631.5789473684213</v>
      </c>
    </row>
    <row r="77" spans="1:8" ht="14.25" customHeight="1" x14ac:dyDescent="0.25">
      <c r="A77" s="1455"/>
      <c r="B77" s="105" t="str">
        <f t="shared" si="15"/>
        <v>Butter - زبدة</v>
      </c>
      <c r="C77" s="105" t="str">
        <f t="shared" si="15"/>
        <v>gm</v>
      </c>
      <c r="D77" s="105">
        <f t="shared" si="15"/>
        <v>50</v>
      </c>
      <c r="E77" s="98">
        <f t="shared" si="19"/>
        <v>10.526315789473685</v>
      </c>
      <c r="F77" s="109">
        <f t="shared" si="16"/>
        <v>1</v>
      </c>
      <c r="G77" s="101">
        <f t="shared" si="17"/>
        <v>526.31578947368428</v>
      </c>
      <c r="H77" s="102">
        <f t="shared" si="18"/>
        <v>526.31578947368428</v>
      </c>
    </row>
    <row r="78" spans="1:8" ht="14.25" customHeight="1" x14ac:dyDescent="0.25">
      <c r="A78" s="1455"/>
      <c r="B78" s="105" t="str">
        <f t="shared" si="15"/>
        <v>Orange Color - لون برتقالي</v>
      </c>
      <c r="C78" s="105" t="str">
        <f t="shared" si="15"/>
        <v>gm</v>
      </c>
      <c r="D78" s="105">
        <f t="shared" si="15"/>
        <v>2</v>
      </c>
      <c r="E78" s="98">
        <f t="shared" si="19"/>
        <v>10.526315789473685</v>
      </c>
      <c r="F78" s="109">
        <f t="shared" si="16"/>
        <v>0.75</v>
      </c>
      <c r="G78" s="101">
        <f t="shared" si="17"/>
        <v>21.05263157894737</v>
      </c>
      <c r="H78" s="102">
        <f t="shared" si="18"/>
        <v>15.789473684210527</v>
      </c>
    </row>
    <row r="79" spans="1:8" ht="14.25" customHeight="1" x14ac:dyDescent="0.25">
      <c r="A79" s="1455"/>
      <c r="B79" s="105" t="str">
        <f t="shared" si="15"/>
        <v>Kasuri Methi - ورق حلبة مجففة</v>
      </c>
      <c r="C79" s="105" t="str">
        <f t="shared" si="15"/>
        <v>gm</v>
      </c>
      <c r="D79" s="105">
        <f t="shared" si="15"/>
        <v>1</v>
      </c>
      <c r="E79" s="98">
        <f t="shared" si="19"/>
        <v>10.526315789473685</v>
      </c>
      <c r="F79" s="109">
        <f t="shared" si="16"/>
        <v>1</v>
      </c>
      <c r="G79" s="101">
        <f t="shared" si="17"/>
        <v>10.526315789473685</v>
      </c>
      <c r="H79" s="102">
        <f t="shared" si="18"/>
        <v>10.526315789473685</v>
      </c>
    </row>
    <row r="80" spans="1:8" ht="14.25" customHeight="1" x14ac:dyDescent="0.25">
      <c r="A80" s="1455"/>
      <c r="B80" s="105" t="str">
        <f t="shared" si="15"/>
        <v>Black Pepper Whole - فلفل أسود حب</v>
      </c>
      <c r="C80" s="105" t="str">
        <f t="shared" si="15"/>
        <v>gm</v>
      </c>
      <c r="D80" s="105">
        <f t="shared" si="15"/>
        <v>1</v>
      </c>
      <c r="E80" s="98">
        <f t="shared" si="19"/>
        <v>10.526315789473685</v>
      </c>
      <c r="F80" s="109">
        <f t="shared" si="16"/>
        <v>1</v>
      </c>
      <c r="G80" s="101">
        <f t="shared" si="17"/>
        <v>10.526315789473685</v>
      </c>
      <c r="H80" s="102">
        <f t="shared" si="18"/>
        <v>10.526315789473685</v>
      </c>
    </row>
    <row r="81" spans="1:8" ht="14.25" customHeight="1" x14ac:dyDescent="0.25">
      <c r="A81" s="1455"/>
      <c r="B81" s="105" t="str">
        <f t="shared" si="15"/>
        <v>Cumin Whole - كمون حب</v>
      </c>
      <c r="C81" s="105" t="str">
        <f t="shared" si="15"/>
        <v>gm</v>
      </c>
      <c r="D81" s="105">
        <f t="shared" si="15"/>
        <v>1</v>
      </c>
      <c r="E81" s="98">
        <f t="shared" si="19"/>
        <v>10.526315789473685</v>
      </c>
      <c r="F81" s="109">
        <f t="shared" si="16"/>
        <v>1</v>
      </c>
      <c r="G81" s="101">
        <f t="shared" si="17"/>
        <v>10.526315789473685</v>
      </c>
      <c r="H81" s="102">
        <f t="shared" si="18"/>
        <v>10.526315789473685</v>
      </c>
    </row>
    <row r="82" spans="1:8" ht="14.25" customHeight="1" x14ac:dyDescent="0.25">
      <c r="A82" s="1455"/>
      <c r="B82" s="105" t="str">
        <f t="shared" si="15"/>
        <v>Cloves Whole - قرنفل حب</v>
      </c>
      <c r="C82" s="105" t="str">
        <f t="shared" si="15"/>
        <v>gm</v>
      </c>
      <c r="D82" s="105">
        <f t="shared" si="15"/>
        <v>1</v>
      </c>
      <c r="E82" s="98">
        <f t="shared" si="19"/>
        <v>10.526315789473685</v>
      </c>
      <c r="F82" s="109">
        <f t="shared" si="16"/>
        <v>1</v>
      </c>
      <c r="G82" s="101">
        <f t="shared" si="17"/>
        <v>10.526315789473685</v>
      </c>
      <c r="H82" s="102">
        <f t="shared" si="18"/>
        <v>10.526315789473685</v>
      </c>
    </row>
    <row r="83" spans="1:8" ht="14.25" customHeight="1" x14ac:dyDescent="0.25">
      <c r="A83" s="1455"/>
      <c r="B83" s="105" t="str">
        <f t="shared" si="15"/>
        <v>Cinnamon Whole - قرفة أعواد</v>
      </c>
      <c r="C83" s="105" t="str">
        <f t="shared" si="15"/>
        <v>gm</v>
      </c>
      <c r="D83" s="105">
        <f t="shared" si="15"/>
        <v>0.5</v>
      </c>
      <c r="E83" s="98">
        <f t="shared" si="19"/>
        <v>10.526315789473685</v>
      </c>
      <c r="F83" s="109">
        <f t="shared" si="16"/>
        <v>1</v>
      </c>
      <c r="G83" s="101">
        <f t="shared" si="17"/>
        <v>5.2631578947368425</v>
      </c>
      <c r="H83" s="102">
        <f t="shared" si="18"/>
        <v>5.2631578947368425</v>
      </c>
    </row>
    <row r="84" spans="1:8" ht="14.25" customHeight="1" x14ac:dyDescent="0.25">
      <c r="A84" s="1455"/>
      <c r="B84" s="105" t="str">
        <f t="shared" si="15"/>
        <v>Cardamom Whole - هيل حب</v>
      </c>
      <c r="C84" s="105" t="str">
        <f t="shared" si="15"/>
        <v>gm</v>
      </c>
      <c r="D84" s="105">
        <f t="shared" si="15"/>
        <v>0.5</v>
      </c>
      <c r="E84" s="98">
        <f t="shared" si="19"/>
        <v>10.526315789473685</v>
      </c>
      <c r="F84" s="109">
        <f t="shared" si="16"/>
        <v>1</v>
      </c>
      <c r="G84" s="101">
        <f t="shared" si="17"/>
        <v>5.2631578947368425</v>
      </c>
      <c r="H84" s="102">
        <f t="shared" si="18"/>
        <v>5.2631578947368425</v>
      </c>
    </row>
    <row r="85" spans="1:8" ht="14.25" customHeight="1" x14ac:dyDescent="0.25">
      <c r="A85" s="1455"/>
      <c r="B85" s="105" t="str">
        <f t="shared" si="15"/>
        <v>Tomato Ketchup - كاتشب طماطم</v>
      </c>
      <c r="C85" s="105" t="str">
        <f t="shared" si="15"/>
        <v>ml</v>
      </c>
      <c r="D85" s="105">
        <f t="shared" si="15"/>
        <v>50</v>
      </c>
      <c r="E85" s="98">
        <f t="shared" si="19"/>
        <v>10.526315789473685</v>
      </c>
      <c r="F85" s="109">
        <f t="shared" si="16"/>
        <v>1</v>
      </c>
      <c r="G85" s="101">
        <f t="shared" si="17"/>
        <v>526.31578947368428</v>
      </c>
      <c r="H85" s="102">
        <f t="shared" si="18"/>
        <v>526.31578947368428</v>
      </c>
    </row>
    <row r="86" spans="1:8" ht="20.25" customHeight="1" x14ac:dyDescent="0.25">
      <c r="A86" s="1458"/>
      <c r="B86" s="178" t="s">
        <v>287</v>
      </c>
      <c r="C86" s="180" t="s">
        <v>273</v>
      </c>
      <c r="D86" s="14"/>
      <c r="E86" s="180" t="s">
        <v>288</v>
      </c>
      <c r="F86" s="14"/>
      <c r="G86" s="804" t="s">
        <v>264</v>
      </c>
      <c r="H86" s="804" t="s">
        <v>673</v>
      </c>
    </row>
    <row r="87" spans="1:8" ht="24" customHeight="1" x14ac:dyDescent="0.3">
      <c r="A87" s="1458"/>
      <c r="B87" s="179">
        <f>$J$53</f>
        <v>13637.090909090908</v>
      </c>
      <c r="C87" s="179">
        <f>E87+G87</f>
        <v>10000</v>
      </c>
      <c r="D87" s="839"/>
      <c r="E87" s="179">
        <f>$D$53*$S$44</f>
        <v>4090.909090909091</v>
      </c>
      <c r="F87" s="843"/>
      <c r="G87" s="179">
        <f>$D$53*$T$44</f>
        <v>5909.090909090909</v>
      </c>
      <c r="H87" s="179">
        <f>B87+E87</f>
        <v>17728</v>
      </c>
    </row>
    <row r="88" spans="1:8" ht="14.25" customHeight="1" x14ac:dyDescent="0.25">
      <c r="A88" s="62"/>
      <c r="B88" s="84"/>
      <c r="C88" s="839"/>
      <c r="D88" s="839"/>
      <c r="E88" s="839"/>
      <c r="F88" s="843"/>
      <c r="G88" s="839"/>
      <c r="H88" s="839"/>
    </row>
    <row r="89" spans="1:8" x14ac:dyDescent="0.25">
      <c r="A89" s="62"/>
    </row>
    <row r="90" spans="1:8" ht="18" customHeight="1" x14ac:dyDescent="0.25">
      <c r="A90" s="1456"/>
      <c r="B90" s="1636" t="str">
        <f>"دجاج هندي بالزبدة 2 / " &amp; COUNTIF($C$53:$C$55, "&gt;0")</f>
        <v>دجاج هندي بالزبدة 2 / 2</v>
      </c>
      <c r="C90" s="1637"/>
      <c r="D90" s="1637"/>
      <c r="E90" s="1637"/>
      <c r="F90" s="1637"/>
      <c r="G90" s="1637"/>
      <c r="H90" s="1637"/>
    </row>
    <row r="91" spans="1:8" ht="18" customHeight="1" x14ac:dyDescent="0.25">
      <c r="A91" s="1456"/>
      <c r="B91" s="1634" t="str">
        <f>"Butter Chicken 2 / " &amp; COUNTIF($C$53:$C$55, "&gt;0")</f>
        <v>Butter Chicken 2 / 2</v>
      </c>
      <c r="C91" s="1635"/>
      <c r="D91" s="1635"/>
      <c r="E91" s="1635"/>
      <c r="F91" s="1635"/>
      <c r="G91" s="1635"/>
      <c r="H91" s="1635"/>
    </row>
    <row r="92" spans="1:8" ht="34.5" customHeight="1" x14ac:dyDescent="0.2">
      <c r="A92" s="1457"/>
      <c r="B92" s="221" t="s">
        <v>241</v>
      </c>
      <c r="C92" s="222" t="s">
        <v>242</v>
      </c>
      <c r="D92" s="223" t="s">
        <v>231</v>
      </c>
      <c r="E92" s="197" t="s">
        <v>234</v>
      </c>
      <c r="F92" s="197" t="s">
        <v>243</v>
      </c>
      <c r="G92" s="223" t="s">
        <v>244</v>
      </c>
      <c r="H92" s="197" t="s">
        <v>245</v>
      </c>
    </row>
    <row r="93" spans="1:8" ht="14.25" customHeight="1" x14ac:dyDescent="0.25">
      <c r="A93" s="1455"/>
      <c r="B93" s="105" t="str">
        <f t="shared" ref="B93:D113" si="20">B5</f>
        <v>Chicken - دجاج</v>
      </c>
      <c r="C93" s="105" t="str">
        <f t="shared" si="20"/>
        <v>gm</v>
      </c>
      <c r="D93" s="105">
        <f t="shared" si="20"/>
        <v>2311.3713405238827</v>
      </c>
      <c r="E93" s="98">
        <f>H54</f>
        <v>8.0730994346968217</v>
      </c>
      <c r="F93" s="109">
        <f t="shared" ref="F93:F113" si="21">F5</f>
        <v>1</v>
      </c>
      <c r="G93" s="101">
        <f t="shared" ref="G93:G113" si="22">D93*E93</f>
        <v>18659.930662557792</v>
      </c>
      <c r="H93" s="102">
        <f t="shared" ref="H93:H113" si="23">G93*F93</f>
        <v>18659.930662557792</v>
      </c>
    </row>
    <row r="94" spans="1:8" ht="14.25" customHeight="1" x14ac:dyDescent="0.25">
      <c r="A94" s="1455" t="s">
        <v>905</v>
      </c>
      <c r="B94" s="105" t="str">
        <f t="shared" si="20"/>
        <v>Onion - بصل</v>
      </c>
      <c r="C94" s="105" t="str">
        <f t="shared" si="20"/>
        <v>gm</v>
      </c>
      <c r="D94" s="105">
        <f t="shared" si="20"/>
        <v>80</v>
      </c>
      <c r="E94" s="98">
        <f t="shared" ref="E94:E113" si="24">$C$54</f>
        <v>8.5125087719298236</v>
      </c>
      <c r="F94" s="109">
        <f t="shared" si="21"/>
        <v>1</v>
      </c>
      <c r="G94" s="101">
        <f t="shared" si="22"/>
        <v>681.00070175438589</v>
      </c>
      <c r="H94" s="102">
        <f t="shared" si="23"/>
        <v>681.00070175438589</v>
      </c>
    </row>
    <row r="95" spans="1:8" ht="14.25" customHeight="1" x14ac:dyDescent="0.25">
      <c r="A95" s="1455" t="s">
        <v>909</v>
      </c>
      <c r="B95" s="105" t="str">
        <f t="shared" si="20"/>
        <v>Tomato - طماطم</v>
      </c>
      <c r="C95" s="105" t="str">
        <f t="shared" si="20"/>
        <v>gm</v>
      </c>
      <c r="D95" s="105">
        <f t="shared" si="20"/>
        <v>400</v>
      </c>
      <c r="E95" s="98">
        <f t="shared" si="24"/>
        <v>8.5125087719298236</v>
      </c>
      <c r="F95" s="109">
        <f t="shared" si="21"/>
        <v>1</v>
      </c>
      <c r="G95" s="101">
        <f t="shared" si="22"/>
        <v>3405.0035087719293</v>
      </c>
      <c r="H95" s="102">
        <f t="shared" si="23"/>
        <v>3405.0035087719293</v>
      </c>
    </row>
    <row r="96" spans="1:8" ht="14.25" customHeight="1" x14ac:dyDescent="0.25">
      <c r="A96" s="1455"/>
      <c r="B96" s="105" t="str">
        <f t="shared" si="20"/>
        <v>Cashew Nut - كاجو</v>
      </c>
      <c r="C96" s="105" t="str">
        <f t="shared" si="20"/>
        <v>gm</v>
      </c>
      <c r="D96" s="105">
        <f t="shared" si="20"/>
        <v>50</v>
      </c>
      <c r="E96" s="98">
        <f t="shared" si="24"/>
        <v>8.5125087719298236</v>
      </c>
      <c r="F96" s="109">
        <f t="shared" si="21"/>
        <v>0.5</v>
      </c>
      <c r="G96" s="101">
        <f t="shared" si="22"/>
        <v>425.62543859649116</v>
      </c>
      <c r="H96" s="102">
        <f t="shared" si="23"/>
        <v>212.81271929824558</v>
      </c>
    </row>
    <row r="97" spans="1:8" ht="14.25" customHeight="1" x14ac:dyDescent="0.25">
      <c r="A97" s="1455"/>
      <c r="B97" s="105" t="str">
        <f t="shared" si="20"/>
        <v>Kashmiri Red Chilli Whole - فلفل كشميري أحمر كامل</v>
      </c>
      <c r="C97" s="105" t="str">
        <f t="shared" si="20"/>
        <v>gm</v>
      </c>
      <c r="D97" s="105">
        <f t="shared" si="20"/>
        <v>5</v>
      </c>
      <c r="E97" s="98">
        <f t="shared" si="24"/>
        <v>8.5125087719298236</v>
      </c>
      <c r="F97" s="109">
        <f t="shared" si="21"/>
        <v>0.75</v>
      </c>
      <c r="G97" s="101">
        <f t="shared" si="22"/>
        <v>42.562543859649118</v>
      </c>
      <c r="H97" s="102">
        <f t="shared" si="23"/>
        <v>31.92190789473684</v>
      </c>
    </row>
    <row r="98" spans="1:8" ht="14.25" customHeight="1" x14ac:dyDescent="0.25">
      <c r="A98" s="1455" t="s">
        <v>906</v>
      </c>
      <c r="B98" s="105" t="str">
        <f t="shared" si="20"/>
        <v>Ginger - زنجبيل</v>
      </c>
      <c r="C98" s="105" t="str">
        <f t="shared" si="20"/>
        <v>gm</v>
      </c>
      <c r="D98" s="105">
        <f t="shared" si="20"/>
        <v>5</v>
      </c>
      <c r="E98" s="98">
        <f t="shared" si="24"/>
        <v>8.5125087719298236</v>
      </c>
      <c r="F98" s="109">
        <f t="shared" si="21"/>
        <v>1</v>
      </c>
      <c r="G98" s="101">
        <f t="shared" si="22"/>
        <v>42.562543859649118</v>
      </c>
      <c r="H98" s="102">
        <f t="shared" si="23"/>
        <v>42.562543859649118</v>
      </c>
    </row>
    <row r="99" spans="1:8" ht="14.25" customHeight="1" x14ac:dyDescent="0.25">
      <c r="A99" s="1455" t="s">
        <v>907</v>
      </c>
      <c r="B99" s="105" t="str">
        <f t="shared" si="20"/>
        <v>Garlic - ثوم مقشر</v>
      </c>
      <c r="C99" s="105" t="str">
        <f t="shared" si="20"/>
        <v>gm</v>
      </c>
      <c r="D99" s="105">
        <f t="shared" si="20"/>
        <v>20</v>
      </c>
      <c r="E99" s="98">
        <f t="shared" si="24"/>
        <v>8.5125087719298236</v>
      </c>
      <c r="F99" s="109">
        <f t="shared" si="21"/>
        <v>1</v>
      </c>
      <c r="G99" s="101">
        <f t="shared" si="22"/>
        <v>170.25017543859647</v>
      </c>
      <c r="H99" s="102">
        <f t="shared" si="23"/>
        <v>170.25017543859647</v>
      </c>
    </row>
    <row r="100" spans="1:8" ht="14.25" customHeight="1" x14ac:dyDescent="0.25">
      <c r="A100" s="1455" t="s">
        <v>908</v>
      </c>
      <c r="B100" s="105" t="str">
        <f t="shared" si="20"/>
        <v>Coriander Leaves - كزبرة خضراء</v>
      </c>
      <c r="C100" s="105" t="str">
        <f t="shared" si="20"/>
        <v>gm</v>
      </c>
      <c r="D100" s="105">
        <f t="shared" si="20"/>
        <v>10</v>
      </c>
      <c r="E100" s="98">
        <f t="shared" si="24"/>
        <v>8.5125087719298236</v>
      </c>
      <c r="F100" s="109">
        <f t="shared" si="21"/>
        <v>1</v>
      </c>
      <c r="G100" s="101">
        <f t="shared" si="22"/>
        <v>85.125087719298236</v>
      </c>
      <c r="H100" s="102">
        <f t="shared" si="23"/>
        <v>85.125087719298236</v>
      </c>
    </row>
    <row r="101" spans="1:8" ht="14.25" customHeight="1" x14ac:dyDescent="0.25">
      <c r="A101" s="1455"/>
      <c r="B101" s="105" t="str">
        <f t="shared" si="20"/>
        <v>Honey - عسل</v>
      </c>
      <c r="C101" s="105" t="str">
        <f t="shared" si="20"/>
        <v>gm</v>
      </c>
      <c r="D101" s="105">
        <f t="shared" si="20"/>
        <v>30</v>
      </c>
      <c r="E101" s="98">
        <f t="shared" si="24"/>
        <v>8.5125087719298236</v>
      </c>
      <c r="F101" s="109">
        <f t="shared" si="21"/>
        <v>1</v>
      </c>
      <c r="G101" s="101">
        <f t="shared" si="22"/>
        <v>255.37526315789472</v>
      </c>
      <c r="H101" s="102">
        <f t="shared" si="23"/>
        <v>255.37526315789472</v>
      </c>
    </row>
    <row r="102" spans="1:8" ht="14.25" customHeight="1" x14ac:dyDescent="0.25">
      <c r="A102" s="1455"/>
      <c r="B102" s="105" t="str">
        <f t="shared" si="20"/>
        <v>Salt - ملح</v>
      </c>
      <c r="C102" s="105" t="str">
        <f t="shared" si="20"/>
        <v>gm</v>
      </c>
      <c r="D102" s="105">
        <f t="shared" si="20"/>
        <v>13</v>
      </c>
      <c r="E102" s="98">
        <f t="shared" si="24"/>
        <v>8.5125087719298236</v>
      </c>
      <c r="F102" s="109">
        <f t="shared" si="21"/>
        <v>0.75</v>
      </c>
      <c r="G102" s="101">
        <f t="shared" si="22"/>
        <v>110.6626140350877</v>
      </c>
      <c r="H102" s="102">
        <f t="shared" si="23"/>
        <v>82.996960526315775</v>
      </c>
    </row>
    <row r="103" spans="1:8" ht="14.25" customHeight="1" x14ac:dyDescent="0.25">
      <c r="A103" s="1455"/>
      <c r="B103" s="105" t="str">
        <f t="shared" si="20"/>
        <v>Cooking Cream - كريمة طبخ</v>
      </c>
      <c r="C103" s="105" t="str">
        <f t="shared" si="20"/>
        <v>ml</v>
      </c>
      <c r="D103" s="105">
        <f t="shared" si="20"/>
        <v>350</v>
      </c>
      <c r="E103" s="98">
        <f t="shared" si="24"/>
        <v>8.5125087719298236</v>
      </c>
      <c r="F103" s="109">
        <f t="shared" si="21"/>
        <v>1</v>
      </c>
      <c r="G103" s="101">
        <f t="shared" si="22"/>
        <v>2979.3780701754381</v>
      </c>
      <c r="H103" s="102">
        <f t="shared" si="23"/>
        <v>2979.3780701754381</v>
      </c>
    </row>
    <row r="104" spans="1:8" ht="14.25" customHeight="1" x14ac:dyDescent="0.25">
      <c r="A104" s="1455"/>
      <c r="B104" s="105" t="str">
        <f t="shared" si="20"/>
        <v>Water - ماء</v>
      </c>
      <c r="C104" s="105" t="str">
        <f t="shared" si="20"/>
        <v>ml</v>
      </c>
      <c r="D104" s="105">
        <f t="shared" si="20"/>
        <v>250</v>
      </c>
      <c r="E104" s="98">
        <f t="shared" si="24"/>
        <v>8.5125087719298236</v>
      </c>
      <c r="F104" s="109">
        <f t="shared" si="21"/>
        <v>1</v>
      </c>
      <c r="G104" s="101">
        <f t="shared" si="22"/>
        <v>2128.1271929824561</v>
      </c>
      <c r="H104" s="102">
        <f t="shared" si="23"/>
        <v>2128.1271929824561</v>
      </c>
    </row>
    <row r="105" spans="1:8" ht="14.25" customHeight="1" x14ac:dyDescent="0.25">
      <c r="A105" s="1455"/>
      <c r="B105" s="105" t="str">
        <f t="shared" si="20"/>
        <v>Butter - زبدة</v>
      </c>
      <c r="C105" s="105" t="str">
        <f t="shared" si="20"/>
        <v>gm</v>
      </c>
      <c r="D105" s="105">
        <f t="shared" si="20"/>
        <v>50</v>
      </c>
      <c r="E105" s="98">
        <f t="shared" si="24"/>
        <v>8.5125087719298236</v>
      </c>
      <c r="F105" s="109">
        <f t="shared" si="21"/>
        <v>1</v>
      </c>
      <c r="G105" s="101">
        <f t="shared" si="22"/>
        <v>425.62543859649116</v>
      </c>
      <c r="H105" s="102">
        <f t="shared" si="23"/>
        <v>425.62543859649116</v>
      </c>
    </row>
    <row r="106" spans="1:8" ht="14.25" customHeight="1" x14ac:dyDescent="0.25">
      <c r="A106" s="1455"/>
      <c r="B106" s="105" t="str">
        <f t="shared" si="20"/>
        <v>Orange Color - لون برتقالي</v>
      </c>
      <c r="C106" s="105" t="str">
        <f t="shared" si="20"/>
        <v>gm</v>
      </c>
      <c r="D106" s="105">
        <f t="shared" si="20"/>
        <v>2</v>
      </c>
      <c r="E106" s="98">
        <f t="shared" si="24"/>
        <v>8.5125087719298236</v>
      </c>
      <c r="F106" s="109">
        <f t="shared" si="21"/>
        <v>0.75</v>
      </c>
      <c r="G106" s="101">
        <f t="shared" si="22"/>
        <v>17.025017543859647</v>
      </c>
      <c r="H106" s="102">
        <f t="shared" si="23"/>
        <v>12.768763157894735</v>
      </c>
    </row>
    <row r="107" spans="1:8" ht="14.25" customHeight="1" x14ac:dyDescent="0.25">
      <c r="A107" s="1455"/>
      <c r="B107" s="105" t="str">
        <f t="shared" si="20"/>
        <v>Kasuri Methi - ورق حلبة مجففة</v>
      </c>
      <c r="C107" s="105" t="str">
        <f t="shared" si="20"/>
        <v>gm</v>
      </c>
      <c r="D107" s="105">
        <f t="shared" si="20"/>
        <v>1</v>
      </c>
      <c r="E107" s="98">
        <f t="shared" si="24"/>
        <v>8.5125087719298236</v>
      </c>
      <c r="F107" s="109">
        <f t="shared" si="21"/>
        <v>1</v>
      </c>
      <c r="G107" s="101">
        <f t="shared" si="22"/>
        <v>8.5125087719298236</v>
      </c>
      <c r="H107" s="102">
        <f t="shared" si="23"/>
        <v>8.5125087719298236</v>
      </c>
    </row>
    <row r="108" spans="1:8" ht="14.25" customHeight="1" x14ac:dyDescent="0.25">
      <c r="A108" s="1455"/>
      <c r="B108" s="105" t="str">
        <f t="shared" si="20"/>
        <v>Black Pepper Whole - فلفل أسود حب</v>
      </c>
      <c r="C108" s="105" t="str">
        <f t="shared" si="20"/>
        <v>gm</v>
      </c>
      <c r="D108" s="105">
        <f t="shared" si="20"/>
        <v>1</v>
      </c>
      <c r="E108" s="98">
        <f t="shared" si="24"/>
        <v>8.5125087719298236</v>
      </c>
      <c r="F108" s="109">
        <f t="shared" si="21"/>
        <v>1</v>
      </c>
      <c r="G108" s="101">
        <f t="shared" si="22"/>
        <v>8.5125087719298236</v>
      </c>
      <c r="H108" s="102">
        <f t="shared" si="23"/>
        <v>8.5125087719298236</v>
      </c>
    </row>
    <row r="109" spans="1:8" ht="14.25" customHeight="1" x14ac:dyDescent="0.25">
      <c r="A109" s="1455"/>
      <c r="B109" s="105" t="str">
        <f t="shared" si="20"/>
        <v>Cumin Whole - كمون حب</v>
      </c>
      <c r="C109" s="105" t="str">
        <f t="shared" si="20"/>
        <v>gm</v>
      </c>
      <c r="D109" s="105">
        <f t="shared" si="20"/>
        <v>1</v>
      </c>
      <c r="E109" s="98">
        <f t="shared" si="24"/>
        <v>8.5125087719298236</v>
      </c>
      <c r="F109" s="109">
        <f t="shared" si="21"/>
        <v>1</v>
      </c>
      <c r="G109" s="101">
        <f t="shared" si="22"/>
        <v>8.5125087719298236</v>
      </c>
      <c r="H109" s="102">
        <f t="shared" si="23"/>
        <v>8.5125087719298236</v>
      </c>
    </row>
    <row r="110" spans="1:8" ht="14.25" customHeight="1" x14ac:dyDescent="0.25">
      <c r="A110" s="1455"/>
      <c r="B110" s="105" t="str">
        <f t="shared" si="20"/>
        <v>Cloves Whole - قرنفل حب</v>
      </c>
      <c r="C110" s="105" t="str">
        <f t="shared" si="20"/>
        <v>gm</v>
      </c>
      <c r="D110" s="105">
        <f t="shared" si="20"/>
        <v>1</v>
      </c>
      <c r="E110" s="98">
        <f t="shared" si="24"/>
        <v>8.5125087719298236</v>
      </c>
      <c r="F110" s="109">
        <f t="shared" si="21"/>
        <v>1</v>
      </c>
      <c r="G110" s="101">
        <f t="shared" si="22"/>
        <v>8.5125087719298236</v>
      </c>
      <c r="H110" s="102">
        <f t="shared" si="23"/>
        <v>8.5125087719298236</v>
      </c>
    </row>
    <row r="111" spans="1:8" ht="14.25" customHeight="1" x14ac:dyDescent="0.25">
      <c r="A111" s="1455"/>
      <c r="B111" s="105" t="str">
        <f t="shared" si="20"/>
        <v>Cinnamon Whole - قرفة أعواد</v>
      </c>
      <c r="C111" s="105" t="str">
        <f t="shared" si="20"/>
        <v>gm</v>
      </c>
      <c r="D111" s="105">
        <f t="shared" si="20"/>
        <v>0.5</v>
      </c>
      <c r="E111" s="98">
        <f t="shared" si="24"/>
        <v>8.5125087719298236</v>
      </c>
      <c r="F111" s="109">
        <f t="shared" si="21"/>
        <v>1</v>
      </c>
      <c r="G111" s="101">
        <f t="shared" si="22"/>
        <v>4.2562543859649118</v>
      </c>
      <c r="H111" s="102">
        <f t="shared" si="23"/>
        <v>4.2562543859649118</v>
      </c>
    </row>
    <row r="112" spans="1:8" ht="14.25" customHeight="1" x14ac:dyDescent="0.25">
      <c r="A112" s="1455"/>
      <c r="B112" s="105" t="str">
        <f t="shared" si="20"/>
        <v>Cardamom Whole - هيل حب</v>
      </c>
      <c r="C112" s="105" t="str">
        <f t="shared" si="20"/>
        <v>gm</v>
      </c>
      <c r="D112" s="105">
        <f t="shared" si="20"/>
        <v>0.5</v>
      </c>
      <c r="E112" s="98">
        <f t="shared" si="24"/>
        <v>8.5125087719298236</v>
      </c>
      <c r="F112" s="109">
        <f t="shared" si="21"/>
        <v>1</v>
      </c>
      <c r="G112" s="101">
        <f t="shared" si="22"/>
        <v>4.2562543859649118</v>
      </c>
      <c r="H112" s="102">
        <f t="shared" si="23"/>
        <v>4.2562543859649118</v>
      </c>
    </row>
    <row r="113" spans="1:8" ht="14.25" customHeight="1" x14ac:dyDescent="0.25">
      <c r="A113" s="1455"/>
      <c r="B113" s="105" t="str">
        <f t="shared" si="20"/>
        <v>Tomato Ketchup - كاتشب طماطم</v>
      </c>
      <c r="C113" s="105" t="str">
        <f t="shared" si="20"/>
        <v>ml</v>
      </c>
      <c r="D113" s="105">
        <f t="shared" si="20"/>
        <v>50</v>
      </c>
      <c r="E113" s="98">
        <f t="shared" si="24"/>
        <v>8.5125087719298236</v>
      </c>
      <c r="F113" s="109">
        <f t="shared" si="21"/>
        <v>1</v>
      </c>
      <c r="G113" s="101">
        <f t="shared" si="22"/>
        <v>425.62543859649116</v>
      </c>
      <c r="H113" s="102">
        <f t="shared" si="23"/>
        <v>425.62543859649116</v>
      </c>
    </row>
    <row r="114" spans="1:8" ht="20.25" customHeight="1" x14ac:dyDescent="0.25">
      <c r="A114" s="1458"/>
      <c r="B114" s="178" t="s">
        <v>287</v>
      </c>
      <c r="C114" s="180" t="s">
        <v>273</v>
      </c>
      <c r="D114" s="14"/>
      <c r="E114" s="180" t="s">
        <v>288</v>
      </c>
      <c r="F114" s="14"/>
      <c r="G114" s="804" t="s">
        <v>264</v>
      </c>
      <c r="H114" s="804" t="s">
        <v>673</v>
      </c>
    </row>
    <row r="115" spans="1:8" ht="26.25" customHeight="1" x14ac:dyDescent="0.3">
      <c r="A115" s="1458"/>
      <c r="B115" s="179">
        <f>$J$54</f>
        <v>11009.359090909093</v>
      </c>
      <c r="C115" s="179">
        <f>E115+G115</f>
        <v>8086.8833333333332</v>
      </c>
      <c r="D115" s="839"/>
      <c r="E115" s="179">
        <f>$D$54*$S$44</f>
        <v>3308.2704545454549</v>
      </c>
      <c r="F115" s="843"/>
      <c r="G115" s="179">
        <f>$D$54*$T$44</f>
        <v>4778.6128787878788</v>
      </c>
      <c r="H115" s="179">
        <f>B115+E115</f>
        <v>14317.629545454547</v>
      </c>
    </row>
    <row r="116" spans="1:8" ht="14.25" customHeight="1" x14ac:dyDescent="0.25">
      <c r="A116" s="62"/>
      <c r="C116" s="239"/>
      <c r="D116" s="239"/>
      <c r="E116" s="239"/>
      <c r="F116" s="239"/>
      <c r="G116" s="239"/>
      <c r="H116" s="239"/>
    </row>
    <row r="117" spans="1:8" ht="14.25" customHeight="1" x14ac:dyDescent="0.25">
      <c r="A117" s="1456"/>
      <c r="B117" s="1636" t="str">
        <f>"دجاج هندي بالزبدة  3 / " &amp; COUNTIF($C$53:$C$55, "&gt;0")</f>
        <v>دجاج هندي بالزبدة  3 / 2</v>
      </c>
      <c r="C117" s="1637"/>
      <c r="D117" s="1637"/>
      <c r="E117" s="1637"/>
      <c r="F117" s="1637"/>
      <c r="G117" s="1637"/>
      <c r="H117" s="1637"/>
    </row>
    <row r="118" spans="1:8" ht="18" customHeight="1" x14ac:dyDescent="0.25">
      <c r="A118" s="1456"/>
      <c r="B118" s="1634" t="str">
        <f>"Butter Chicken 3 / " &amp; COUNTIF($C$53:$C$55, "&gt;0")</f>
        <v>Butter Chicken 3 / 2</v>
      </c>
      <c r="C118" s="1635"/>
      <c r="D118" s="1635"/>
      <c r="E118" s="1635"/>
      <c r="F118" s="1635"/>
      <c r="G118" s="1635"/>
      <c r="H118" s="1635"/>
    </row>
    <row r="119" spans="1:8" ht="52.5" customHeight="1" x14ac:dyDescent="0.2">
      <c r="A119" s="1457"/>
      <c r="B119" s="221" t="s">
        <v>241</v>
      </c>
      <c r="C119" s="222" t="s">
        <v>242</v>
      </c>
      <c r="D119" s="223" t="s">
        <v>231</v>
      </c>
      <c r="E119" s="197" t="s">
        <v>234</v>
      </c>
      <c r="F119" s="197" t="s">
        <v>243</v>
      </c>
      <c r="G119" s="223" t="s">
        <v>244</v>
      </c>
      <c r="H119" s="197" t="s">
        <v>245</v>
      </c>
    </row>
    <row r="120" spans="1:8" ht="14.25" customHeight="1" x14ac:dyDescent="0.25">
      <c r="A120" s="1455"/>
      <c r="B120" s="105" t="str">
        <f t="shared" ref="B120:D140" si="25">B5</f>
        <v>Chicken - دجاج</v>
      </c>
      <c r="C120" s="105" t="str">
        <f t="shared" si="25"/>
        <v>gm</v>
      </c>
      <c r="D120" s="105">
        <f t="shared" si="25"/>
        <v>2311.3713405238827</v>
      </c>
      <c r="E120" s="177">
        <f>H55</f>
        <v>0</v>
      </c>
      <c r="F120" s="109">
        <f t="shared" ref="F120:F140" si="26">F5</f>
        <v>1</v>
      </c>
      <c r="G120" s="101">
        <f t="shared" ref="G120:G140" si="27">D120*E120</f>
        <v>0</v>
      </c>
      <c r="H120" s="102">
        <f t="shared" ref="H120:H140" si="28">G120*F120</f>
        <v>0</v>
      </c>
    </row>
    <row r="121" spans="1:8" ht="14.25" customHeight="1" x14ac:dyDescent="0.25">
      <c r="A121" s="1455" t="s">
        <v>905</v>
      </c>
      <c r="B121" s="105" t="str">
        <f t="shared" si="25"/>
        <v>Onion - بصل</v>
      </c>
      <c r="C121" s="105" t="str">
        <f t="shared" si="25"/>
        <v>gm</v>
      </c>
      <c r="D121" s="105">
        <f t="shared" si="25"/>
        <v>80</v>
      </c>
      <c r="E121" s="177">
        <f t="shared" ref="E121:E140" si="29">$C$55</f>
        <v>0</v>
      </c>
      <c r="F121" s="109">
        <f t="shared" si="26"/>
        <v>1</v>
      </c>
      <c r="G121" s="101">
        <f t="shared" si="27"/>
        <v>0</v>
      </c>
      <c r="H121" s="102">
        <f t="shared" si="28"/>
        <v>0</v>
      </c>
    </row>
    <row r="122" spans="1:8" ht="14.25" customHeight="1" x14ac:dyDescent="0.25">
      <c r="A122" s="1455" t="s">
        <v>909</v>
      </c>
      <c r="B122" s="105" t="str">
        <f t="shared" si="25"/>
        <v>Tomato - طماطم</v>
      </c>
      <c r="C122" s="105" t="str">
        <f t="shared" si="25"/>
        <v>gm</v>
      </c>
      <c r="D122" s="105">
        <f t="shared" si="25"/>
        <v>400</v>
      </c>
      <c r="E122" s="177">
        <f t="shared" si="29"/>
        <v>0</v>
      </c>
      <c r="F122" s="109">
        <f t="shared" si="26"/>
        <v>1</v>
      </c>
      <c r="G122" s="101">
        <f t="shared" si="27"/>
        <v>0</v>
      </c>
      <c r="H122" s="102">
        <f t="shared" si="28"/>
        <v>0</v>
      </c>
    </row>
    <row r="123" spans="1:8" ht="14.25" customHeight="1" x14ac:dyDescent="0.25">
      <c r="A123" s="1455"/>
      <c r="B123" s="105" t="str">
        <f t="shared" si="25"/>
        <v>Cashew Nut - كاجو</v>
      </c>
      <c r="C123" s="105" t="str">
        <f t="shared" si="25"/>
        <v>gm</v>
      </c>
      <c r="D123" s="105">
        <f t="shared" si="25"/>
        <v>50</v>
      </c>
      <c r="E123" s="177">
        <f t="shared" si="29"/>
        <v>0</v>
      </c>
      <c r="F123" s="109">
        <f t="shared" si="26"/>
        <v>0.5</v>
      </c>
      <c r="G123" s="101">
        <f t="shared" si="27"/>
        <v>0</v>
      </c>
      <c r="H123" s="102">
        <f t="shared" si="28"/>
        <v>0</v>
      </c>
    </row>
    <row r="124" spans="1:8" ht="14.25" customHeight="1" x14ac:dyDescent="0.25">
      <c r="A124" s="1455"/>
      <c r="B124" s="105" t="str">
        <f t="shared" si="25"/>
        <v>Kashmiri Red Chilli Whole - فلفل كشميري أحمر كامل</v>
      </c>
      <c r="C124" s="105" t="str">
        <f t="shared" si="25"/>
        <v>gm</v>
      </c>
      <c r="D124" s="105">
        <f t="shared" si="25"/>
        <v>5</v>
      </c>
      <c r="E124" s="177">
        <f t="shared" si="29"/>
        <v>0</v>
      </c>
      <c r="F124" s="109">
        <f t="shared" si="26"/>
        <v>0.75</v>
      </c>
      <c r="G124" s="101">
        <f t="shared" si="27"/>
        <v>0</v>
      </c>
      <c r="H124" s="102">
        <f t="shared" si="28"/>
        <v>0</v>
      </c>
    </row>
    <row r="125" spans="1:8" ht="14.25" customHeight="1" x14ac:dyDescent="0.25">
      <c r="A125" s="1455" t="s">
        <v>906</v>
      </c>
      <c r="B125" s="105" t="str">
        <f t="shared" si="25"/>
        <v>Ginger - زنجبيل</v>
      </c>
      <c r="C125" s="105" t="str">
        <f t="shared" si="25"/>
        <v>gm</v>
      </c>
      <c r="D125" s="105">
        <f t="shared" si="25"/>
        <v>5</v>
      </c>
      <c r="E125" s="177">
        <f t="shared" si="29"/>
        <v>0</v>
      </c>
      <c r="F125" s="109">
        <f t="shared" si="26"/>
        <v>1</v>
      </c>
      <c r="G125" s="101">
        <f t="shared" si="27"/>
        <v>0</v>
      </c>
      <c r="H125" s="102">
        <f t="shared" si="28"/>
        <v>0</v>
      </c>
    </row>
    <row r="126" spans="1:8" ht="14.25" customHeight="1" x14ac:dyDescent="0.25">
      <c r="A126" s="1455" t="s">
        <v>907</v>
      </c>
      <c r="B126" s="105" t="str">
        <f t="shared" si="25"/>
        <v>Garlic - ثوم مقشر</v>
      </c>
      <c r="C126" s="105" t="str">
        <f t="shared" si="25"/>
        <v>gm</v>
      </c>
      <c r="D126" s="105">
        <f t="shared" si="25"/>
        <v>20</v>
      </c>
      <c r="E126" s="177">
        <f t="shared" si="29"/>
        <v>0</v>
      </c>
      <c r="F126" s="109">
        <f t="shared" si="26"/>
        <v>1</v>
      </c>
      <c r="G126" s="101">
        <f t="shared" si="27"/>
        <v>0</v>
      </c>
      <c r="H126" s="102">
        <f t="shared" si="28"/>
        <v>0</v>
      </c>
    </row>
    <row r="127" spans="1:8" ht="14.25" customHeight="1" x14ac:dyDescent="0.25">
      <c r="A127" s="1455" t="s">
        <v>908</v>
      </c>
      <c r="B127" s="105" t="str">
        <f t="shared" si="25"/>
        <v>Coriander Leaves - كزبرة خضراء</v>
      </c>
      <c r="C127" s="105" t="str">
        <f t="shared" si="25"/>
        <v>gm</v>
      </c>
      <c r="D127" s="105">
        <f t="shared" si="25"/>
        <v>10</v>
      </c>
      <c r="E127" s="177">
        <f t="shared" si="29"/>
        <v>0</v>
      </c>
      <c r="F127" s="109">
        <f t="shared" si="26"/>
        <v>1</v>
      </c>
      <c r="G127" s="101">
        <f t="shared" si="27"/>
        <v>0</v>
      </c>
      <c r="H127" s="102">
        <f t="shared" si="28"/>
        <v>0</v>
      </c>
    </row>
    <row r="128" spans="1:8" ht="14.25" customHeight="1" x14ac:dyDescent="0.25">
      <c r="A128" s="1455"/>
      <c r="B128" s="105" t="str">
        <f t="shared" si="25"/>
        <v>Honey - عسل</v>
      </c>
      <c r="C128" s="105" t="str">
        <f t="shared" si="25"/>
        <v>gm</v>
      </c>
      <c r="D128" s="105">
        <f t="shared" si="25"/>
        <v>30</v>
      </c>
      <c r="E128" s="177">
        <f t="shared" si="29"/>
        <v>0</v>
      </c>
      <c r="F128" s="109">
        <f t="shared" si="26"/>
        <v>1</v>
      </c>
      <c r="G128" s="101">
        <f t="shared" si="27"/>
        <v>0</v>
      </c>
      <c r="H128" s="102">
        <f t="shared" si="28"/>
        <v>0</v>
      </c>
    </row>
    <row r="129" spans="1:8" ht="14.25" customHeight="1" x14ac:dyDescent="0.25">
      <c r="A129" s="1455"/>
      <c r="B129" s="105" t="str">
        <f t="shared" si="25"/>
        <v>Salt - ملح</v>
      </c>
      <c r="C129" s="105" t="str">
        <f t="shared" si="25"/>
        <v>gm</v>
      </c>
      <c r="D129" s="105">
        <f t="shared" si="25"/>
        <v>13</v>
      </c>
      <c r="E129" s="177">
        <f t="shared" si="29"/>
        <v>0</v>
      </c>
      <c r="F129" s="109">
        <f t="shared" si="26"/>
        <v>0.75</v>
      </c>
      <c r="G129" s="101">
        <f t="shared" si="27"/>
        <v>0</v>
      </c>
      <c r="H129" s="102">
        <f t="shared" si="28"/>
        <v>0</v>
      </c>
    </row>
    <row r="130" spans="1:8" ht="14.25" customHeight="1" x14ac:dyDescent="0.25">
      <c r="A130" s="1455"/>
      <c r="B130" s="105" t="str">
        <f t="shared" si="25"/>
        <v>Cooking Cream - كريمة طبخ</v>
      </c>
      <c r="C130" s="105" t="str">
        <f t="shared" si="25"/>
        <v>ml</v>
      </c>
      <c r="D130" s="105">
        <f t="shared" si="25"/>
        <v>350</v>
      </c>
      <c r="E130" s="177">
        <f t="shared" si="29"/>
        <v>0</v>
      </c>
      <c r="F130" s="109">
        <f t="shared" si="26"/>
        <v>1</v>
      </c>
      <c r="G130" s="101">
        <f t="shared" si="27"/>
        <v>0</v>
      </c>
      <c r="H130" s="102">
        <f t="shared" si="28"/>
        <v>0</v>
      </c>
    </row>
    <row r="131" spans="1:8" ht="14.25" customHeight="1" x14ac:dyDescent="0.25">
      <c r="A131" s="1455"/>
      <c r="B131" s="105" t="str">
        <f t="shared" si="25"/>
        <v>Water - ماء</v>
      </c>
      <c r="C131" s="105" t="str">
        <f t="shared" si="25"/>
        <v>ml</v>
      </c>
      <c r="D131" s="105">
        <f t="shared" si="25"/>
        <v>250</v>
      </c>
      <c r="E131" s="177">
        <f t="shared" si="29"/>
        <v>0</v>
      </c>
      <c r="F131" s="109">
        <f t="shared" si="26"/>
        <v>1</v>
      </c>
      <c r="G131" s="101">
        <f t="shared" si="27"/>
        <v>0</v>
      </c>
      <c r="H131" s="102">
        <f t="shared" si="28"/>
        <v>0</v>
      </c>
    </row>
    <row r="132" spans="1:8" ht="14.25" customHeight="1" x14ac:dyDescent="0.25">
      <c r="A132" s="1455"/>
      <c r="B132" s="105" t="str">
        <f t="shared" si="25"/>
        <v>Butter - زبدة</v>
      </c>
      <c r="C132" s="105" t="str">
        <f t="shared" si="25"/>
        <v>gm</v>
      </c>
      <c r="D132" s="105">
        <f t="shared" si="25"/>
        <v>50</v>
      </c>
      <c r="E132" s="177">
        <f t="shared" si="29"/>
        <v>0</v>
      </c>
      <c r="F132" s="109">
        <f t="shared" si="26"/>
        <v>1</v>
      </c>
      <c r="G132" s="101">
        <f t="shared" si="27"/>
        <v>0</v>
      </c>
      <c r="H132" s="102">
        <f t="shared" si="28"/>
        <v>0</v>
      </c>
    </row>
    <row r="133" spans="1:8" ht="14.25" customHeight="1" x14ac:dyDescent="0.25">
      <c r="A133" s="1455"/>
      <c r="B133" s="105" t="str">
        <f t="shared" si="25"/>
        <v>Orange Color - لون برتقالي</v>
      </c>
      <c r="C133" s="105" t="str">
        <f t="shared" si="25"/>
        <v>gm</v>
      </c>
      <c r="D133" s="105">
        <f t="shared" si="25"/>
        <v>2</v>
      </c>
      <c r="E133" s="177">
        <f t="shared" si="29"/>
        <v>0</v>
      </c>
      <c r="F133" s="109">
        <f t="shared" si="26"/>
        <v>0.75</v>
      </c>
      <c r="G133" s="101">
        <f t="shared" si="27"/>
        <v>0</v>
      </c>
      <c r="H133" s="102">
        <f t="shared" si="28"/>
        <v>0</v>
      </c>
    </row>
    <row r="134" spans="1:8" ht="14.25" customHeight="1" x14ac:dyDescent="0.25">
      <c r="A134" s="1455"/>
      <c r="B134" s="105" t="str">
        <f t="shared" si="25"/>
        <v>Kasuri Methi - ورق حلبة مجففة</v>
      </c>
      <c r="C134" s="105" t="str">
        <f t="shared" si="25"/>
        <v>gm</v>
      </c>
      <c r="D134" s="105">
        <f t="shared" si="25"/>
        <v>1</v>
      </c>
      <c r="E134" s="177">
        <f t="shared" si="29"/>
        <v>0</v>
      </c>
      <c r="F134" s="109">
        <f t="shared" si="26"/>
        <v>1</v>
      </c>
      <c r="G134" s="101">
        <f t="shared" si="27"/>
        <v>0</v>
      </c>
      <c r="H134" s="102">
        <f t="shared" si="28"/>
        <v>0</v>
      </c>
    </row>
    <row r="135" spans="1:8" ht="14.25" customHeight="1" x14ac:dyDescent="0.25">
      <c r="A135" s="1455"/>
      <c r="B135" s="105" t="str">
        <f t="shared" si="25"/>
        <v>Black Pepper Whole - فلفل أسود حب</v>
      </c>
      <c r="C135" s="105" t="str">
        <f t="shared" si="25"/>
        <v>gm</v>
      </c>
      <c r="D135" s="105">
        <f t="shared" si="25"/>
        <v>1</v>
      </c>
      <c r="E135" s="177">
        <f t="shared" si="29"/>
        <v>0</v>
      </c>
      <c r="F135" s="109">
        <f t="shared" si="26"/>
        <v>1</v>
      </c>
      <c r="G135" s="101">
        <f t="shared" si="27"/>
        <v>0</v>
      </c>
      <c r="H135" s="102">
        <f t="shared" si="28"/>
        <v>0</v>
      </c>
    </row>
    <row r="136" spans="1:8" ht="14.25" customHeight="1" x14ac:dyDescent="0.25">
      <c r="A136" s="1455"/>
      <c r="B136" s="105" t="str">
        <f t="shared" si="25"/>
        <v>Cumin Whole - كمون حب</v>
      </c>
      <c r="C136" s="105" t="str">
        <f t="shared" si="25"/>
        <v>gm</v>
      </c>
      <c r="D136" s="105">
        <f t="shared" si="25"/>
        <v>1</v>
      </c>
      <c r="E136" s="177">
        <f t="shared" si="29"/>
        <v>0</v>
      </c>
      <c r="F136" s="109">
        <f t="shared" si="26"/>
        <v>1</v>
      </c>
      <c r="G136" s="101">
        <f t="shared" si="27"/>
        <v>0</v>
      </c>
      <c r="H136" s="102">
        <f t="shared" si="28"/>
        <v>0</v>
      </c>
    </row>
    <row r="137" spans="1:8" ht="14.25" customHeight="1" x14ac:dyDescent="0.25">
      <c r="A137" s="1455"/>
      <c r="B137" s="105" t="str">
        <f t="shared" si="25"/>
        <v>Cloves Whole - قرنفل حب</v>
      </c>
      <c r="C137" s="105" t="str">
        <f t="shared" si="25"/>
        <v>gm</v>
      </c>
      <c r="D137" s="105">
        <f t="shared" si="25"/>
        <v>1</v>
      </c>
      <c r="E137" s="177">
        <f t="shared" si="29"/>
        <v>0</v>
      </c>
      <c r="F137" s="109">
        <f t="shared" si="26"/>
        <v>1</v>
      </c>
      <c r="G137" s="101">
        <f t="shared" si="27"/>
        <v>0</v>
      </c>
      <c r="H137" s="102">
        <f t="shared" si="28"/>
        <v>0</v>
      </c>
    </row>
    <row r="138" spans="1:8" ht="14.25" customHeight="1" x14ac:dyDescent="0.25">
      <c r="A138" s="1455"/>
      <c r="B138" s="105" t="str">
        <f t="shared" si="25"/>
        <v>Cinnamon Whole - قرفة أعواد</v>
      </c>
      <c r="C138" s="105" t="str">
        <f t="shared" si="25"/>
        <v>gm</v>
      </c>
      <c r="D138" s="105">
        <f t="shared" si="25"/>
        <v>0.5</v>
      </c>
      <c r="E138" s="177">
        <f t="shared" si="29"/>
        <v>0</v>
      </c>
      <c r="F138" s="109">
        <f t="shared" si="26"/>
        <v>1</v>
      </c>
      <c r="G138" s="101">
        <f t="shared" si="27"/>
        <v>0</v>
      </c>
      <c r="H138" s="102">
        <f t="shared" si="28"/>
        <v>0</v>
      </c>
    </row>
    <row r="139" spans="1:8" ht="14.25" customHeight="1" x14ac:dyDescent="0.25">
      <c r="A139" s="1455"/>
      <c r="B139" s="105" t="str">
        <f t="shared" si="25"/>
        <v>Cardamom Whole - هيل حب</v>
      </c>
      <c r="C139" s="105" t="str">
        <f t="shared" si="25"/>
        <v>gm</v>
      </c>
      <c r="D139" s="105">
        <f t="shared" si="25"/>
        <v>0.5</v>
      </c>
      <c r="E139" s="177">
        <f t="shared" si="29"/>
        <v>0</v>
      </c>
      <c r="F139" s="109">
        <f t="shared" si="26"/>
        <v>1</v>
      </c>
      <c r="G139" s="101">
        <f t="shared" si="27"/>
        <v>0</v>
      </c>
      <c r="H139" s="102">
        <f t="shared" si="28"/>
        <v>0</v>
      </c>
    </row>
    <row r="140" spans="1:8" ht="14.25" customHeight="1" x14ac:dyDescent="0.25">
      <c r="A140" s="1455"/>
      <c r="B140" s="105" t="str">
        <f t="shared" si="25"/>
        <v>Tomato Ketchup - كاتشب طماطم</v>
      </c>
      <c r="C140" s="105" t="str">
        <f t="shared" si="25"/>
        <v>ml</v>
      </c>
      <c r="D140" s="105">
        <f t="shared" si="25"/>
        <v>50</v>
      </c>
      <c r="E140" s="177">
        <f t="shared" si="29"/>
        <v>0</v>
      </c>
      <c r="F140" s="109">
        <f t="shared" si="26"/>
        <v>1</v>
      </c>
      <c r="G140" s="101">
        <f t="shared" si="27"/>
        <v>0</v>
      </c>
      <c r="H140" s="102">
        <f t="shared" si="28"/>
        <v>0</v>
      </c>
    </row>
    <row r="141" spans="1:8" ht="20.25" customHeight="1" x14ac:dyDescent="0.25">
      <c r="A141" s="1458"/>
      <c r="B141" s="178" t="s">
        <v>287</v>
      </c>
      <c r="C141" s="180" t="s">
        <v>273</v>
      </c>
      <c r="D141" s="14"/>
      <c r="E141" s="180" t="s">
        <v>288</v>
      </c>
      <c r="F141" s="14"/>
      <c r="G141" s="804" t="s">
        <v>264</v>
      </c>
      <c r="H141" s="804" t="s">
        <v>673</v>
      </c>
    </row>
    <row r="142" spans="1:8" ht="20.25" x14ac:dyDescent="0.3">
      <c r="A142" s="1458"/>
      <c r="B142" s="179">
        <f>$J$55</f>
        <v>0</v>
      </c>
      <c r="C142" s="179">
        <f>E142+G142</f>
        <v>0</v>
      </c>
      <c r="D142" s="839"/>
      <c r="E142" s="179">
        <f>$D$55*$S$44</f>
        <v>0</v>
      </c>
      <c r="F142" s="843"/>
      <c r="G142" s="179">
        <f>$D$55*$T$44</f>
        <v>0</v>
      </c>
      <c r="H142" s="179">
        <f>B142+E142</f>
        <v>0</v>
      </c>
    </row>
    <row r="143" spans="1:8" x14ac:dyDescent="0.25">
      <c r="A143" s="62"/>
    </row>
    <row r="144" spans="1:8" x14ac:dyDescent="0.25">
      <c r="A144" s="1456"/>
      <c r="B144" s="1636" t="str">
        <f>"دجاج هندي بالزبدة  4 / " &amp; COUNTIF($C$53:$C$55, "&gt;0")</f>
        <v>دجاج هندي بالزبدة  4 / 2</v>
      </c>
      <c r="C144" s="1637"/>
      <c r="D144" s="1637"/>
      <c r="E144" s="1637"/>
      <c r="F144" s="1637"/>
      <c r="G144" s="1637"/>
      <c r="H144" s="1637"/>
    </row>
    <row r="145" spans="1:8" x14ac:dyDescent="0.25">
      <c r="A145" s="1456"/>
      <c r="B145" s="1634" t="str">
        <f>"Butter Chicken 4 / " &amp; COUNTIF($C$53:$C$55, "&gt;0")</f>
        <v>Butter Chicken 4 / 2</v>
      </c>
      <c r="C145" s="1635"/>
      <c r="D145" s="1635"/>
      <c r="E145" s="1635"/>
      <c r="F145" s="1635"/>
      <c r="G145" s="1635"/>
      <c r="H145" s="1635"/>
    </row>
    <row r="146" spans="1:8" ht="38.25" customHeight="1" x14ac:dyDescent="0.2">
      <c r="A146" s="1457"/>
      <c r="B146" s="221" t="s">
        <v>241</v>
      </c>
      <c r="C146" s="222" t="s">
        <v>242</v>
      </c>
      <c r="D146" s="223" t="s">
        <v>231</v>
      </c>
      <c r="E146" s="197" t="s">
        <v>234</v>
      </c>
      <c r="F146" s="197" t="s">
        <v>243</v>
      </c>
      <c r="G146" s="223" t="s">
        <v>244</v>
      </c>
      <c r="H146" s="197" t="s">
        <v>245</v>
      </c>
    </row>
    <row r="147" spans="1:8" x14ac:dyDescent="0.25">
      <c r="A147" s="1455"/>
      <c r="B147" s="105" t="str">
        <f>B5</f>
        <v>Chicken - دجاج</v>
      </c>
      <c r="C147" s="105" t="str">
        <f t="shared" ref="C147:D147" si="30">C5</f>
        <v>gm</v>
      </c>
      <c r="D147" s="105">
        <f t="shared" si="30"/>
        <v>2311.3713405238827</v>
      </c>
      <c r="E147" s="177">
        <f>H56</f>
        <v>0</v>
      </c>
      <c r="F147" s="109">
        <f>F5</f>
        <v>1</v>
      </c>
      <c r="G147" s="101">
        <f t="shared" ref="G147:G167" si="31">D147*E147</f>
        <v>0</v>
      </c>
      <c r="H147" s="102">
        <f t="shared" ref="H147:H167" si="32">G147*F147</f>
        <v>0</v>
      </c>
    </row>
    <row r="148" spans="1:8" x14ac:dyDescent="0.25">
      <c r="A148" s="1455" t="s">
        <v>905</v>
      </c>
      <c r="B148" s="105" t="str">
        <f t="shared" ref="B148:D148" si="33">B6</f>
        <v>Onion - بصل</v>
      </c>
      <c r="C148" s="105" t="str">
        <f t="shared" si="33"/>
        <v>gm</v>
      </c>
      <c r="D148" s="105">
        <f t="shared" si="33"/>
        <v>80</v>
      </c>
      <c r="E148" s="177">
        <f>$C$56</f>
        <v>0</v>
      </c>
      <c r="F148" s="109">
        <f t="shared" ref="F148:F167" si="34">F6</f>
        <v>1</v>
      </c>
      <c r="G148" s="101">
        <f t="shared" si="31"/>
        <v>0</v>
      </c>
      <c r="H148" s="102">
        <f t="shared" si="32"/>
        <v>0</v>
      </c>
    </row>
    <row r="149" spans="1:8" x14ac:dyDescent="0.25">
      <c r="A149" s="1455" t="s">
        <v>909</v>
      </c>
      <c r="B149" s="105" t="str">
        <f t="shared" ref="B149:D149" si="35">B7</f>
        <v>Tomato - طماطم</v>
      </c>
      <c r="C149" s="105" t="str">
        <f t="shared" si="35"/>
        <v>gm</v>
      </c>
      <c r="D149" s="105">
        <f t="shared" si="35"/>
        <v>400</v>
      </c>
      <c r="E149" s="177">
        <f t="shared" ref="E149:E167" si="36">$C$56</f>
        <v>0</v>
      </c>
      <c r="F149" s="109">
        <f t="shared" si="34"/>
        <v>1</v>
      </c>
      <c r="G149" s="101">
        <f t="shared" si="31"/>
        <v>0</v>
      </c>
      <c r="H149" s="102">
        <f t="shared" si="32"/>
        <v>0</v>
      </c>
    </row>
    <row r="150" spans="1:8" x14ac:dyDescent="0.25">
      <c r="A150" s="1455"/>
      <c r="B150" s="105" t="str">
        <f t="shared" ref="B150:D150" si="37">B8</f>
        <v>Cashew Nut - كاجو</v>
      </c>
      <c r="C150" s="105" t="str">
        <f t="shared" si="37"/>
        <v>gm</v>
      </c>
      <c r="D150" s="105">
        <f t="shared" si="37"/>
        <v>50</v>
      </c>
      <c r="E150" s="177">
        <f t="shared" si="36"/>
        <v>0</v>
      </c>
      <c r="F150" s="109">
        <f t="shared" si="34"/>
        <v>0.5</v>
      </c>
      <c r="G150" s="101">
        <f t="shared" si="31"/>
        <v>0</v>
      </c>
      <c r="H150" s="102">
        <f t="shared" si="32"/>
        <v>0</v>
      </c>
    </row>
    <row r="151" spans="1:8" x14ac:dyDescent="0.25">
      <c r="A151" s="1455"/>
      <c r="B151" s="105" t="str">
        <f t="shared" ref="B151:D151" si="38">B9</f>
        <v>Kashmiri Red Chilli Whole - فلفل كشميري أحمر كامل</v>
      </c>
      <c r="C151" s="105" t="str">
        <f t="shared" si="38"/>
        <v>gm</v>
      </c>
      <c r="D151" s="105">
        <f t="shared" si="38"/>
        <v>5</v>
      </c>
      <c r="E151" s="177">
        <f t="shared" si="36"/>
        <v>0</v>
      </c>
      <c r="F151" s="109">
        <f t="shared" si="34"/>
        <v>0.75</v>
      </c>
      <c r="G151" s="101">
        <f t="shared" si="31"/>
        <v>0</v>
      </c>
      <c r="H151" s="102">
        <f t="shared" si="32"/>
        <v>0</v>
      </c>
    </row>
    <row r="152" spans="1:8" x14ac:dyDescent="0.25">
      <c r="A152" s="1455" t="s">
        <v>906</v>
      </c>
      <c r="B152" s="105" t="str">
        <f t="shared" ref="B152:D152" si="39">B10</f>
        <v>Ginger - زنجبيل</v>
      </c>
      <c r="C152" s="105" t="str">
        <f t="shared" si="39"/>
        <v>gm</v>
      </c>
      <c r="D152" s="105">
        <f t="shared" si="39"/>
        <v>5</v>
      </c>
      <c r="E152" s="177">
        <f t="shared" si="36"/>
        <v>0</v>
      </c>
      <c r="F152" s="109">
        <f t="shared" si="34"/>
        <v>1</v>
      </c>
      <c r="G152" s="101">
        <f t="shared" si="31"/>
        <v>0</v>
      </c>
      <c r="H152" s="102">
        <f t="shared" si="32"/>
        <v>0</v>
      </c>
    </row>
    <row r="153" spans="1:8" x14ac:dyDescent="0.25">
      <c r="A153" s="1455" t="s">
        <v>907</v>
      </c>
      <c r="B153" s="105" t="str">
        <f t="shared" ref="B153:D153" si="40">B11</f>
        <v>Garlic - ثوم مقشر</v>
      </c>
      <c r="C153" s="105" t="str">
        <f t="shared" si="40"/>
        <v>gm</v>
      </c>
      <c r="D153" s="105">
        <f t="shared" si="40"/>
        <v>20</v>
      </c>
      <c r="E153" s="177">
        <f t="shared" si="36"/>
        <v>0</v>
      </c>
      <c r="F153" s="109">
        <f t="shared" si="34"/>
        <v>1</v>
      </c>
      <c r="G153" s="101">
        <f t="shared" si="31"/>
        <v>0</v>
      </c>
      <c r="H153" s="102">
        <f t="shared" si="32"/>
        <v>0</v>
      </c>
    </row>
    <row r="154" spans="1:8" x14ac:dyDescent="0.25">
      <c r="A154" s="1455" t="s">
        <v>908</v>
      </c>
      <c r="B154" s="105" t="str">
        <f t="shared" ref="B154:D154" si="41">B12</f>
        <v>Coriander Leaves - كزبرة خضراء</v>
      </c>
      <c r="C154" s="105" t="str">
        <f t="shared" si="41"/>
        <v>gm</v>
      </c>
      <c r="D154" s="105">
        <f t="shared" si="41"/>
        <v>10</v>
      </c>
      <c r="E154" s="177">
        <f t="shared" si="36"/>
        <v>0</v>
      </c>
      <c r="F154" s="109">
        <f t="shared" si="34"/>
        <v>1</v>
      </c>
      <c r="G154" s="101">
        <f t="shared" si="31"/>
        <v>0</v>
      </c>
      <c r="H154" s="102">
        <f t="shared" si="32"/>
        <v>0</v>
      </c>
    </row>
    <row r="155" spans="1:8" x14ac:dyDescent="0.25">
      <c r="A155" s="1455"/>
      <c r="B155" s="105" t="str">
        <f t="shared" ref="B155:D155" si="42">B13</f>
        <v>Honey - عسل</v>
      </c>
      <c r="C155" s="105" t="str">
        <f t="shared" si="42"/>
        <v>gm</v>
      </c>
      <c r="D155" s="105">
        <f t="shared" si="42"/>
        <v>30</v>
      </c>
      <c r="E155" s="177">
        <f t="shared" si="36"/>
        <v>0</v>
      </c>
      <c r="F155" s="109">
        <f t="shared" si="34"/>
        <v>1</v>
      </c>
      <c r="G155" s="101">
        <f t="shared" si="31"/>
        <v>0</v>
      </c>
      <c r="H155" s="102">
        <f t="shared" si="32"/>
        <v>0</v>
      </c>
    </row>
    <row r="156" spans="1:8" x14ac:dyDescent="0.25">
      <c r="A156" s="1455"/>
      <c r="B156" s="105" t="str">
        <f t="shared" ref="B156:D156" si="43">B14</f>
        <v>Salt - ملح</v>
      </c>
      <c r="C156" s="105" t="str">
        <f t="shared" si="43"/>
        <v>gm</v>
      </c>
      <c r="D156" s="105">
        <f t="shared" si="43"/>
        <v>13</v>
      </c>
      <c r="E156" s="177">
        <f t="shared" si="36"/>
        <v>0</v>
      </c>
      <c r="F156" s="109">
        <f t="shared" si="34"/>
        <v>0.75</v>
      </c>
      <c r="G156" s="101">
        <f t="shared" si="31"/>
        <v>0</v>
      </c>
      <c r="H156" s="102">
        <f t="shared" si="32"/>
        <v>0</v>
      </c>
    </row>
    <row r="157" spans="1:8" x14ac:dyDescent="0.25">
      <c r="A157" s="1455"/>
      <c r="B157" s="105" t="str">
        <f t="shared" ref="B157:D157" si="44">B15</f>
        <v>Cooking Cream - كريمة طبخ</v>
      </c>
      <c r="C157" s="105" t="str">
        <f t="shared" si="44"/>
        <v>ml</v>
      </c>
      <c r="D157" s="105">
        <f t="shared" si="44"/>
        <v>350</v>
      </c>
      <c r="E157" s="177">
        <f t="shared" si="36"/>
        <v>0</v>
      </c>
      <c r="F157" s="109">
        <f t="shared" si="34"/>
        <v>1</v>
      </c>
      <c r="G157" s="101">
        <f t="shared" si="31"/>
        <v>0</v>
      </c>
      <c r="H157" s="102">
        <f t="shared" si="32"/>
        <v>0</v>
      </c>
    </row>
    <row r="158" spans="1:8" x14ac:dyDescent="0.25">
      <c r="A158" s="1455"/>
      <c r="B158" s="105" t="str">
        <f t="shared" ref="B158:D158" si="45">B16</f>
        <v>Water - ماء</v>
      </c>
      <c r="C158" s="105" t="str">
        <f t="shared" si="45"/>
        <v>ml</v>
      </c>
      <c r="D158" s="105">
        <f t="shared" si="45"/>
        <v>250</v>
      </c>
      <c r="E158" s="177">
        <f t="shared" si="36"/>
        <v>0</v>
      </c>
      <c r="F158" s="109">
        <f t="shared" si="34"/>
        <v>1</v>
      </c>
      <c r="G158" s="101">
        <f t="shared" si="31"/>
        <v>0</v>
      </c>
      <c r="H158" s="102">
        <f t="shared" si="32"/>
        <v>0</v>
      </c>
    </row>
    <row r="159" spans="1:8" x14ac:dyDescent="0.25">
      <c r="A159" s="1455"/>
      <c r="B159" s="105" t="str">
        <f t="shared" ref="B159:D159" si="46">B17</f>
        <v>Butter - زبدة</v>
      </c>
      <c r="C159" s="105" t="str">
        <f t="shared" si="46"/>
        <v>gm</v>
      </c>
      <c r="D159" s="105">
        <f t="shared" si="46"/>
        <v>50</v>
      </c>
      <c r="E159" s="177">
        <f t="shared" si="36"/>
        <v>0</v>
      </c>
      <c r="F159" s="109">
        <f t="shared" si="34"/>
        <v>1</v>
      </c>
      <c r="G159" s="101">
        <f t="shared" si="31"/>
        <v>0</v>
      </c>
      <c r="H159" s="102">
        <f t="shared" si="32"/>
        <v>0</v>
      </c>
    </row>
    <row r="160" spans="1:8" x14ac:dyDescent="0.25">
      <c r="A160" s="1455"/>
      <c r="B160" s="105" t="str">
        <f t="shared" ref="B160:D160" si="47">B18</f>
        <v>Orange Color - لون برتقالي</v>
      </c>
      <c r="C160" s="105" t="str">
        <f t="shared" si="47"/>
        <v>gm</v>
      </c>
      <c r="D160" s="105">
        <f t="shared" si="47"/>
        <v>2</v>
      </c>
      <c r="E160" s="177">
        <f t="shared" si="36"/>
        <v>0</v>
      </c>
      <c r="F160" s="109">
        <f t="shared" si="34"/>
        <v>0.75</v>
      </c>
      <c r="G160" s="101">
        <f t="shared" si="31"/>
        <v>0</v>
      </c>
      <c r="H160" s="102">
        <f t="shared" si="32"/>
        <v>0</v>
      </c>
    </row>
    <row r="161" spans="1:8" x14ac:dyDescent="0.25">
      <c r="A161" s="1455"/>
      <c r="B161" s="105" t="str">
        <f t="shared" ref="B161:D161" si="48">B19</f>
        <v>Kasuri Methi - ورق حلبة مجففة</v>
      </c>
      <c r="C161" s="105" t="str">
        <f t="shared" si="48"/>
        <v>gm</v>
      </c>
      <c r="D161" s="105">
        <f t="shared" si="48"/>
        <v>1</v>
      </c>
      <c r="E161" s="177">
        <f t="shared" si="36"/>
        <v>0</v>
      </c>
      <c r="F161" s="109">
        <f t="shared" si="34"/>
        <v>1</v>
      </c>
      <c r="G161" s="101">
        <f t="shared" si="31"/>
        <v>0</v>
      </c>
      <c r="H161" s="102">
        <f t="shared" si="32"/>
        <v>0</v>
      </c>
    </row>
    <row r="162" spans="1:8" x14ac:dyDescent="0.25">
      <c r="A162" s="1455"/>
      <c r="B162" s="105" t="str">
        <f t="shared" ref="B162:D162" si="49">B20</f>
        <v>Black Pepper Whole - فلفل أسود حب</v>
      </c>
      <c r="C162" s="105" t="str">
        <f t="shared" si="49"/>
        <v>gm</v>
      </c>
      <c r="D162" s="105">
        <f t="shared" si="49"/>
        <v>1</v>
      </c>
      <c r="E162" s="177">
        <f t="shared" si="36"/>
        <v>0</v>
      </c>
      <c r="F162" s="109">
        <f t="shared" si="34"/>
        <v>1</v>
      </c>
      <c r="G162" s="101">
        <f t="shared" si="31"/>
        <v>0</v>
      </c>
      <c r="H162" s="102">
        <f t="shared" si="32"/>
        <v>0</v>
      </c>
    </row>
    <row r="163" spans="1:8" x14ac:dyDescent="0.25">
      <c r="A163" s="1455"/>
      <c r="B163" s="105" t="str">
        <f t="shared" ref="B163:D163" si="50">B21</f>
        <v>Cumin Whole - كمون حب</v>
      </c>
      <c r="C163" s="105" t="str">
        <f t="shared" si="50"/>
        <v>gm</v>
      </c>
      <c r="D163" s="105">
        <f t="shared" si="50"/>
        <v>1</v>
      </c>
      <c r="E163" s="177">
        <f t="shared" si="36"/>
        <v>0</v>
      </c>
      <c r="F163" s="109">
        <f t="shared" si="34"/>
        <v>1</v>
      </c>
      <c r="G163" s="101">
        <f t="shared" si="31"/>
        <v>0</v>
      </c>
      <c r="H163" s="102">
        <f t="shared" si="32"/>
        <v>0</v>
      </c>
    </row>
    <row r="164" spans="1:8" x14ac:dyDescent="0.25">
      <c r="A164" s="1455"/>
      <c r="B164" s="105" t="str">
        <f t="shared" ref="B164:D164" si="51">B22</f>
        <v>Cloves Whole - قرنفل حب</v>
      </c>
      <c r="C164" s="105" t="str">
        <f t="shared" si="51"/>
        <v>gm</v>
      </c>
      <c r="D164" s="105">
        <f t="shared" si="51"/>
        <v>1</v>
      </c>
      <c r="E164" s="177">
        <f t="shared" si="36"/>
        <v>0</v>
      </c>
      <c r="F164" s="109">
        <f t="shared" si="34"/>
        <v>1</v>
      </c>
      <c r="G164" s="101">
        <f t="shared" si="31"/>
        <v>0</v>
      </c>
      <c r="H164" s="102">
        <f t="shared" si="32"/>
        <v>0</v>
      </c>
    </row>
    <row r="165" spans="1:8" x14ac:dyDescent="0.25">
      <c r="A165" s="1455"/>
      <c r="B165" s="105" t="str">
        <f t="shared" ref="B165:D165" si="52">B23</f>
        <v>Cinnamon Whole - قرفة أعواد</v>
      </c>
      <c r="C165" s="105" t="str">
        <f t="shared" si="52"/>
        <v>gm</v>
      </c>
      <c r="D165" s="105">
        <f t="shared" si="52"/>
        <v>0.5</v>
      </c>
      <c r="E165" s="177">
        <f t="shared" si="36"/>
        <v>0</v>
      </c>
      <c r="F165" s="109">
        <f t="shared" si="34"/>
        <v>1</v>
      </c>
      <c r="G165" s="101">
        <f t="shared" si="31"/>
        <v>0</v>
      </c>
      <c r="H165" s="102">
        <f t="shared" si="32"/>
        <v>0</v>
      </c>
    </row>
    <row r="166" spans="1:8" x14ac:dyDescent="0.25">
      <c r="A166" s="1455"/>
      <c r="B166" s="105" t="str">
        <f t="shared" ref="B166:D166" si="53">B24</f>
        <v>Cardamom Whole - هيل حب</v>
      </c>
      <c r="C166" s="105" t="str">
        <f t="shared" si="53"/>
        <v>gm</v>
      </c>
      <c r="D166" s="105">
        <f t="shared" si="53"/>
        <v>0.5</v>
      </c>
      <c r="E166" s="177">
        <f t="shared" si="36"/>
        <v>0</v>
      </c>
      <c r="F166" s="109">
        <f t="shared" si="34"/>
        <v>1</v>
      </c>
      <c r="G166" s="101">
        <f t="shared" si="31"/>
        <v>0</v>
      </c>
      <c r="H166" s="102">
        <f t="shared" si="32"/>
        <v>0</v>
      </c>
    </row>
    <row r="167" spans="1:8" x14ac:dyDescent="0.25">
      <c r="A167" s="1455"/>
      <c r="B167" s="105" t="str">
        <f t="shared" ref="B167:D167" si="54">B25</f>
        <v>Tomato Ketchup - كاتشب طماطم</v>
      </c>
      <c r="C167" s="105" t="str">
        <f t="shared" si="54"/>
        <v>ml</v>
      </c>
      <c r="D167" s="105">
        <f t="shared" si="54"/>
        <v>50</v>
      </c>
      <c r="E167" s="177">
        <f t="shared" si="36"/>
        <v>0</v>
      </c>
      <c r="F167" s="109">
        <f t="shared" si="34"/>
        <v>1</v>
      </c>
      <c r="G167" s="101">
        <f t="shared" si="31"/>
        <v>0</v>
      </c>
      <c r="H167" s="102">
        <f t="shared" si="32"/>
        <v>0</v>
      </c>
    </row>
    <row r="168" spans="1:8" ht="18" x14ac:dyDescent="0.25">
      <c r="A168" s="1458"/>
      <c r="B168" s="178" t="s">
        <v>287</v>
      </c>
      <c r="C168" s="180" t="s">
        <v>273</v>
      </c>
      <c r="D168" s="14"/>
      <c r="E168" s="180" t="s">
        <v>288</v>
      </c>
      <c r="F168" s="14"/>
      <c r="G168" s="804" t="s">
        <v>264</v>
      </c>
      <c r="H168" s="804" t="s">
        <v>673</v>
      </c>
    </row>
    <row r="169" spans="1:8" ht="20.25" x14ac:dyDescent="0.3">
      <c r="A169" s="1458"/>
      <c r="B169" s="179">
        <f>$J$56</f>
        <v>0</v>
      </c>
      <c r="C169" s="179">
        <f>E169+G169</f>
        <v>0</v>
      </c>
      <c r="D169" s="839"/>
      <c r="E169" s="179">
        <f>$D$56*$S$44</f>
        <v>0</v>
      </c>
      <c r="F169" s="843"/>
      <c r="G169" s="179">
        <f>$D$56*$T$44</f>
        <v>0</v>
      </c>
      <c r="H169" s="179">
        <f>B169+E169</f>
        <v>0</v>
      </c>
    </row>
    <row r="170" spans="1:8" x14ac:dyDescent="0.25">
      <c r="A170" s="62"/>
    </row>
    <row r="171" spans="1:8" x14ac:dyDescent="0.25">
      <c r="A171" s="62"/>
    </row>
    <row r="172" spans="1:8" x14ac:dyDescent="0.25">
      <c r="A172" s="62"/>
    </row>
    <row r="173" spans="1:8" x14ac:dyDescent="0.25">
      <c r="A173" s="62"/>
    </row>
    <row r="174" spans="1:8" x14ac:dyDescent="0.25">
      <c r="A174" s="62"/>
    </row>
  </sheetData>
  <mergeCells count="15">
    <mergeCell ref="B144:H144"/>
    <mergeCell ref="B145:H145"/>
    <mergeCell ref="AE2:AG3"/>
    <mergeCell ref="B118:H118"/>
    <mergeCell ref="R26:U26"/>
    <mergeCell ref="B91:H91"/>
    <mergeCell ref="AN2:AN3"/>
    <mergeCell ref="R25:U25"/>
    <mergeCell ref="B62:H62"/>
    <mergeCell ref="B117:H117"/>
    <mergeCell ref="B90:H90"/>
    <mergeCell ref="F2:F3"/>
    <mergeCell ref="B63:H63"/>
    <mergeCell ref="AK2:AM2"/>
    <mergeCell ref="B35:F35"/>
  </mergeCells>
  <phoneticPr fontId="67" type="noConversion"/>
  <printOptions horizontalCentered="1"/>
  <pageMargins left="0.4" right="0.4" top="1" bottom="0.5" header="0.3" footer="0.511811023622047"/>
  <pageSetup paperSize="9" scale="37" orientation="landscape" r:id="rId1"/>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rgb="FFC55A11"/>
    <pageSetUpPr fitToPage="1"/>
  </sheetPr>
  <dimension ref="A1:AT174"/>
  <sheetViews>
    <sheetView zoomScale="63" zoomScaleNormal="63" workbookViewId="0">
      <selection activeCell="A5" sqref="A5:A174"/>
    </sheetView>
  </sheetViews>
  <sheetFormatPr defaultColWidth="12.5" defaultRowHeight="15" x14ac:dyDescent="0.25"/>
  <cols>
    <col min="1" max="1" width="12.5" style="1" customWidth="1"/>
    <col min="2" max="2" width="38.375" customWidth="1"/>
    <col min="3" max="3" width="14.5" customWidth="1"/>
    <col min="4" max="4" width="25.875" customWidth="1"/>
    <col min="5" max="5" width="16.125" customWidth="1"/>
    <col min="6" max="6" width="23.125" customWidth="1"/>
    <col min="7" max="7" width="25.125" customWidth="1"/>
    <col min="8" max="8" width="36.125" customWidth="1"/>
    <col min="12" max="12" width="8.375" customWidth="1"/>
    <col min="13" max="13" width="31.875" customWidth="1"/>
    <col min="18" max="18" width="38.875" bestFit="1" customWidth="1"/>
    <col min="28" max="29" width="13.25" bestFit="1" customWidth="1"/>
    <col min="30" max="30" width="11.375" bestFit="1" customWidth="1"/>
    <col min="31" max="34" width="4.125" customWidth="1"/>
    <col min="36" max="36" width="37.125" customWidth="1"/>
  </cols>
  <sheetData>
    <row r="1" spans="1:46" s="114" customFormat="1" ht="35.25" customHeight="1" x14ac:dyDescent="0.25">
      <c r="A1" s="241"/>
      <c r="B1" s="64" t="s">
        <v>231</v>
      </c>
      <c r="C1" s="65">
        <v>1000</v>
      </c>
      <c r="D1" s="66" t="s">
        <v>232</v>
      </c>
      <c r="E1" s="67">
        <f>T32</f>
        <v>7708.5</v>
      </c>
      <c r="F1" s="64" t="s">
        <v>233</v>
      </c>
      <c r="G1" s="68">
        <f>E1/C1</f>
        <v>7.7084999999999999</v>
      </c>
      <c r="H1" s="64" t="s">
        <v>234</v>
      </c>
      <c r="I1" s="69">
        <f>(G1/K1)</f>
        <v>8.0296874999999996</v>
      </c>
      <c r="J1" s="70" t="s">
        <v>235</v>
      </c>
      <c r="K1" s="361">
        <v>0.96</v>
      </c>
      <c r="L1" s="361"/>
      <c r="M1" s="73"/>
      <c r="N1" s="74"/>
      <c r="O1" s="75" t="s">
        <v>236</v>
      </c>
      <c r="P1" s="76" t="s">
        <v>299</v>
      </c>
      <c r="Q1" s="77" t="s">
        <v>238</v>
      </c>
      <c r="R1" s="76">
        <v>0.57999999999999996</v>
      </c>
      <c r="Y1" s="75" t="s">
        <v>453</v>
      </c>
      <c r="Z1" s="766">
        <v>16130</v>
      </c>
      <c r="AA1" s="75" t="s">
        <v>556</v>
      </c>
      <c r="AB1" s="766">
        <v>1000</v>
      </c>
      <c r="AC1" s="75" t="s">
        <v>546</v>
      </c>
      <c r="AD1" s="766">
        <v>116</v>
      </c>
      <c r="AE1" s="228"/>
      <c r="AF1" s="230"/>
      <c r="AG1" s="76"/>
      <c r="AI1" s="1"/>
      <c r="AJ1" s="78" t="s">
        <v>250</v>
      </c>
      <c r="AK1" s="78">
        <v>10000</v>
      </c>
      <c r="AL1" s="561" t="s">
        <v>485</v>
      </c>
      <c r="AM1" s="562">
        <f>$S$32</f>
        <v>17130</v>
      </c>
      <c r="AN1" s="78" t="s">
        <v>239</v>
      </c>
      <c r="AO1" s="305">
        <f>((S32)/$R$1)/$AK$1</f>
        <v>2.953448275862069</v>
      </c>
      <c r="AP1" s="80"/>
    </row>
    <row r="2" spans="1:46" ht="15.75" customHeight="1" x14ac:dyDescent="0.25">
      <c r="A2" s="242"/>
      <c r="B2" s="82"/>
      <c r="C2" s="82"/>
      <c r="D2" s="82"/>
      <c r="E2" s="82"/>
      <c r="F2" s="1632" t="s">
        <v>127</v>
      </c>
      <c r="G2" s="82"/>
      <c r="H2" s="82"/>
      <c r="I2" s="82"/>
      <c r="J2" s="82"/>
      <c r="K2" s="82"/>
      <c r="L2" s="270"/>
      <c r="M2" s="84"/>
      <c r="N2" s="84"/>
      <c r="O2" s="84"/>
      <c r="P2" s="84"/>
      <c r="Q2" s="84"/>
      <c r="R2" s="84"/>
      <c r="AC2" s="83"/>
      <c r="AD2" s="83"/>
      <c r="AE2" s="1652"/>
      <c r="AF2" s="1653"/>
      <c r="AG2" s="1653"/>
      <c r="AI2" s="1"/>
      <c r="AJ2" s="85"/>
      <c r="AK2" s="1631" t="s">
        <v>436</v>
      </c>
      <c r="AL2" s="1631"/>
      <c r="AM2" s="1631"/>
      <c r="AN2" s="1631"/>
      <c r="AO2" s="85"/>
      <c r="AP2" s="85"/>
    </row>
    <row r="3" spans="1:46" ht="15.75" customHeight="1" x14ac:dyDescent="0.25">
      <c r="A3" s="242"/>
      <c r="B3" s="87"/>
      <c r="C3" s="87"/>
      <c r="D3" s="87"/>
      <c r="E3" s="87"/>
      <c r="F3" s="1633"/>
      <c r="G3" s="87"/>
      <c r="H3" s="87"/>
      <c r="I3" s="87"/>
      <c r="J3" s="87"/>
      <c r="K3" s="87"/>
      <c r="L3" s="270"/>
      <c r="M3" s="84"/>
      <c r="N3" s="84"/>
      <c r="O3" s="84"/>
      <c r="P3" s="84"/>
      <c r="Q3" s="84"/>
      <c r="R3" s="84"/>
      <c r="AC3" s="83"/>
      <c r="AD3" s="83"/>
      <c r="AE3" s="1653"/>
      <c r="AF3" s="1653"/>
      <c r="AG3" s="1653"/>
      <c r="AI3" s="1"/>
      <c r="AJ3" s="85"/>
      <c r="AK3" s="85"/>
      <c r="AL3" s="85"/>
      <c r="AM3" s="85"/>
      <c r="AN3" s="1653"/>
      <c r="AO3" s="85"/>
      <c r="AP3" s="85"/>
    </row>
    <row r="4" spans="1:46" ht="46.5" customHeight="1" x14ac:dyDescent="0.25">
      <c r="A4" s="75" t="s">
        <v>903</v>
      </c>
      <c r="B4" s="75" t="s">
        <v>241</v>
      </c>
      <c r="C4" s="90" t="s">
        <v>242</v>
      </c>
      <c r="D4" s="75" t="s">
        <v>231</v>
      </c>
      <c r="E4" s="91" t="s">
        <v>234</v>
      </c>
      <c r="F4" s="91" t="s">
        <v>243</v>
      </c>
      <c r="G4" s="75" t="s">
        <v>244</v>
      </c>
      <c r="H4" s="307" t="s">
        <v>335</v>
      </c>
      <c r="I4" s="75" t="s">
        <v>246</v>
      </c>
      <c r="J4" s="75" t="s">
        <v>247</v>
      </c>
      <c r="K4" s="75" t="s">
        <v>248</v>
      </c>
      <c r="L4" s="75" t="s">
        <v>249</v>
      </c>
      <c r="M4" s="84"/>
      <c r="N4" s="84"/>
      <c r="O4" s="84"/>
      <c r="P4" s="84"/>
      <c r="Q4" s="84"/>
      <c r="R4" s="84"/>
      <c r="AC4" s="229"/>
      <c r="AD4" s="231"/>
      <c r="AE4" s="229"/>
      <c r="AF4" s="229"/>
      <c r="AG4" s="229"/>
      <c r="AI4" s="1"/>
      <c r="AJ4" s="78" t="s">
        <v>241</v>
      </c>
      <c r="AK4" s="493" t="s">
        <v>242</v>
      </c>
      <c r="AL4" s="78" t="s">
        <v>250</v>
      </c>
      <c r="AM4" s="78" t="s">
        <v>234</v>
      </c>
      <c r="AN4" s="78" t="s">
        <v>243</v>
      </c>
      <c r="AO4" s="78" t="s">
        <v>244</v>
      </c>
      <c r="AP4" s="78" t="s">
        <v>335</v>
      </c>
      <c r="AQ4" s="75" t="s">
        <v>246</v>
      </c>
      <c r="AR4" s="75" t="s">
        <v>247</v>
      </c>
      <c r="AS4" s="75" t="s">
        <v>248</v>
      </c>
      <c r="AT4" s="75" t="s">
        <v>249</v>
      </c>
    </row>
    <row r="5" spans="1:46" ht="14.25" customHeight="1" x14ac:dyDescent="0.25">
      <c r="A5" s="1454"/>
      <c r="B5" s="244" t="s">
        <v>226</v>
      </c>
      <c r="C5" s="97" t="s">
        <v>14</v>
      </c>
      <c r="D5" s="103">
        <f>I51/10</f>
        <v>3831.3793103448274</v>
      </c>
      <c r="E5" s="99">
        <f>H52</f>
        <v>7.7085770857708589</v>
      </c>
      <c r="F5" s="109">
        <v>1</v>
      </c>
      <c r="G5" s="101">
        <f t="shared" ref="G5:G21" si="0">D5*E5</f>
        <v>29534.482758620692</v>
      </c>
      <c r="H5" s="102">
        <f t="shared" ref="H5:H21" si="1">G5*F5</f>
        <v>29534.482758620692</v>
      </c>
      <c r="I5" s="65">
        <f>VLOOKUP(B5,All_Ingredients!$A$1:$F$156,6,FALSE())</f>
        <v>0.99</v>
      </c>
      <c r="J5" s="101">
        <f>VLOOKUP(B5,All_Ingredients!$A$1:$J$156,10,FALSE())</f>
        <v>11.75</v>
      </c>
      <c r="K5" s="104">
        <f t="shared" ref="K5" si="2">(H5/I5)/1000</f>
        <v>29.832810867293627</v>
      </c>
      <c r="L5" s="104">
        <f t="shared" ref="L5" si="3">K5*J5</f>
        <v>350.53552769070012</v>
      </c>
      <c r="M5" s="84"/>
      <c r="N5" s="84"/>
      <c r="O5" s="84"/>
      <c r="P5" s="84"/>
      <c r="Q5" s="84"/>
      <c r="R5" s="84"/>
      <c r="AC5" s="76"/>
      <c r="AD5" s="114"/>
      <c r="AE5" s="232"/>
      <c r="AF5" s="116"/>
      <c r="AG5" s="117"/>
      <c r="AI5" s="1"/>
      <c r="AJ5" s="244" t="s">
        <v>226</v>
      </c>
      <c r="AK5" s="106" t="s">
        <v>227</v>
      </c>
      <c r="AL5" s="107">
        <v>10</v>
      </c>
      <c r="AM5" s="501">
        <f t="shared" ref="AM5:AM15" si="4">$AO$1</f>
        <v>2.953448275862069</v>
      </c>
      <c r="AN5" s="109">
        <v>1</v>
      </c>
      <c r="AO5" s="101">
        <f t="shared" ref="AO5:AO15" si="5">AL5*AM5</f>
        <v>29.53448275862069</v>
      </c>
      <c r="AP5" s="102">
        <f t="shared" ref="AP5:AP15" si="6">AO5*AN5</f>
        <v>29.53448275862069</v>
      </c>
      <c r="AQ5" s="272"/>
      <c r="AR5" s="1017"/>
      <c r="AS5" s="156"/>
      <c r="AT5" s="1018"/>
    </row>
    <row r="6" spans="1:46" x14ac:dyDescent="0.25">
      <c r="A6" s="1455" t="s">
        <v>905</v>
      </c>
      <c r="B6" s="96" t="s">
        <v>12</v>
      </c>
      <c r="C6" s="106" t="s">
        <v>14</v>
      </c>
      <c r="D6" s="107">
        <v>580</v>
      </c>
      <c r="E6" s="108">
        <f t="shared" ref="E6:E21" si="7">$I$1</f>
        <v>8.0296874999999996</v>
      </c>
      <c r="F6" s="109">
        <v>0.95</v>
      </c>
      <c r="G6" s="101">
        <f t="shared" si="0"/>
        <v>4657.21875</v>
      </c>
      <c r="H6" s="102">
        <f t="shared" si="1"/>
        <v>4424.3578124999995</v>
      </c>
      <c r="I6" s="65">
        <f>VLOOKUP(B6,All_Ingredients!$A$1:$F$156,6,FALSE())</f>
        <v>0.9</v>
      </c>
      <c r="J6" s="101">
        <f>VLOOKUP(B6,All_Ingredients!$A$1:$J$156,10,FALSE())</f>
        <v>3</v>
      </c>
      <c r="K6" s="104">
        <f t="shared" ref="K6:K21" si="8">(H6/I6)/1000</f>
        <v>4.9159531249999988</v>
      </c>
      <c r="L6" s="104">
        <f t="shared" ref="L6:L21" si="9">K6*J6</f>
        <v>14.747859374999997</v>
      </c>
      <c r="AI6" s="1" t="s">
        <v>94</v>
      </c>
      <c r="AJ6" s="303" t="s">
        <v>144</v>
      </c>
      <c r="AK6" s="106" t="s">
        <v>14</v>
      </c>
      <c r="AL6" s="107">
        <v>50</v>
      </c>
      <c r="AM6" s="501">
        <f t="shared" si="4"/>
        <v>2.953448275862069</v>
      </c>
      <c r="AN6" s="109">
        <v>1</v>
      </c>
      <c r="AO6" s="101">
        <f t="shared" si="5"/>
        <v>147.67241379310346</v>
      </c>
      <c r="AP6" s="102">
        <f t="shared" si="6"/>
        <v>147.67241379310346</v>
      </c>
      <c r="AQ6" s="1018">
        <f>VLOOKUP(AJ6,Marination_Ordering!$A:$J,6,FALSE)</f>
        <v>1</v>
      </c>
      <c r="AR6" s="1018">
        <f>VLOOKUP(AJ6,Marination_Ordering!$A:$J,10,FALSE)</f>
        <v>18</v>
      </c>
      <c r="AS6" s="156">
        <f>AP6/AQ6</f>
        <v>147.67241379310346</v>
      </c>
      <c r="AT6" s="1018">
        <f>AR6*(AS6/1000)</f>
        <v>2.6581034482758619</v>
      </c>
    </row>
    <row r="7" spans="1:46" x14ac:dyDescent="0.25">
      <c r="A7" s="1455" t="s">
        <v>907</v>
      </c>
      <c r="B7" s="96" t="s">
        <v>727</v>
      </c>
      <c r="C7" s="106" t="s">
        <v>14</v>
      </c>
      <c r="D7" s="107">
        <v>15</v>
      </c>
      <c r="E7" s="108">
        <f t="shared" si="7"/>
        <v>8.0296874999999996</v>
      </c>
      <c r="F7" s="109">
        <v>0.95</v>
      </c>
      <c r="G7" s="101">
        <f t="shared" si="0"/>
        <v>120.4453125</v>
      </c>
      <c r="H7" s="102">
        <f t="shared" si="1"/>
        <v>114.423046875</v>
      </c>
      <c r="I7" s="65">
        <f>VLOOKUP(B7,All_Ingredients!$A$1:$F$156,6,FALSE())</f>
        <v>1</v>
      </c>
      <c r="J7" s="101">
        <f>VLOOKUP(B7,All_Ingredients!$A$1:$J$156,10,FALSE())</f>
        <v>10.5</v>
      </c>
      <c r="K7" s="104">
        <f t="shared" si="8"/>
        <v>0.114423046875</v>
      </c>
      <c r="L7" s="104">
        <f t="shared" si="9"/>
        <v>1.2014419921875001</v>
      </c>
      <c r="AI7" s="1" t="s">
        <v>94</v>
      </c>
      <c r="AJ7" s="303" t="s">
        <v>149</v>
      </c>
      <c r="AK7" s="106" t="s">
        <v>14</v>
      </c>
      <c r="AL7" s="107">
        <v>50</v>
      </c>
      <c r="AM7" s="501">
        <f t="shared" si="4"/>
        <v>2.953448275862069</v>
      </c>
      <c r="AN7" s="109">
        <v>1</v>
      </c>
      <c r="AO7" s="101">
        <f t="shared" si="5"/>
        <v>147.67241379310346</v>
      </c>
      <c r="AP7" s="102">
        <f t="shared" si="6"/>
        <v>147.67241379310346</v>
      </c>
      <c r="AQ7" s="1018">
        <f>VLOOKUP(AJ7,Marination_Ordering!$A:$J,6,FALSE)</f>
        <v>1</v>
      </c>
      <c r="AR7" s="1018">
        <f>VLOOKUP(AJ7,Marination_Ordering!$A:$J,10,FALSE)</f>
        <v>10</v>
      </c>
      <c r="AS7" s="156">
        <f t="shared" ref="AS7:AS8" si="10">AP7/AQ7</f>
        <v>147.67241379310346</v>
      </c>
      <c r="AT7" s="1018">
        <f t="shared" ref="AT7:AT8" si="11">AR7*(AS7/1000)</f>
        <v>1.4767241379310345</v>
      </c>
    </row>
    <row r="8" spans="1:46" ht="14.25" customHeight="1" x14ac:dyDescent="0.25">
      <c r="A8" s="1455"/>
      <c r="B8" s="96" t="s">
        <v>108</v>
      </c>
      <c r="C8" s="106" t="s">
        <v>14</v>
      </c>
      <c r="D8" s="107">
        <v>10</v>
      </c>
      <c r="E8" s="108">
        <f t="shared" si="7"/>
        <v>8.0296874999999996</v>
      </c>
      <c r="F8" s="109">
        <v>0.75</v>
      </c>
      <c r="G8" s="101">
        <f t="shared" si="0"/>
        <v>80.296875</v>
      </c>
      <c r="H8" s="102">
        <f t="shared" si="1"/>
        <v>60.22265625</v>
      </c>
      <c r="I8" s="65">
        <f>VLOOKUP(B8,All_Ingredients!$A$1:$F$156,6,FALSE())</f>
        <v>1</v>
      </c>
      <c r="J8" s="101">
        <f>VLOOKUP(B8,All_Ingredients!$A$1:$J$156,10,FALSE())</f>
        <v>26.5</v>
      </c>
      <c r="K8" s="104">
        <f t="shared" si="8"/>
        <v>6.0222656249999999E-2</v>
      </c>
      <c r="L8" s="104">
        <f t="shared" si="9"/>
        <v>1.595900390625</v>
      </c>
      <c r="AI8" s="1" t="s">
        <v>61</v>
      </c>
      <c r="AJ8" s="303" t="s">
        <v>64</v>
      </c>
      <c r="AK8" s="106" t="s">
        <v>14</v>
      </c>
      <c r="AL8" s="107">
        <v>50</v>
      </c>
      <c r="AM8" s="501">
        <f t="shared" si="4"/>
        <v>2.953448275862069</v>
      </c>
      <c r="AN8" s="109">
        <v>1</v>
      </c>
      <c r="AO8" s="101">
        <f t="shared" si="5"/>
        <v>147.67241379310346</v>
      </c>
      <c r="AP8" s="102">
        <f t="shared" si="6"/>
        <v>147.67241379310346</v>
      </c>
      <c r="AQ8" s="1018">
        <f>VLOOKUP(AJ8,Marination_Ordering!$A:$J,6,FALSE)</f>
        <v>0.65</v>
      </c>
      <c r="AR8" s="1018">
        <f>VLOOKUP(AJ8,Marination_Ordering!$A:$J,10,FALSE)</f>
        <v>3.5</v>
      </c>
      <c r="AS8" s="156">
        <f t="shared" si="10"/>
        <v>227.18832891246686</v>
      </c>
      <c r="AT8" s="1018">
        <f t="shared" si="11"/>
        <v>0.79515915119363401</v>
      </c>
    </row>
    <row r="9" spans="1:46" x14ac:dyDescent="0.25">
      <c r="A9" s="1455"/>
      <c r="B9" s="96" t="s">
        <v>101</v>
      </c>
      <c r="C9" s="106" t="s">
        <v>14</v>
      </c>
      <c r="D9" s="107">
        <v>3</v>
      </c>
      <c r="E9" s="108">
        <f t="shared" si="7"/>
        <v>8.0296874999999996</v>
      </c>
      <c r="F9" s="109">
        <v>0.75</v>
      </c>
      <c r="G9" s="101">
        <f t="shared" si="0"/>
        <v>24.089062499999997</v>
      </c>
      <c r="H9" s="102">
        <f t="shared" si="1"/>
        <v>18.066796874999998</v>
      </c>
      <c r="I9" s="65">
        <f>VLOOKUP(B9,All_Ingredients!$A$1:$F$156,6,FALSE())</f>
        <v>1</v>
      </c>
      <c r="J9" s="101">
        <f>VLOOKUP(B9,All_Ingredients!$A$1:$J$156,10,FALSE())</f>
        <v>47</v>
      </c>
      <c r="K9" s="104">
        <f t="shared" si="8"/>
        <v>1.8066796874999999E-2</v>
      </c>
      <c r="L9" s="104">
        <f t="shared" si="9"/>
        <v>0.84913945312499994</v>
      </c>
      <c r="AI9" s="1" t="s">
        <v>94</v>
      </c>
      <c r="AJ9" s="303" t="s">
        <v>725</v>
      </c>
      <c r="AK9" s="106" t="s">
        <v>14</v>
      </c>
      <c r="AL9" s="107">
        <v>100</v>
      </c>
      <c r="AM9" s="501">
        <f t="shared" si="4"/>
        <v>2.953448275862069</v>
      </c>
      <c r="AN9" s="109">
        <v>1</v>
      </c>
      <c r="AO9" s="101">
        <f t="shared" si="5"/>
        <v>295.34482758620692</v>
      </c>
      <c r="AP9" s="102">
        <f t="shared" si="6"/>
        <v>295.34482758620692</v>
      </c>
      <c r="AQ9" s="1018">
        <f>VLOOKUP(AJ9,Marination_Ordering!$A:$J,6,FALSE)</f>
        <v>1</v>
      </c>
      <c r="AR9" s="1018">
        <f>VLOOKUP(AJ9,Marination_Ordering!$A:$J,10,FALSE)</f>
        <v>43.333333333333336</v>
      </c>
      <c r="AS9" s="156">
        <f t="shared" ref="AS9:AS15" si="12">AP9/AQ9</f>
        <v>295.34482758620692</v>
      </c>
      <c r="AT9" s="1018">
        <f t="shared" ref="AT9:AT15" si="13">AR9*(AS9/1000)</f>
        <v>12.798275862068966</v>
      </c>
    </row>
    <row r="10" spans="1:46" ht="14.25" customHeight="1" x14ac:dyDescent="0.25">
      <c r="A10" s="1455"/>
      <c r="B10" s="96" t="s">
        <v>105</v>
      </c>
      <c r="C10" s="106" t="s">
        <v>14</v>
      </c>
      <c r="D10" s="107">
        <v>5</v>
      </c>
      <c r="E10" s="108">
        <f t="shared" si="7"/>
        <v>8.0296874999999996</v>
      </c>
      <c r="F10" s="109">
        <v>0.9</v>
      </c>
      <c r="G10" s="101">
        <f t="shared" si="0"/>
        <v>40.1484375</v>
      </c>
      <c r="H10" s="102">
        <f t="shared" si="1"/>
        <v>36.133593750000003</v>
      </c>
      <c r="I10" s="65">
        <f>VLOOKUP(B10,All_Ingredients!$A$1:$F$156,6,FALSE())</f>
        <v>1</v>
      </c>
      <c r="J10" s="101">
        <f>VLOOKUP(B10,All_Ingredients!$A$1:$J$156,10,FALSE())</f>
        <v>15</v>
      </c>
      <c r="K10" s="104">
        <f t="shared" si="8"/>
        <v>3.6133593750000005E-2</v>
      </c>
      <c r="L10" s="104">
        <f t="shared" si="9"/>
        <v>0.54200390625000006</v>
      </c>
      <c r="AI10" s="1" t="s">
        <v>94</v>
      </c>
      <c r="AJ10" s="303" t="s">
        <v>93</v>
      </c>
      <c r="AK10" s="106" t="s">
        <v>14</v>
      </c>
      <c r="AL10" s="107">
        <v>25</v>
      </c>
      <c r="AM10" s="501">
        <f t="shared" si="4"/>
        <v>2.953448275862069</v>
      </c>
      <c r="AN10" s="109">
        <v>1</v>
      </c>
      <c r="AO10" s="101">
        <f t="shared" si="5"/>
        <v>73.83620689655173</v>
      </c>
      <c r="AP10" s="102">
        <f t="shared" si="6"/>
        <v>73.83620689655173</v>
      </c>
      <c r="AQ10" s="1018">
        <f>VLOOKUP(AJ10,Marination_Ordering!$A:$J,6,FALSE)</f>
        <v>1</v>
      </c>
      <c r="AR10" s="1018">
        <f>VLOOKUP(AJ10,Marination_Ordering!$A:$J,10,FALSE)</f>
        <v>0.74</v>
      </c>
      <c r="AS10" s="156">
        <f t="shared" si="12"/>
        <v>73.83620689655173</v>
      </c>
      <c r="AT10" s="1018">
        <f t="shared" si="13"/>
        <v>5.4638793103448276E-2</v>
      </c>
    </row>
    <row r="11" spans="1:46" x14ac:dyDescent="0.25">
      <c r="A11" s="1455"/>
      <c r="B11" s="96" t="s">
        <v>107</v>
      </c>
      <c r="C11" s="106" t="s">
        <v>14</v>
      </c>
      <c r="D11" s="107">
        <v>5</v>
      </c>
      <c r="E11" s="108">
        <f t="shared" si="7"/>
        <v>8.0296874999999996</v>
      </c>
      <c r="F11" s="109">
        <v>0.9</v>
      </c>
      <c r="G11" s="101">
        <f t="shared" si="0"/>
        <v>40.1484375</v>
      </c>
      <c r="H11" s="102">
        <f t="shared" si="1"/>
        <v>36.133593750000003</v>
      </c>
      <c r="I11" s="65">
        <f>VLOOKUP(B11,All_Ingredients!$A$1:$F$156,6,FALSE())</f>
        <v>1</v>
      </c>
      <c r="J11" s="101">
        <f>VLOOKUP(B11,All_Ingredients!$A$1:$J$156,10,FALSE())</f>
        <v>8</v>
      </c>
      <c r="K11" s="104">
        <f t="shared" si="8"/>
        <v>3.6133593750000005E-2</v>
      </c>
      <c r="L11" s="104">
        <f t="shared" si="9"/>
        <v>0.28906875000000004</v>
      </c>
      <c r="AI11" s="1" t="s">
        <v>94</v>
      </c>
      <c r="AJ11" s="303" t="s">
        <v>97</v>
      </c>
      <c r="AK11" s="106" t="s">
        <v>14</v>
      </c>
      <c r="AL11" s="107">
        <v>25</v>
      </c>
      <c r="AM11" s="501">
        <f t="shared" si="4"/>
        <v>2.953448275862069</v>
      </c>
      <c r="AN11" s="109">
        <v>1</v>
      </c>
      <c r="AO11" s="101">
        <f t="shared" si="5"/>
        <v>73.83620689655173</v>
      </c>
      <c r="AP11" s="102">
        <f t="shared" si="6"/>
        <v>73.83620689655173</v>
      </c>
      <c r="AQ11" s="1018">
        <f>VLOOKUP(AJ11,Marination_Ordering!$A:$J,6,FALSE)</f>
        <v>1</v>
      </c>
      <c r="AR11" s="1018">
        <f>VLOOKUP(AJ11,Marination_Ordering!$A:$J,10,FALSE)</f>
        <v>38</v>
      </c>
      <c r="AS11" s="156">
        <f t="shared" si="12"/>
        <v>73.83620689655173</v>
      </c>
      <c r="AT11" s="1018">
        <f t="shared" si="13"/>
        <v>2.8057758620689657</v>
      </c>
    </row>
    <row r="12" spans="1:46" x14ac:dyDescent="0.25">
      <c r="A12" s="1455" t="s">
        <v>908</v>
      </c>
      <c r="B12" s="96" t="s">
        <v>60</v>
      </c>
      <c r="C12" s="106" t="s">
        <v>14</v>
      </c>
      <c r="D12" s="107">
        <v>10</v>
      </c>
      <c r="E12" s="108">
        <f t="shared" si="7"/>
        <v>8.0296874999999996</v>
      </c>
      <c r="F12" s="109">
        <v>1</v>
      </c>
      <c r="G12" s="101">
        <f t="shared" si="0"/>
        <v>80.296875</v>
      </c>
      <c r="H12" s="102">
        <f t="shared" si="1"/>
        <v>80.296875</v>
      </c>
      <c r="I12" s="65">
        <f>VLOOKUP(B12,All_Ingredients!$A$1:$F$156,6,FALSE())</f>
        <v>0.94</v>
      </c>
      <c r="J12" s="101">
        <f>VLOOKUP(B12,All_Ingredients!$A$1:$J$156,10,FALSE())</f>
        <v>3.6363636363636367</v>
      </c>
      <c r="K12" s="104">
        <f t="shared" si="8"/>
        <v>8.5422207446808521E-2</v>
      </c>
      <c r="L12" s="104">
        <f t="shared" si="9"/>
        <v>0.31062620889748555</v>
      </c>
      <c r="AI12" s="1" t="s">
        <v>94</v>
      </c>
      <c r="AJ12" s="303" t="s">
        <v>107</v>
      </c>
      <c r="AK12" s="106" t="s">
        <v>14</v>
      </c>
      <c r="AL12" s="107">
        <v>50</v>
      </c>
      <c r="AM12" s="501">
        <f t="shared" si="4"/>
        <v>2.953448275862069</v>
      </c>
      <c r="AN12" s="109">
        <v>1</v>
      </c>
      <c r="AO12" s="101">
        <f t="shared" si="5"/>
        <v>147.67241379310346</v>
      </c>
      <c r="AP12" s="102">
        <f t="shared" si="6"/>
        <v>147.67241379310346</v>
      </c>
      <c r="AQ12" s="1018">
        <f>VLOOKUP(AJ12,Marination_Ordering!$A:$J,6,FALSE)</f>
        <v>1</v>
      </c>
      <c r="AR12" s="1018">
        <f>VLOOKUP(AJ12,Marination_Ordering!$A:$J,10,FALSE)</f>
        <v>8</v>
      </c>
      <c r="AS12" s="156">
        <f t="shared" si="12"/>
        <v>147.67241379310346</v>
      </c>
      <c r="AT12" s="1018">
        <f t="shared" si="13"/>
        <v>1.1813793103448276</v>
      </c>
    </row>
    <row r="13" spans="1:46" ht="14.25" customHeight="1" x14ac:dyDescent="0.25">
      <c r="A13" s="1455"/>
      <c r="B13" s="96" t="s">
        <v>163</v>
      </c>
      <c r="C13" s="106" t="s">
        <v>14</v>
      </c>
      <c r="D13" s="107">
        <v>400</v>
      </c>
      <c r="E13" s="108">
        <f t="shared" si="7"/>
        <v>8.0296874999999996</v>
      </c>
      <c r="F13" s="109">
        <v>1</v>
      </c>
      <c r="G13" s="101">
        <f t="shared" si="0"/>
        <v>3211.875</v>
      </c>
      <c r="H13" s="102">
        <f t="shared" si="1"/>
        <v>3211.875</v>
      </c>
      <c r="I13" s="65">
        <f>VLOOKUP(B13,All_Ingredients!$A$1:$F$156,6,FALSE())</f>
        <v>1</v>
      </c>
      <c r="J13" s="101">
        <f>VLOOKUP(B13,All_Ingredients!$A$1:$J$156,10,FALSE())</f>
        <v>6.6959999999999997</v>
      </c>
      <c r="K13" s="104">
        <f t="shared" si="8"/>
        <v>3.211875</v>
      </c>
      <c r="L13" s="104">
        <f t="shared" si="9"/>
        <v>21.506715</v>
      </c>
      <c r="AI13" s="1" t="s">
        <v>94</v>
      </c>
      <c r="AJ13" s="303" t="s">
        <v>118</v>
      </c>
      <c r="AK13" s="106" t="s">
        <v>14</v>
      </c>
      <c r="AL13" s="107">
        <v>50</v>
      </c>
      <c r="AM13" s="501">
        <f t="shared" si="4"/>
        <v>2.953448275862069</v>
      </c>
      <c r="AN13" s="109">
        <v>1</v>
      </c>
      <c r="AO13" s="101">
        <f t="shared" si="5"/>
        <v>147.67241379310346</v>
      </c>
      <c r="AP13" s="102">
        <f t="shared" si="6"/>
        <v>147.67241379310346</v>
      </c>
      <c r="AQ13" s="1018">
        <f>VLOOKUP(AJ13,Marination_Ordering!$A:$J,6,FALSE)</f>
        <v>1</v>
      </c>
      <c r="AR13" s="1018">
        <f>VLOOKUP(AJ13,Marination_Ordering!$A:$J,10,FALSE)</f>
        <v>15</v>
      </c>
      <c r="AS13" s="156">
        <f t="shared" si="12"/>
        <v>147.67241379310346</v>
      </c>
      <c r="AT13" s="1018">
        <f t="shared" si="13"/>
        <v>2.2150862068965518</v>
      </c>
    </row>
    <row r="14" spans="1:46" x14ac:dyDescent="0.25">
      <c r="A14" s="1455"/>
      <c r="B14" s="96" t="s">
        <v>166</v>
      </c>
      <c r="C14" s="106" t="s">
        <v>160</v>
      </c>
      <c r="D14" s="107">
        <v>450</v>
      </c>
      <c r="E14" s="108">
        <f t="shared" si="7"/>
        <v>8.0296874999999996</v>
      </c>
      <c r="F14" s="109">
        <v>1</v>
      </c>
      <c r="G14" s="101">
        <f t="shared" si="0"/>
        <v>3613.359375</v>
      </c>
      <c r="H14" s="102">
        <f t="shared" si="1"/>
        <v>3613.359375</v>
      </c>
      <c r="I14" s="65">
        <f>VLOOKUP(B14,All_Ingredients!$A$1:$F$156,6,FALSE())</f>
        <v>1</v>
      </c>
      <c r="J14" s="101">
        <f>VLOOKUP(B14,All_Ingredients!$A$1:$J$156,10,FALSE())</f>
        <v>12.666666666666666</v>
      </c>
      <c r="K14" s="104">
        <f t="shared" si="8"/>
        <v>3.6133593749999999</v>
      </c>
      <c r="L14" s="104">
        <f t="shared" si="9"/>
        <v>45.76921875</v>
      </c>
      <c r="AI14" s="1" t="s">
        <v>94</v>
      </c>
      <c r="AJ14" s="303" t="s">
        <v>105</v>
      </c>
      <c r="AK14" s="106" t="s">
        <v>14</v>
      </c>
      <c r="AL14" s="107">
        <v>50</v>
      </c>
      <c r="AM14" s="501">
        <f t="shared" si="4"/>
        <v>2.953448275862069</v>
      </c>
      <c r="AN14" s="109">
        <v>1</v>
      </c>
      <c r="AO14" s="101">
        <f t="shared" si="5"/>
        <v>147.67241379310346</v>
      </c>
      <c r="AP14" s="102">
        <f t="shared" si="6"/>
        <v>147.67241379310346</v>
      </c>
      <c r="AQ14" s="1018">
        <f>VLOOKUP(AJ14,Marination_Ordering!$A:$J,6,FALSE)</f>
        <v>1</v>
      </c>
      <c r="AR14" s="1018">
        <f>VLOOKUP(AJ14,Marination_Ordering!$A:$J,10,FALSE)</f>
        <v>15</v>
      </c>
      <c r="AS14" s="156">
        <f t="shared" si="12"/>
        <v>147.67241379310346</v>
      </c>
      <c r="AT14" s="1018">
        <f t="shared" si="13"/>
        <v>2.2150862068965518</v>
      </c>
    </row>
    <row r="15" spans="1:46" x14ac:dyDescent="0.25">
      <c r="A15" s="1455"/>
      <c r="B15" s="96" t="s">
        <v>93</v>
      </c>
      <c r="C15" s="106" t="s">
        <v>14</v>
      </c>
      <c r="D15" s="107">
        <v>11</v>
      </c>
      <c r="E15" s="108">
        <f t="shared" si="7"/>
        <v>8.0296874999999996</v>
      </c>
      <c r="F15" s="109">
        <v>1</v>
      </c>
      <c r="G15" s="101">
        <f t="shared" si="0"/>
        <v>88.326562499999994</v>
      </c>
      <c r="H15" s="102">
        <f t="shared" si="1"/>
        <v>88.326562499999994</v>
      </c>
      <c r="I15" s="65">
        <f>VLOOKUP(B15,All_Ingredients!$A$1:$F$156,6,FALSE())</f>
        <v>1</v>
      </c>
      <c r="J15" s="101">
        <f>VLOOKUP(B15,All_Ingredients!$A$1:$J$156,10,FALSE())</f>
        <v>0.74</v>
      </c>
      <c r="K15" s="104">
        <f t="shared" si="8"/>
        <v>8.8326562499999997E-2</v>
      </c>
      <c r="L15" s="104">
        <f t="shared" si="9"/>
        <v>6.5361656249999997E-2</v>
      </c>
      <c r="AI15" s="1" t="s">
        <v>213</v>
      </c>
      <c r="AJ15" s="345" t="s">
        <v>214</v>
      </c>
      <c r="AK15" s="106" t="s">
        <v>14</v>
      </c>
      <c r="AL15" s="107">
        <v>4</v>
      </c>
      <c r="AM15" s="502">
        <f t="shared" si="4"/>
        <v>2.953448275862069</v>
      </c>
      <c r="AN15" s="415">
        <v>1</v>
      </c>
      <c r="AO15" s="422">
        <f t="shared" si="5"/>
        <v>11.813793103448276</v>
      </c>
      <c r="AP15" s="417">
        <f t="shared" si="6"/>
        <v>11.813793103448276</v>
      </c>
      <c r="AQ15" s="1018">
        <f>VLOOKUP(AJ15,Marination_Ordering!$A:$J,6,FALSE)</f>
        <v>1</v>
      </c>
      <c r="AR15" s="1018">
        <f>VLOOKUP(AJ15,Marination_Ordering!$A:$J,10,FALSE)</f>
        <v>35</v>
      </c>
      <c r="AS15" s="156">
        <f t="shared" si="12"/>
        <v>11.813793103448276</v>
      </c>
      <c r="AT15" s="1018">
        <f t="shared" si="13"/>
        <v>0.41348275862068962</v>
      </c>
    </row>
    <row r="16" spans="1:46" ht="14.25" customHeight="1" x14ac:dyDescent="0.25">
      <c r="A16" s="1455"/>
      <c r="B16" s="96" t="s">
        <v>152</v>
      </c>
      <c r="C16" s="106" t="s">
        <v>14</v>
      </c>
      <c r="D16" s="107">
        <v>50</v>
      </c>
      <c r="E16" s="108">
        <f t="shared" si="7"/>
        <v>8.0296874999999996</v>
      </c>
      <c r="F16" s="109">
        <v>1</v>
      </c>
      <c r="G16" s="101">
        <f t="shared" si="0"/>
        <v>401.484375</v>
      </c>
      <c r="H16" s="102">
        <f t="shared" si="1"/>
        <v>401.484375</v>
      </c>
      <c r="I16" s="65">
        <f>VLOOKUP(B16,All_Ingredients!$A$1:$F$156,6,FALSE())</f>
        <v>1</v>
      </c>
      <c r="J16" s="101">
        <f>VLOOKUP(B16,All_Ingredients!$A$1:$J$156,10,FALSE())</f>
        <v>30</v>
      </c>
      <c r="K16" s="104">
        <f t="shared" si="8"/>
        <v>0.401484375</v>
      </c>
      <c r="L16" s="104">
        <f t="shared" si="9"/>
        <v>12.04453125</v>
      </c>
    </row>
    <row r="17" spans="1:30" ht="14.25" customHeight="1" x14ac:dyDescent="0.25">
      <c r="A17" s="1455"/>
      <c r="B17" s="96" t="s">
        <v>128</v>
      </c>
      <c r="C17" s="106" t="s">
        <v>14</v>
      </c>
      <c r="D17" s="107">
        <v>3</v>
      </c>
      <c r="E17" s="108">
        <f t="shared" si="7"/>
        <v>8.0296874999999996</v>
      </c>
      <c r="F17" s="109">
        <v>0.75</v>
      </c>
      <c r="G17" s="101">
        <f t="shared" si="0"/>
        <v>24.089062499999997</v>
      </c>
      <c r="H17" s="102">
        <f t="shared" si="1"/>
        <v>18.066796874999998</v>
      </c>
      <c r="I17" s="65">
        <f>VLOOKUP(B17,All_Ingredients!$A$1:$F$156,6,FALSE())</f>
        <v>1</v>
      </c>
      <c r="J17" s="101">
        <f>VLOOKUP(B17,All_Ingredients!$A$1:$J$156,10,FALSE())</f>
        <v>107</v>
      </c>
      <c r="K17" s="104">
        <f t="shared" si="8"/>
        <v>1.8066796874999999E-2</v>
      </c>
      <c r="L17" s="104">
        <f t="shared" si="9"/>
        <v>1.9331472656249999</v>
      </c>
    </row>
    <row r="18" spans="1:30" ht="14.25" customHeight="1" x14ac:dyDescent="0.25">
      <c r="A18" s="1455"/>
      <c r="B18" s="96" t="s">
        <v>122</v>
      </c>
      <c r="C18" s="106" t="s">
        <v>14</v>
      </c>
      <c r="D18" s="107">
        <v>2</v>
      </c>
      <c r="E18" s="108">
        <f t="shared" si="7"/>
        <v>8.0296874999999996</v>
      </c>
      <c r="F18" s="109">
        <v>0.75</v>
      </c>
      <c r="G18" s="101">
        <f t="shared" si="0"/>
        <v>16.059374999999999</v>
      </c>
      <c r="H18" s="102">
        <f t="shared" si="1"/>
        <v>12.044531249999999</v>
      </c>
      <c r="I18" s="65">
        <f>VLOOKUP(B18,All_Ingredients!$A$1:$F$156,6,FALSE())</f>
        <v>1</v>
      </c>
      <c r="J18" s="101">
        <f>VLOOKUP(B18,All_Ingredients!$A$1:$J$156,10,FALSE())</f>
        <v>14</v>
      </c>
      <c r="K18" s="104">
        <f t="shared" si="8"/>
        <v>1.2044531249999999E-2</v>
      </c>
      <c r="L18" s="104">
        <f t="shared" si="9"/>
        <v>0.16862343749999997</v>
      </c>
    </row>
    <row r="19" spans="1:30" ht="14.25" customHeight="1" x14ac:dyDescent="0.25">
      <c r="A19" s="1455" t="s">
        <v>923</v>
      </c>
      <c r="B19" s="105" t="s">
        <v>68</v>
      </c>
      <c r="C19" s="106" t="s">
        <v>14</v>
      </c>
      <c r="D19" s="107">
        <v>15</v>
      </c>
      <c r="E19" s="108">
        <f t="shared" si="7"/>
        <v>8.0296874999999996</v>
      </c>
      <c r="F19" s="109">
        <v>0.85</v>
      </c>
      <c r="G19" s="101">
        <f t="shared" si="0"/>
        <v>120.4453125</v>
      </c>
      <c r="H19" s="102">
        <f t="shared" si="1"/>
        <v>102.37851562499999</v>
      </c>
      <c r="I19" s="65">
        <f>VLOOKUP(B19,All_Ingredients!$A$1:$F$156,6,FALSE())</f>
        <v>0.43</v>
      </c>
      <c r="J19" s="101">
        <f>VLOOKUP(B19,All_Ingredients!$A$1:$J$156,10,FALSE())</f>
        <v>3.333333333333333</v>
      </c>
      <c r="K19" s="104">
        <f t="shared" si="8"/>
        <v>0.23808957122093022</v>
      </c>
      <c r="L19" s="104">
        <f t="shared" si="9"/>
        <v>0.79363190406976736</v>
      </c>
    </row>
    <row r="20" spans="1:30" ht="14.25" customHeight="1" x14ac:dyDescent="0.25">
      <c r="A20" s="1455"/>
      <c r="B20" s="105" t="s">
        <v>87</v>
      </c>
      <c r="C20" s="106" t="s">
        <v>14</v>
      </c>
      <c r="D20" s="107">
        <v>1</v>
      </c>
      <c r="E20" s="108">
        <f t="shared" si="7"/>
        <v>8.0296874999999996</v>
      </c>
      <c r="F20" s="109">
        <v>0.75</v>
      </c>
      <c r="G20" s="101">
        <f t="shared" si="0"/>
        <v>8.0296874999999996</v>
      </c>
      <c r="H20" s="102">
        <f t="shared" si="1"/>
        <v>6.0222656249999993</v>
      </c>
      <c r="I20" s="65">
        <f>VLOOKUP(B20,All_Ingredients!$A$1:$F$156,6,FALSE())</f>
        <v>1</v>
      </c>
      <c r="J20" s="101">
        <f>VLOOKUP(B20,All_Ingredients!$A$1:$J$156,10,FALSE())</f>
        <v>20</v>
      </c>
      <c r="K20" s="104">
        <f t="shared" si="8"/>
        <v>6.0222656249999994E-3</v>
      </c>
      <c r="L20" s="104">
        <f t="shared" si="9"/>
        <v>0.12044531249999998</v>
      </c>
    </row>
    <row r="21" spans="1:30" ht="14.25" customHeight="1" x14ac:dyDescent="0.25">
      <c r="A21" s="1455"/>
      <c r="B21" s="65" t="s">
        <v>837</v>
      </c>
      <c r="C21" s="106" t="s">
        <v>14</v>
      </c>
      <c r="D21" s="107">
        <v>1</v>
      </c>
      <c r="E21" s="108">
        <f t="shared" si="7"/>
        <v>8.0296874999999996</v>
      </c>
      <c r="F21" s="109">
        <v>1</v>
      </c>
      <c r="G21" s="101">
        <f t="shared" si="0"/>
        <v>8.0296874999999996</v>
      </c>
      <c r="H21" s="102">
        <f t="shared" si="1"/>
        <v>8.0296874999999996</v>
      </c>
      <c r="I21" s="65">
        <f>VLOOKUP(B21,All_Ingredients!$A$1:$F$156,6,FALSE())</f>
        <v>1</v>
      </c>
      <c r="J21" s="101">
        <f>VLOOKUP(B21,All_Ingredients!$A$1:$J$156,10,FALSE())</f>
        <v>22.5</v>
      </c>
      <c r="K21" s="104">
        <f t="shared" si="8"/>
        <v>8.0296875000000004E-3</v>
      </c>
      <c r="L21" s="104">
        <f t="shared" si="9"/>
        <v>0.18066796875000002</v>
      </c>
    </row>
    <row r="22" spans="1:30" ht="14.25" customHeight="1" x14ac:dyDescent="0.25">
      <c r="A22" s="62"/>
      <c r="B22" s="84"/>
      <c r="E22" s="84"/>
      <c r="F22" s="84"/>
      <c r="L22" s="189"/>
    </row>
    <row r="23" spans="1:30" ht="14.25" customHeight="1" x14ac:dyDescent="0.25">
      <c r="A23" s="62"/>
      <c r="B23" s="84"/>
      <c r="E23" s="84"/>
      <c r="F23" s="84"/>
      <c r="L23" s="189"/>
    </row>
    <row r="24" spans="1:30" ht="14.25" customHeight="1" x14ac:dyDescent="0.25">
      <c r="A24" s="62"/>
      <c r="L24" s="189"/>
      <c r="Z24" s="1124"/>
    </row>
    <row r="25" spans="1:30" ht="14.25" customHeight="1" x14ac:dyDescent="0.25">
      <c r="A25" s="62"/>
      <c r="L25" s="189"/>
      <c r="R25" s="1640" t="s">
        <v>436</v>
      </c>
      <c r="S25" s="1633"/>
      <c r="T25" s="1633"/>
      <c r="U25" s="1633"/>
      <c r="V25" s="997"/>
      <c r="Z25" s="122" t="s">
        <v>252</v>
      </c>
      <c r="AA25" s="123">
        <v>1</v>
      </c>
      <c r="AB25" s="122" t="s">
        <v>249</v>
      </c>
      <c r="AC25" s="124">
        <f>(AA25*(1.45))*AD30+(Z30*(AA28/R1))</f>
        <v>2.7824813373226107E-2</v>
      </c>
      <c r="AD25" s="14"/>
    </row>
    <row r="26" spans="1:30" ht="14.25" customHeight="1" x14ac:dyDescent="0.25">
      <c r="A26" s="62"/>
      <c r="L26" s="189"/>
      <c r="R26" s="1654" t="s">
        <v>253</v>
      </c>
      <c r="S26" s="1633"/>
      <c r="T26" s="1633"/>
      <c r="U26" s="1633"/>
      <c r="V26" s="997"/>
      <c r="Z26" s="14"/>
      <c r="AA26" s="14"/>
      <c r="AB26" s="14"/>
      <c r="AC26" s="14"/>
      <c r="AD26" s="14"/>
    </row>
    <row r="27" spans="1:30" ht="14.25" customHeight="1" thickBot="1" x14ac:dyDescent="0.3">
      <c r="A27" s="62"/>
      <c r="L27" s="189"/>
      <c r="R27" s="126" t="s">
        <v>254</v>
      </c>
      <c r="S27" s="127" t="s">
        <v>379</v>
      </c>
      <c r="T27" s="127" t="s">
        <v>256</v>
      </c>
      <c r="U27" s="127" t="s">
        <v>257</v>
      </c>
      <c r="V27" s="127" t="s">
        <v>772</v>
      </c>
      <c r="W27" s="127" t="s">
        <v>779</v>
      </c>
      <c r="Y27" s="122" t="s">
        <v>258</v>
      </c>
      <c r="Z27" s="1031" t="s">
        <v>312</v>
      </c>
      <c r="AA27" s="128" t="s">
        <v>259</v>
      </c>
      <c r="AB27" s="128" t="s">
        <v>261</v>
      </c>
      <c r="AC27" s="1032" t="s">
        <v>779</v>
      </c>
      <c r="AD27" s="128" t="s">
        <v>262</v>
      </c>
    </row>
    <row r="28" spans="1:30" ht="14.25" customHeight="1" thickBot="1" x14ac:dyDescent="0.3">
      <c r="A28" s="62"/>
      <c r="L28" s="189"/>
      <c r="R28" s="129" t="s">
        <v>263</v>
      </c>
      <c r="S28" s="696">
        <f>$Z$1</f>
        <v>16130</v>
      </c>
      <c r="T28" s="130"/>
      <c r="U28" s="1174">
        <f>T28+S28</f>
        <v>16130</v>
      </c>
      <c r="V28" s="130">
        <f>SUM(AP5:AP13)</f>
        <v>1210.9137931034484</v>
      </c>
      <c r="W28" s="130">
        <f>H37</f>
        <v>0</v>
      </c>
      <c r="Y28" s="132"/>
      <c r="Z28" s="1034"/>
      <c r="AA28" s="133">
        <f>AA25*$S$40</f>
        <v>1</v>
      </c>
      <c r="AB28" s="134">
        <f>AA25*0.45</f>
        <v>0.45</v>
      </c>
      <c r="AC28" s="1034"/>
      <c r="AD28" s="135">
        <f>SUM(AA28:AB28)</f>
        <v>1.45</v>
      </c>
    </row>
    <row r="29" spans="1:30" ht="14.25" customHeight="1" thickBot="1" x14ac:dyDescent="0.3">
      <c r="A29" s="62"/>
      <c r="L29" s="189"/>
      <c r="R29" s="129" t="s">
        <v>264</v>
      </c>
      <c r="S29" s="136"/>
      <c r="T29" s="130">
        <f>S28*0.45</f>
        <v>7258.5</v>
      </c>
      <c r="U29" s="690">
        <f>T29</f>
        <v>7258.5</v>
      </c>
      <c r="V29" s="130"/>
      <c r="W29" s="130"/>
      <c r="Y29" s="132"/>
      <c r="Z29" s="1038"/>
      <c r="AA29" s="137">
        <f>AA28/$AD$28</f>
        <v>0.68965517241379315</v>
      </c>
      <c r="AB29" s="137">
        <f>AB28/$AD$28</f>
        <v>0.31034482758620691</v>
      </c>
      <c r="AC29" s="1038"/>
      <c r="AD29" s="137">
        <f>AD28/$AD$28</f>
        <v>1</v>
      </c>
    </row>
    <row r="30" spans="1:30" ht="14.25" customHeight="1" thickBot="1" x14ac:dyDescent="0.3">
      <c r="A30" s="62"/>
      <c r="L30" s="189"/>
      <c r="R30" s="129" t="s">
        <v>265</v>
      </c>
      <c r="S30" s="1173">
        <f>$AB$1</f>
        <v>1000</v>
      </c>
      <c r="T30" s="692">
        <f>S30*0.45</f>
        <v>450</v>
      </c>
      <c r="U30" s="692">
        <f>S30+T30</f>
        <v>1450</v>
      </c>
      <c r="V30" s="989"/>
      <c r="W30" s="989"/>
      <c r="Y30" s="122" t="s">
        <v>266</v>
      </c>
      <c r="Z30" s="1042">
        <f>V35/(S32/R1)</f>
        <v>8.1210641025641005E-4</v>
      </c>
      <c r="AA30" s="138">
        <f>S35/(S32)</f>
        <v>2.0463253221873912E-2</v>
      </c>
      <c r="AB30" s="139">
        <f>T35/T32</f>
        <v>1.3247503745317477E-2</v>
      </c>
      <c r="AC30" s="1045">
        <f>W35/U32</f>
        <v>0</v>
      </c>
      <c r="AD30" s="140">
        <f>SUMPRODUCT(AA30:AB30,AA29:AB29)</f>
        <v>1.8223882694666745E-2</v>
      </c>
    </row>
    <row r="31" spans="1:30" ht="14.25" customHeight="1" thickBot="1" x14ac:dyDescent="0.3">
      <c r="A31" s="62"/>
      <c r="L31" s="189"/>
      <c r="R31" s="129" t="s">
        <v>267</v>
      </c>
      <c r="S31" s="136"/>
      <c r="T31" s="130"/>
      <c r="U31" s="130"/>
      <c r="V31" s="130"/>
      <c r="W31" s="130"/>
      <c r="AB31">
        <f>AB30*AB28</f>
        <v>5.9613766853928649E-3</v>
      </c>
    </row>
    <row r="32" spans="1:30" ht="14.25" customHeight="1" thickBot="1" x14ac:dyDescent="0.3">
      <c r="A32" s="62"/>
      <c r="L32" s="189"/>
      <c r="R32" s="141" t="s">
        <v>257</v>
      </c>
      <c r="S32" s="130">
        <f>SUM(S28:S30)</f>
        <v>17130</v>
      </c>
      <c r="T32" s="130">
        <f>SUM(T28:T30)</f>
        <v>7708.5</v>
      </c>
      <c r="U32" s="130">
        <f>SUM(U28:U30)</f>
        <v>24838.5</v>
      </c>
      <c r="V32" s="130"/>
      <c r="W32" s="130">
        <f>SUM(W28:W30)</f>
        <v>0</v>
      </c>
    </row>
    <row r="33" spans="1:23" ht="14.25" customHeight="1" thickBot="1" x14ac:dyDescent="0.3">
      <c r="A33" s="62"/>
      <c r="L33" s="189"/>
      <c r="R33" s="142" t="s">
        <v>268</v>
      </c>
      <c r="S33" s="136"/>
      <c r="T33" s="136"/>
      <c r="U33" s="136"/>
      <c r="V33" s="136"/>
      <c r="W33" s="136"/>
    </row>
    <row r="34" spans="1:23" ht="14.25" customHeight="1" thickBot="1" x14ac:dyDescent="0.3">
      <c r="A34" s="62"/>
      <c r="L34" s="189"/>
      <c r="R34" s="143" t="s">
        <v>269</v>
      </c>
      <c r="S34" s="136"/>
      <c r="T34" s="130"/>
      <c r="U34" s="136"/>
      <c r="V34" s="136"/>
      <c r="W34" s="136"/>
    </row>
    <row r="35" spans="1:23" ht="14.25" customHeight="1" thickBot="1" x14ac:dyDescent="0.3">
      <c r="A35" s="62"/>
      <c r="L35" s="189"/>
      <c r="R35" s="144" t="s">
        <v>249</v>
      </c>
      <c r="S35" s="990">
        <f>$L$5</f>
        <v>350.53552769070012</v>
      </c>
      <c r="T35" s="990">
        <f>SUM(L6:L21)</f>
        <v>102.11838262077977</v>
      </c>
      <c r="U35" s="990">
        <f>S35+T35+V35</f>
        <v>476.63905308336314</v>
      </c>
      <c r="V35" s="990">
        <f>SUM(AT6:AT13)</f>
        <v>23.985142771883286</v>
      </c>
      <c r="W35" s="990">
        <f>L37</f>
        <v>0</v>
      </c>
    </row>
    <row r="36" spans="1:23" ht="14.25" customHeight="1" x14ac:dyDescent="0.25">
      <c r="A36" s="62"/>
      <c r="L36" s="189"/>
    </row>
    <row r="37" spans="1:23" ht="14.25" customHeight="1" x14ac:dyDescent="0.25">
      <c r="A37" s="62"/>
      <c r="L37" s="189"/>
      <c r="S37" s="458">
        <f>S32/R1</f>
        <v>29534.482758620692</v>
      </c>
      <c r="U37" s="110" t="s">
        <v>300</v>
      </c>
    </row>
    <row r="38" spans="1:23" ht="14.25" customHeight="1" x14ac:dyDescent="0.25">
      <c r="A38" s="62"/>
      <c r="L38" s="189"/>
      <c r="S38" s="1245">
        <f>(S37/I5)*27</f>
        <v>805485.89341692801</v>
      </c>
      <c r="U38" s="110" t="s">
        <v>437</v>
      </c>
    </row>
    <row r="39" spans="1:23" ht="14.25" customHeight="1" x14ac:dyDescent="0.25">
      <c r="A39" s="62"/>
      <c r="B39" s="84"/>
      <c r="E39" s="84"/>
      <c r="F39" s="84"/>
      <c r="L39" s="189"/>
    </row>
    <row r="40" spans="1:23" ht="16.5" customHeight="1" x14ac:dyDescent="0.25">
      <c r="A40" s="62"/>
      <c r="B40" s="84"/>
      <c r="E40" s="84"/>
      <c r="F40" s="84"/>
      <c r="L40" s="189"/>
      <c r="Q40" s="14"/>
      <c r="R40" s="146" t="s">
        <v>270</v>
      </c>
      <c r="S40" s="217">
        <v>1</v>
      </c>
      <c r="T40" s="146" t="s">
        <v>271</v>
      </c>
      <c r="U40" s="217">
        <v>0</v>
      </c>
      <c r="V40" s="149">
        <f>S40+U40</f>
        <v>1</v>
      </c>
      <c r="W40" s="14"/>
    </row>
    <row r="41" spans="1:23" ht="14.25" customHeight="1" x14ac:dyDescent="0.25">
      <c r="A41" s="62"/>
      <c r="B41" s="84"/>
      <c r="E41" s="84"/>
      <c r="F41" s="84"/>
      <c r="K41" s="1"/>
      <c r="L41" s="189"/>
      <c r="Q41" s="14"/>
      <c r="R41" s="14"/>
      <c r="S41" s="14"/>
      <c r="T41" s="14"/>
      <c r="U41" s="150"/>
      <c r="V41" s="14"/>
      <c r="W41" s="14"/>
    </row>
    <row r="42" spans="1:23" ht="14.25" customHeight="1" x14ac:dyDescent="0.25">
      <c r="A42" s="62"/>
      <c r="B42" s="84"/>
      <c r="E42" s="84"/>
      <c r="F42" s="84"/>
      <c r="L42" s="189"/>
      <c r="Q42" s="14"/>
      <c r="R42" s="14"/>
      <c r="S42" s="14"/>
      <c r="T42" s="14"/>
      <c r="U42" s="14"/>
      <c r="V42" s="14"/>
      <c r="W42" s="14"/>
    </row>
    <row r="43" spans="1:23" ht="14.25" customHeight="1" x14ac:dyDescent="0.25">
      <c r="A43" s="62"/>
      <c r="B43" s="84"/>
      <c r="E43" s="84"/>
      <c r="F43" s="84"/>
      <c r="L43" s="189"/>
      <c r="Q43" s="151" t="s">
        <v>272</v>
      </c>
      <c r="R43" s="151" t="s">
        <v>273</v>
      </c>
      <c r="S43" s="151" t="s">
        <v>274</v>
      </c>
      <c r="T43" s="151" t="s">
        <v>275</v>
      </c>
      <c r="U43" s="151" t="s">
        <v>276</v>
      </c>
      <c r="V43" s="151" t="s">
        <v>277</v>
      </c>
      <c r="W43" s="235" t="s">
        <v>278</v>
      </c>
    </row>
    <row r="44" spans="1:23" ht="14.25" customHeight="1" x14ac:dyDescent="0.25">
      <c r="A44" s="62"/>
      <c r="B44" s="84"/>
      <c r="E44" s="84"/>
      <c r="F44" s="84"/>
      <c r="L44" s="189"/>
      <c r="Q44" s="153">
        <v>22222</v>
      </c>
      <c r="R44" s="154">
        <f>D51</f>
        <v>10000</v>
      </c>
      <c r="S44" s="155">
        <v>0</v>
      </c>
      <c r="T44" s="155">
        <v>1</v>
      </c>
      <c r="U44" s="220">
        <f>R44*S44</f>
        <v>0</v>
      </c>
      <c r="V44" s="157">
        <f>R44*T44</f>
        <v>10000</v>
      </c>
      <c r="W44" s="237">
        <f>Q44-U44</f>
        <v>22222</v>
      </c>
    </row>
    <row r="45" spans="1:23" ht="14.25" customHeight="1" x14ac:dyDescent="0.25">
      <c r="A45" s="62"/>
      <c r="B45" s="84"/>
      <c r="E45" s="84"/>
      <c r="F45" s="84"/>
      <c r="L45" s="189"/>
    </row>
    <row r="46" spans="1:23" ht="14.25" customHeight="1" x14ac:dyDescent="0.25">
      <c r="A46" s="62"/>
      <c r="B46" s="84"/>
      <c r="E46" s="84"/>
      <c r="F46" s="84"/>
      <c r="L46" s="189"/>
    </row>
    <row r="47" spans="1:23" ht="14.25" customHeight="1" x14ac:dyDescent="0.25">
      <c r="A47" s="62"/>
      <c r="B47" s="84"/>
      <c r="E47" s="84"/>
      <c r="F47" s="84"/>
      <c r="L47" s="189"/>
    </row>
    <row r="48" spans="1:23" ht="14.25" customHeight="1" x14ac:dyDescent="0.25">
      <c r="A48" s="62"/>
      <c r="B48" s="84"/>
      <c r="E48" s="84"/>
      <c r="F48" s="84"/>
      <c r="L48" s="189"/>
    </row>
    <row r="49" spans="1:12" ht="14.25" customHeight="1" x14ac:dyDescent="0.25">
      <c r="A49" s="62"/>
      <c r="B49" s="84"/>
      <c r="E49" s="84"/>
      <c r="F49" s="84"/>
      <c r="L49" s="189"/>
    </row>
    <row r="50" spans="1:12" ht="14.25" customHeight="1" x14ac:dyDescent="0.25">
      <c r="A50" s="62"/>
      <c r="B50" s="126"/>
      <c r="C50" s="126" t="s">
        <v>233</v>
      </c>
      <c r="D50" s="126" t="s">
        <v>279</v>
      </c>
      <c r="F50" s="84"/>
      <c r="G50" s="126" t="s">
        <v>280</v>
      </c>
      <c r="H50" s="126" t="s">
        <v>233</v>
      </c>
      <c r="I50" s="126" t="s">
        <v>281</v>
      </c>
      <c r="J50" s="126" t="s">
        <v>282</v>
      </c>
      <c r="L50" s="189"/>
    </row>
    <row r="51" spans="1:12" ht="14.25" customHeight="1" x14ac:dyDescent="0.25">
      <c r="A51" s="62"/>
      <c r="B51" s="161" t="s">
        <v>283</v>
      </c>
      <c r="C51" s="162">
        <f>10/$K$1</f>
        <v>10.416666666666668</v>
      </c>
      <c r="D51" s="163">
        <f>$C$1*10</f>
        <v>10000</v>
      </c>
      <c r="E51" s="164"/>
      <c r="F51" s="84"/>
      <c r="G51" s="161" t="s">
        <v>283</v>
      </c>
      <c r="H51" s="254">
        <f>I51/$D$5</f>
        <v>10</v>
      </c>
      <c r="I51" s="162">
        <f>J51/$R$1</f>
        <v>38313.793103448275</v>
      </c>
      <c r="J51" s="162">
        <f>$W$44</f>
        <v>22222</v>
      </c>
      <c r="L51" s="189"/>
    </row>
    <row r="52" spans="1:12" ht="14.25" customHeight="1" x14ac:dyDescent="0.25">
      <c r="A52" s="62"/>
      <c r="B52" s="209" t="s">
        <v>262</v>
      </c>
      <c r="C52" s="210">
        <f>$I$1</f>
        <v>8.0296874999999996</v>
      </c>
      <c r="D52" s="211">
        <f>$E$1</f>
        <v>7708.5</v>
      </c>
      <c r="E52" s="84"/>
      <c r="F52" s="84"/>
      <c r="G52" s="129" t="s">
        <v>262</v>
      </c>
      <c r="H52" s="190">
        <f>I52/$D$5</f>
        <v>7.7085770857708589</v>
      </c>
      <c r="I52" s="157">
        <f>J52/$R$1</f>
        <v>29534.482758620692</v>
      </c>
      <c r="J52" s="165">
        <f>$S$32</f>
        <v>17130</v>
      </c>
      <c r="L52" s="189"/>
    </row>
    <row r="53" spans="1:12" ht="14.25" customHeight="1" x14ac:dyDescent="0.25">
      <c r="A53" s="62"/>
      <c r="B53" s="209" t="s">
        <v>284</v>
      </c>
      <c r="C53" s="212">
        <f>MIN(C52, C51)</f>
        <v>8.0296874999999996</v>
      </c>
      <c r="D53" s="211">
        <f>(C53*$K$1)*$C$1</f>
        <v>7708.4999999999991</v>
      </c>
      <c r="E53" s="84"/>
      <c r="F53" s="84"/>
      <c r="G53" s="129" t="s">
        <v>284</v>
      </c>
      <c r="H53" s="168">
        <f>MIN(H52,H51)</f>
        <v>7.7085770857708589</v>
      </c>
      <c r="I53" s="157">
        <f>J53/$R$1</f>
        <v>29534.482758620692</v>
      </c>
      <c r="J53" s="157">
        <f>MIN(J52,J51)</f>
        <v>17130</v>
      </c>
      <c r="L53" s="189"/>
    </row>
    <row r="54" spans="1:12" ht="14.25" customHeight="1" x14ac:dyDescent="0.25">
      <c r="A54" s="62"/>
      <c r="B54" s="209" t="s">
        <v>285</v>
      </c>
      <c r="C54" s="212">
        <f>MIN(MAX(C52-C53,0),C51)</f>
        <v>0</v>
      </c>
      <c r="D54" s="211">
        <f>(C54*$K$1)*$C$1</f>
        <v>0</v>
      </c>
      <c r="E54" s="84"/>
      <c r="F54" s="84"/>
      <c r="G54" s="129" t="s">
        <v>285</v>
      </c>
      <c r="H54" s="168">
        <f>MIN(MAX(H52-H53),H51)</f>
        <v>0</v>
      </c>
      <c r="I54" s="157">
        <f>J54/$R$1</f>
        <v>0</v>
      </c>
      <c r="J54" s="157">
        <f>MIN(MAX(J52-J53),J51)</f>
        <v>0</v>
      </c>
      <c r="L54" s="189"/>
    </row>
    <row r="55" spans="1:12" ht="14.25" customHeight="1"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2" ht="14.25" customHeight="1" x14ac:dyDescent="0.25">
      <c r="A56" s="62"/>
    </row>
    <row r="57" spans="1:12" ht="14.25" customHeight="1" x14ac:dyDescent="0.25">
      <c r="A57" s="62"/>
    </row>
    <row r="58" spans="1:12" ht="14.25" customHeight="1" x14ac:dyDescent="0.25">
      <c r="A58" s="62"/>
    </row>
    <row r="59" spans="1:12" ht="14.25" customHeight="1" x14ac:dyDescent="0.25">
      <c r="A59" s="62"/>
    </row>
    <row r="60" spans="1:12" ht="14.25" customHeight="1" x14ac:dyDescent="0.25">
      <c r="A60" s="62"/>
      <c r="B60" s="84"/>
      <c r="E60" s="84"/>
      <c r="F60" s="84"/>
    </row>
    <row r="61" spans="1:12" ht="14.25" customHeight="1" x14ac:dyDescent="0.25">
      <c r="A61" s="62"/>
      <c r="B61" s="84"/>
      <c r="E61" s="84"/>
      <c r="F61" s="84"/>
    </row>
    <row r="62" spans="1:12" ht="18" customHeight="1" x14ac:dyDescent="0.25">
      <c r="A62" s="1456"/>
      <c r="B62" s="1636" t="str">
        <f>"كباب اللحم1 / " &amp; COUNTIF($C$53:$C$55, "&gt;0")</f>
        <v>كباب اللحم1 / 1</v>
      </c>
      <c r="C62" s="1637"/>
      <c r="D62" s="1637"/>
      <c r="E62" s="1637"/>
      <c r="F62" s="1637"/>
      <c r="G62" s="1637"/>
      <c r="H62" s="1637"/>
    </row>
    <row r="63" spans="1:12" ht="18" customHeight="1" x14ac:dyDescent="0.25">
      <c r="A63" s="1456"/>
      <c r="B63" s="1634" t="str">
        <f>"Meat Kebab 1 / " &amp; COUNTIF($C$53:$C$55, "&gt;0")</f>
        <v>Meat Kebab 1 / 1</v>
      </c>
      <c r="C63" s="1635"/>
      <c r="D63" s="1635"/>
      <c r="E63" s="1635"/>
      <c r="F63" s="1635"/>
      <c r="G63" s="1635"/>
      <c r="H63" s="1635"/>
    </row>
    <row r="64" spans="1:12" ht="39" customHeight="1" x14ac:dyDescent="0.2">
      <c r="A64" s="1457"/>
      <c r="B64" s="221" t="s">
        <v>241</v>
      </c>
      <c r="C64" s="222" t="s">
        <v>242</v>
      </c>
      <c r="D64" s="223" t="s">
        <v>231</v>
      </c>
      <c r="E64" s="197" t="s">
        <v>234</v>
      </c>
      <c r="F64" s="197" t="s">
        <v>243</v>
      </c>
      <c r="G64" s="223" t="s">
        <v>244</v>
      </c>
      <c r="H64" s="197" t="s">
        <v>245</v>
      </c>
    </row>
    <row r="65" spans="1:8" ht="14.25" customHeight="1" x14ac:dyDescent="0.2">
      <c r="A65" s="1459"/>
      <c r="B65" s="105" t="str">
        <f t="shared" ref="B65:D81" si="14">B5</f>
        <v>Indian Meat Tammam Mafroom - مفروم هندى</v>
      </c>
      <c r="C65" s="105" t="str">
        <f t="shared" si="14"/>
        <v>gm</v>
      </c>
      <c r="D65" s="240">
        <f t="shared" si="14"/>
        <v>3831.3793103448274</v>
      </c>
      <c r="E65" s="258">
        <f>H53</f>
        <v>7.7085770857708589</v>
      </c>
      <c r="F65" s="109">
        <f t="shared" ref="F65:F81" si="15">F5</f>
        <v>1</v>
      </c>
      <c r="G65" s="101">
        <f t="shared" ref="G65:G80" si="16">D65*E65</f>
        <v>29534.482758620692</v>
      </c>
      <c r="H65" s="102">
        <f t="shared" ref="H65:H80" si="17">G65*F65</f>
        <v>29534.482758620692</v>
      </c>
    </row>
    <row r="66" spans="1:8" ht="14.25" customHeight="1" x14ac:dyDescent="0.25">
      <c r="A66" s="1455" t="s">
        <v>905</v>
      </c>
      <c r="B66" s="105" t="str">
        <f t="shared" si="14"/>
        <v>Onion - بصل</v>
      </c>
      <c r="C66" s="105" t="str">
        <f t="shared" si="14"/>
        <v>gm</v>
      </c>
      <c r="D66" s="105">
        <f t="shared" si="14"/>
        <v>580</v>
      </c>
      <c r="E66" s="258">
        <f t="shared" ref="E66:E81" si="18">$C$53</f>
        <v>8.0296874999999996</v>
      </c>
      <c r="F66" s="109">
        <f t="shared" si="15"/>
        <v>0.95</v>
      </c>
      <c r="G66" s="101">
        <f t="shared" si="16"/>
        <v>4657.21875</v>
      </c>
      <c r="H66" s="102">
        <f t="shared" si="17"/>
        <v>4424.3578124999995</v>
      </c>
    </row>
    <row r="67" spans="1:8" ht="14.25" customHeight="1" x14ac:dyDescent="0.25">
      <c r="A67" s="1455" t="s">
        <v>907</v>
      </c>
      <c r="B67" s="105" t="str">
        <f t="shared" si="14"/>
        <v>Garlic - ثوم مقشر</v>
      </c>
      <c r="C67" s="105" t="str">
        <f t="shared" si="14"/>
        <v>gm</v>
      </c>
      <c r="D67" s="105">
        <f t="shared" si="14"/>
        <v>15</v>
      </c>
      <c r="E67" s="258">
        <f t="shared" si="18"/>
        <v>8.0296874999999996</v>
      </c>
      <c r="F67" s="109">
        <f t="shared" si="15"/>
        <v>0.95</v>
      </c>
      <c r="G67" s="101">
        <f t="shared" si="16"/>
        <v>120.4453125</v>
      </c>
      <c r="H67" s="102">
        <f t="shared" si="17"/>
        <v>114.423046875</v>
      </c>
    </row>
    <row r="68" spans="1:8" ht="14.25" customHeight="1" x14ac:dyDescent="0.25">
      <c r="A68" s="1455"/>
      <c r="B68" s="105" t="str">
        <f t="shared" si="14"/>
        <v>Curry Powder - كاري بودرة</v>
      </c>
      <c r="C68" s="105" t="str">
        <f t="shared" si="14"/>
        <v>gm</v>
      </c>
      <c r="D68" s="105">
        <f t="shared" si="14"/>
        <v>10</v>
      </c>
      <c r="E68" s="258">
        <f t="shared" si="18"/>
        <v>8.0296874999999996</v>
      </c>
      <c r="F68" s="109">
        <f t="shared" si="15"/>
        <v>0.75</v>
      </c>
      <c r="G68" s="101">
        <f t="shared" si="16"/>
        <v>80.296875</v>
      </c>
      <c r="H68" s="102">
        <f t="shared" si="17"/>
        <v>60.22265625</v>
      </c>
    </row>
    <row r="69" spans="1:8" ht="14.25" customHeight="1" x14ac:dyDescent="0.25">
      <c r="A69" s="1455"/>
      <c r="B69" s="105" t="str">
        <f t="shared" si="14"/>
        <v>White Pepper - فلفل أبيض</v>
      </c>
      <c r="C69" s="105" t="str">
        <f t="shared" si="14"/>
        <v>gm</v>
      </c>
      <c r="D69" s="105">
        <f t="shared" si="14"/>
        <v>3</v>
      </c>
      <c r="E69" s="258">
        <f t="shared" si="18"/>
        <v>8.0296874999999996</v>
      </c>
      <c r="F69" s="109">
        <f t="shared" si="15"/>
        <v>0.75</v>
      </c>
      <c r="G69" s="101">
        <f t="shared" si="16"/>
        <v>24.089062499999997</v>
      </c>
      <c r="H69" s="102">
        <f t="shared" si="17"/>
        <v>18.066796874999998</v>
      </c>
    </row>
    <row r="70" spans="1:8" ht="14.25" customHeight="1" x14ac:dyDescent="0.25">
      <c r="A70" s="1455"/>
      <c r="B70" s="105" t="str">
        <f t="shared" si="14"/>
        <v>Cumin Powder - كمون مطحون</v>
      </c>
      <c r="C70" s="105" t="str">
        <f t="shared" si="14"/>
        <v>gm</v>
      </c>
      <c r="D70" s="105">
        <f t="shared" si="14"/>
        <v>5</v>
      </c>
      <c r="E70" s="258">
        <f t="shared" si="18"/>
        <v>8.0296874999999996</v>
      </c>
      <c r="F70" s="109">
        <f t="shared" si="15"/>
        <v>0.9</v>
      </c>
      <c r="G70" s="101">
        <f t="shared" si="16"/>
        <v>40.1484375</v>
      </c>
      <c r="H70" s="102">
        <f t="shared" si="17"/>
        <v>36.133593750000003</v>
      </c>
    </row>
    <row r="71" spans="1:8" ht="14.25" customHeight="1" x14ac:dyDescent="0.25">
      <c r="A71" s="1455"/>
      <c r="B71" s="105" t="str">
        <f t="shared" si="14"/>
        <v>Coriander Powder - كزبرة مطحونة</v>
      </c>
      <c r="C71" s="105" t="str">
        <f t="shared" si="14"/>
        <v>gm</v>
      </c>
      <c r="D71" s="105">
        <f t="shared" si="14"/>
        <v>5</v>
      </c>
      <c r="E71" s="258">
        <f t="shared" si="18"/>
        <v>8.0296874999999996</v>
      </c>
      <c r="F71" s="109">
        <f t="shared" si="15"/>
        <v>0.9</v>
      </c>
      <c r="G71" s="101">
        <f t="shared" si="16"/>
        <v>40.1484375</v>
      </c>
      <c r="H71" s="102">
        <f t="shared" si="17"/>
        <v>36.133593750000003</v>
      </c>
    </row>
    <row r="72" spans="1:8" ht="14.25" customHeight="1" x14ac:dyDescent="0.25">
      <c r="A72" s="1455" t="s">
        <v>908</v>
      </c>
      <c r="B72" s="105" t="str">
        <f t="shared" si="14"/>
        <v>Coriander Leaves - كزبرة خضراء</v>
      </c>
      <c r="C72" s="105" t="str">
        <f t="shared" si="14"/>
        <v>gm</v>
      </c>
      <c r="D72" s="105">
        <f t="shared" si="14"/>
        <v>10</v>
      </c>
      <c r="E72" s="258">
        <f t="shared" si="18"/>
        <v>8.0296874999999996</v>
      </c>
      <c r="F72" s="109">
        <f t="shared" si="15"/>
        <v>1</v>
      </c>
      <c r="G72" s="101">
        <f t="shared" si="16"/>
        <v>80.296875</v>
      </c>
      <c r="H72" s="102">
        <f t="shared" si="17"/>
        <v>80.296875</v>
      </c>
    </row>
    <row r="73" spans="1:8" ht="14.25" customHeight="1" x14ac:dyDescent="0.25">
      <c r="A73" s="1455"/>
      <c r="B73" s="105" t="str">
        <f t="shared" si="14"/>
        <v>Yogurt - زبادي</v>
      </c>
      <c r="C73" s="105" t="str">
        <f t="shared" si="14"/>
        <v>gm</v>
      </c>
      <c r="D73" s="105">
        <f t="shared" si="14"/>
        <v>400</v>
      </c>
      <c r="E73" s="258">
        <f t="shared" si="18"/>
        <v>8.0296874999999996</v>
      </c>
      <c r="F73" s="109">
        <f t="shared" si="15"/>
        <v>1</v>
      </c>
      <c r="G73" s="101">
        <f t="shared" si="16"/>
        <v>3211.875</v>
      </c>
      <c r="H73" s="102">
        <f t="shared" si="17"/>
        <v>3211.875</v>
      </c>
    </row>
    <row r="74" spans="1:8" ht="14.25" customHeight="1" x14ac:dyDescent="0.25">
      <c r="A74" s="1455"/>
      <c r="B74" s="105" t="str">
        <f t="shared" si="14"/>
        <v>Cooking Cream - كريمة طبخ</v>
      </c>
      <c r="C74" s="105" t="str">
        <f t="shared" si="14"/>
        <v>ml</v>
      </c>
      <c r="D74" s="105">
        <f t="shared" si="14"/>
        <v>450</v>
      </c>
      <c r="E74" s="258">
        <f t="shared" si="18"/>
        <v>8.0296874999999996</v>
      </c>
      <c r="F74" s="109">
        <f t="shared" si="15"/>
        <v>1</v>
      </c>
      <c r="G74" s="101">
        <f t="shared" si="16"/>
        <v>3613.359375</v>
      </c>
      <c r="H74" s="102">
        <f t="shared" si="17"/>
        <v>3613.359375</v>
      </c>
    </row>
    <row r="75" spans="1:8" ht="14.25" customHeight="1" x14ac:dyDescent="0.25">
      <c r="A75" s="1455"/>
      <c r="B75" s="105" t="str">
        <f t="shared" si="14"/>
        <v>Salt - ملح</v>
      </c>
      <c r="C75" s="105" t="str">
        <f t="shared" si="14"/>
        <v>gm</v>
      </c>
      <c r="D75" s="105">
        <f t="shared" si="14"/>
        <v>11</v>
      </c>
      <c r="E75" s="258">
        <f t="shared" si="18"/>
        <v>8.0296874999999996</v>
      </c>
      <c r="F75" s="109">
        <f t="shared" si="15"/>
        <v>1</v>
      </c>
      <c r="G75" s="101">
        <f t="shared" si="16"/>
        <v>88.326562499999994</v>
      </c>
      <c r="H75" s="102">
        <f t="shared" si="17"/>
        <v>88.326562499999994</v>
      </c>
    </row>
    <row r="76" spans="1:8" ht="14.25" customHeight="1" x14ac:dyDescent="0.25">
      <c r="A76" s="1455"/>
      <c r="B76" s="105" t="str">
        <f t="shared" si="14"/>
        <v>Butter - زبدة</v>
      </c>
      <c r="C76" s="105" t="str">
        <f t="shared" si="14"/>
        <v>gm</v>
      </c>
      <c r="D76" s="105">
        <f t="shared" si="14"/>
        <v>50</v>
      </c>
      <c r="E76" s="258">
        <f t="shared" si="18"/>
        <v>8.0296874999999996</v>
      </c>
      <c r="F76" s="109">
        <f t="shared" si="15"/>
        <v>1</v>
      </c>
      <c r="G76" s="101">
        <f t="shared" si="16"/>
        <v>401.484375</v>
      </c>
      <c r="H76" s="102">
        <f t="shared" si="17"/>
        <v>401.484375</v>
      </c>
    </row>
    <row r="77" spans="1:8" ht="14.25" customHeight="1" x14ac:dyDescent="0.25">
      <c r="A77" s="1455"/>
      <c r="B77" s="105" t="str">
        <f t="shared" si="14"/>
        <v>Cardamom Powder - هيل مطحون</v>
      </c>
      <c r="C77" s="105" t="str">
        <f t="shared" si="14"/>
        <v>gm</v>
      </c>
      <c r="D77" s="105">
        <f t="shared" si="14"/>
        <v>3</v>
      </c>
      <c r="E77" s="258">
        <f t="shared" si="18"/>
        <v>8.0296874999999996</v>
      </c>
      <c r="F77" s="109">
        <f t="shared" si="15"/>
        <v>0.75</v>
      </c>
      <c r="G77" s="101">
        <f t="shared" si="16"/>
        <v>24.089062499999997</v>
      </c>
      <c r="H77" s="102">
        <f t="shared" si="17"/>
        <v>18.066796874999998</v>
      </c>
    </row>
    <row r="78" spans="1:8" ht="14.25" customHeight="1" x14ac:dyDescent="0.25">
      <c r="A78" s="1455"/>
      <c r="B78" s="105" t="str">
        <f t="shared" si="14"/>
        <v>Cinnamon Powder - قرفة مطحونة</v>
      </c>
      <c r="C78" s="105" t="str">
        <f t="shared" si="14"/>
        <v>gm</v>
      </c>
      <c r="D78" s="105">
        <f t="shared" si="14"/>
        <v>2</v>
      </c>
      <c r="E78" s="258">
        <f t="shared" si="18"/>
        <v>8.0296874999999996</v>
      </c>
      <c r="F78" s="109">
        <f t="shared" si="15"/>
        <v>0.75</v>
      </c>
      <c r="G78" s="101">
        <f t="shared" si="16"/>
        <v>16.059374999999999</v>
      </c>
      <c r="H78" s="102">
        <f t="shared" si="17"/>
        <v>12.044531249999999</v>
      </c>
    </row>
    <row r="79" spans="1:8" ht="14.25" customHeight="1" x14ac:dyDescent="0.25">
      <c r="A79" s="1455" t="s">
        <v>923</v>
      </c>
      <c r="B79" s="105" t="str">
        <f t="shared" si="14"/>
        <v>Mint Leaves - نعناع طازج</v>
      </c>
      <c r="C79" s="105" t="str">
        <f t="shared" si="14"/>
        <v>gm</v>
      </c>
      <c r="D79" s="105">
        <f t="shared" si="14"/>
        <v>15</v>
      </c>
      <c r="E79" s="258">
        <f t="shared" si="18"/>
        <v>8.0296874999999996</v>
      </c>
      <c r="F79" s="109">
        <f t="shared" si="15"/>
        <v>0.85</v>
      </c>
      <c r="G79" s="101">
        <f t="shared" si="16"/>
        <v>120.4453125</v>
      </c>
      <c r="H79" s="102">
        <f t="shared" si="17"/>
        <v>102.37851562499999</v>
      </c>
    </row>
    <row r="80" spans="1:8" ht="14.25" customHeight="1" x14ac:dyDescent="0.25">
      <c r="A80" s="1455"/>
      <c r="B80" s="105" t="str">
        <f t="shared" si="14"/>
        <v>Dried Mint Leaves - نعناع مجفف</v>
      </c>
      <c r="C80" s="105" t="str">
        <f t="shared" si="14"/>
        <v>gm</v>
      </c>
      <c r="D80" s="105">
        <f t="shared" si="14"/>
        <v>1</v>
      </c>
      <c r="E80" s="258">
        <f t="shared" si="18"/>
        <v>8.0296874999999996</v>
      </c>
      <c r="F80" s="109">
        <f t="shared" si="15"/>
        <v>0.75</v>
      </c>
      <c r="G80" s="101">
        <f t="shared" si="16"/>
        <v>8.0296874999999996</v>
      </c>
      <c r="H80" s="102">
        <f t="shared" si="17"/>
        <v>6.0222656249999993</v>
      </c>
    </row>
    <row r="81" spans="1:8" ht="20.25" customHeight="1" x14ac:dyDescent="0.25">
      <c r="A81" s="1455"/>
      <c r="B81" s="105" t="str">
        <f t="shared" si="14"/>
        <v>Saffron yellow color powder - لون صفار زعفران بودر</v>
      </c>
      <c r="C81" s="105" t="str">
        <f t="shared" si="14"/>
        <v>gm</v>
      </c>
      <c r="D81" s="105">
        <f t="shared" si="14"/>
        <v>1</v>
      </c>
      <c r="E81" s="258">
        <f t="shared" si="18"/>
        <v>8.0296874999999996</v>
      </c>
      <c r="F81" s="109">
        <f t="shared" si="15"/>
        <v>1</v>
      </c>
      <c r="G81" s="101">
        <f>D81*E81</f>
        <v>8.0296874999999996</v>
      </c>
      <c r="H81" s="102">
        <f>G81*F81</f>
        <v>8.0296874999999996</v>
      </c>
    </row>
    <row r="82" spans="1:8" ht="19.5" customHeight="1" x14ac:dyDescent="0.25">
      <c r="A82" s="1458"/>
      <c r="B82" s="178" t="s">
        <v>287</v>
      </c>
      <c r="C82" s="180" t="s">
        <v>273</v>
      </c>
      <c r="D82" s="14"/>
      <c r="E82" s="180" t="s">
        <v>288</v>
      </c>
      <c r="F82" s="14"/>
      <c r="G82" s="804" t="s">
        <v>264</v>
      </c>
      <c r="H82" s="804" t="s">
        <v>673</v>
      </c>
    </row>
    <row r="83" spans="1:8" ht="22.5" customHeight="1" x14ac:dyDescent="0.3">
      <c r="A83" s="1458"/>
      <c r="B83" s="179">
        <f>$J$53</f>
        <v>17130</v>
      </c>
      <c r="C83" s="179">
        <f>E83+G83</f>
        <v>7708.4999999999991</v>
      </c>
      <c r="D83" s="189"/>
      <c r="E83" s="179">
        <f>$D$53*$S$44</f>
        <v>0</v>
      </c>
      <c r="F83" s="843"/>
      <c r="G83" s="179">
        <f>$D$53*$T$44</f>
        <v>7708.4999999999991</v>
      </c>
      <c r="H83" s="179">
        <f>B83+E83</f>
        <v>17130</v>
      </c>
    </row>
    <row r="84" spans="1:8" ht="18" customHeight="1" x14ac:dyDescent="0.25">
      <c r="A84" s="62"/>
      <c r="B84" s="84"/>
      <c r="E84" s="84"/>
      <c r="F84" s="84"/>
    </row>
    <row r="85" spans="1:8" ht="18" customHeight="1" x14ac:dyDescent="0.25">
      <c r="A85" s="1456"/>
      <c r="B85" s="1636" t="str">
        <f>"كباب اللحم 2  / " &amp; COUNTIF($C$53:$C$55, "&gt;0")</f>
        <v>كباب اللحم 2  / 1</v>
      </c>
      <c r="C85" s="1637"/>
      <c r="D85" s="1637"/>
      <c r="E85" s="1637"/>
      <c r="F85" s="1637"/>
      <c r="G85" s="1637"/>
      <c r="H85" s="1637"/>
    </row>
    <row r="86" spans="1:8" ht="25.5" customHeight="1" x14ac:dyDescent="0.25">
      <c r="A86" s="1456"/>
      <c r="B86" s="1634" t="str">
        <f>"Meat Kebab 2  / " &amp; COUNTIF($C$53:$C$55, "&gt;0")</f>
        <v>Meat Kebab 2  / 1</v>
      </c>
      <c r="C86" s="1635"/>
      <c r="D86" s="1635"/>
      <c r="E86" s="1635"/>
      <c r="F86" s="1635"/>
      <c r="G86" s="1635"/>
      <c r="H86" s="1635"/>
    </row>
    <row r="87" spans="1:8" ht="38.25" customHeight="1" x14ac:dyDescent="0.2">
      <c r="A87" s="1457"/>
      <c r="B87" s="221" t="s">
        <v>241</v>
      </c>
      <c r="C87" s="222" t="s">
        <v>242</v>
      </c>
      <c r="D87" s="223" t="s">
        <v>231</v>
      </c>
      <c r="E87" s="197" t="s">
        <v>234</v>
      </c>
      <c r="F87" s="197" t="s">
        <v>243</v>
      </c>
      <c r="G87" s="223" t="s">
        <v>244</v>
      </c>
      <c r="H87" s="197" t="s">
        <v>245</v>
      </c>
    </row>
    <row r="88" spans="1:8" ht="14.25" customHeight="1" x14ac:dyDescent="0.25">
      <c r="A88" s="1455"/>
      <c r="B88" s="105" t="str">
        <f t="shared" ref="B88:D104" si="19">B5</f>
        <v>Indian Meat Tammam Mafroom - مفروم هندى</v>
      </c>
      <c r="C88" s="105" t="str">
        <f t="shared" si="19"/>
        <v>gm</v>
      </c>
      <c r="D88" s="240">
        <f t="shared" si="19"/>
        <v>3831.3793103448274</v>
      </c>
      <c r="E88" s="201">
        <f>H54</f>
        <v>0</v>
      </c>
      <c r="F88" s="109">
        <f t="shared" ref="F88:F104" si="20">F5</f>
        <v>1</v>
      </c>
      <c r="G88" s="101">
        <f t="shared" ref="G88:G103" si="21">D88*E88</f>
        <v>0</v>
      </c>
      <c r="H88" s="102">
        <f t="shared" ref="H88:H103" si="22">G88*F88</f>
        <v>0</v>
      </c>
    </row>
    <row r="89" spans="1:8" ht="14.25" customHeight="1" x14ac:dyDescent="0.25">
      <c r="A89" s="1455" t="s">
        <v>905</v>
      </c>
      <c r="B89" s="105" t="str">
        <f t="shared" si="19"/>
        <v>Onion - بصل</v>
      </c>
      <c r="C89" s="105" t="str">
        <f t="shared" si="19"/>
        <v>gm</v>
      </c>
      <c r="D89" s="105">
        <f t="shared" si="19"/>
        <v>580</v>
      </c>
      <c r="E89" s="201">
        <f t="shared" ref="E89:E104" si="23">$C$54</f>
        <v>0</v>
      </c>
      <c r="F89" s="109">
        <f t="shared" si="20"/>
        <v>0.95</v>
      </c>
      <c r="G89" s="101">
        <f t="shared" si="21"/>
        <v>0</v>
      </c>
      <c r="H89" s="102">
        <f t="shared" si="22"/>
        <v>0</v>
      </c>
    </row>
    <row r="90" spans="1:8" ht="14.25" customHeight="1" x14ac:dyDescent="0.25">
      <c r="A90" s="1455" t="s">
        <v>907</v>
      </c>
      <c r="B90" s="105" t="str">
        <f t="shared" si="19"/>
        <v>Garlic - ثوم مقشر</v>
      </c>
      <c r="C90" s="105" t="str">
        <f t="shared" si="19"/>
        <v>gm</v>
      </c>
      <c r="D90" s="105">
        <f t="shared" si="19"/>
        <v>15</v>
      </c>
      <c r="E90" s="201">
        <f t="shared" si="23"/>
        <v>0</v>
      </c>
      <c r="F90" s="109">
        <f t="shared" si="20"/>
        <v>0.95</v>
      </c>
      <c r="G90" s="101">
        <f t="shared" si="21"/>
        <v>0</v>
      </c>
      <c r="H90" s="102">
        <f t="shared" si="22"/>
        <v>0</v>
      </c>
    </row>
    <row r="91" spans="1:8" ht="14.25" customHeight="1" x14ac:dyDescent="0.25">
      <c r="A91" s="1455"/>
      <c r="B91" s="105" t="str">
        <f t="shared" si="19"/>
        <v>Curry Powder - كاري بودرة</v>
      </c>
      <c r="C91" s="105" t="str">
        <f t="shared" si="19"/>
        <v>gm</v>
      </c>
      <c r="D91" s="105">
        <f t="shared" si="19"/>
        <v>10</v>
      </c>
      <c r="E91" s="201">
        <f t="shared" si="23"/>
        <v>0</v>
      </c>
      <c r="F91" s="109">
        <f t="shared" si="20"/>
        <v>0.75</v>
      </c>
      <c r="G91" s="101">
        <f t="shared" si="21"/>
        <v>0</v>
      </c>
      <c r="H91" s="102">
        <f t="shared" si="22"/>
        <v>0</v>
      </c>
    </row>
    <row r="92" spans="1:8" ht="14.25" customHeight="1" x14ac:dyDescent="0.25">
      <c r="A92" s="1455"/>
      <c r="B92" s="105" t="str">
        <f t="shared" si="19"/>
        <v>White Pepper - فلفل أبيض</v>
      </c>
      <c r="C92" s="105" t="str">
        <f t="shared" si="19"/>
        <v>gm</v>
      </c>
      <c r="D92" s="105">
        <f t="shared" si="19"/>
        <v>3</v>
      </c>
      <c r="E92" s="201">
        <f t="shared" si="23"/>
        <v>0</v>
      </c>
      <c r="F92" s="109">
        <f t="shared" si="20"/>
        <v>0.75</v>
      </c>
      <c r="G92" s="101">
        <f t="shared" si="21"/>
        <v>0</v>
      </c>
      <c r="H92" s="102">
        <f t="shared" si="22"/>
        <v>0</v>
      </c>
    </row>
    <row r="93" spans="1:8" ht="14.25" customHeight="1" x14ac:dyDescent="0.25">
      <c r="A93" s="1455"/>
      <c r="B93" s="105" t="str">
        <f t="shared" si="19"/>
        <v>Cumin Powder - كمون مطحون</v>
      </c>
      <c r="C93" s="105" t="str">
        <f t="shared" si="19"/>
        <v>gm</v>
      </c>
      <c r="D93" s="105">
        <f t="shared" si="19"/>
        <v>5</v>
      </c>
      <c r="E93" s="201">
        <f t="shared" si="23"/>
        <v>0</v>
      </c>
      <c r="F93" s="109">
        <f t="shared" si="20"/>
        <v>0.9</v>
      </c>
      <c r="G93" s="101">
        <f t="shared" si="21"/>
        <v>0</v>
      </c>
      <c r="H93" s="102">
        <f t="shared" si="22"/>
        <v>0</v>
      </c>
    </row>
    <row r="94" spans="1:8" ht="14.25" customHeight="1" x14ac:dyDescent="0.25">
      <c r="A94" s="1455"/>
      <c r="B94" s="105" t="str">
        <f t="shared" si="19"/>
        <v>Coriander Powder - كزبرة مطحونة</v>
      </c>
      <c r="C94" s="105" t="str">
        <f t="shared" si="19"/>
        <v>gm</v>
      </c>
      <c r="D94" s="105">
        <f t="shared" si="19"/>
        <v>5</v>
      </c>
      <c r="E94" s="201">
        <f t="shared" si="23"/>
        <v>0</v>
      </c>
      <c r="F94" s="109">
        <f t="shared" si="20"/>
        <v>0.9</v>
      </c>
      <c r="G94" s="101">
        <f t="shared" si="21"/>
        <v>0</v>
      </c>
      <c r="H94" s="102">
        <f t="shared" si="22"/>
        <v>0</v>
      </c>
    </row>
    <row r="95" spans="1:8" ht="14.25" customHeight="1" x14ac:dyDescent="0.25">
      <c r="A95" s="1455" t="s">
        <v>908</v>
      </c>
      <c r="B95" s="105" t="str">
        <f t="shared" si="19"/>
        <v>Coriander Leaves - كزبرة خضراء</v>
      </c>
      <c r="C95" s="105" t="str">
        <f t="shared" si="19"/>
        <v>gm</v>
      </c>
      <c r="D95" s="105">
        <f t="shared" si="19"/>
        <v>10</v>
      </c>
      <c r="E95" s="201">
        <f t="shared" si="23"/>
        <v>0</v>
      </c>
      <c r="F95" s="109">
        <f t="shared" si="20"/>
        <v>1</v>
      </c>
      <c r="G95" s="101">
        <f t="shared" si="21"/>
        <v>0</v>
      </c>
      <c r="H95" s="102">
        <f t="shared" si="22"/>
        <v>0</v>
      </c>
    </row>
    <row r="96" spans="1:8" ht="14.25" customHeight="1" x14ac:dyDescent="0.25">
      <c r="A96" s="1455"/>
      <c r="B96" s="105" t="str">
        <f t="shared" si="19"/>
        <v>Yogurt - زبادي</v>
      </c>
      <c r="C96" s="105" t="str">
        <f t="shared" si="19"/>
        <v>gm</v>
      </c>
      <c r="D96" s="105">
        <f t="shared" si="19"/>
        <v>400</v>
      </c>
      <c r="E96" s="201">
        <f t="shared" si="23"/>
        <v>0</v>
      </c>
      <c r="F96" s="109">
        <f t="shared" si="20"/>
        <v>1</v>
      </c>
      <c r="G96" s="101">
        <f t="shared" si="21"/>
        <v>0</v>
      </c>
      <c r="H96" s="102">
        <f t="shared" si="22"/>
        <v>0</v>
      </c>
    </row>
    <row r="97" spans="1:10" ht="14.25" customHeight="1" x14ac:dyDescent="0.25">
      <c r="A97" s="1455"/>
      <c r="B97" s="105" t="str">
        <f t="shared" si="19"/>
        <v>Cooking Cream - كريمة طبخ</v>
      </c>
      <c r="C97" s="105" t="str">
        <f t="shared" si="19"/>
        <v>ml</v>
      </c>
      <c r="D97" s="105">
        <f t="shared" si="19"/>
        <v>450</v>
      </c>
      <c r="E97" s="201">
        <f t="shared" si="23"/>
        <v>0</v>
      </c>
      <c r="F97" s="109">
        <f t="shared" si="20"/>
        <v>1</v>
      </c>
      <c r="G97" s="101">
        <f t="shared" si="21"/>
        <v>0</v>
      </c>
      <c r="H97" s="102">
        <f t="shared" si="22"/>
        <v>0</v>
      </c>
    </row>
    <row r="98" spans="1:10" ht="14.25" customHeight="1" x14ac:dyDescent="0.25">
      <c r="A98" s="1455"/>
      <c r="B98" s="105" t="str">
        <f t="shared" si="19"/>
        <v>Salt - ملح</v>
      </c>
      <c r="C98" s="105" t="str">
        <f t="shared" si="19"/>
        <v>gm</v>
      </c>
      <c r="D98" s="105">
        <f t="shared" si="19"/>
        <v>11</v>
      </c>
      <c r="E98" s="201">
        <f t="shared" si="23"/>
        <v>0</v>
      </c>
      <c r="F98" s="109">
        <f t="shared" si="20"/>
        <v>1</v>
      </c>
      <c r="G98" s="101">
        <f t="shared" si="21"/>
        <v>0</v>
      </c>
      <c r="H98" s="102">
        <f t="shared" si="22"/>
        <v>0</v>
      </c>
    </row>
    <row r="99" spans="1:10" ht="14.25" customHeight="1" x14ac:dyDescent="0.25">
      <c r="A99" s="1455"/>
      <c r="B99" s="105" t="str">
        <f t="shared" si="19"/>
        <v>Butter - زبدة</v>
      </c>
      <c r="C99" s="105" t="str">
        <f t="shared" si="19"/>
        <v>gm</v>
      </c>
      <c r="D99" s="105">
        <f t="shared" si="19"/>
        <v>50</v>
      </c>
      <c r="E99" s="201">
        <f t="shared" si="23"/>
        <v>0</v>
      </c>
      <c r="F99" s="109">
        <f t="shared" si="20"/>
        <v>1</v>
      </c>
      <c r="G99" s="101">
        <f t="shared" si="21"/>
        <v>0</v>
      </c>
      <c r="H99" s="102">
        <f t="shared" si="22"/>
        <v>0</v>
      </c>
    </row>
    <row r="100" spans="1:10" ht="14.25" customHeight="1" x14ac:dyDescent="0.25">
      <c r="A100" s="1455"/>
      <c r="B100" s="105" t="str">
        <f t="shared" si="19"/>
        <v>Cardamom Powder - هيل مطحون</v>
      </c>
      <c r="C100" s="105" t="str">
        <f t="shared" si="19"/>
        <v>gm</v>
      </c>
      <c r="D100" s="105">
        <f t="shared" si="19"/>
        <v>3</v>
      </c>
      <c r="E100" s="201">
        <f t="shared" si="23"/>
        <v>0</v>
      </c>
      <c r="F100" s="109">
        <f t="shared" si="20"/>
        <v>0.75</v>
      </c>
      <c r="G100" s="101">
        <f t="shared" si="21"/>
        <v>0</v>
      </c>
      <c r="H100" s="102">
        <f t="shared" si="22"/>
        <v>0</v>
      </c>
    </row>
    <row r="101" spans="1:10" ht="14.25" customHeight="1" x14ac:dyDescent="0.25">
      <c r="A101" s="1455"/>
      <c r="B101" s="105" t="str">
        <f t="shared" si="19"/>
        <v>Cinnamon Powder - قرفة مطحونة</v>
      </c>
      <c r="C101" s="105" t="str">
        <f t="shared" si="19"/>
        <v>gm</v>
      </c>
      <c r="D101" s="105">
        <f t="shared" si="19"/>
        <v>2</v>
      </c>
      <c r="E101" s="201">
        <f t="shared" si="23"/>
        <v>0</v>
      </c>
      <c r="F101" s="109">
        <f t="shared" si="20"/>
        <v>0.75</v>
      </c>
      <c r="G101" s="101">
        <f t="shared" si="21"/>
        <v>0</v>
      </c>
      <c r="H101" s="102">
        <f t="shared" si="22"/>
        <v>0</v>
      </c>
    </row>
    <row r="102" spans="1:10" ht="14.25" customHeight="1" x14ac:dyDescent="0.25">
      <c r="A102" s="1455" t="s">
        <v>923</v>
      </c>
      <c r="B102" s="105" t="str">
        <f t="shared" si="19"/>
        <v>Mint Leaves - نعناع طازج</v>
      </c>
      <c r="C102" s="105" t="str">
        <f t="shared" si="19"/>
        <v>gm</v>
      </c>
      <c r="D102" s="105">
        <f t="shared" si="19"/>
        <v>15</v>
      </c>
      <c r="E102" s="201">
        <f t="shared" si="23"/>
        <v>0</v>
      </c>
      <c r="F102" s="109">
        <f t="shared" si="20"/>
        <v>0.85</v>
      </c>
      <c r="G102" s="101">
        <f t="shared" si="21"/>
        <v>0</v>
      </c>
      <c r="H102" s="102">
        <f t="shared" si="22"/>
        <v>0</v>
      </c>
    </row>
    <row r="103" spans="1:10" ht="20.25" customHeight="1" x14ac:dyDescent="0.3">
      <c r="A103" s="1455"/>
      <c r="B103" s="105" t="str">
        <f t="shared" si="19"/>
        <v>Dried Mint Leaves - نعناع مجفف</v>
      </c>
      <c r="C103" s="105" t="str">
        <f t="shared" si="19"/>
        <v>gm</v>
      </c>
      <c r="D103" s="105">
        <f t="shared" si="19"/>
        <v>1</v>
      </c>
      <c r="E103" s="201">
        <f t="shared" si="23"/>
        <v>0</v>
      </c>
      <c r="F103" s="109">
        <f t="shared" si="20"/>
        <v>0.75</v>
      </c>
      <c r="G103" s="101">
        <f t="shared" si="21"/>
        <v>0</v>
      </c>
      <c r="H103" s="102">
        <f t="shared" si="22"/>
        <v>0</v>
      </c>
      <c r="I103" s="184"/>
      <c r="J103" s="183"/>
    </row>
    <row r="104" spans="1:10" x14ac:dyDescent="0.25">
      <c r="A104" s="1455"/>
      <c r="B104" s="105" t="str">
        <f t="shared" si="19"/>
        <v>Saffron yellow color powder - لون صفار زعفران بودر</v>
      </c>
      <c r="C104" s="105" t="str">
        <f t="shared" si="19"/>
        <v>gm</v>
      </c>
      <c r="D104" s="105">
        <f t="shared" si="19"/>
        <v>1</v>
      </c>
      <c r="E104" s="201">
        <f t="shared" si="23"/>
        <v>0</v>
      </c>
      <c r="F104" s="109">
        <f t="shared" si="20"/>
        <v>1</v>
      </c>
      <c r="G104" s="101">
        <f>D104*E104</f>
        <v>0</v>
      </c>
      <c r="H104" s="102">
        <f>G104*F104</f>
        <v>0</v>
      </c>
    </row>
    <row r="105" spans="1:10" ht="18" x14ac:dyDescent="0.25">
      <c r="A105" s="1458"/>
      <c r="B105" s="178" t="s">
        <v>287</v>
      </c>
      <c r="C105" s="180" t="s">
        <v>273</v>
      </c>
      <c r="D105" s="14"/>
      <c r="E105" s="180" t="s">
        <v>288</v>
      </c>
      <c r="F105" s="14"/>
      <c r="G105" s="804" t="s">
        <v>264</v>
      </c>
      <c r="H105" s="804" t="s">
        <v>673</v>
      </c>
    </row>
    <row r="106" spans="1:10" ht="25.5" customHeight="1" x14ac:dyDescent="0.3">
      <c r="A106" s="1458"/>
      <c r="B106" s="179">
        <f>$J$54</f>
        <v>0</v>
      </c>
      <c r="C106" s="179">
        <f>E106+G106</f>
        <v>0</v>
      </c>
      <c r="D106" s="189"/>
      <c r="E106" s="179">
        <f>$D$54*$S$44</f>
        <v>0</v>
      </c>
      <c r="F106" s="843"/>
      <c r="G106" s="179">
        <f>$D$54*$T$44</f>
        <v>0</v>
      </c>
      <c r="H106" s="179">
        <f>B106+E106</f>
        <v>0</v>
      </c>
    </row>
    <row r="107" spans="1:10" x14ac:dyDescent="0.25">
      <c r="A107" s="62"/>
    </row>
    <row r="108" spans="1:10" x14ac:dyDescent="0.25">
      <c r="A108" s="62"/>
    </row>
    <row r="109" spans="1:10" x14ac:dyDescent="0.25">
      <c r="A109" s="62"/>
    </row>
    <row r="110" spans="1:10" x14ac:dyDescent="0.25">
      <c r="A110" s="62"/>
    </row>
    <row r="111" spans="1:10" x14ac:dyDescent="0.25">
      <c r="A111" s="62"/>
    </row>
    <row r="112" spans="1:10"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0">
    <mergeCell ref="B86:H86"/>
    <mergeCell ref="AE2:AG3"/>
    <mergeCell ref="B85:H85"/>
    <mergeCell ref="R26:U26"/>
    <mergeCell ref="AN2:AN3"/>
    <mergeCell ref="R25:U25"/>
    <mergeCell ref="B62:H62"/>
    <mergeCell ref="F2:F3"/>
    <mergeCell ref="B63:H63"/>
    <mergeCell ref="AK2:AM2"/>
  </mergeCells>
  <printOptions horizontalCentered="1"/>
  <pageMargins left="0.4" right="0.4" top="1" bottom="0.5" header="0.3" footer="0.511811023622047"/>
  <pageSetup paperSize="9" scale="41" orientation="landscape"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rgb="FFC55A11"/>
    <pageSetUpPr fitToPage="1"/>
  </sheetPr>
  <dimension ref="A1:AT174"/>
  <sheetViews>
    <sheetView topLeftCell="K1" zoomScale="70" zoomScaleNormal="70" workbookViewId="0">
      <selection activeCell="A5" sqref="A5:A174"/>
    </sheetView>
  </sheetViews>
  <sheetFormatPr defaultColWidth="12.5" defaultRowHeight="15" x14ac:dyDescent="0.25"/>
  <cols>
    <col min="1" max="1" width="12.5" style="63" customWidth="1"/>
    <col min="2" max="2" width="40.12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875" style="14" customWidth="1"/>
    <col min="15" max="17" width="12.5" style="14" customWidth="1"/>
    <col min="18" max="18" width="32.875" style="14" customWidth="1"/>
    <col min="19" max="19" width="12.5" style="14" customWidth="1"/>
    <col min="20" max="29" width="12.5" style="14"/>
    <col min="30" max="31" width="12.5" style="753"/>
    <col min="32" max="35" width="12.5" style="14"/>
    <col min="36" max="36" width="31.875" style="14" customWidth="1"/>
    <col min="37" max="16384" width="12.5" style="14"/>
  </cols>
  <sheetData>
    <row r="1" spans="1:46" ht="35.25" customHeight="1" x14ac:dyDescent="0.25">
      <c r="B1" s="64" t="s">
        <v>231</v>
      </c>
      <c r="C1" s="65">
        <v>1000</v>
      </c>
      <c r="D1" s="66" t="s">
        <v>232</v>
      </c>
      <c r="E1" s="99">
        <f>T32</f>
        <v>10812</v>
      </c>
      <c r="F1" s="64" t="s">
        <v>233</v>
      </c>
      <c r="G1" s="227">
        <f>E1/C1</f>
        <v>10.811999999999999</v>
      </c>
      <c r="H1" s="64" t="s">
        <v>234</v>
      </c>
      <c r="I1" s="259">
        <f>G1/K1</f>
        <v>11.032653061224488</v>
      </c>
      <c r="J1" s="70" t="s">
        <v>235</v>
      </c>
      <c r="K1" s="303">
        <f>9.8/10</f>
        <v>0.98000000000000009</v>
      </c>
      <c r="L1" s="84"/>
      <c r="M1" s="73"/>
      <c r="N1" s="74"/>
      <c r="O1" s="75" t="s">
        <v>236</v>
      </c>
      <c r="P1" s="76" t="s">
        <v>299</v>
      </c>
      <c r="Q1" s="77" t="s">
        <v>238</v>
      </c>
      <c r="R1" s="76">
        <v>0.54</v>
      </c>
      <c r="Y1" s="75" t="s">
        <v>453</v>
      </c>
      <c r="Z1" s="766">
        <v>26030</v>
      </c>
      <c r="AA1" s="75" t="s">
        <v>556</v>
      </c>
      <c r="AB1" s="766">
        <v>1000</v>
      </c>
      <c r="AC1" s="75" t="s">
        <v>546</v>
      </c>
      <c r="AD1" s="766">
        <v>185</v>
      </c>
      <c r="AE1" s="749"/>
      <c r="AF1" s="230"/>
      <c r="AG1" s="76"/>
      <c r="AI1" s="1"/>
      <c r="AJ1" s="78" t="s">
        <v>250</v>
      </c>
      <c r="AK1" s="78">
        <v>10000</v>
      </c>
      <c r="AL1" s="561" t="s">
        <v>503</v>
      </c>
      <c r="AM1" s="562">
        <f>$S$32</f>
        <v>27030</v>
      </c>
      <c r="AN1" s="78" t="s">
        <v>239</v>
      </c>
      <c r="AO1" s="305">
        <f>((S32)/$R$1)/$AK$1</f>
        <v>5.0055555555555555</v>
      </c>
      <c r="AP1" s="79"/>
      <c r="AQ1"/>
      <c r="AR1"/>
      <c r="AS1"/>
      <c r="AT1"/>
    </row>
    <row r="2" spans="1:46" ht="12.75" customHeight="1" x14ac:dyDescent="0.25">
      <c r="A2" s="81"/>
      <c r="B2" s="1645" t="s">
        <v>826</v>
      </c>
      <c r="C2" s="1655"/>
      <c r="D2" s="1655"/>
      <c r="E2" s="1655"/>
      <c r="F2" s="1655"/>
      <c r="G2" s="1655"/>
      <c r="H2" s="1655"/>
      <c r="I2" s="1655"/>
      <c r="J2" s="1655"/>
      <c r="K2" s="370"/>
      <c r="L2" s="270"/>
      <c r="M2" s="84"/>
      <c r="N2" s="84"/>
      <c r="O2" s="84"/>
      <c r="P2" s="84"/>
      <c r="Q2" s="84"/>
      <c r="R2" s="84"/>
      <c r="AC2" s="83"/>
      <c r="AD2" s="750"/>
      <c r="AE2" s="1652"/>
      <c r="AF2" s="1655"/>
      <c r="AG2" s="1655"/>
      <c r="AI2" s="1"/>
      <c r="AJ2" s="85"/>
      <c r="AK2" s="1631" t="s">
        <v>830</v>
      </c>
      <c r="AL2" s="1631"/>
      <c r="AM2" s="1631"/>
      <c r="AN2" s="1631"/>
      <c r="AO2" s="85"/>
      <c r="AP2" s="85"/>
      <c r="AQ2"/>
      <c r="AR2"/>
      <c r="AS2"/>
      <c r="AT2"/>
    </row>
    <row r="3" spans="1:46" ht="12.75" customHeight="1" x14ac:dyDescent="0.25">
      <c r="A3" s="81"/>
      <c r="B3" s="1633"/>
      <c r="C3" s="1633"/>
      <c r="D3" s="1633"/>
      <c r="E3" s="1633"/>
      <c r="F3" s="1633"/>
      <c r="G3" s="1633"/>
      <c r="H3" s="1633"/>
      <c r="I3" s="1633"/>
      <c r="J3" s="1633"/>
      <c r="K3" s="370"/>
      <c r="L3" s="270"/>
      <c r="M3" s="84"/>
      <c r="N3" s="84"/>
      <c r="O3" s="84"/>
      <c r="P3" s="84"/>
      <c r="Q3" s="84"/>
      <c r="R3" s="84"/>
      <c r="AC3" s="83"/>
      <c r="AD3" s="750"/>
      <c r="AE3" s="1655"/>
      <c r="AF3" s="1655"/>
      <c r="AG3" s="1655"/>
      <c r="AI3" s="1"/>
      <c r="AJ3" s="85"/>
      <c r="AK3" s="1631"/>
      <c r="AL3" s="1631"/>
      <c r="AM3" s="1631"/>
      <c r="AN3" s="1631"/>
      <c r="AO3" s="85"/>
      <c r="AP3" s="85"/>
      <c r="AQ3"/>
      <c r="AR3"/>
      <c r="AS3"/>
      <c r="AT3"/>
    </row>
    <row r="4" spans="1:46" ht="35.25" customHeight="1" x14ac:dyDescent="0.25">
      <c r="A4" s="75" t="s">
        <v>903</v>
      </c>
      <c r="B4" s="75" t="s">
        <v>241</v>
      </c>
      <c r="C4" s="90" t="s">
        <v>242</v>
      </c>
      <c r="D4" s="75" t="s">
        <v>231</v>
      </c>
      <c r="E4" s="91" t="s">
        <v>234</v>
      </c>
      <c r="F4" s="91" t="s">
        <v>243</v>
      </c>
      <c r="G4" s="75" t="s">
        <v>244</v>
      </c>
      <c r="H4" s="90" t="s">
        <v>335</v>
      </c>
      <c r="I4" s="75" t="s">
        <v>246</v>
      </c>
      <c r="J4" s="75" t="s">
        <v>247</v>
      </c>
      <c r="K4" s="75" t="s">
        <v>248</v>
      </c>
      <c r="L4" s="75" t="s">
        <v>249</v>
      </c>
      <c r="M4" s="84"/>
      <c r="N4" s="84"/>
      <c r="O4" s="84"/>
      <c r="P4" s="84"/>
      <c r="AA4" s="229"/>
      <c r="AB4" s="231"/>
      <c r="AC4" s="229"/>
      <c r="AD4" s="748"/>
      <c r="AE4" s="748"/>
      <c r="AI4" s="1"/>
      <c r="AJ4" s="78" t="s">
        <v>241</v>
      </c>
      <c r="AK4" s="493" t="s">
        <v>242</v>
      </c>
      <c r="AL4" s="78" t="s">
        <v>250</v>
      </c>
      <c r="AM4" s="78" t="s">
        <v>234</v>
      </c>
      <c r="AN4" s="78" t="s">
        <v>243</v>
      </c>
      <c r="AO4" s="78" t="s">
        <v>244</v>
      </c>
      <c r="AP4" s="78" t="s">
        <v>335</v>
      </c>
      <c r="AQ4" s="75" t="s">
        <v>246</v>
      </c>
      <c r="AR4" s="75" t="s">
        <v>247</v>
      </c>
      <c r="AS4" s="75" t="s">
        <v>248</v>
      </c>
      <c r="AT4" s="75" t="s">
        <v>249</v>
      </c>
    </row>
    <row r="5" spans="1:46" ht="14.25" customHeight="1" x14ac:dyDescent="0.25">
      <c r="A5" s="1454"/>
      <c r="B5" s="20" t="s">
        <v>225</v>
      </c>
      <c r="C5" s="97" t="s">
        <v>14</v>
      </c>
      <c r="D5" s="103">
        <f>I51/10</f>
        <v>4629.6296296296296</v>
      </c>
      <c r="E5" s="99">
        <f>H52</f>
        <v>10.811999999999999</v>
      </c>
      <c r="F5" s="109">
        <v>1</v>
      </c>
      <c r="G5" s="101">
        <f t="shared" ref="G5:G21" si="0">D5*E5</f>
        <v>50055.555555555555</v>
      </c>
      <c r="H5" s="102">
        <f t="shared" ref="H5:H21" si="1">G5*F5</f>
        <v>50055.555555555555</v>
      </c>
      <c r="I5" s="65">
        <f>VLOOKUP(B5,All_Ingredients!$A$1:$F$156,6,FALSE())</f>
        <v>0.47</v>
      </c>
      <c r="J5" s="101">
        <f>VLOOKUP(B5,All_Ingredients!$A$1:$J$156,10,FALSE())</f>
        <v>12</v>
      </c>
      <c r="K5" s="104">
        <f t="shared" ref="K5" si="2">(H5/I5)/1000</f>
        <v>106.50118203309694</v>
      </c>
      <c r="L5" s="104">
        <f t="shared" ref="L5" si="3">K5*J5</f>
        <v>1278.0141843971633</v>
      </c>
      <c r="M5" s="84"/>
      <c r="N5" s="84"/>
      <c r="O5" s="84"/>
      <c r="P5" s="84"/>
      <c r="AA5" s="76"/>
      <c r="AB5" s="114"/>
      <c r="AC5" s="232"/>
      <c r="AD5" s="751"/>
      <c r="AE5" s="752"/>
      <c r="AI5" s="1"/>
      <c r="AJ5" s="246" t="s">
        <v>225</v>
      </c>
      <c r="AK5" s="106" t="s">
        <v>227</v>
      </c>
      <c r="AL5" s="98">
        <v>10</v>
      </c>
      <c r="AM5" s="201">
        <f t="shared" ref="AM5:AM13" si="4">$AO$1</f>
        <v>5.0055555555555555</v>
      </c>
      <c r="AN5" s="109">
        <v>1</v>
      </c>
      <c r="AO5" s="101">
        <f t="shared" ref="AO5:AO13" si="5">AL5*AM5</f>
        <v>50.055555555555557</v>
      </c>
      <c r="AP5" s="102">
        <f t="shared" ref="AP5:AP13" si="6">AO5*AN5</f>
        <v>50.055555555555557</v>
      </c>
      <c r="AQ5" s="272"/>
      <c r="AR5" s="1017"/>
      <c r="AS5" s="156"/>
      <c r="AT5" s="1018"/>
    </row>
    <row r="6" spans="1:46" ht="14.25" customHeight="1" x14ac:dyDescent="0.25">
      <c r="A6" s="1471" t="s">
        <v>920</v>
      </c>
      <c r="B6" s="20" t="s">
        <v>12</v>
      </c>
      <c r="C6" s="106" t="s">
        <v>14</v>
      </c>
      <c r="D6" s="107">
        <v>300</v>
      </c>
      <c r="E6" s="177">
        <f t="shared" ref="E6:E21" si="7">$I$1</f>
        <v>11.032653061224488</v>
      </c>
      <c r="F6" s="109">
        <v>0.95</v>
      </c>
      <c r="G6" s="101">
        <f t="shared" si="0"/>
        <v>3309.7959183673465</v>
      </c>
      <c r="H6" s="102">
        <f t="shared" si="1"/>
        <v>3144.3061224489788</v>
      </c>
      <c r="I6" s="65">
        <f>VLOOKUP(B6,All_Ingredients!$A$1:$F$156,6,FALSE())</f>
        <v>0.9</v>
      </c>
      <c r="J6" s="101">
        <f>VLOOKUP(B6,All_Ingredients!$A$1:$J$156,10,FALSE())</f>
        <v>3</v>
      </c>
      <c r="K6" s="104">
        <f t="shared" ref="K6:K21" si="8">(H6/I6)/1000</f>
        <v>3.4936734693877542</v>
      </c>
      <c r="L6" s="104">
        <f t="shared" ref="L6:L21" si="9">K6*J6</f>
        <v>10.481020408163262</v>
      </c>
      <c r="AI6" s="1" t="s">
        <v>55</v>
      </c>
      <c r="AJ6" s="350" t="s">
        <v>54</v>
      </c>
      <c r="AK6" s="310" t="s">
        <v>14</v>
      </c>
      <c r="AL6" s="98">
        <v>100</v>
      </c>
      <c r="AM6" s="201">
        <f t="shared" si="4"/>
        <v>5.0055555555555555</v>
      </c>
      <c r="AN6" s="109">
        <v>1</v>
      </c>
      <c r="AO6" s="101">
        <f t="shared" si="5"/>
        <v>500.55555555555554</v>
      </c>
      <c r="AP6" s="102">
        <f t="shared" si="6"/>
        <v>500.55555555555554</v>
      </c>
      <c r="AQ6" s="1018">
        <f>VLOOKUP(AJ6,Marination_Ordering!$A:$J,6,FALSE)</f>
        <v>0.87</v>
      </c>
      <c r="AR6" s="1018">
        <f>VLOOKUP(AJ6,Marination_Ordering!$A:$J,10,FALSE)</f>
        <v>7</v>
      </c>
      <c r="AS6" s="156">
        <f>AP6/AQ6</f>
        <v>575.35121328224773</v>
      </c>
      <c r="AT6" s="1018">
        <f>AR6*(AS6/1000)</f>
        <v>4.0274584929757342</v>
      </c>
    </row>
    <row r="7" spans="1:46" ht="14.25" customHeight="1" x14ac:dyDescent="0.25">
      <c r="A7" s="1471" t="s">
        <v>907</v>
      </c>
      <c r="B7" s="20" t="s">
        <v>727</v>
      </c>
      <c r="C7" s="106" t="s">
        <v>14</v>
      </c>
      <c r="D7" s="107">
        <v>25</v>
      </c>
      <c r="E7" s="177">
        <f t="shared" si="7"/>
        <v>11.032653061224488</v>
      </c>
      <c r="F7" s="109">
        <v>1</v>
      </c>
      <c r="G7" s="101">
        <f t="shared" si="0"/>
        <v>275.81632653061223</v>
      </c>
      <c r="H7" s="102">
        <f t="shared" si="1"/>
        <v>275.81632653061223</v>
      </c>
      <c r="I7" s="65">
        <f>VLOOKUP(B7,All_Ingredients!$A$1:$F$156,6,FALSE())</f>
        <v>1</v>
      </c>
      <c r="J7" s="101">
        <f>VLOOKUP(B7,All_Ingredients!$A$1:$J$156,10,FALSE())</f>
        <v>10.5</v>
      </c>
      <c r="K7" s="104">
        <f t="shared" si="8"/>
        <v>0.27581632653061222</v>
      </c>
      <c r="L7" s="104">
        <f t="shared" si="9"/>
        <v>2.8960714285714282</v>
      </c>
      <c r="AI7" s="1" t="s">
        <v>13</v>
      </c>
      <c r="AJ7" s="350" t="s">
        <v>727</v>
      </c>
      <c r="AK7" s="310" t="s">
        <v>14</v>
      </c>
      <c r="AL7" s="98">
        <v>200</v>
      </c>
      <c r="AM7" s="201">
        <f t="shared" si="4"/>
        <v>5.0055555555555555</v>
      </c>
      <c r="AN7" s="109">
        <v>1</v>
      </c>
      <c r="AO7" s="101">
        <f t="shared" si="5"/>
        <v>1001.1111111111111</v>
      </c>
      <c r="AP7" s="102">
        <f t="shared" si="6"/>
        <v>1001.1111111111111</v>
      </c>
      <c r="AQ7" s="1018">
        <f>VLOOKUP(AJ7,Marination_Ordering!$A:$J,6,FALSE)</f>
        <v>1</v>
      </c>
      <c r="AR7" s="1018">
        <f>VLOOKUP(AJ7,Marination_Ordering!$A:$J,10,FALSE)</f>
        <v>10.5</v>
      </c>
      <c r="AS7" s="156">
        <f t="shared" ref="AS7:AS13" si="10">AP7/AQ7</f>
        <v>1001.1111111111111</v>
      </c>
      <c r="AT7" s="1018">
        <f t="shared" ref="AT7:AT13" si="11">AR7*(AS7/1000)</f>
        <v>10.511666666666667</v>
      </c>
    </row>
    <row r="8" spans="1:46" ht="14.25" customHeight="1" x14ac:dyDescent="0.25">
      <c r="A8" s="1471" t="s">
        <v>909</v>
      </c>
      <c r="B8" s="20" t="s">
        <v>17</v>
      </c>
      <c r="C8" s="106" t="s">
        <v>14</v>
      </c>
      <c r="D8" s="107">
        <v>300</v>
      </c>
      <c r="E8" s="177">
        <f t="shared" si="7"/>
        <v>11.032653061224488</v>
      </c>
      <c r="F8" s="109">
        <v>1</v>
      </c>
      <c r="G8" s="101">
        <f t="shared" si="0"/>
        <v>3309.7959183673465</v>
      </c>
      <c r="H8" s="102">
        <f t="shared" si="1"/>
        <v>3309.7959183673465</v>
      </c>
      <c r="I8" s="65">
        <f>VLOOKUP(B8,All_Ingredients!$A$1:$F$156,6,FALSE())</f>
        <v>0.98</v>
      </c>
      <c r="J8" s="101">
        <f>VLOOKUP(B8,All_Ingredients!$A$1:$J$156,10,FALSE())</f>
        <v>3.5</v>
      </c>
      <c r="K8" s="104">
        <f t="shared" si="8"/>
        <v>3.377342773844231</v>
      </c>
      <c r="L8" s="104">
        <f t="shared" si="9"/>
        <v>11.820699708454809</v>
      </c>
      <c r="AI8" s="1" t="s">
        <v>204</v>
      </c>
      <c r="AJ8" s="350" t="s">
        <v>212</v>
      </c>
      <c r="AK8" s="310" t="s">
        <v>160</v>
      </c>
      <c r="AL8" s="98">
        <v>450</v>
      </c>
      <c r="AM8" s="201">
        <f t="shared" si="4"/>
        <v>5.0055555555555555</v>
      </c>
      <c r="AN8" s="109">
        <v>1</v>
      </c>
      <c r="AO8" s="101">
        <f t="shared" si="5"/>
        <v>2252.5</v>
      </c>
      <c r="AP8" s="102">
        <f t="shared" si="6"/>
        <v>2252.5</v>
      </c>
      <c r="AQ8" s="1018">
        <f>VLOOKUP(AJ8,Marination_Ordering!$A:$J,6,FALSE)</f>
        <v>1</v>
      </c>
      <c r="AR8" s="1018">
        <f>VLOOKUP(AJ8,Marination_Ordering!$A:$J,10,FALSE)</f>
        <v>5</v>
      </c>
      <c r="AS8" s="156">
        <f t="shared" si="10"/>
        <v>2252.5</v>
      </c>
      <c r="AT8" s="1018">
        <f t="shared" si="11"/>
        <v>11.262499999999999</v>
      </c>
    </row>
    <row r="9" spans="1:46" ht="14.25" customHeight="1" x14ac:dyDescent="0.25">
      <c r="A9" s="1471" t="s">
        <v>906</v>
      </c>
      <c r="B9" s="20" t="s">
        <v>54</v>
      </c>
      <c r="C9" s="106" t="s">
        <v>14</v>
      </c>
      <c r="D9" s="107">
        <v>20</v>
      </c>
      <c r="E9" s="177">
        <f t="shared" si="7"/>
        <v>11.032653061224488</v>
      </c>
      <c r="F9" s="109">
        <v>1</v>
      </c>
      <c r="G9" s="101">
        <f t="shared" si="0"/>
        <v>220.65306122448976</v>
      </c>
      <c r="H9" s="102">
        <f t="shared" si="1"/>
        <v>220.65306122448976</v>
      </c>
      <c r="I9" s="65">
        <f>VLOOKUP(B9,All_Ingredients!$A$1:$F$156,6,FALSE())</f>
        <v>0.87</v>
      </c>
      <c r="J9" s="101">
        <f>VLOOKUP(B9,All_Ingredients!$A$1:$J$156,10,FALSE())</f>
        <v>7</v>
      </c>
      <c r="K9" s="104">
        <f t="shared" si="8"/>
        <v>0.25362420830401122</v>
      </c>
      <c r="L9" s="104">
        <f t="shared" si="9"/>
        <v>1.7753694581280786</v>
      </c>
      <c r="AI9" s="1" t="s">
        <v>204</v>
      </c>
      <c r="AJ9" s="350" t="s">
        <v>208</v>
      </c>
      <c r="AK9" s="106" t="s">
        <v>160</v>
      </c>
      <c r="AL9" s="201">
        <v>100</v>
      </c>
      <c r="AM9" s="201">
        <f t="shared" si="4"/>
        <v>5.0055555555555555</v>
      </c>
      <c r="AN9" s="109">
        <v>1</v>
      </c>
      <c r="AO9" s="101">
        <f t="shared" si="5"/>
        <v>500.55555555555554</v>
      </c>
      <c r="AP9" s="102">
        <f t="shared" si="6"/>
        <v>500.55555555555554</v>
      </c>
      <c r="AQ9" s="1018">
        <f>VLOOKUP(AJ9,Marination_Ordering!$A:$J,6,FALSE)</f>
        <v>1</v>
      </c>
      <c r="AR9" s="1018">
        <f>VLOOKUP(AJ9,Marination_Ordering!$A:$J,10,FALSE)</f>
        <v>2.1621621621621623</v>
      </c>
      <c r="AS9" s="156">
        <f t="shared" si="10"/>
        <v>500.55555555555554</v>
      </c>
      <c r="AT9" s="1018">
        <f t="shared" si="11"/>
        <v>1.0822822822822822</v>
      </c>
    </row>
    <row r="10" spans="1:46" ht="14.25" customHeight="1" x14ac:dyDescent="0.25">
      <c r="A10" s="1471"/>
      <c r="B10" s="20" t="s">
        <v>108</v>
      </c>
      <c r="C10" s="106" t="s">
        <v>14</v>
      </c>
      <c r="D10" s="107">
        <v>25</v>
      </c>
      <c r="E10" s="177">
        <f t="shared" si="7"/>
        <v>11.032653061224488</v>
      </c>
      <c r="F10" s="109">
        <v>0.75</v>
      </c>
      <c r="G10" s="101">
        <f t="shared" si="0"/>
        <v>275.81632653061223</v>
      </c>
      <c r="H10" s="102">
        <f t="shared" si="1"/>
        <v>206.86224489795916</v>
      </c>
      <c r="I10" s="65">
        <f>VLOOKUP(B10,All_Ingredients!$A$1:$F$156,6,FALSE())</f>
        <v>1</v>
      </c>
      <c r="J10" s="101">
        <f>VLOOKUP(B10,All_Ingredients!$A$1:$J$156,10,FALSE())</f>
        <v>26.5</v>
      </c>
      <c r="K10" s="104">
        <f t="shared" si="8"/>
        <v>0.20686224489795915</v>
      </c>
      <c r="L10" s="104">
        <f t="shared" si="9"/>
        <v>5.4818494897959171</v>
      </c>
      <c r="AI10" s="1" t="s">
        <v>94</v>
      </c>
      <c r="AJ10" s="299" t="s">
        <v>93</v>
      </c>
      <c r="AK10" s="310" t="s">
        <v>14</v>
      </c>
      <c r="AL10" s="98">
        <v>2</v>
      </c>
      <c r="AM10" s="201">
        <f t="shared" si="4"/>
        <v>5.0055555555555555</v>
      </c>
      <c r="AN10" s="109">
        <v>1</v>
      </c>
      <c r="AO10" s="101">
        <f t="shared" si="5"/>
        <v>10.011111111111111</v>
      </c>
      <c r="AP10" s="102">
        <f t="shared" si="6"/>
        <v>10.011111111111111</v>
      </c>
      <c r="AQ10" s="1018">
        <f>VLOOKUP(AJ10,Marination_Ordering!$A:$J,6,FALSE)</f>
        <v>1</v>
      </c>
      <c r="AR10" s="1018">
        <f>VLOOKUP(AJ10,Marination_Ordering!$A:$J,10,FALSE)</f>
        <v>0.74</v>
      </c>
      <c r="AS10" s="156">
        <f t="shared" si="10"/>
        <v>10.011111111111111</v>
      </c>
      <c r="AT10" s="1018">
        <f t="shared" si="11"/>
        <v>7.4082222222222223E-3</v>
      </c>
    </row>
    <row r="11" spans="1:46" ht="14.25" customHeight="1" x14ac:dyDescent="0.25">
      <c r="A11" s="1471"/>
      <c r="B11" s="20" t="s">
        <v>103</v>
      </c>
      <c r="C11" s="106" t="s">
        <v>14</v>
      </c>
      <c r="D11" s="107">
        <v>5</v>
      </c>
      <c r="E11" s="177">
        <f t="shared" si="7"/>
        <v>11.032653061224488</v>
      </c>
      <c r="F11" s="109">
        <v>1</v>
      </c>
      <c r="G11" s="101">
        <f t="shared" si="0"/>
        <v>55.16326530612244</v>
      </c>
      <c r="H11" s="102">
        <f t="shared" si="1"/>
        <v>55.16326530612244</v>
      </c>
      <c r="I11" s="65">
        <f>VLOOKUP(B11,All_Ingredients!$A$1:$F$156,6,FALSE())</f>
        <v>1</v>
      </c>
      <c r="J11" s="101">
        <f>VLOOKUP(B11,All_Ingredients!$A$1:$J$156,10,FALSE())</f>
        <v>19</v>
      </c>
      <c r="K11" s="104">
        <f t="shared" si="8"/>
        <v>5.5163265306122443E-2</v>
      </c>
      <c r="L11" s="104">
        <f t="shared" si="9"/>
        <v>1.0481020408163264</v>
      </c>
      <c r="AI11" s="1" t="s">
        <v>94</v>
      </c>
      <c r="AJ11" s="350" t="s">
        <v>99</v>
      </c>
      <c r="AK11" s="310" t="s">
        <v>14</v>
      </c>
      <c r="AL11" s="98">
        <v>2</v>
      </c>
      <c r="AM11" s="201">
        <f t="shared" si="4"/>
        <v>5.0055555555555555</v>
      </c>
      <c r="AN11" s="109">
        <v>1</v>
      </c>
      <c r="AO11" s="101">
        <f t="shared" si="5"/>
        <v>10.011111111111111</v>
      </c>
      <c r="AP11" s="102">
        <f t="shared" si="6"/>
        <v>10.011111111111111</v>
      </c>
      <c r="AQ11" s="1018">
        <f>VLOOKUP(AJ11,Marination_Ordering!$A:$J,6,FALSE)</f>
        <v>1</v>
      </c>
      <c r="AR11" s="1018">
        <f>VLOOKUP(AJ11,Marination_Ordering!$A:$J,10,FALSE)</f>
        <v>31</v>
      </c>
      <c r="AS11" s="156">
        <f t="shared" si="10"/>
        <v>10.011111111111111</v>
      </c>
      <c r="AT11" s="1018">
        <f t="shared" si="11"/>
        <v>0.31034444444444442</v>
      </c>
    </row>
    <row r="12" spans="1:46" ht="14.25" customHeight="1" x14ac:dyDescent="0.25">
      <c r="A12" s="1471"/>
      <c r="B12" s="20" t="s">
        <v>124</v>
      </c>
      <c r="C12" s="106" t="s">
        <v>14</v>
      </c>
      <c r="D12" s="107">
        <v>2</v>
      </c>
      <c r="E12" s="177">
        <f t="shared" si="7"/>
        <v>11.032653061224488</v>
      </c>
      <c r="F12" s="109">
        <v>0.75</v>
      </c>
      <c r="G12" s="101">
        <f t="shared" si="0"/>
        <v>22.065306122448977</v>
      </c>
      <c r="H12" s="102">
        <f t="shared" si="1"/>
        <v>16.548979591836734</v>
      </c>
      <c r="I12" s="65">
        <f>VLOOKUP(B12,All_Ingredients!$A$1:$F$156,6,FALSE())</f>
        <v>1</v>
      </c>
      <c r="J12" s="101">
        <f>VLOOKUP(B12,All_Ingredients!$A$1:$J$156,10,FALSE())</f>
        <v>37</v>
      </c>
      <c r="K12" s="104">
        <f t="shared" si="8"/>
        <v>1.6548979591836734E-2</v>
      </c>
      <c r="L12" s="104">
        <f t="shared" si="9"/>
        <v>0.61231224489795921</v>
      </c>
      <c r="AI12" s="1" t="s">
        <v>94</v>
      </c>
      <c r="AJ12" s="299" t="s">
        <v>105</v>
      </c>
      <c r="AK12" s="310" t="s">
        <v>14</v>
      </c>
      <c r="AL12" s="98">
        <v>25</v>
      </c>
      <c r="AM12" s="201">
        <f t="shared" si="4"/>
        <v>5.0055555555555555</v>
      </c>
      <c r="AN12" s="109">
        <v>1</v>
      </c>
      <c r="AO12" s="101">
        <f t="shared" si="5"/>
        <v>125.13888888888889</v>
      </c>
      <c r="AP12" s="102">
        <f t="shared" si="6"/>
        <v>125.13888888888889</v>
      </c>
      <c r="AQ12" s="1018">
        <f>VLOOKUP(AJ12,Marination_Ordering!$A:$J,6,FALSE)</f>
        <v>1</v>
      </c>
      <c r="AR12" s="1018">
        <f>VLOOKUP(AJ12,Marination_Ordering!$A:$J,10,FALSE)</f>
        <v>15</v>
      </c>
      <c r="AS12" s="156">
        <f t="shared" si="10"/>
        <v>125.13888888888889</v>
      </c>
      <c r="AT12" s="1018">
        <f t="shared" si="11"/>
        <v>1.8770833333333332</v>
      </c>
    </row>
    <row r="13" spans="1:46" ht="14.25" customHeight="1" x14ac:dyDescent="0.25">
      <c r="A13" s="1471"/>
      <c r="B13" s="20" t="s">
        <v>724</v>
      </c>
      <c r="C13" s="106" t="s">
        <v>14</v>
      </c>
      <c r="D13" s="107">
        <v>3</v>
      </c>
      <c r="E13" s="177">
        <f t="shared" si="7"/>
        <v>11.032653061224488</v>
      </c>
      <c r="F13" s="109">
        <v>0.75</v>
      </c>
      <c r="G13" s="101">
        <f t="shared" si="0"/>
        <v>33.097959183673467</v>
      </c>
      <c r="H13" s="102">
        <f t="shared" si="1"/>
        <v>24.8234693877551</v>
      </c>
      <c r="I13" s="65">
        <f>VLOOKUP(B13,All_Ingredients!$A$1:$F$156,6,FALSE())</f>
        <v>1</v>
      </c>
      <c r="J13" s="101">
        <f>VLOOKUP(B13,All_Ingredients!$A$1:$J$156,10,FALSE())</f>
        <v>52</v>
      </c>
      <c r="K13" s="104">
        <f t="shared" si="8"/>
        <v>2.48234693877551E-2</v>
      </c>
      <c r="L13" s="104">
        <f t="shared" si="9"/>
        <v>1.2908204081632653</v>
      </c>
      <c r="AI13" s="1" t="s">
        <v>190</v>
      </c>
      <c r="AJ13" s="553" t="s">
        <v>202</v>
      </c>
      <c r="AK13" s="310" t="s">
        <v>14</v>
      </c>
      <c r="AL13" s="107">
        <v>300</v>
      </c>
      <c r="AM13" s="201">
        <f t="shared" si="4"/>
        <v>5.0055555555555555</v>
      </c>
      <c r="AN13" s="109">
        <v>1</v>
      </c>
      <c r="AO13" s="101">
        <f t="shared" si="5"/>
        <v>1501.6666666666667</v>
      </c>
      <c r="AP13" s="102">
        <f t="shared" si="6"/>
        <v>1501.6666666666667</v>
      </c>
      <c r="AQ13" s="1018">
        <f>VLOOKUP(AJ13,Marination_Ordering!$A:$J,6,FALSE)</f>
        <v>1</v>
      </c>
      <c r="AR13" s="1018">
        <f>VLOOKUP(AJ13,Marination_Ordering!$A:$J,10,FALSE)</f>
        <v>11.243386243386244</v>
      </c>
      <c r="AS13" s="156">
        <f t="shared" si="10"/>
        <v>1501.6666666666667</v>
      </c>
      <c r="AT13" s="1018">
        <f t="shared" si="11"/>
        <v>16.883818342151677</v>
      </c>
    </row>
    <row r="14" spans="1:46" ht="14.25" customHeight="1" x14ac:dyDescent="0.25">
      <c r="A14" s="1471"/>
      <c r="B14" s="20" t="s">
        <v>139</v>
      </c>
      <c r="C14" s="106" t="s">
        <v>14</v>
      </c>
      <c r="D14" s="107">
        <v>10</v>
      </c>
      <c r="E14" s="177">
        <f t="shared" si="7"/>
        <v>11.032653061224488</v>
      </c>
      <c r="F14" s="109">
        <v>1</v>
      </c>
      <c r="G14" s="101">
        <f t="shared" si="0"/>
        <v>110.32653061224488</v>
      </c>
      <c r="H14" s="102">
        <f t="shared" si="1"/>
        <v>110.32653061224488</v>
      </c>
      <c r="I14" s="65">
        <f>VLOOKUP(B14,All_Ingredients!$A$1:$F$156,6,FALSE())</f>
        <v>1</v>
      </c>
      <c r="J14" s="101">
        <f>VLOOKUP(B14,All_Ingredients!$A$1:$J$156,10,FALSE())</f>
        <v>15.277777777777779</v>
      </c>
      <c r="K14" s="104">
        <f t="shared" si="8"/>
        <v>0.11032653061224489</v>
      </c>
      <c r="L14" s="104">
        <f t="shared" si="9"/>
        <v>1.6855442176870747</v>
      </c>
    </row>
    <row r="15" spans="1:46" ht="14.25" customHeight="1" x14ac:dyDescent="0.25">
      <c r="A15" s="1471" t="s">
        <v>923</v>
      </c>
      <c r="B15" s="20" t="s">
        <v>34</v>
      </c>
      <c r="C15" s="106" t="s">
        <v>14</v>
      </c>
      <c r="D15" s="107">
        <v>5</v>
      </c>
      <c r="E15" s="177">
        <f t="shared" si="7"/>
        <v>11.032653061224488</v>
      </c>
      <c r="F15" s="109">
        <v>0.75</v>
      </c>
      <c r="G15" s="101">
        <f t="shared" si="0"/>
        <v>55.16326530612244</v>
      </c>
      <c r="H15" s="102">
        <f t="shared" si="1"/>
        <v>41.37244897959183</v>
      </c>
      <c r="I15" s="65">
        <f>VLOOKUP(B15,All_Ingredients!$A$1:$F$156,6,FALSE())</f>
        <v>0.86</v>
      </c>
      <c r="J15" s="101">
        <f>VLOOKUP(B15,All_Ingredients!$A$1:$J$156,10,FALSE())</f>
        <v>14</v>
      </c>
      <c r="K15" s="104">
        <f t="shared" si="8"/>
        <v>4.8107498813478873E-2</v>
      </c>
      <c r="L15" s="104">
        <f t="shared" si="9"/>
        <v>0.67350498338870424</v>
      </c>
    </row>
    <row r="16" spans="1:46" ht="14.25" customHeight="1" x14ac:dyDescent="0.25">
      <c r="A16" s="1471"/>
      <c r="B16" s="20" t="s">
        <v>118</v>
      </c>
      <c r="C16" s="106" t="s">
        <v>14</v>
      </c>
      <c r="D16" s="107">
        <v>5</v>
      </c>
      <c r="E16" s="177">
        <f t="shared" si="7"/>
        <v>11.032653061224488</v>
      </c>
      <c r="F16" s="109">
        <v>0.75</v>
      </c>
      <c r="G16" s="101">
        <f t="shared" si="0"/>
        <v>55.16326530612244</v>
      </c>
      <c r="H16" s="102">
        <f t="shared" si="1"/>
        <v>41.37244897959183</v>
      </c>
      <c r="I16" s="65">
        <f>VLOOKUP(B16,All_Ingredients!$A$1:$F$156,6,FALSE())</f>
        <v>1</v>
      </c>
      <c r="J16" s="101">
        <f>VLOOKUP(B16,All_Ingredients!$A$1:$J$156,10,FALSE())</f>
        <v>15</v>
      </c>
      <c r="K16" s="104">
        <f t="shared" si="8"/>
        <v>4.137244897959183E-2</v>
      </c>
      <c r="L16" s="104">
        <f t="shared" si="9"/>
        <v>0.62058673469387748</v>
      </c>
    </row>
    <row r="17" spans="1:30" ht="14.25" customHeight="1" x14ac:dyDescent="0.25">
      <c r="A17" s="1471"/>
      <c r="B17" s="20" t="s">
        <v>837</v>
      </c>
      <c r="C17" s="106" t="s">
        <v>14</v>
      </c>
      <c r="D17" s="107">
        <v>2</v>
      </c>
      <c r="E17" s="177">
        <f t="shared" si="7"/>
        <v>11.032653061224488</v>
      </c>
      <c r="F17" s="109">
        <v>1</v>
      </c>
      <c r="G17" s="101">
        <f t="shared" si="0"/>
        <v>22.065306122448977</v>
      </c>
      <c r="H17" s="102">
        <f t="shared" si="1"/>
        <v>22.065306122448977</v>
      </c>
      <c r="I17" s="65">
        <f>VLOOKUP(B17,All_Ingredients!$A$1:$F$156,6,FALSE())</f>
        <v>1</v>
      </c>
      <c r="J17" s="101">
        <f>VLOOKUP(B17,All_Ingredients!$A$1:$J$156,10,FALSE())</f>
        <v>22.5</v>
      </c>
      <c r="K17" s="104">
        <f t="shared" si="8"/>
        <v>2.2065306122448978E-2</v>
      </c>
      <c r="L17" s="104">
        <f t="shared" si="9"/>
        <v>0.49646938775510202</v>
      </c>
    </row>
    <row r="18" spans="1:30" ht="14.25" customHeight="1" x14ac:dyDescent="0.25">
      <c r="A18" s="1471"/>
      <c r="B18" s="20" t="s">
        <v>166</v>
      </c>
      <c r="C18" s="106" t="s">
        <v>160</v>
      </c>
      <c r="D18" s="107">
        <v>500</v>
      </c>
      <c r="E18" s="177">
        <f t="shared" si="7"/>
        <v>11.032653061224488</v>
      </c>
      <c r="F18" s="109">
        <v>1</v>
      </c>
      <c r="G18" s="101">
        <f t="shared" si="0"/>
        <v>5516.3265306122439</v>
      </c>
      <c r="H18" s="102">
        <f t="shared" si="1"/>
        <v>5516.3265306122439</v>
      </c>
      <c r="I18" s="65">
        <f>VLOOKUP(B18,All_Ingredients!$A$1:$F$156,6,FALSE())</f>
        <v>1</v>
      </c>
      <c r="J18" s="101">
        <f>VLOOKUP(B18,All_Ingredients!$A$1:$J$156,10,FALSE())</f>
        <v>12.666666666666666</v>
      </c>
      <c r="K18" s="104">
        <f t="shared" si="8"/>
        <v>5.5163265306122442</v>
      </c>
      <c r="L18" s="104">
        <f t="shared" si="9"/>
        <v>69.873469387755094</v>
      </c>
    </row>
    <row r="19" spans="1:30" ht="14.25" customHeight="1" x14ac:dyDescent="0.25">
      <c r="A19" s="1471"/>
      <c r="B19" s="20" t="s">
        <v>203</v>
      </c>
      <c r="C19" s="106" t="s">
        <v>160</v>
      </c>
      <c r="D19" s="107">
        <v>500</v>
      </c>
      <c r="E19" s="177">
        <f t="shared" si="7"/>
        <v>11.032653061224488</v>
      </c>
      <c r="F19" s="109">
        <v>0.75</v>
      </c>
      <c r="G19" s="101">
        <f t="shared" si="0"/>
        <v>5516.3265306122439</v>
      </c>
      <c r="H19" s="102">
        <f t="shared" si="1"/>
        <v>4137.2448979591827</v>
      </c>
      <c r="I19" s="65">
        <f>VLOOKUP(B19,All_Ingredients!$A$1:$F$156,6,FALSE())</f>
        <v>1</v>
      </c>
      <c r="J19" s="101">
        <f>VLOOKUP(B19,All_Ingredients!$A$1:$J$156,10,FALSE())</f>
        <v>0</v>
      </c>
      <c r="K19" s="104">
        <f t="shared" si="8"/>
        <v>4.1372448979591825</v>
      </c>
      <c r="L19" s="104">
        <f t="shared" si="9"/>
        <v>0</v>
      </c>
    </row>
    <row r="20" spans="1:30" ht="14.25" customHeight="1" x14ac:dyDescent="0.25">
      <c r="A20" s="1471"/>
      <c r="B20" s="244" t="s">
        <v>152</v>
      </c>
      <c r="C20" s="106" t="s">
        <v>14</v>
      </c>
      <c r="D20" s="107">
        <v>45</v>
      </c>
      <c r="E20" s="177">
        <f t="shared" si="7"/>
        <v>11.032653061224488</v>
      </c>
      <c r="F20" s="109">
        <v>1</v>
      </c>
      <c r="G20" s="101">
        <f t="shared" si="0"/>
        <v>496.46938775510199</v>
      </c>
      <c r="H20" s="102">
        <f t="shared" si="1"/>
        <v>496.46938775510199</v>
      </c>
      <c r="I20" s="65">
        <f>VLOOKUP(B20,All_Ingredients!$A$1:$F$156,6,FALSE())</f>
        <v>1</v>
      </c>
      <c r="J20" s="101">
        <f>VLOOKUP(B20,All_Ingredients!$A$1:$J$156,10,FALSE())</f>
        <v>30</v>
      </c>
      <c r="K20" s="104">
        <f t="shared" si="8"/>
        <v>0.49646938775510197</v>
      </c>
      <c r="L20" s="104">
        <f t="shared" si="9"/>
        <v>14.894081632653059</v>
      </c>
    </row>
    <row r="21" spans="1:30" ht="14.25" customHeight="1" x14ac:dyDescent="0.25">
      <c r="A21" s="1472"/>
      <c r="B21" s="303" t="s">
        <v>187</v>
      </c>
      <c r="C21" s="97" t="s">
        <v>14</v>
      </c>
      <c r="D21" s="107">
        <v>45</v>
      </c>
      <c r="E21" s="201">
        <f t="shared" si="7"/>
        <v>11.032653061224488</v>
      </c>
      <c r="F21" s="109">
        <v>1</v>
      </c>
      <c r="G21" s="101">
        <f t="shared" si="0"/>
        <v>496.46938775510199</v>
      </c>
      <c r="H21" s="102">
        <f t="shared" si="1"/>
        <v>496.46938775510199</v>
      </c>
      <c r="I21" s="65">
        <f>VLOOKUP(B21,All_Ingredients!$A$1:$F$156,6,FALSE())</f>
        <v>0.9</v>
      </c>
      <c r="J21" s="103">
        <f>VLOOKUP(B21,All_Ingredients!$A$1:$J$156,10,FALSE())</f>
        <v>2.3199999999999998</v>
      </c>
      <c r="K21" s="104">
        <f t="shared" si="8"/>
        <v>0.55163265306122444</v>
      </c>
      <c r="L21" s="104">
        <f t="shared" si="9"/>
        <v>1.2797877551020407</v>
      </c>
    </row>
    <row r="22" spans="1:30" ht="14.25" customHeight="1" x14ac:dyDescent="0.25">
      <c r="A22" s="1472"/>
      <c r="L22" s="274"/>
      <c r="V22"/>
    </row>
    <row r="23" spans="1:30" ht="14.25" customHeight="1" x14ac:dyDescent="0.25">
      <c r="A23" s="1472"/>
      <c r="L23" s="274"/>
      <c r="V23"/>
    </row>
    <row r="24" spans="1:30" ht="14.25" customHeight="1" x14ac:dyDescent="0.25">
      <c r="A24" s="1472"/>
      <c r="L24" s="274"/>
      <c r="V24"/>
      <c r="Z24" s="1073"/>
    </row>
    <row r="25" spans="1:30" ht="14.25" customHeight="1" x14ac:dyDescent="0.25">
      <c r="A25" s="1472"/>
      <c r="L25" s="274"/>
      <c r="R25" s="1726" t="s">
        <v>830</v>
      </c>
      <c r="S25" s="1714"/>
      <c r="T25" s="1714"/>
      <c r="U25" s="1714"/>
      <c r="V25" s="1059"/>
      <c r="Z25" s="122" t="s">
        <v>252</v>
      </c>
      <c r="AA25" s="123">
        <v>1</v>
      </c>
      <c r="AB25" s="122" t="s">
        <v>249</v>
      </c>
      <c r="AC25" s="1072">
        <f>AD30*AA25</f>
        <v>4.8495915119182519E-2</v>
      </c>
      <c r="AD25" s="14"/>
    </row>
    <row r="26" spans="1:30" ht="14.25" customHeight="1" x14ac:dyDescent="0.25">
      <c r="A26" s="1472"/>
      <c r="L26" s="274"/>
      <c r="Q26"/>
      <c r="R26" s="1654" t="s">
        <v>297</v>
      </c>
      <c r="S26" s="1633"/>
      <c r="T26" s="1633"/>
      <c r="U26" s="1633"/>
      <c r="V26" s="1059"/>
      <c r="AD26" s="14"/>
    </row>
    <row r="27" spans="1:30" ht="14.25" customHeight="1" thickBot="1" x14ac:dyDescent="0.3">
      <c r="A27" s="1472"/>
      <c r="Q27"/>
      <c r="R27" s="126" t="s">
        <v>254</v>
      </c>
      <c r="S27" s="127" t="s">
        <v>469</v>
      </c>
      <c r="T27" s="127" t="s">
        <v>256</v>
      </c>
      <c r="U27" s="127" t="s">
        <v>257</v>
      </c>
      <c r="V27" s="127" t="s">
        <v>772</v>
      </c>
      <c r="W27" s="127" t="s">
        <v>779</v>
      </c>
      <c r="Z27" s="122" t="s">
        <v>258</v>
      </c>
      <c r="AA27" s="128" t="s">
        <v>259</v>
      </c>
      <c r="AB27" s="128" t="s">
        <v>260</v>
      </c>
      <c r="AC27" s="1032" t="s">
        <v>779</v>
      </c>
      <c r="AD27" s="128" t="s">
        <v>262</v>
      </c>
    </row>
    <row r="28" spans="1:30" ht="14.25" customHeight="1" thickBot="1" x14ac:dyDescent="0.3">
      <c r="A28" s="1472"/>
      <c r="B28" s="84"/>
      <c r="E28" s="84"/>
      <c r="F28" s="84"/>
      <c r="Q28"/>
      <c r="R28" s="129" t="s">
        <v>263</v>
      </c>
      <c r="S28" s="696">
        <f>$Z$1</f>
        <v>26030</v>
      </c>
      <c r="T28" s="281"/>
      <c r="U28" s="690">
        <f>S28/S40</f>
        <v>26030</v>
      </c>
      <c r="V28" s="130">
        <f>SUM(AP5:AP13)</f>
        <v>5951.6055555555549</v>
      </c>
      <c r="W28" s="130">
        <f>SUM(H37:H38)</f>
        <v>12.950000000000001</v>
      </c>
      <c r="Z28" s="132"/>
      <c r="AA28" s="133">
        <f>AA25*$S$40</f>
        <v>1</v>
      </c>
      <c r="AB28" s="133">
        <f>AA25*$U$40</f>
        <v>0</v>
      </c>
      <c r="AC28" s="1034"/>
      <c r="AD28" s="135">
        <f>SUM(AA28:AC28)</f>
        <v>1</v>
      </c>
    </row>
    <row r="29" spans="1:30" ht="14.25" customHeight="1" thickBot="1" x14ac:dyDescent="0.3">
      <c r="A29" s="1472"/>
      <c r="B29" s="84"/>
      <c r="C29" s="777"/>
      <c r="D29" s="777"/>
      <c r="E29" s="777"/>
      <c r="F29" s="777"/>
      <c r="G29" s="777"/>
      <c r="H29"/>
      <c r="Q29"/>
      <c r="R29" s="129" t="s">
        <v>264</v>
      </c>
      <c r="S29" s="136"/>
      <c r="T29" s="130">
        <f>S28*0.4</f>
        <v>10412</v>
      </c>
      <c r="U29" s="690">
        <f>T29</f>
        <v>10412</v>
      </c>
      <c r="V29" s="130"/>
      <c r="W29" s="130"/>
      <c r="Z29" s="132"/>
      <c r="AA29" s="137">
        <f>AA28/$AD$28</f>
        <v>1</v>
      </c>
      <c r="AB29" s="137">
        <f>AB28/$AD$28</f>
        <v>0</v>
      </c>
      <c r="AC29" s="1038"/>
      <c r="AD29" s="137">
        <f>AD28/$AD$28</f>
        <v>1</v>
      </c>
    </row>
    <row r="30" spans="1:30" ht="14.25" customHeight="1" thickBot="1" x14ac:dyDescent="0.3">
      <c r="A30" s="1472"/>
      <c r="B30" s="347"/>
      <c r="C30" s="324"/>
      <c r="D30" s="241"/>
      <c r="E30" s="347"/>
      <c r="F30" s="347"/>
      <c r="G30" s="241"/>
      <c r="H30" s="53"/>
      <c r="Q30"/>
      <c r="R30" s="129" t="s">
        <v>265</v>
      </c>
      <c r="S30" s="1173">
        <f>$AB$1</f>
        <v>1000</v>
      </c>
      <c r="T30" s="690">
        <f>(S30*0.4)</f>
        <v>400</v>
      </c>
      <c r="U30" s="690">
        <f>S30+T30</f>
        <v>1400</v>
      </c>
      <c r="V30" s="989"/>
      <c r="W30" s="989"/>
      <c r="Z30" s="122" t="s">
        <v>266</v>
      </c>
      <c r="AA30" s="138">
        <f>S35/(S32)</f>
        <v>4.7281323877068564E-2</v>
      </c>
      <c r="AB30" s="139">
        <f>T35/T32</f>
        <v>3.5962218378205514E-3</v>
      </c>
      <c r="AC30" s="1045">
        <f>V35/U32</f>
        <v>1.2145912421139568E-3</v>
      </c>
      <c r="AD30" s="1047">
        <f>SUMPRODUCT(AA30:AB30,AA29:AB29)+AC30</f>
        <v>4.8495915119182519E-2</v>
      </c>
    </row>
    <row r="31" spans="1:30" ht="14.25" customHeight="1" thickBot="1" x14ac:dyDescent="0.3">
      <c r="A31" s="1472"/>
      <c r="B31" s="84"/>
      <c r="E31" s="84"/>
      <c r="F31" s="84"/>
      <c r="Q31"/>
      <c r="R31" s="129" t="s">
        <v>267</v>
      </c>
      <c r="S31" s="136"/>
      <c r="T31" s="130"/>
      <c r="U31" s="130"/>
      <c r="V31" s="130"/>
      <c r="W31" s="130"/>
    </row>
    <row r="32" spans="1:30" ht="14.25" customHeight="1" thickBot="1" x14ac:dyDescent="0.3">
      <c r="A32" s="1472"/>
      <c r="Q32"/>
      <c r="R32" s="141" t="s">
        <v>257</v>
      </c>
      <c r="S32" s="130">
        <f>SUM(S28:S30)</f>
        <v>27030</v>
      </c>
      <c r="T32" s="130">
        <f>SUM(T28:T30)</f>
        <v>10812</v>
      </c>
      <c r="U32" s="130">
        <f>SUM(S32:T32)</f>
        <v>37842</v>
      </c>
      <c r="V32" s="130">
        <f>SUM(V28:V30)</f>
        <v>5951.6055555555549</v>
      </c>
      <c r="W32" s="130">
        <f>SUM(W28:W30)</f>
        <v>12.950000000000001</v>
      </c>
    </row>
    <row r="33" spans="1:23" ht="14.25" customHeight="1" thickBot="1" x14ac:dyDescent="0.3">
      <c r="A33" s="1472"/>
      <c r="Q33"/>
      <c r="R33" s="142" t="s">
        <v>268</v>
      </c>
      <c r="S33" s="136"/>
      <c r="T33" s="136"/>
      <c r="U33" s="136"/>
      <c r="V33" s="136"/>
      <c r="W33" s="136"/>
    </row>
    <row r="34" spans="1:23" ht="14.25" customHeight="1" thickBot="1" x14ac:dyDescent="0.3">
      <c r="A34" s="1472"/>
      <c r="Q34"/>
      <c r="R34" s="143" t="s">
        <v>269</v>
      </c>
      <c r="S34" s="136"/>
      <c r="T34" s="130"/>
      <c r="U34" s="136"/>
      <c r="V34" s="136"/>
      <c r="W34" s="136"/>
    </row>
    <row r="35" spans="1:23" ht="14.25" customHeight="1" thickBot="1" x14ac:dyDescent="0.3">
      <c r="A35" s="1472"/>
      <c r="B35" s="1681" t="s">
        <v>831</v>
      </c>
      <c r="C35" s="1681"/>
      <c r="D35" s="1681"/>
      <c r="E35" s="1681"/>
      <c r="F35" s="1681"/>
      <c r="G35" s="797"/>
      <c r="H35" s="797"/>
      <c r="I35" s="803"/>
      <c r="J35" s="803"/>
      <c r="K35" s="803"/>
      <c r="L35" s="803"/>
      <c r="Q35"/>
      <c r="R35" s="144" t="s">
        <v>249</v>
      </c>
      <c r="S35" s="990">
        <f>$L$5</f>
        <v>1278.0141843971633</v>
      </c>
      <c r="T35" s="990">
        <f>SUM(L6:L17)</f>
        <v>38.882350510515799</v>
      </c>
      <c r="U35" s="990">
        <f>S35+T35+V35</f>
        <v>1362.8590966917554</v>
      </c>
      <c r="V35" s="990">
        <f>SUM(AT6:AT14)</f>
        <v>45.962561784076357</v>
      </c>
      <c r="W35" s="1063">
        <f>SUM(L37:L38)</f>
        <v>0.89653846153846151</v>
      </c>
    </row>
    <row r="36" spans="1:23" ht="47.25" x14ac:dyDescent="0.25">
      <c r="A36" s="1472"/>
      <c r="B36" s="776" t="s">
        <v>241</v>
      </c>
      <c r="C36" s="776" t="s">
        <v>317</v>
      </c>
      <c r="D36" s="778" t="s">
        <v>622</v>
      </c>
      <c r="E36" s="775" t="s">
        <v>623</v>
      </c>
      <c r="F36" s="778" t="s">
        <v>624</v>
      </c>
      <c r="G36" s="797"/>
      <c r="H36" s="778" t="s">
        <v>624</v>
      </c>
      <c r="I36" s="778" t="s">
        <v>246</v>
      </c>
      <c r="J36" s="778" t="s">
        <v>247</v>
      </c>
      <c r="K36" s="778" t="s">
        <v>248</v>
      </c>
      <c r="L36" s="778" t="s">
        <v>249</v>
      </c>
      <c r="Q36"/>
      <c r="R36"/>
      <c r="S36"/>
      <c r="T36"/>
      <c r="U36"/>
    </row>
    <row r="37" spans="1:23" x14ac:dyDescent="0.25">
      <c r="A37" s="1472"/>
      <c r="B37" s="772" t="s">
        <v>686</v>
      </c>
      <c r="C37" s="773" t="s">
        <v>14</v>
      </c>
      <c r="D37" s="774">
        <v>7.0000000000000007E-2</v>
      </c>
      <c r="E37" s="772">
        <f>$AD$1</f>
        <v>185</v>
      </c>
      <c r="F37" s="772">
        <f>D37*E37</f>
        <v>12.950000000000001</v>
      </c>
      <c r="G37" s="796"/>
      <c r="H37" s="772">
        <f>F37</f>
        <v>12.950000000000001</v>
      </c>
      <c r="I37" s="772">
        <f>VLOOKUP(B37,All_Ingredients!$A$1:$F$156,6,FALSE())</f>
        <v>0.65</v>
      </c>
      <c r="J37" s="772">
        <f>VLOOKUP(B37,All_Ingredients!$A$1:$J$156,10,FALSE())</f>
        <v>45</v>
      </c>
      <c r="K37" s="772">
        <f>(H37/I37)/1000</f>
        <v>1.9923076923076922E-2</v>
      </c>
      <c r="L37" s="772">
        <f>K37*J37</f>
        <v>0.89653846153846151</v>
      </c>
      <c r="Q37"/>
      <c r="R37"/>
      <c r="S37"/>
      <c r="T37"/>
      <c r="U37"/>
    </row>
    <row r="38" spans="1:23" x14ac:dyDescent="0.25">
      <c r="A38" s="1472"/>
      <c r="Q38"/>
      <c r="R38"/>
      <c r="S38"/>
      <c r="T38"/>
      <c r="U38"/>
    </row>
    <row r="39" spans="1:23" x14ac:dyDescent="0.25">
      <c r="A39" s="1472"/>
      <c r="Q39"/>
      <c r="R39"/>
      <c r="S39"/>
      <c r="T39"/>
      <c r="U39"/>
    </row>
    <row r="40" spans="1:23" ht="15" customHeight="1" x14ac:dyDescent="0.25">
      <c r="A40" s="1472"/>
      <c r="R40" s="411" t="s">
        <v>270</v>
      </c>
      <c r="S40" s="217">
        <v>1</v>
      </c>
      <c r="T40" s="412" t="s">
        <v>271</v>
      </c>
      <c r="U40" s="217">
        <v>0</v>
      </c>
      <c r="V40" s="149">
        <f>S40+U40</f>
        <v>1</v>
      </c>
    </row>
    <row r="41" spans="1:23" ht="14.25" customHeight="1" x14ac:dyDescent="0.25">
      <c r="A41" s="1472"/>
      <c r="U41" s="150"/>
    </row>
    <row r="42" spans="1:23" ht="14.25" customHeight="1"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25000</v>
      </c>
      <c r="R44" s="154">
        <f>D51</f>
        <v>10000</v>
      </c>
      <c r="S44" s="155">
        <v>0</v>
      </c>
      <c r="T44" s="155">
        <v>1</v>
      </c>
      <c r="U44" s="220">
        <f>R44*S44</f>
        <v>0</v>
      </c>
      <c r="V44" s="157">
        <f>R44*T44</f>
        <v>10000</v>
      </c>
      <c r="W44" s="237">
        <f>Q44-U44</f>
        <v>25000</v>
      </c>
    </row>
    <row r="45" spans="1:23" x14ac:dyDescent="0.25">
      <c r="A45" s="1472"/>
    </row>
    <row r="46" spans="1:23" x14ac:dyDescent="0.25">
      <c r="A46" s="1472"/>
    </row>
    <row r="47" spans="1:23" x14ac:dyDescent="0.25">
      <c r="A47" s="1472"/>
    </row>
    <row r="48" spans="1:23" x14ac:dyDescent="0.25">
      <c r="A48" s="1472"/>
    </row>
    <row r="49" spans="1:10" x14ac:dyDescent="0.25">
      <c r="A49" s="1472"/>
    </row>
    <row r="50" spans="1:10" ht="14.25" customHeight="1" x14ac:dyDescent="0.25">
      <c r="A50" s="1472"/>
      <c r="B50" s="126"/>
      <c r="C50" s="126" t="s">
        <v>233</v>
      </c>
      <c r="D50" s="126" t="s">
        <v>279</v>
      </c>
      <c r="E50" s="84"/>
      <c r="F50" s="84"/>
      <c r="G50" s="126" t="s">
        <v>280</v>
      </c>
      <c r="H50" s="126" t="s">
        <v>233</v>
      </c>
      <c r="I50" s="126" t="s">
        <v>281</v>
      </c>
      <c r="J50" s="126" t="s">
        <v>282</v>
      </c>
    </row>
    <row r="51" spans="1:10" ht="14.25" customHeight="1" x14ac:dyDescent="0.25">
      <c r="A51" s="1472"/>
      <c r="B51" s="161" t="s">
        <v>283</v>
      </c>
      <c r="C51" s="162">
        <f>10/$K$1</f>
        <v>10.204081632653061</v>
      </c>
      <c r="D51" s="163">
        <f>$C$1*10</f>
        <v>10000</v>
      </c>
      <c r="E51" s="164"/>
      <c r="F51" s="84"/>
      <c r="G51" s="161" t="s">
        <v>283</v>
      </c>
      <c r="H51" s="254">
        <f>I51/$D$5</f>
        <v>10</v>
      </c>
      <c r="I51" s="162">
        <f>J51/$R$1</f>
        <v>46296.296296296292</v>
      </c>
      <c r="J51" s="162">
        <f>$W$44</f>
        <v>25000</v>
      </c>
    </row>
    <row r="52" spans="1:10" x14ac:dyDescent="0.25">
      <c r="A52" s="1472"/>
      <c r="B52" s="209" t="s">
        <v>262</v>
      </c>
      <c r="C52" s="210">
        <f>$I$1</f>
        <v>11.032653061224488</v>
      </c>
      <c r="D52" s="211">
        <f>$E$1</f>
        <v>10812</v>
      </c>
      <c r="E52" s="84"/>
      <c r="F52" s="84"/>
      <c r="G52" s="129" t="s">
        <v>262</v>
      </c>
      <c r="H52" s="190">
        <f>I52/$D$5</f>
        <v>10.811999999999999</v>
      </c>
      <c r="I52" s="157">
        <f>J52/$R$1</f>
        <v>50055.555555555555</v>
      </c>
      <c r="J52" s="165">
        <f>$S$32</f>
        <v>27030</v>
      </c>
    </row>
    <row r="53" spans="1:10" x14ac:dyDescent="0.25">
      <c r="A53" s="1472"/>
      <c r="B53" s="209" t="s">
        <v>284</v>
      </c>
      <c r="C53" s="212">
        <f>MIN(C52, C51)</f>
        <v>10.204081632653061</v>
      </c>
      <c r="D53" s="211">
        <f>(C53*$K$1)*$C$1</f>
        <v>10000</v>
      </c>
      <c r="E53" s="84"/>
      <c r="F53" s="84"/>
      <c r="G53" s="129" t="s">
        <v>284</v>
      </c>
      <c r="H53" s="168">
        <f>MIN(H52,H51)</f>
        <v>10</v>
      </c>
      <c r="I53" s="157">
        <f>J53/$R$1</f>
        <v>46296.296296296292</v>
      </c>
      <c r="J53" s="157">
        <f>MIN(J52,J51)</f>
        <v>25000</v>
      </c>
    </row>
    <row r="54" spans="1:10" ht="14.25" customHeight="1" x14ac:dyDescent="0.25">
      <c r="A54" s="1472"/>
      <c r="B54" s="209" t="s">
        <v>285</v>
      </c>
      <c r="C54" s="212">
        <f>MIN(MAX(C52-C53,0),C51)</f>
        <v>0.8285714285714274</v>
      </c>
      <c r="D54" s="211">
        <f>(C54*$K$1)*$C$1</f>
        <v>811.99999999999898</v>
      </c>
      <c r="E54" s="84"/>
      <c r="F54" s="84"/>
      <c r="G54" s="129" t="s">
        <v>285</v>
      </c>
      <c r="H54" s="168">
        <f>MIN(MAX(H52-H53),H51)</f>
        <v>0.81199999999999939</v>
      </c>
      <c r="I54" s="157">
        <f>J54/$R$1</f>
        <v>3759.2592592592591</v>
      </c>
      <c r="J54" s="157">
        <f>MIN(MAX(J52-J53),J51)</f>
        <v>2030</v>
      </c>
    </row>
    <row r="55" spans="1:10" ht="14.25" customHeight="1"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ht="14.25" customHeight="1" x14ac:dyDescent="0.25">
      <c r="A56" s="1472"/>
      <c r="B56" s="84"/>
      <c r="C56" s="84"/>
      <c r="D56" s="84"/>
      <c r="E56" s="84"/>
      <c r="F56" s="84"/>
      <c r="G56" s="84"/>
      <c r="H56" s="84"/>
      <c r="I56" s="84"/>
      <c r="J56" s="84"/>
    </row>
    <row r="57" spans="1:10" ht="18" customHeight="1" x14ac:dyDescent="0.25">
      <c r="A57" s="1472"/>
      <c r="B57" s="239"/>
    </row>
    <row r="58" spans="1:10" ht="18" customHeight="1" x14ac:dyDescent="0.25">
      <c r="A58" s="1472"/>
      <c r="B58" s="1660"/>
      <c r="C58" s="1655"/>
      <c r="D58" s="1655"/>
      <c r="E58" s="1655"/>
      <c r="F58" s="1655"/>
      <c r="G58" s="1655"/>
      <c r="H58" s="1655"/>
      <c r="I58" s="1655"/>
      <c r="J58" s="1655"/>
    </row>
    <row r="59" spans="1:10" x14ac:dyDescent="0.25">
      <c r="A59" s="1472"/>
    </row>
    <row r="60" spans="1:10" x14ac:dyDescent="0.25">
      <c r="A60" s="1472"/>
    </row>
    <row r="61" spans="1:10" x14ac:dyDescent="0.25">
      <c r="A61" s="1472"/>
    </row>
    <row r="62" spans="1:10" ht="18" customHeight="1" x14ac:dyDescent="0.25">
      <c r="A62" s="1473"/>
      <c r="B62" s="1636" t="str">
        <f>"سمك بالكارى و الكريمة  1 / " &amp; COUNTIF($C$53:$C$55, "&gt;0")</f>
        <v>سمك بالكارى و الكريمة  1 / 2</v>
      </c>
      <c r="C62" s="1637"/>
      <c r="D62" s="1637"/>
      <c r="E62" s="1637"/>
      <c r="F62" s="1637"/>
      <c r="G62" s="1637"/>
      <c r="H62" s="1637"/>
    </row>
    <row r="63" spans="1:10" ht="18" customHeight="1" x14ac:dyDescent="0.25">
      <c r="A63" s="1473"/>
      <c r="B63" s="1634" t="str">
        <f>"Curry Fish 1 / " &amp; COUNTIF(C$53:C$55, "&gt;0")</f>
        <v>Curry Fish 1 / 2</v>
      </c>
      <c r="C63" s="1635"/>
      <c r="D63" s="1635"/>
      <c r="E63" s="1635"/>
      <c r="F63" s="1635"/>
      <c r="G63" s="1635"/>
      <c r="H63" s="1635"/>
    </row>
    <row r="64" spans="1:10" ht="42.75" customHeight="1" x14ac:dyDescent="0.2">
      <c r="A64" s="1457"/>
      <c r="B64" s="75" t="s">
        <v>241</v>
      </c>
      <c r="C64" s="90" t="s">
        <v>242</v>
      </c>
      <c r="D64" s="75" t="s">
        <v>231</v>
      </c>
      <c r="E64" s="91" t="s">
        <v>234</v>
      </c>
      <c r="F64" s="91" t="s">
        <v>243</v>
      </c>
      <c r="G64" s="75" t="s">
        <v>244</v>
      </c>
      <c r="H64" s="197" t="s">
        <v>245</v>
      </c>
    </row>
    <row r="65" spans="1:8" ht="14.25" customHeight="1" x14ac:dyDescent="0.2">
      <c r="A65" s="1459"/>
      <c r="B65" s="299" t="str">
        <f t="shared" ref="B65:D79" si="12">B5</f>
        <v>Fillet Fish - سمك فيليه</v>
      </c>
      <c r="C65" s="299" t="str">
        <f t="shared" si="12"/>
        <v>gm</v>
      </c>
      <c r="D65" s="454">
        <f t="shared" si="12"/>
        <v>4629.6296296296296</v>
      </c>
      <c r="E65" s="108">
        <f>H53</f>
        <v>10</v>
      </c>
      <c r="F65" s="109">
        <f t="shared" ref="F65:F81" si="13">F5</f>
        <v>1</v>
      </c>
      <c r="G65" s="101">
        <f t="shared" ref="G65:G79" si="14">D65*E65</f>
        <v>46296.296296296292</v>
      </c>
      <c r="H65" s="102">
        <f t="shared" ref="H65:H79" si="15">G65*F65</f>
        <v>46296.296296296292</v>
      </c>
    </row>
    <row r="66" spans="1:8" ht="14.25" customHeight="1" x14ac:dyDescent="0.25">
      <c r="A66" s="1471" t="s">
        <v>920</v>
      </c>
      <c r="B66" s="299" t="str">
        <f t="shared" si="12"/>
        <v>Onion - بصل</v>
      </c>
      <c r="C66" s="299" t="str">
        <f t="shared" si="12"/>
        <v>gm</v>
      </c>
      <c r="D66" s="299">
        <f t="shared" si="12"/>
        <v>300</v>
      </c>
      <c r="E66" s="108">
        <f t="shared" ref="E66:E81" si="16">$C$53</f>
        <v>10.204081632653061</v>
      </c>
      <c r="F66" s="109">
        <f t="shared" si="13"/>
        <v>0.95</v>
      </c>
      <c r="G66" s="101">
        <f t="shared" si="14"/>
        <v>3061.2244897959181</v>
      </c>
      <c r="H66" s="102">
        <f t="shared" si="15"/>
        <v>2908.163265306122</v>
      </c>
    </row>
    <row r="67" spans="1:8" ht="14.25" customHeight="1" x14ac:dyDescent="0.25">
      <c r="A67" s="1471" t="s">
        <v>907</v>
      </c>
      <c r="B67" s="299" t="str">
        <f t="shared" si="12"/>
        <v>Garlic - ثوم مقشر</v>
      </c>
      <c r="C67" s="299" t="str">
        <f t="shared" si="12"/>
        <v>gm</v>
      </c>
      <c r="D67" s="299">
        <f t="shared" si="12"/>
        <v>25</v>
      </c>
      <c r="E67" s="108">
        <f t="shared" si="16"/>
        <v>10.204081632653061</v>
      </c>
      <c r="F67" s="109">
        <f t="shared" si="13"/>
        <v>1</v>
      </c>
      <c r="G67" s="101">
        <f t="shared" si="14"/>
        <v>255.10204081632654</v>
      </c>
      <c r="H67" s="102">
        <f t="shared" si="15"/>
        <v>255.10204081632654</v>
      </c>
    </row>
    <row r="68" spans="1:8" ht="14.25" customHeight="1" x14ac:dyDescent="0.25">
      <c r="A68" s="1471" t="s">
        <v>909</v>
      </c>
      <c r="B68" s="299" t="str">
        <f t="shared" si="12"/>
        <v>Tomato - طماطم</v>
      </c>
      <c r="C68" s="299" t="str">
        <f t="shared" si="12"/>
        <v>gm</v>
      </c>
      <c r="D68" s="299">
        <f t="shared" si="12"/>
        <v>300</v>
      </c>
      <c r="E68" s="108">
        <f t="shared" si="16"/>
        <v>10.204081632653061</v>
      </c>
      <c r="F68" s="109">
        <f t="shared" si="13"/>
        <v>1</v>
      </c>
      <c r="G68" s="101">
        <f t="shared" si="14"/>
        <v>3061.2244897959181</v>
      </c>
      <c r="H68" s="102">
        <f t="shared" si="15"/>
        <v>3061.2244897959181</v>
      </c>
    </row>
    <row r="69" spans="1:8" ht="14.25" customHeight="1" x14ac:dyDescent="0.25">
      <c r="A69" s="1471" t="s">
        <v>906</v>
      </c>
      <c r="B69" s="299" t="str">
        <f t="shared" si="12"/>
        <v>Ginger - زنجبيل</v>
      </c>
      <c r="C69" s="299" t="str">
        <f t="shared" si="12"/>
        <v>gm</v>
      </c>
      <c r="D69" s="299">
        <f t="shared" si="12"/>
        <v>20</v>
      </c>
      <c r="E69" s="108">
        <f t="shared" si="16"/>
        <v>10.204081632653061</v>
      </c>
      <c r="F69" s="109">
        <f t="shared" si="13"/>
        <v>1</v>
      </c>
      <c r="G69" s="101">
        <f t="shared" si="14"/>
        <v>204.08163265306121</v>
      </c>
      <c r="H69" s="102">
        <f t="shared" si="15"/>
        <v>204.08163265306121</v>
      </c>
    </row>
    <row r="70" spans="1:8" ht="14.25" customHeight="1" x14ac:dyDescent="0.25">
      <c r="A70" s="1471"/>
      <c r="B70" s="299" t="str">
        <f t="shared" si="12"/>
        <v>Curry Powder - كاري بودرة</v>
      </c>
      <c r="C70" s="299" t="str">
        <f t="shared" si="12"/>
        <v>gm</v>
      </c>
      <c r="D70" s="299">
        <f t="shared" si="12"/>
        <v>25</v>
      </c>
      <c r="E70" s="108">
        <f t="shared" si="16"/>
        <v>10.204081632653061</v>
      </c>
      <c r="F70" s="109">
        <f t="shared" si="13"/>
        <v>0.75</v>
      </c>
      <c r="G70" s="101">
        <f t="shared" si="14"/>
        <v>255.10204081632654</v>
      </c>
      <c r="H70" s="102">
        <f t="shared" si="15"/>
        <v>191.32653061224491</v>
      </c>
    </row>
    <row r="71" spans="1:8" ht="14.25" customHeight="1" x14ac:dyDescent="0.25">
      <c r="A71" s="1471"/>
      <c r="B71" s="299" t="str">
        <f t="shared" si="12"/>
        <v>Cumin Whole - كمون حب</v>
      </c>
      <c r="C71" s="299" t="str">
        <f t="shared" si="12"/>
        <v>gm</v>
      </c>
      <c r="D71" s="299">
        <f t="shared" si="12"/>
        <v>5</v>
      </c>
      <c r="E71" s="108">
        <f t="shared" si="16"/>
        <v>10.204081632653061</v>
      </c>
      <c r="F71" s="109">
        <f t="shared" si="13"/>
        <v>1</v>
      </c>
      <c r="G71" s="101">
        <f t="shared" si="14"/>
        <v>51.020408163265301</v>
      </c>
      <c r="H71" s="102">
        <f t="shared" si="15"/>
        <v>51.020408163265301</v>
      </c>
    </row>
    <row r="72" spans="1:8" ht="14.25" customHeight="1" x14ac:dyDescent="0.25">
      <c r="A72" s="1471"/>
      <c r="B72" s="299" t="str">
        <f t="shared" si="12"/>
        <v>Cloves Whole - قرنفل حب</v>
      </c>
      <c r="C72" s="299" t="str">
        <f t="shared" si="12"/>
        <v>gm</v>
      </c>
      <c r="D72" s="299">
        <f t="shared" si="12"/>
        <v>2</v>
      </c>
      <c r="E72" s="108">
        <f t="shared" si="16"/>
        <v>10.204081632653061</v>
      </c>
      <c r="F72" s="109">
        <f t="shared" si="13"/>
        <v>0.75</v>
      </c>
      <c r="G72" s="101">
        <f t="shared" si="14"/>
        <v>20.408163265306122</v>
      </c>
      <c r="H72" s="102">
        <f t="shared" si="15"/>
        <v>15.306122448979592</v>
      </c>
    </row>
    <row r="73" spans="1:8" ht="14.25" customHeight="1" x14ac:dyDescent="0.25">
      <c r="A73" s="1471"/>
      <c r="B73" s="299" t="str">
        <f t="shared" si="12"/>
        <v>Kasuri Methi - ورق حلبة مجففة</v>
      </c>
      <c r="C73" s="299" t="str">
        <f t="shared" si="12"/>
        <v>gm</v>
      </c>
      <c r="D73" s="299">
        <f t="shared" si="12"/>
        <v>3</v>
      </c>
      <c r="E73" s="108">
        <f t="shared" si="16"/>
        <v>10.204081632653061</v>
      </c>
      <c r="F73" s="109">
        <f t="shared" si="13"/>
        <v>0.75</v>
      </c>
      <c r="G73" s="101">
        <f t="shared" si="14"/>
        <v>30.612244897959183</v>
      </c>
      <c r="H73" s="102">
        <f t="shared" si="15"/>
        <v>22.959183673469386</v>
      </c>
    </row>
    <row r="74" spans="1:8" ht="14.25" customHeight="1" x14ac:dyDescent="0.25">
      <c r="A74" s="1471"/>
      <c r="B74" s="299" t="str">
        <f t="shared" si="12"/>
        <v>Maggi Cubes - مكعبات ماجي</v>
      </c>
      <c r="C74" s="299" t="str">
        <f t="shared" si="12"/>
        <v>gm</v>
      </c>
      <c r="D74" s="299">
        <f t="shared" si="12"/>
        <v>10</v>
      </c>
      <c r="E74" s="108">
        <f t="shared" si="16"/>
        <v>10.204081632653061</v>
      </c>
      <c r="F74" s="109">
        <f t="shared" si="13"/>
        <v>1</v>
      </c>
      <c r="G74" s="101">
        <f t="shared" si="14"/>
        <v>102.0408163265306</v>
      </c>
      <c r="H74" s="102">
        <f t="shared" si="15"/>
        <v>102.0408163265306</v>
      </c>
    </row>
    <row r="75" spans="1:8" ht="14.25" customHeight="1" x14ac:dyDescent="0.25">
      <c r="A75" s="1471" t="s">
        <v>923</v>
      </c>
      <c r="B75" s="299" t="str">
        <f t="shared" si="12"/>
        <v>Green Chilli Pepper - فلفل أخضر حار</v>
      </c>
      <c r="C75" s="299" t="str">
        <f t="shared" si="12"/>
        <v>gm</v>
      </c>
      <c r="D75" s="299">
        <f t="shared" si="12"/>
        <v>5</v>
      </c>
      <c r="E75" s="108">
        <f t="shared" si="16"/>
        <v>10.204081632653061</v>
      </c>
      <c r="F75" s="109">
        <f t="shared" si="13"/>
        <v>0.75</v>
      </c>
      <c r="G75" s="101">
        <f t="shared" si="14"/>
        <v>51.020408163265301</v>
      </c>
      <c r="H75" s="102">
        <f t="shared" si="15"/>
        <v>38.265306122448976</v>
      </c>
    </row>
    <row r="76" spans="1:8" ht="14.25" customHeight="1" x14ac:dyDescent="0.25">
      <c r="A76" s="1471"/>
      <c r="B76" s="299" t="str">
        <f t="shared" si="12"/>
        <v>Turmeric - كركم</v>
      </c>
      <c r="C76" s="299" t="str">
        <f t="shared" si="12"/>
        <v>gm</v>
      </c>
      <c r="D76" s="299">
        <f t="shared" si="12"/>
        <v>5</v>
      </c>
      <c r="E76" s="108">
        <f t="shared" si="16"/>
        <v>10.204081632653061</v>
      </c>
      <c r="F76" s="109">
        <f t="shared" si="13"/>
        <v>0.75</v>
      </c>
      <c r="G76" s="101">
        <f t="shared" si="14"/>
        <v>51.020408163265301</v>
      </c>
      <c r="H76" s="102">
        <f t="shared" si="15"/>
        <v>38.265306122448976</v>
      </c>
    </row>
    <row r="77" spans="1:8" ht="14.25" customHeight="1" x14ac:dyDescent="0.25">
      <c r="A77" s="1471"/>
      <c r="B77" s="299" t="str">
        <f t="shared" si="12"/>
        <v>Saffron yellow color powder - لون صفار زعفران بودر</v>
      </c>
      <c r="C77" s="299" t="str">
        <f t="shared" si="12"/>
        <v>gm</v>
      </c>
      <c r="D77" s="299">
        <f t="shared" si="12"/>
        <v>2</v>
      </c>
      <c r="E77" s="108">
        <f t="shared" si="16"/>
        <v>10.204081632653061</v>
      </c>
      <c r="F77" s="109">
        <f t="shared" si="13"/>
        <v>1</v>
      </c>
      <c r="G77" s="101">
        <f t="shared" si="14"/>
        <v>20.408163265306122</v>
      </c>
      <c r="H77" s="102">
        <f t="shared" si="15"/>
        <v>20.408163265306122</v>
      </c>
    </row>
    <row r="78" spans="1:8" ht="14.25" customHeight="1" x14ac:dyDescent="0.25">
      <c r="A78" s="1471"/>
      <c r="B78" s="299" t="str">
        <f t="shared" si="12"/>
        <v>Cooking Cream - كريمة طبخ</v>
      </c>
      <c r="C78" s="299" t="str">
        <f t="shared" si="12"/>
        <v>ml</v>
      </c>
      <c r="D78" s="299">
        <f t="shared" si="12"/>
        <v>500</v>
      </c>
      <c r="E78" s="108">
        <f t="shared" si="16"/>
        <v>10.204081632653061</v>
      </c>
      <c r="F78" s="109">
        <f t="shared" si="13"/>
        <v>1</v>
      </c>
      <c r="G78" s="101">
        <f t="shared" si="14"/>
        <v>5102.0408163265301</v>
      </c>
      <c r="H78" s="102">
        <f t="shared" si="15"/>
        <v>5102.0408163265301</v>
      </c>
    </row>
    <row r="79" spans="1:8" ht="14.25" customHeight="1" x14ac:dyDescent="0.25">
      <c r="A79" s="1471"/>
      <c r="B79" s="299" t="str">
        <f t="shared" si="12"/>
        <v>Water - ماء</v>
      </c>
      <c r="C79" s="299" t="str">
        <f t="shared" si="12"/>
        <v>ml</v>
      </c>
      <c r="D79" s="299">
        <f t="shared" si="12"/>
        <v>500</v>
      </c>
      <c r="E79" s="108">
        <f t="shared" si="16"/>
        <v>10.204081632653061</v>
      </c>
      <c r="F79" s="109">
        <f t="shared" si="13"/>
        <v>0.75</v>
      </c>
      <c r="G79" s="101">
        <f t="shared" si="14"/>
        <v>5102.0408163265301</v>
      </c>
      <c r="H79" s="102">
        <f t="shared" si="15"/>
        <v>3826.5306122448974</v>
      </c>
    </row>
    <row r="80" spans="1:8" ht="14.25" customHeight="1" x14ac:dyDescent="0.25">
      <c r="A80" s="1471"/>
      <c r="B80" s="299" t="str">
        <f t="shared" ref="B80:D80" si="17">B20</f>
        <v>Butter - زبدة</v>
      </c>
      <c r="C80" s="299" t="str">
        <f t="shared" si="17"/>
        <v>gm</v>
      </c>
      <c r="D80" s="299">
        <f t="shared" si="17"/>
        <v>45</v>
      </c>
      <c r="E80" s="108">
        <f t="shared" si="16"/>
        <v>10.204081632653061</v>
      </c>
      <c r="F80" s="109">
        <f t="shared" si="13"/>
        <v>1</v>
      </c>
      <c r="G80" s="101">
        <f t="shared" ref="G80:G81" si="18">D80*E80</f>
        <v>459.18367346938777</v>
      </c>
      <c r="H80" s="102">
        <f t="shared" ref="H80:H81" si="19">G80*F80</f>
        <v>459.18367346938777</v>
      </c>
    </row>
    <row r="81" spans="1:8" ht="20.25" customHeight="1" x14ac:dyDescent="0.25">
      <c r="A81" s="1472"/>
      <c r="B81" s="299" t="str">
        <f t="shared" ref="B81:D81" si="20">B21</f>
        <v>Corn Starch - نشا ذرة</v>
      </c>
      <c r="C81" s="299" t="str">
        <f t="shared" si="20"/>
        <v>gm</v>
      </c>
      <c r="D81" s="299">
        <f t="shared" si="20"/>
        <v>45</v>
      </c>
      <c r="E81" s="108">
        <f t="shared" si="16"/>
        <v>10.204081632653061</v>
      </c>
      <c r="F81" s="109">
        <f t="shared" si="13"/>
        <v>1</v>
      </c>
      <c r="G81" s="101">
        <f t="shared" si="18"/>
        <v>459.18367346938777</v>
      </c>
      <c r="H81" s="102">
        <f t="shared" si="19"/>
        <v>459.18367346938777</v>
      </c>
    </row>
    <row r="82" spans="1:8" ht="18" x14ac:dyDescent="0.25">
      <c r="A82" s="1458"/>
      <c r="B82" s="178" t="s">
        <v>287</v>
      </c>
      <c r="C82" s="180" t="s">
        <v>273</v>
      </c>
      <c r="E82" s="180" t="s">
        <v>288</v>
      </c>
      <c r="G82" s="804" t="s">
        <v>264</v>
      </c>
      <c r="H82" s="804" t="s">
        <v>673</v>
      </c>
    </row>
    <row r="83" spans="1:8" ht="20.25" x14ac:dyDescent="0.3">
      <c r="A83" s="1458"/>
      <c r="B83" s="179">
        <f>$J$53</f>
        <v>25000</v>
      </c>
      <c r="C83" s="179">
        <f>E83+G83</f>
        <v>10000</v>
      </c>
      <c r="D83" s="839"/>
      <c r="E83" s="179">
        <f>$D$53*$S$44</f>
        <v>0</v>
      </c>
      <c r="F83" s="843"/>
      <c r="G83" s="179">
        <f>$D$53*$T$44</f>
        <v>10000</v>
      </c>
      <c r="H83" s="179">
        <f>B83+E83</f>
        <v>25000</v>
      </c>
    </row>
    <row r="84" spans="1:8" x14ac:dyDescent="0.25">
      <c r="A84" s="1472"/>
    </row>
    <row r="85" spans="1:8" x14ac:dyDescent="0.25">
      <c r="A85" s="1472"/>
    </row>
    <row r="86" spans="1:8" x14ac:dyDescent="0.25">
      <c r="A86" s="1473"/>
      <c r="B86" s="1636" t="str">
        <f>"سمك بالكارى و الكريمة  2 / " &amp; COUNTIF($C$53:$C$55, "&gt;0")</f>
        <v>سمك بالكارى و الكريمة  2 / 2</v>
      </c>
      <c r="C86" s="1637"/>
      <c r="D86" s="1637"/>
      <c r="E86" s="1637"/>
      <c r="F86" s="1637"/>
      <c r="G86" s="1637"/>
      <c r="H86" s="1637"/>
    </row>
    <row r="87" spans="1:8" x14ac:dyDescent="0.25">
      <c r="A87" s="1473"/>
      <c r="B87" s="1634" t="str">
        <f>"Curry Fish 2 / " &amp; COUNTIF(C$53:C$55, "&gt;0")</f>
        <v>Curry Fish 2 / 2</v>
      </c>
      <c r="C87" s="1635"/>
      <c r="D87" s="1635"/>
      <c r="E87" s="1635"/>
      <c r="F87" s="1635"/>
      <c r="G87" s="1635"/>
      <c r="H87" s="1635"/>
    </row>
    <row r="88" spans="1:8" ht="25.5" x14ac:dyDescent="0.2">
      <c r="A88" s="1457"/>
      <c r="B88" s="75" t="s">
        <v>241</v>
      </c>
      <c r="C88" s="90" t="s">
        <v>242</v>
      </c>
      <c r="D88" s="75" t="s">
        <v>231</v>
      </c>
      <c r="E88" s="91" t="s">
        <v>234</v>
      </c>
      <c r="F88" s="91" t="s">
        <v>243</v>
      </c>
      <c r="G88" s="75" t="s">
        <v>244</v>
      </c>
      <c r="H88" s="197" t="s">
        <v>245</v>
      </c>
    </row>
    <row r="89" spans="1:8" ht="14.25" x14ac:dyDescent="0.2">
      <c r="A89" s="1459"/>
      <c r="B89" s="299" t="str">
        <f t="shared" ref="B89:D103" si="21">B5</f>
        <v>Fillet Fish - سمك فيليه</v>
      </c>
      <c r="C89" s="299" t="str">
        <f t="shared" si="21"/>
        <v>gm</v>
      </c>
      <c r="D89" s="300">
        <f t="shared" si="21"/>
        <v>4629.6296296296296</v>
      </c>
      <c r="E89" s="108">
        <f>$H$54</f>
        <v>0.81199999999999939</v>
      </c>
      <c r="F89" s="109">
        <f>F5</f>
        <v>1</v>
      </c>
      <c r="G89" s="101">
        <f t="shared" ref="G89:G103" si="22">D89*E89</f>
        <v>3759.2592592592564</v>
      </c>
      <c r="H89" s="102">
        <f t="shared" ref="H89:H103" si="23">G89*F89</f>
        <v>3759.2592592592564</v>
      </c>
    </row>
    <row r="90" spans="1:8" x14ac:dyDescent="0.25">
      <c r="A90" s="1471" t="s">
        <v>920</v>
      </c>
      <c r="B90" s="299" t="str">
        <f t="shared" si="21"/>
        <v>Onion - بصل</v>
      </c>
      <c r="C90" s="299" t="str">
        <f t="shared" si="21"/>
        <v>gm</v>
      </c>
      <c r="D90" s="299">
        <f t="shared" si="21"/>
        <v>300</v>
      </c>
      <c r="E90" s="108">
        <f t="shared" ref="E90:E105" si="24">$C$54</f>
        <v>0.8285714285714274</v>
      </c>
      <c r="F90" s="109">
        <f t="shared" ref="F90:F105" si="25">F6</f>
        <v>0.95</v>
      </c>
      <c r="G90" s="101">
        <f t="shared" si="22"/>
        <v>248.57142857142821</v>
      </c>
      <c r="H90" s="102">
        <f t="shared" si="23"/>
        <v>236.1428571428568</v>
      </c>
    </row>
    <row r="91" spans="1:8" x14ac:dyDescent="0.25">
      <c r="A91" s="1471" t="s">
        <v>907</v>
      </c>
      <c r="B91" s="299" t="str">
        <f t="shared" si="21"/>
        <v>Garlic - ثوم مقشر</v>
      </c>
      <c r="C91" s="299" t="str">
        <f t="shared" si="21"/>
        <v>gm</v>
      </c>
      <c r="D91" s="299">
        <f t="shared" si="21"/>
        <v>25</v>
      </c>
      <c r="E91" s="108">
        <f t="shared" si="24"/>
        <v>0.8285714285714274</v>
      </c>
      <c r="F91" s="109">
        <f t="shared" si="25"/>
        <v>1</v>
      </c>
      <c r="G91" s="101">
        <f t="shared" si="22"/>
        <v>20.714285714285687</v>
      </c>
      <c r="H91" s="102">
        <f t="shared" si="23"/>
        <v>20.714285714285687</v>
      </c>
    </row>
    <row r="92" spans="1:8" x14ac:dyDescent="0.25">
      <c r="A92" s="1471" t="s">
        <v>909</v>
      </c>
      <c r="B92" s="299" t="str">
        <f t="shared" si="21"/>
        <v>Tomato - طماطم</v>
      </c>
      <c r="C92" s="299" t="str">
        <f t="shared" si="21"/>
        <v>gm</v>
      </c>
      <c r="D92" s="299">
        <f t="shared" si="21"/>
        <v>300</v>
      </c>
      <c r="E92" s="108">
        <f t="shared" si="24"/>
        <v>0.8285714285714274</v>
      </c>
      <c r="F92" s="109">
        <f t="shared" si="25"/>
        <v>1</v>
      </c>
      <c r="G92" s="101">
        <f t="shared" si="22"/>
        <v>248.57142857142821</v>
      </c>
      <c r="H92" s="102">
        <f t="shared" si="23"/>
        <v>248.57142857142821</v>
      </c>
    </row>
    <row r="93" spans="1:8" x14ac:dyDescent="0.25">
      <c r="A93" s="1471" t="s">
        <v>906</v>
      </c>
      <c r="B93" s="299" t="str">
        <f t="shared" si="21"/>
        <v>Ginger - زنجبيل</v>
      </c>
      <c r="C93" s="299" t="str">
        <f t="shared" si="21"/>
        <v>gm</v>
      </c>
      <c r="D93" s="299">
        <f t="shared" si="21"/>
        <v>20</v>
      </c>
      <c r="E93" s="108">
        <f t="shared" si="24"/>
        <v>0.8285714285714274</v>
      </c>
      <c r="F93" s="109">
        <f t="shared" si="25"/>
        <v>1</v>
      </c>
      <c r="G93" s="101">
        <f t="shared" si="22"/>
        <v>16.571428571428548</v>
      </c>
      <c r="H93" s="102">
        <f t="shared" si="23"/>
        <v>16.571428571428548</v>
      </c>
    </row>
    <row r="94" spans="1:8" x14ac:dyDescent="0.25">
      <c r="A94" s="1471"/>
      <c r="B94" s="299" t="str">
        <f t="shared" si="21"/>
        <v>Curry Powder - كاري بودرة</v>
      </c>
      <c r="C94" s="299" t="str">
        <f t="shared" si="21"/>
        <v>gm</v>
      </c>
      <c r="D94" s="299">
        <f t="shared" si="21"/>
        <v>25</v>
      </c>
      <c r="E94" s="108">
        <f t="shared" si="24"/>
        <v>0.8285714285714274</v>
      </c>
      <c r="F94" s="109">
        <f t="shared" si="25"/>
        <v>0.75</v>
      </c>
      <c r="G94" s="101">
        <f t="shared" si="22"/>
        <v>20.714285714285687</v>
      </c>
      <c r="H94" s="102">
        <f t="shared" si="23"/>
        <v>15.535714285714265</v>
      </c>
    </row>
    <row r="95" spans="1:8" x14ac:dyDescent="0.25">
      <c r="A95" s="1471"/>
      <c r="B95" s="299" t="str">
        <f t="shared" si="21"/>
        <v>Cumin Whole - كمون حب</v>
      </c>
      <c r="C95" s="299" t="str">
        <f t="shared" si="21"/>
        <v>gm</v>
      </c>
      <c r="D95" s="299">
        <f t="shared" si="21"/>
        <v>5</v>
      </c>
      <c r="E95" s="108">
        <f t="shared" si="24"/>
        <v>0.8285714285714274</v>
      </c>
      <c r="F95" s="109">
        <f t="shared" si="25"/>
        <v>1</v>
      </c>
      <c r="G95" s="101">
        <f t="shared" si="22"/>
        <v>4.142857142857137</v>
      </c>
      <c r="H95" s="102">
        <f t="shared" si="23"/>
        <v>4.142857142857137</v>
      </c>
    </row>
    <row r="96" spans="1:8" x14ac:dyDescent="0.25">
      <c r="A96" s="1471"/>
      <c r="B96" s="299" t="str">
        <f t="shared" si="21"/>
        <v>Cloves Whole - قرنفل حب</v>
      </c>
      <c r="C96" s="299" t="str">
        <f t="shared" si="21"/>
        <v>gm</v>
      </c>
      <c r="D96" s="299">
        <f t="shared" si="21"/>
        <v>2</v>
      </c>
      <c r="E96" s="108">
        <f t="shared" si="24"/>
        <v>0.8285714285714274</v>
      </c>
      <c r="F96" s="109">
        <f t="shared" si="25"/>
        <v>0.75</v>
      </c>
      <c r="G96" s="101">
        <f t="shared" si="22"/>
        <v>1.6571428571428548</v>
      </c>
      <c r="H96" s="102">
        <f t="shared" si="23"/>
        <v>1.2428571428571411</v>
      </c>
    </row>
    <row r="97" spans="1:8" x14ac:dyDescent="0.25">
      <c r="A97" s="1471"/>
      <c r="B97" s="299" t="str">
        <f t="shared" si="21"/>
        <v>Kasuri Methi - ورق حلبة مجففة</v>
      </c>
      <c r="C97" s="299" t="str">
        <f t="shared" si="21"/>
        <v>gm</v>
      </c>
      <c r="D97" s="299">
        <f t="shared" si="21"/>
        <v>3</v>
      </c>
      <c r="E97" s="108">
        <f t="shared" si="24"/>
        <v>0.8285714285714274</v>
      </c>
      <c r="F97" s="109">
        <f t="shared" si="25"/>
        <v>0.75</v>
      </c>
      <c r="G97" s="101">
        <f t="shared" si="22"/>
        <v>2.4857142857142822</v>
      </c>
      <c r="H97" s="102">
        <f t="shared" si="23"/>
        <v>1.8642857142857117</v>
      </c>
    </row>
    <row r="98" spans="1:8" x14ac:dyDescent="0.25">
      <c r="A98" s="1471"/>
      <c r="B98" s="299" t="str">
        <f t="shared" si="21"/>
        <v>Maggi Cubes - مكعبات ماجي</v>
      </c>
      <c r="C98" s="299" t="str">
        <f t="shared" si="21"/>
        <v>gm</v>
      </c>
      <c r="D98" s="299">
        <f t="shared" si="21"/>
        <v>10</v>
      </c>
      <c r="E98" s="108">
        <f t="shared" si="24"/>
        <v>0.8285714285714274</v>
      </c>
      <c r="F98" s="109">
        <f t="shared" si="25"/>
        <v>1</v>
      </c>
      <c r="G98" s="101">
        <f t="shared" si="22"/>
        <v>8.285714285714274</v>
      </c>
      <c r="H98" s="102">
        <f t="shared" si="23"/>
        <v>8.285714285714274</v>
      </c>
    </row>
    <row r="99" spans="1:8" x14ac:dyDescent="0.25">
      <c r="A99" s="1471" t="s">
        <v>923</v>
      </c>
      <c r="B99" s="299" t="str">
        <f t="shared" si="21"/>
        <v>Green Chilli Pepper - فلفل أخضر حار</v>
      </c>
      <c r="C99" s="299" t="str">
        <f t="shared" si="21"/>
        <v>gm</v>
      </c>
      <c r="D99" s="299">
        <f t="shared" si="21"/>
        <v>5</v>
      </c>
      <c r="E99" s="108">
        <f t="shared" si="24"/>
        <v>0.8285714285714274</v>
      </c>
      <c r="F99" s="109">
        <f t="shared" si="25"/>
        <v>0.75</v>
      </c>
      <c r="G99" s="101">
        <f t="shared" si="22"/>
        <v>4.142857142857137</v>
      </c>
      <c r="H99" s="102">
        <f t="shared" si="23"/>
        <v>3.1071428571428528</v>
      </c>
    </row>
    <row r="100" spans="1:8" x14ac:dyDescent="0.25">
      <c r="A100" s="1471"/>
      <c r="B100" s="299" t="str">
        <f t="shared" si="21"/>
        <v>Turmeric - كركم</v>
      </c>
      <c r="C100" s="299" t="str">
        <f t="shared" si="21"/>
        <v>gm</v>
      </c>
      <c r="D100" s="299">
        <f t="shared" si="21"/>
        <v>5</v>
      </c>
      <c r="E100" s="108">
        <f t="shared" si="24"/>
        <v>0.8285714285714274</v>
      </c>
      <c r="F100" s="109">
        <f t="shared" si="25"/>
        <v>0.75</v>
      </c>
      <c r="G100" s="101">
        <f t="shared" si="22"/>
        <v>4.142857142857137</v>
      </c>
      <c r="H100" s="102">
        <f t="shared" si="23"/>
        <v>3.1071428571428528</v>
      </c>
    </row>
    <row r="101" spans="1:8" x14ac:dyDescent="0.25">
      <c r="A101" s="1471"/>
      <c r="B101" s="299" t="str">
        <f t="shared" si="21"/>
        <v>Saffron yellow color powder - لون صفار زعفران بودر</v>
      </c>
      <c r="C101" s="299" t="str">
        <f t="shared" si="21"/>
        <v>gm</v>
      </c>
      <c r="D101" s="299">
        <f t="shared" si="21"/>
        <v>2</v>
      </c>
      <c r="E101" s="108">
        <f t="shared" si="24"/>
        <v>0.8285714285714274</v>
      </c>
      <c r="F101" s="109">
        <f t="shared" si="25"/>
        <v>1</v>
      </c>
      <c r="G101" s="101">
        <f t="shared" si="22"/>
        <v>1.6571428571428548</v>
      </c>
      <c r="H101" s="102">
        <f t="shared" si="23"/>
        <v>1.6571428571428548</v>
      </c>
    </row>
    <row r="102" spans="1:8" x14ac:dyDescent="0.25">
      <c r="A102" s="1471"/>
      <c r="B102" s="299" t="str">
        <f t="shared" si="21"/>
        <v>Cooking Cream - كريمة طبخ</v>
      </c>
      <c r="C102" s="299" t="str">
        <f t="shared" si="21"/>
        <v>ml</v>
      </c>
      <c r="D102" s="299">
        <f t="shared" si="21"/>
        <v>500</v>
      </c>
      <c r="E102" s="108">
        <f t="shared" si="24"/>
        <v>0.8285714285714274</v>
      </c>
      <c r="F102" s="109">
        <f t="shared" si="25"/>
        <v>1</v>
      </c>
      <c r="G102" s="101">
        <f t="shared" si="22"/>
        <v>414.28571428571371</v>
      </c>
      <c r="H102" s="102">
        <f t="shared" si="23"/>
        <v>414.28571428571371</v>
      </c>
    </row>
    <row r="103" spans="1:8" x14ac:dyDescent="0.25">
      <c r="A103" s="1471"/>
      <c r="B103" s="299" t="str">
        <f t="shared" si="21"/>
        <v>Water - ماء</v>
      </c>
      <c r="C103" s="299" t="str">
        <f t="shared" si="21"/>
        <v>ml</v>
      </c>
      <c r="D103" s="299">
        <f t="shared" si="21"/>
        <v>500</v>
      </c>
      <c r="E103" s="108">
        <f t="shared" si="24"/>
        <v>0.8285714285714274</v>
      </c>
      <c r="F103" s="109">
        <f t="shared" si="25"/>
        <v>0.75</v>
      </c>
      <c r="G103" s="101">
        <f t="shared" si="22"/>
        <v>414.28571428571371</v>
      </c>
      <c r="H103" s="102">
        <f t="shared" si="23"/>
        <v>310.71428571428527</v>
      </c>
    </row>
    <row r="104" spans="1:8" x14ac:dyDescent="0.25">
      <c r="A104" s="1471"/>
      <c r="B104" s="299" t="str">
        <f t="shared" ref="B104:D104" si="26">B20</f>
        <v>Butter - زبدة</v>
      </c>
      <c r="C104" s="299" t="str">
        <f t="shared" si="26"/>
        <v>gm</v>
      </c>
      <c r="D104" s="299">
        <f t="shared" si="26"/>
        <v>45</v>
      </c>
      <c r="E104" s="108">
        <f t="shared" si="24"/>
        <v>0.8285714285714274</v>
      </c>
      <c r="F104" s="109">
        <f t="shared" si="25"/>
        <v>1</v>
      </c>
      <c r="G104" s="101">
        <f t="shared" ref="G104:G105" si="27">D104*E104</f>
        <v>37.285714285714235</v>
      </c>
      <c r="H104" s="102">
        <f t="shared" ref="H104:H105" si="28">G104*F104</f>
        <v>37.285714285714235</v>
      </c>
    </row>
    <row r="105" spans="1:8" x14ac:dyDescent="0.25">
      <c r="A105" s="1471"/>
      <c r="B105" s="299" t="str">
        <f t="shared" ref="B105:D105" si="29">B21</f>
        <v>Corn Starch - نشا ذرة</v>
      </c>
      <c r="C105" s="299" t="str">
        <f t="shared" si="29"/>
        <v>gm</v>
      </c>
      <c r="D105" s="299">
        <f t="shared" si="29"/>
        <v>45</v>
      </c>
      <c r="E105" s="108">
        <f t="shared" si="24"/>
        <v>0.8285714285714274</v>
      </c>
      <c r="F105" s="109">
        <f t="shared" si="25"/>
        <v>1</v>
      </c>
      <c r="G105" s="101">
        <f t="shared" si="27"/>
        <v>37.285714285714235</v>
      </c>
      <c r="H105" s="102">
        <f t="shared" si="28"/>
        <v>37.285714285714235</v>
      </c>
    </row>
    <row r="106" spans="1:8" ht="18" x14ac:dyDescent="0.25">
      <c r="A106" s="1458"/>
      <c r="B106" s="178" t="s">
        <v>287</v>
      </c>
      <c r="C106" s="180" t="s">
        <v>273</v>
      </c>
      <c r="E106" s="180" t="s">
        <v>288</v>
      </c>
      <c r="G106" s="804" t="s">
        <v>264</v>
      </c>
      <c r="H106" s="804" t="s">
        <v>673</v>
      </c>
    </row>
    <row r="107" spans="1:8" ht="20.25" x14ac:dyDescent="0.3">
      <c r="A107" s="1458"/>
      <c r="B107" s="179">
        <f>$J$54</f>
        <v>2030</v>
      </c>
      <c r="C107" s="179">
        <f>E107+G107</f>
        <v>811.99999999999898</v>
      </c>
      <c r="D107" s="839"/>
      <c r="E107" s="179">
        <f>$D$54*$S$44</f>
        <v>0</v>
      </c>
      <c r="F107" s="843"/>
      <c r="G107" s="179">
        <f>$D$54*$T$44</f>
        <v>811.99999999999898</v>
      </c>
      <c r="H107" s="179">
        <f>B107+E107</f>
        <v>2030</v>
      </c>
    </row>
    <row r="108" spans="1:8" x14ac:dyDescent="0.25">
      <c r="A108" s="1472"/>
    </row>
    <row r="109" spans="1:8" x14ac:dyDescent="0.25">
      <c r="A109" s="1472"/>
    </row>
    <row r="110" spans="1:8" x14ac:dyDescent="0.25">
      <c r="A110" s="1472"/>
    </row>
    <row r="111" spans="1:8" x14ac:dyDescent="0.25">
      <c r="A111" s="1472"/>
    </row>
    <row r="112" spans="1:8"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1">
    <mergeCell ref="AK2:AN3"/>
    <mergeCell ref="B86:H86"/>
    <mergeCell ref="B87:H87"/>
    <mergeCell ref="B62:H62"/>
    <mergeCell ref="B58:J58"/>
    <mergeCell ref="B63:H63"/>
    <mergeCell ref="B2:J3"/>
    <mergeCell ref="AE2:AG3"/>
    <mergeCell ref="R26:U26"/>
    <mergeCell ref="R25:U25"/>
    <mergeCell ref="B35:F35"/>
  </mergeCells>
  <printOptions horizontalCentered="1"/>
  <pageMargins left="0.4" right="0.4" top="1" bottom="0.5" header="0.3" footer="0.511811023622047"/>
  <pageSetup paperSize="9" scale="46" orientation="landscape"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5" tint="-0.249977111117893"/>
    <pageSetUpPr fitToPage="1"/>
  </sheetPr>
  <dimension ref="A1:AT174"/>
  <sheetViews>
    <sheetView topLeftCell="L19" zoomScale="85" zoomScaleNormal="85" workbookViewId="0">
      <selection activeCell="A5" sqref="A5:A174"/>
    </sheetView>
  </sheetViews>
  <sheetFormatPr defaultColWidth="12.5" defaultRowHeight="15" x14ac:dyDescent="0.25"/>
  <cols>
    <col min="1" max="1" width="12.5" style="1" customWidth="1"/>
    <col min="2" max="2" width="34.875" customWidth="1"/>
    <col min="3" max="3" width="14.875" customWidth="1"/>
    <col min="4" max="4" width="19" customWidth="1"/>
    <col min="5" max="5" width="16.125" customWidth="1"/>
    <col min="6" max="6" width="23.125" customWidth="1"/>
    <col min="7" max="7" width="25.125" customWidth="1"/>
    <col min="8" max="8" width="36.125" customWidth="1"/>
    <col min="12" max="12" width="8.375" customWidth="1"/>
    <col min="13" max="14" width="3.125" customWidth="1"/>
    <col min="18" max="18" width="30.5" customWidth="1"/>
    <col min="29" max="29" width="11.75" bestFit="1" customWidth="1"/>
    <col min="30" max="30" width="13.25" bestFit="1" customWidth="1"/>
    <col min="31" max="31" width="10.125" bestFit="1" customWidth="1"/>
    <col min="32" max="32" width="11.375" bestFit="1" customWidth="1"/>
    <col min="33" max="34" width="4.375" customWidth="1"/>
    <col min="36" max="36" width="34.5" bestFit="1" customWidth="1"/>
  </cols>
  <sheetData>
    <row r="1" spans="1:46" ht="35.25" customHeight="1" x14ac:dyDescent="0.25">
      <c r="B1" s="64" t="s">
        <v>231</v>
      </c>
      <c r="C1" s="65">
        <v>1000</v>
      </c>
      <c r="D1" s="66" t="s">
        <v>232</v>
      </c>
      <c r="E1" s="99">
        <f>T32</f>
        <v>7795.8974358974356</v>
      </c>
      <c r="F1" s="64" t="s">
        <v>233</v>
      </c>
      <c r="G1" s="103">
        <f>E1/C1</f>
        <v>7.7958974358974356</v>
      </c>
      <c r="H1" s="64" t="s">
        <v>234</v>
      </c>
      <c r="I1" s="260">
        <f>G1/K1</f>
        <v>7.954997383568811</v>
      </c>
      <c r="J1" s="70" t="s">
        <v>235</v>
      </c>
      <c r="K1" s="503">
        <f>9.8/10</f>
        <v>0.98000000000000009</v>
      </c>
      <c r="L1" s="84"/>
      <c r="M1" s="73"/>
      <c r="N1" s="74"/>
      <c r="O1" s="75" t="s">
        <v>236</v>
      </c>
      <c r="P1" s="76" t="s">
        <v>299</v>
      </c>
      <c r="Q1" s="77" t="s">
        <v>238</v>
      </c>
      <c r="R1" s="76">
        <v>0.57999999999999996</v>
      </c>
      <c r="Y1" s="75" t="s">
        <v>453</v>
      </c>
      <c r="Z1" s="766">
        <v>12820</v>
      </c>
      <c r="AA1" s="75" t="s">
        <v>556</v>
      </c>
      <c r="AB1" s="766">
        <v>1000</v>
      </c>
      <c r="AC1" s="75" t="s">
        <v>546</v>
      </c>
      <c r="AD1" s="766">
        <v>92</v>
      </c>
      <c r="AE1" s="228"/>
      <c r="AF1" s="230"/>
      <c r="AG1" s="76"/>
      <c r="AI1" s="1"/>
      <c r="AJ1" s="78" t="s">
        <v>250</v>
      </c>
      <c r="AK1" s="78">
        <v>10000</v>
      </c>
      <c r="AL1" s="561" t="s">
        <v>485</v>
      </c>
      <c r="AM1" s="562">
        <f>$S$32</f>
        <v>10630.769230769232</v>
      </c>
      <c r="AN1" s="78" t="s">
        <v>239</v>
      </c>
      <c r="AO1" s="305">
        <f>((S32)/$R$1)/$AK$1</f>
        <v>1.8328912466843508</v>
      </c>
      <c r="AP1" s="80"/>
    </row>
    <row r="2" spans="1:46" ht="12.75" customHeight="1" x14ac:dyDescent="0.25">
      <c r="A2" s="242"/>
      <c r="B2" s="1645" t="s">
        <v>130</v>
      </c>
      <c r="C2" s="1653"/>
      <c r="D2" s="1653"/>
      <c r="E2" s="1653"/>
      <c r="F2" s="1653"/>
      <c r="G2" s="1653"/>
      <c r="H2" s="1653"/>
      <c r="I2" s="1653"/>
      <c r="J2" s="1653"/>
      <c r="K2" s="504"/>
      <c r="L2" s="270"/>
      <c r="M2" s="84"/>
      <c r="N2" s="84"/>
      <c r="O2" s="84"/>
      <c r="P2" s="84"/>
      <c r="Q2" s="84"/>
      <c r="R2" s="84"/>
      <c r="AC2" s="83"/>
      <c r="AD2" s="83"/>
      <c r="AE2" s="1652"/>
      <c r="AF2" s="1653"/>
      <c r="AG2" s="1653"/>
      <c r="AI2" s="1"/>
      <c r="AJ2" s="85"/>
      <c r="AK2" s="1631" t="s">
        <v>438</v>
      </c>
      <c r="AL2" s="1631"/>
      <c r="AM2" s="1631"/>
      <c r="AN2" s="1631"/>
      <c r="AO2" s="85"/>
      <c r="AP2" s="85"/>
    </row>
    <row r="3" spans="1:46" ht="12.75" customHeight="1" x14ac:dyDescent="0.25">
      <c r="A3" s="242"/>
      <c r="B3" s="1633"/>
      <c r="C3" s="1633"/>
      <c r="D3" s="1633"/>
      <c r="E3" s="1633"/>
      <c r="F3" s="1633"/>
      <c r="G3" s="1633"/>
      <c r="H3" s="1633"/>
      <c r="I3" s="1633"/>
      <c r="J3" s="1633"/>
      <c r="K3" s="504"/>
      <c r="L3" s="270"/>
      <c r="M3" s="84"/>
      <c r="N3" s="84"/>
      <c r="O3" s="84"/>
      <c r="P3" s="84"/>
      <c r="Q3" s="84"/>
      <c r="R3" s="84"/>
      <c r="AC3" s="83"/>
      <c r="AD3" s="83"/>
      <c r="AE3" s="1653"/>
      <c r="AF3" s="1653"/>
      <c r="AG3" s="1653"/>
      <c r="AI3" s="1"/>
      <c r="AJ3" s="85"/>
      <c r="AK3" s="85"/>
      <c r="AL3" s="85"/>
      <c r="AM3" s="85"/>
      <c r="AN3" s="1653"/>
      <c r="AO3" s="85"/>
      <c r="AP3" s="85"/>
    </row>
    <row r="4" spans="1:46" ht="46.5" customHeight="1" x14ac:dyDescent="0.25">
      <c r="A4" s="75" t="s">
        <v>903</v>
      </c>
      <c r="B4" s="75" t="s">
        <v>241</v>
      </c>
      <c r="C4" s="90" t="s">
        <v>242</v>
      </c>
      <c r="D4" s="75" t="s">
        <v>231</v>
      </c>
      <c r="E4" s="91" t="s">
        <v>234</v>
      </c>
      <c r="F4" s="91" t="s">
        <v>243</v>
      </c>
      <c r="G4" s="75" t="s">
        <v>244</v>
      </c>
      <c r="H4" s="90" t="s">
        <v>335</v>
      </c>
      <c r="I4" s="75" t="s">
        <v>246</v>
      </c>
      <c r="J4" s="75" t="s">
        <v>247</v>
      </c>
      <c r="K4" s="75" t="s">
        <v>248</v>
      </c>
      <c r="L4" s="75" t="s">
        <v>249</v>
      </c>
      <c r="M4" s="347"/>
      <c r="N4" s="347"/>
      <c r="O4" s="84"/>
      <c r="P4" s="84"/>
      <c r="Q4" s="84"/>
      <c r="R4" s="84"/>
      <c r="AC4" s="229"/>
      <c r="AD4" s="231"/>
      <c r="AE4" s="229"/>
      <c r="AF4" s="229"/>
      <c r="AG4" s="229"/>
      <c r="AI4" s="1"/>
      <c r="AJ4" s="78" t="s">
        <v>241</v>
      </c>
      <c r="AK4" s="493" t="s">
        <v>242</v>
      </c>
      <c r="AL4" s="78" t="s">
        <v>250</v>
      </c>
      <c r="AM4" s="78" t="s">
        <v>234</v>
      </c>
      <c r="AN4" s="78" t="s">
        <v>243</v>
      </c>
      <c r="AO4" s="78" t="s">
        <v>244</v>
      </c>
      <c r="AP4" s="78" t="s">
        <v>335</v>
      </c>
      <c r="AQ4" s="75" t="s">
        <v>246</v>
      </c>
      <c r="AR4" s="75" t="s">
        <v>247</v>
      </c>
      <c r="AS4" s="75" t="s">
        <v>248</v>
      </c>
      <c r="AT4" s="75" t="s">
        <v>249</v>
      </c>
    </row>
    <row r="5" spans="1:46" ht="20.25" customHeight="1" x14ac:dyDescent="0.25">
      <c r="A5" s="1454"/>
      <c r="B5" s="359" t="s">
        <v>226</v>
      </c>
      <c r="C5" s="97" t="s">
        <v>14</v>
      </c>
      <c r="D5" s="103">
        <f>I51/10</f>
        <v>2351.2225705329156</v>
      </c>
      <c r="E5" s="99">
        <f>H52</f>
        <v>7.7954816768746706</v>
      </c>
      <c r="F5" s="109">
        <v>1</v>
      </c>
      <c r="G5" s="101">
        <f t="shared" ref="G5:G17" si="0">D5*E5</f>
        <v>18328.912466843507</v>
      </c>
      <c r="H5" s="102">
        <f t="shared" ref="H5:H17" si="1">G5*F5</f>
        <v>18328.912466843507</v>
      </c>
      <c r="I5" s="65">
        <f>VLOOKUP(B5,All_Ingredients!$A$1:$F$156,6,FALSE())</f>
        <v>0.99</v>
      </c>
      <c r="J5" s="101">
        <f>VLOOKUP(B5,All_Ingredients!$A$1:$J$156,10,FALSE())</f>
        <v>11.75</v>
      </c>
      <c r="K5" s="104">
        <f t="shared" ref="K5" si="2">(H5/I5)/1000</f>
        <v>18.514052996811625</v>
      </c>
      <c r="L5" s="104">
        <f t="shared" ref="L5" si="3">K5*J5</f>
        <v>217.5401227125366</v>
      </c>
      <c r="M5" s="112"/>
      <c r="N5" s="112"/>
      <c r="O5" s="84"/>
      <c r="P5" s="84"/>
      <c r="Q5" s="84"/>
      <c r="R5" s="84"/>
      <c r="AC5" s="76"/>
      <c r="AD5" s="114"/>
      <c r="AE5" s="232"/>
      <c r="AF5" s="116"/>
      <c r="AG5" s="117"/>
      <c r="AI5" s="1"/>
      <c r="AJ5" s="359" t="s">
        <v>226</v>
      </c>
      <c r="AK5" s="106" t="s">
        <v>227</v>
      </c>
      <c r="AL5" s="107">
        <v>10</v>
      </c>
      <c r="AM5" s="201">
        <f t="shared" ref="AM5:AM14" si="4">$AO$1</f>
        <v>1.8328912466843508</v>
      </c>
      <c r="AN5" s="109">
        <v>1</v>
      </c>
      <c r="AO5" s="101">
        <f t="shared" ref="AO5:AO14" si="5">AL5*AM5</f>
        <v>18.328912466843509</v>
      </c>
      <c r="AP5" s="102">
        <f t="shared" ref="AP5:AP14" si="6">AO5*AN5</f>
        <v>18.328912466843509</v>
      </c>
      <c r="AQ5" s="272"/>
      <c r="AR5" s="1017"/>
      <c r="AS5" s="156"/>
      <c r="AT5" s="1018"/>
    </row>
    <row r="6" spans="1:46" ht="14.25" customHeight="1" x14ac:dyDescent="0.25">
      <c r="A6" s="1455" t="s">
        <v>920</v>
      </c>
      <c r="B6" s="20" t="s">
        <v>12</v>
      </c>
      <c r="C6" s="106" t="s">
        <v>14</v>
      </c>
      <c r="D6" s="107">
        <v>200</v>
      </c>
      <c r="E6" s="201">
        <f t="shared" ref="E6:E17" si="7">$I$1</f>
        <v>7.954997383568811</v>
      </c>
      <c r="F6" s="109">
        <v>1</v>
      </c>
      <c r="G6" s="101">
        <f t="shared" si="0"/>
        <v>1590.9994767137623</v>
      </c>
      <c r="H6" s="102">
        <f t="shared" si="1"/>
        <v>1590.9994767137623</v>
      </c>
      <c r="I6" s="65">
        <f>VLOOKUP(B6,All_Ingredients!$A$1:$F$156,6,FALSE())</f>
        <v>0.9</v>
      </c>
      <c r="J6" s="101">
        <f>VLOOKUP(B6,All_Ingredients!$A$1:$J$156,10,FALSE())</f>
        <v>3</v>
      </c>
      <c r="K6" s="104">
        <f t="shared" ref="K6:K17" si="8">(H6/I6)/1000</f>
        <v>1.7677771963486248</v>
      </c>
      <c r="L6" s="104">
        <f t="shared" ref="L6:L17" si="9">K6*J6</f>
        <v>5.3033315890458743</v>
      </c>
      <c r="M6" s="112"/>
      <c r="N6" s="112"/>
      <c r="AI6" s="1" t="s">
        <v>94</v>
      </c>
      <c r="AJ6" s="299" t="s">
        <v>144</v>
      </c>
      <c r="AK6" s="106" t="s">
        <v>14</v>
      </c>
      <c r="AL6" s="107">
        <v>50</v>
      </c>
      <c r="AM6" s="201">
        <f t="shared" si="4"/>
        <v>1.8328912466843508</v>
      </c>
      <c r="AN6" s="109">
        <v>1</v>
      </c>
      <c r="AO6" s="101">
        <f t="shared" si="5"/>
        <v>91.64456233421754</v>
      </c>
      <c r="AP6" s="102">
        <f t="shared" si="6"/>
        <v>91.64456233421754</v>
      </c>
      <c r="AQ6" s="1018">
        <f>VLOOKUP(AJ6,Marination_Ordering!$A:$J,6,FALSE)</f>
        <v>1</v>
      </c>
      <c r="AR6" s="1018">
        <f>VLOOKUP(AJ6,Marination_Ordering!$A:$J,10,FALSE)</f>
        <v>18</v>
      </c>
      <c r="AS6" s="156">
        <f>AP6/AQ6</f>
        <v>91.64456233421754</v>
      </c>
      <c r="AT6" s="1018">
        <f>AR6*(AS6/1000)</f>
        <v>1.6496021220159158</v>
      </c>
    </row>
    <row r="7" spans="1:46" ht="14.25" customHeight="1" x14ac:dyDescent="0.25">
      <c r="A7" s="1455" t="s">
        <v>909</v>
      </c>
      <c r="B7" s="20" t="s">
        <v>17</v>
      </c>
      <c r="C7" s="106" t="s">
        <v>14</v>
      </c>
      <c r="D7" s="107">
        <v>300</v>
      </c>
      <c r="E7" s="201">
        <f t="shared" si="7"/>
        <v>7.954997383568811</v>
      </c>
      <c r="F7" s="109">
        <v>1</v>
      </c>
      <c r="G7" s="101">
        <f t="shared" si="0"/>
        <v>2386.4992150706435</v>
      </c>
      <c r="H7" s="102">
        <f t="shared" si="1"/>
        <v>2386.4992150706435</v>
      </c>
      <c r="I7" s="65">
        <f>VLOOKUP(B7,All_Ingredients!$A$1:$F$156,6,FALSE())</f>
        <v>0.98</v>
      </c>
      <c r="J7" s="101">
        <f>VLOOKUP(B7,All_Ingredients!$A$1:$J$156,10,FALSE())</f>
        <v>3.5</v>
      </c>
      <c r="K7" s="104">
        <f t="shared" si="8"/>
        <v>2.43520328068433</v>
      </c>
      <c r="L7" s="104">
        <f t="shared" si="9"/>
        <v>8.5232114823951548</v>
      </c>
      <c r="M7" s="112"/>
      <c r="N7" s="112"/>
      <c r="AI7" s="1" t="s">
        <v>94</v>
      </c>
      <c r="AJ7" s="505" t="s">
        <v>149</v>
      </c>
      <c r="AK7" s="106" t="s">
        <v>14</v>
      </c>
      <c r="AL7" s="107">
        <v>50</v>
      </c>
      <c r="AM7" s="201">
        <f t="shared" si="4"/>
        <v>1.8328912466843508</v>
      </c>
      <c r="AN7" s="109">
        <v>1</v>
      </c>
      <c r="AO7" s="101">
        <f t="shared" si="5"/>
        <v>91.64456233421754</v>
      </c>
      <c r="AP7" s="102">
        <f t="shared" si="6"/>
        <v>91.64456233421754</v>
      </c>
      <c r="AQ7" s="1018">
        <f>VLOOKUP(AJ7,Marination_Ordering!$A:$J,6,FALSE)</f>
        <v>1</v>
      </c>
      <c r="AR7" s="1018">
        <f>VLOOKUP(AJ7,Marination_Ordering!$A:$J,10,FALSE)</f>
        <v>10</v>
      </c>
      <c r="AS7" s="156">
        <f t="shared" ref="AS7:AS8" si="10">AP7/AQ7</f>
        <v>91.64456233421754</v>
      </c>
      <c r="AT7" s="1018">
        <f t="shared" ref="AT7:AT8" si="11">AR7*(AS7/1000)</f>
        <v>0.91644562334217539</v>
      </c>
    </row>
    <row r="8" spans="1:46" ht="14.25" customHeight="1" x14ac:dyDescent="0.25">
      <c r="A8" s="1455" t="s">
        <v>907</v>
      </c>
      <c r="B8" s="497" t="s">
        <v>727</v>
      </c>
      <c r="C8" s="106" t="s">
        <v>14</v>
      </c>
      <c r="D8" s="107">
        <v>40</v>
      </c>
      <c r="E8" s="201">
        <f t="shared" si="7"/>
        <v>7.954997383568811</v>
      </c>
      <c r="F8" s="109">
        <v>1</v>
      </c>
      <c r="G8" s="101">
        <f t="shared" si="0"/>
        <v>318.19989534275243</v>
      </c>
      <c r="H8" s="102">
        <f t="shared" si="1"/>
        <v>318.19989534275243</v>
      </c>
      <c r="I8" s="65">
        <f>VLOOKUP(B8,All_Ingredients!$A$1:$F$156,6,FALSE())</f>
        <v>1</v>
      </c>
      <c r="J8" s="101">
        <f>VLOOKUP(B8,All_Ingredients!$A$1:$J$156,10,FALSE())</f>
        <v>10.5</v>
      </c>
      <c r="K8" s="104">
        <f t="shared" si="8"/>
        <v>0.31819989534275245</v>
      </c>
      <c r="L8" s="104">
        <f t="shared" si="9"/>
        <v>3.3410989010989005</v>
      </c>
      <c r="M8" s="112"/>
      <c r="N8" s="112"/>
      <c r="AI8" s="1" t="s">
        <v>94</v>
      </c>
      <c r="AJ8" s="505" t="s">
        <v>105</v>
      </c>
      <c r="AK8" s="106" t="s">
        <v>14</v>
      </c>
      <c r="AL8" s="107">
        <v>50</v>
      </c>
      <c r="AM8" s="201">
        <f t="shared" si="4"/>
        <v>1.8328912466843508</v>
      </c>
      <c r="AN8" s="109">
        <v>1</v>
      </c>
      <c r="AO8" s="101">
        <f t="shared" si="5"/>
        <v>91.64456233421754</v>
      </c>
      <c r="AP8" s="102">
        <f t="shared" si="6"/>
        <v>91.64456233421754</v>
      </c>
      <c r="AQ8" s="1018">
        <f>VLOOKUP(AJ8,Marination_Ordering!$A:$J,6,FALSE)</f>
        <v>1</v>
      </c>
      <c r="AR8" s="1018">
        <f>VLOOKUP(AJ8,Marination_Ordering!$A:$J,10,FALSE)</f>
        <v>15</v>
      </c>
      <c r="AS8" s="156">
        <f t="shared" si="10"/>
        <v>91.64456233421754</v>
      </c>
      <c r="AT8" s="1018">
        <f t="shared" si="11"/>
        <v>1.3746684350132632</v>
      </c>
    </row>
    <row r="9" spans="1:46" ht="14.25" customHeight="1" x14ac:dyDescent="0.25">
      <c r="A9" s="1455"/>
      <c r="B9" s="497" t="s">
        <v>99</v>
      </c>
      <c r="C9" s="106" t="s">
        <v>14</v>
      </c>
      <c r="D9" s="107">
        <v>3</v>
      </c>
      <c r="E9" s="201">
        <f t="shared" si="7"/>
        <v>7.954997383568811</v>
      </c>
      <c r="F9" s="109">
        <v>1</v>
      </c>
      <c r="G9" s="101">
        <f t="shared" si="0"/>
        <v>23.864992150706435</v>
      </c>
      <c r="H9" s="102">
        <f t="shared" si="1"/>
        <v>23.864992150706435</v>
      </c>
      <c r="I9" s="65">
        <f>VLOOKUP(B9,All_Ingredients!$A$1:$F$156,6,FALSE())</f>
        <v>1</v>
      </c>
      <c r="J9" s="101">
        <f>VLOOKUP(B9,All_Ingredients!$A$1:$J$156,10,FALSE())</f>
        <v>31</v>
      </c>
      <c r="K9" s="104">
        <f t="shared" si="8"/>
        <v>2.3864992150706435E-2</v>
      </c>
      <c r="L9" s="104">
        <f t="shared" si="9"/>
        <v>0.73981475667189944</v>
      </c>
      <c r="M9" s="112"/>
      <c r="N9" s="112"/>
      <c r="AI9" s="1" t="s">
        <v>94</v>
      </c>
      <c r="AJ9" s="350" t="s">
        <v>725</v>
      </c>
      <c r="AK9" s="106" t="s">
        <v>14</v>
      </c>
      <c r="AL9" s="107">
        <v>100</v>
      </c>
      <c r="AM9" s="201">
        <f t="shared" si="4"/>
        <v>1.8328912466843508</v>
      </c>
      <c r="AN9" s="109">
        <v>1</v>
      </c>
      <c r="AO9" s="101">
        <f t="shared" si="5"/>
        <v>183.28912466843508</v>
      </c>
      <c r="AP9" s="102">
        <f t="shared" si="6"/>
        <v>183.28912466843508</v>
      </c>
      <c r="AQ9" s="1018">
        <f>VLOOKUP(AJ9,Marination_Ordering!$A:$J,6,FALSE)</f>
        <v>1</v>
      </c>
      <c r="AR9" s="1018">
        <f>VLOOKUP(AJ9,Marination_Ordering!$A:$J,10,FALSE)</f>
        <v>43.333333333333336</v>
      </c>
      <c r="AS9" s="156">
        <f t="shared" ref="AS9:AS14" si="12">AP9/AQ9</f>
        <v>183.28912466843508</v>
      </c>
      <c r="AT9" s="1018">
        <f t="shared" ref="AT9:AT14" si="13">AR9*(AS9/1000)</f>
        <v>7.9425287356321874</v>
      </c>
    </row>
    <row r="10" spans="1:46" ht="14.25" customHeight="1" x14ac:dyDescent="0.25">
      <c r="A10" s="1455"/>
      <c r="B10" s="497" t="s">
        <v>105</v>
      </c>
      <c r="C10" s="106" t="s">
        <v>14</v>
      </c>
      <c r="D10" s="107">
        <v>4</v>
      </c>
      <c r="E10" s="201">
        <f t="shared" si="7"/>
        <v>7.954997383568811</v>
      </c>
      <c r="F10" s="109">
        <v>1</v>
      </c>
      <c r="G10" s="101">
        <f t="shared" si="0"/>
        <v>31.819989534275244</v>
      </c>
      <c r="H10" s="102">
        <f t="shared" si="1"/>
        <v>31.819989534275244</v>
      </c>
      <c r="I10" s="65">
        <f>VLOOKUP(B10,All_Ingredients!$A$1:$F$156,6,FALSE())</f>
        <v>1</v>
      </c>
      <c r="J10" s="101">
        <f>VLOOKUP(B10,All_Ingredients!$A$1:$J$156,10,FALSE())</f>
        <v>15</v>
      </c>
      <c r="K10" s="104">
        <f t="shared" si="8"/>
        <v>3.1819989534275242E-2</v>
      </c>
      <c r="L10" s="104">
        <f t="shared" si="9"/>
        <v>0.47729984301412864</v>
      </c>
      <c r="M10" s="112"/>
      <c r="N10" s="112"/>
      <c r="AI10" s="1" t="s">
        <v>94</v>
      </c>
      <c r="AJ10" s="505" t="s">
        <v>93</v>
      </c>
      <c r="AK10" s="106" t="s">
        <v>14</v>
      </c>
      <c r="AL10" s="107">
        <v>25</v>
      </c>
      <c r="AM10" s="201">
        <f t="shared" si="4"/>
        <v>1.8328912466843508</v>
      </c>
      <c r="AN10" s="109">
        <v>1</v>
      </c>
      <c r="AO10" s="101">
        <f t="shared" si="5"/>
        <v>45.82228116710877</v>
      </c>
      <c r="AP10" s="102">
        <f t="shared" si="6"/>
        <v>45.82228116710877</v>
      </c>
      <c r="AQ10" s="1018">
        <f>VLOOKUP(AJ10,Marination_Ordering!$A:$J,6,FALSE)</f>
        <v>1</v>
      </c>
      <c r="AR10" s="1018">
        <f>VLOOKUP(AJ10,Marination_Ordering!$A:$J,10,FALSE)</f>
        <v>0.74</v>
      </c>
      <c r="AS10" s="156">
        <f t="shared" si="12"/>
        <v>45.82228116710877</v>
      </c>
      <c r="AT10" s="1018">
        <f t="shared" si="13"/>
        <v>3.3908488063660487E-2</v>
      </c>
    </row>
    <row r="11" spans="1:46" ht="14.25" customHeight="1" x14ac:dyDescent="0.25">
      <c r="A11" s="1455"/>
      <c r="B11" s="497" t="s">
        <v>107</v>
      </c>
      <c r="C11" s="106" t="s">
        <v>14</v>
      </c>
      <c r="D11" s="107">
        <v>6</v>
      </c>
      <c r="E11" s="201">
        <f t="shared" si="7"/>
        <v>7.954997383568811</v>
      </c>
      <c r="F11" s="109">
        <v>1</v>
      </c>
      <c r="G11" s="101">
        <f t="shared" si="0"/>
        <v>47.72998430141287</v>
      </c>
      <c r="H11" s="102">
        <f t="shared" si="1"/>
        <v>47.72998430141287</v>
      </c>
      <c r="I11" s="65">
        <f>VLOOKUP(B11,All_Ingredients!$A$1:$F$156,6,FALSE())</f>
        <v>1</v>
      </c>
      <c r="J11" s="101">
        <f>VLOOKUP(B11,All_Ingredients!$A$1:$J$156,10,FALSE())</f>
        <v>8</v>
      </c>
      <c r="K11" s="104">
        <f t="shared" si="8"/>
        <v>4.772998430141287E-2</v>
      </c>
      <c r="L11" s="104">
        <f t="shared" si="9"/>
        <v>0.38183987441130296</v>
      </c>
      <c r="M11" s="112"/>
      <c r="N11" s="112"/>
      <c r="AI11" s="1" t="s">
        <v>94</v>
      </c>
      <c r="AJ11" s="505" t="s">
        <v>99</v>
      </c>
      <c r="AK11" s="106" t="s">
        <v>14</v>
      </c>
      <c r="AL11" s="107">
        <v>25</v>
      </c>
      <c r="AM11" s="201">
        <f t="shared" si="4"/>
        <v>1.8328912466843508</v>
      </c>
      <c r="AN11" s="109">
        <v>1</v>
      </c>
      <c r="AO11" s="101">
        <f t="shared" si="5"/>
        <v>45.82228116710877</v>
      </c>
      <c r="AP11" s="102">
        <f t="shared" si="6"/>
        <v>45.82228116710877</v>
      </c>
      <c r="AQ11" s="1018">
        <f>VLOOKUP(AJ11,Marination_Ordering!$A:$J,6,FALSE)</f>
        <v>1</v>
      </c>
      <c r="AR11" s="1018">
        <f>VLOOKUP(AJ11,Marination_Ordering!$A:$J,10,FALSE)</f>
        <v>31</v>
      </c>
      <c r="AS11" s="156">
        <f t="shared" si="12"/>
        <v>45.82228116710877</v>
      </c>
      <c r="AT11" s="1018">
        <f t="shared" si="13"/>
        <v>1.4204907161803719</v>
      </c>
    </row>
    <row r="12" spans="1:46" ht="14.25" customHeight="1" x14ac:dyDescent="0.25">
      <c r="A12" s="1455"/>
      <c r="B12" s="497" t="s">
        <v>122</v>
      </c>
      <c r="C12" s="106" t="s">
        <v>14</v>
      </c>
      <c r="D12" s="107">
        <v>5</v>
      </c>
      <c r="E12" s="201">
        <f t="shared" si="7"/>
        <v>7.954997383568811</v>
      </c>
      <c r="F12" s="109">
        <v>0.9</v>
      </c>
      <c r="G12" s="101">
        <f t="shared" si="0"/>
        <v>39.774986917844053</v>
      </c>
      <c r="H12" s="102">
        <f t="shared" si="1"/>
        <v>35.797488226059649</v>
      </c>
      <c r="I12" s="65">
        <f>VLOOKUP(B12,All_Ingredients!$A$1:$F$156,6,FALSE())</f>
        <v>1</v>
      </c>
      <c r="J12" s="101">
        <f>VLOOKUP(B12,All_Ingredients!$A$1:$J$156,10,FALSE())</f>
        <v>14</v>
      </c>
      <c r="K12" s="104">
        <f t="shared" si="8"/>
        <v>3.5797488226059646E-2</v>
      </c>
      <c r="L12" s="104">
        <f t="shared" si="9"/>
        <v>0.50116483516483501</v>
      </c>
      <c r="M12" s="112"/>
      <c r="N12" s="112"/>
      <c r="AI12" s="1" t="s">
        <v>94</v>
      </c>
      <c r="AJ12" s="505" t="s">
        <v>107</v>
      </c>
      <c r="AK12" s="106" t="s">
        <v>14</v>
      </c>
      <c r="AL12" s="107">
        <v>50</v>
      </c>
      <c r="AM12" s="201">
        <f t="shared" si="4"/>
        <v>1.8328912466843508</v>
      </c>
      <c r="AN12" s="109">
        <v>1</v>
      </c>
      <c r="AO12" s="101">
        <f t="shared" si="5"/>
        <v>91.64456233421754</v>
      </c>
      <c r="AP12" s="102">
        <f t="shared" si="6"/>
        <v>91.64456233421754</v>
      </c>
      <c r="AQ12" s="1018">
        <f>VLOOKUP(AJ12,Marination_Ordering!$A:$J,6,FALSE)</f>
        <v>1</v>
      </c>
      <c r="AR12" s="1018">
        <f>VLOOKUP(AJ12,Marination_Ordering!$A:$J,10,FALSE)</f>
        <v>8</v>
      </c>
      <c r="AS12" s="156">
        <f t="shared" si="12"/>
        <v>91.64456233421754</v>
      </c>
      <c r="AT12" s="1018">
        <f t="shared" si="13"/>
        <v>0.73315649867374033</v>
      </c>
    </row>
    <row r="13" spans="1:46" ht="14.25" customHeight="1" x14ac:dyDescent="0.25">
      <c r="A13" s="1455"/>
      <c r="B13" s="497" t="s">
        <v>93</v>
      </c>
      <c r="C13" s="106" t="s">
        <v>14</v>
      </c>
      <c r="D13" s="107">
        <v>11</v>
      </c>
      <c r="E13" s="201">
        <f t="shared" si="7"/>
        <v>7.954997383568811</v>
      </c>
      <c r="F13" s="109">
        <v>0.75</v>
      </c>
      <c r="G13" s="101">
        <f t="shared" si="0"/>
        <v>87.504971219256916</v>
      </c>
      <c r="H13" s="102">
        <f t="shared" si="1"/>
        <v>65.628728414442691</v>
      </c>
      <c r="I13" s="65">
        <f>VLOOKUP(B13,All_Ingredients!$A$1:$F$156,6,FALSE())</f>
        <v>1</v>
      </c>
      <c r="J13" s="101">
        <f>VLOOKUP(B13,All_Ingredients!$A$1:$J$156,10,FALSE())</f>
        <v>0.74</v>
      </c>
      <c r="K13" s="104">
        <f t="shared" si="8"/>
        <v>6.5628728414442686E-2</v>
      </c>
      <c r="L13" s="104">
        <f t="shared" si="9"/>
        <v>4.8565259026687589E-2</v>
      </c>
      <c r="M13" s="112"/>
      <c r="N13" s="112"/>
      <c r="AI13" s="1" t="s">
        <v>94</v>
      </c>
      <c r="AJ13" s="350" t="s">
        <v>118</v>
      </c>
      <c r="AK13" s="106" t="s">
        <v>14</v>
      </c>
      <c r="AL13" s="107">
        <v>50</v>
      </c>
      <c r="AM13" s="201">
        <f t="shared" si="4"/>
        <v>1.8328912466843508</v>
      </c>
      <c r="AN13" s="109">
        <v>1</v>
      </c>
      <c r="AO13" s="101">
        <f t="shared" si="5"/>
        <v>91.64456233421754</v>
      </c>
      <c r="AP13" s="102">
        <f t="shared" si="6"/>
        <v>91.64456233421754</v>
      </c>
      <c r="AQ13" s="1018">
        <f>VLOOKUP(AJ13,Marination_Ordering!$A:$J,6,FALSE)</f>
        <v>1</v>
      </c>
      <c r="AR13" s="1018">
        <f>VLOOKUP(AJ13,Marination_Ordering!$A:$J,10,FALSE)</f>
        <v>15</v>
      </c>
      <c r="AS13" s="156">
        <f t="shared" si="12"/>
        <v>91.64456233421754</v>
      </c>
      <c r="AT13" s="1018">
        <f t="shared" si="13"/>
        <v>1.3746684350132632</v>
      </c>
    </row>
    <row r="14" spans="1:46" ht="14.25" customHeight="1" x14ac:dyDescent="0.25">
      <c r="A14" s="1455"/>
      <c r="B14" s="497" t="s">
        <v>698</v>
      </c>
      <c r="C14" s="106" t="s">
        <v>14</v>
      </c>
      <c r="D14" s="107">
        <v>300</v>
      </c>
      <c r="E14" s="201">
        <f t="shared" si="7"/>
        <v>7.954997383568811</v>
      </c>
      <c r="F14" s="109">
        <v>1</v>
      </c>
      <c r="G14" s="101">
        <f t="shared" si="0"/>
        <v>2386.4992150706435</v>
      </c>
      <c r="H14" s="102">
        <f t="shared" si="1"/>
        <v>2386.4992150706435</v>
      </c>
      <c r="I14" s="65">
        <f>VLOOKUP(B14,All_Ingredients!$A$1:$F$156,6,FALSE())</f>
        <v>1</v>
      </c>
      <c r="J14" s="101">
        <f>VLOOKUP(B14,All_Ingredients!$A$1:$J$156,10,FALSE())</f>
        <v>8.1520833333333336</v>
      </c>
      <c r="K14" s="104">
        <f t="shared" si="8"/>
        <v>2.3864992150706437</v>
      </c>
      <c r="L14" s="104">
        <f t="shared" si="9"/>
        <v>19.454940476190476</v>
      </c>
      <c r="M14" s="112"/>
      <c r="N14" s="112"/>
      <c r="AI14" s="1" t="s">
        <v>61</v>
      </c>
      <c r="AJ14" s="505" t="s">
        <v>64</v>
      </c>
      <c r="AK14" s="106" t="s">
        <v>14</v>
      </c>
      <c r="AL14" s="107">
        <v>100</v>
      </c>
      <c r="AM14" s="201">
        <f t="shared" si="4"/>
        <v>1.8328912466843508</v>
      </c>
      <c r="AN14" s="109">
        <v>1</v>
      </c>
      <c r="AO14" s="101">
        <f t="shared" si="5"/>
        <v>183.28912466843508</v>
      </c>
      <c r="AP14" s="102">
        <f t="shared" si="6"/>
        <v>183.28912466843508</v>
      </c>
      <c r="AQ14" s="1018">
        <f>VLOOKUP(AJ14,Marination_Ordering!$A:$J,6,FALSE)</f>
        <v>0.65</v>
      </c>
      <c r="AR14" s="1018">
        <f>VLOOKUP(AJ14,Marination_Ordering!$A:$J,10,FALSE)</f>
        <v>3.5</v>
      </c>
      <c r="AS14" s="156">
        <f t="shared" si="12"/>
        <v>281.98326872066934</v>
      </c>
      <c r="AT14" s="1018">
        <f t="shared" si="13"/>
        <v>0.98694144052234278</v>
      </c>
    </row>
    <row r="15" spans="1:46" ht="14.25" customHeight="1" x14ac:dyDescent="0.25">
      <c r="A15" s="1455"/>
      <c r="B15" s="497" t="s">
        <v>187</v>
      </c>
      <c r="C15" s="106" t="s">
        <v>14</v>
      </c>
      <c r="D15" s="107">
        <v>50</v>
      </c>
      <c r="E15" s="201">
        <f t="shared" si="7"/>
        <v>7.954997383568811</v>
      </c>
      <c r="F15" s="109">
        <v>1</v>
      </c>
      <c r="G15" s="101">
        <f t="shared" si="0"/>
        <v>397.74986917844058</v>
      </c>
      <c r="H15" s="102">
        <f t="shared" si="1"/>
        <v>397.74986917844058</v>
      </c>
      <c r="I15" s="65">
        <f>VLOOKUP(B15,All_Ingredients!$A$1:$F$156,6,FALSE())</f>
        <v>0.9</v>
      </c>
      <c r="J15" s="101">
        <f>VLOOKUP(B15,All_Ingredients!$A$1:$J$156,10,FALSE())</f>
        <v>2.3199999999999998</v>
      </c>
      <c r="K15" s="104">
        <f t="shared" si="8"/>
        <v>0.44194429908715621</v>
      </c>
      <c r="L15" s="104">
        <f t="shared" si="9"/>
        <v>1.0253107738822023</v>
      </c>
      <c r="M15" s="112"/>
      <c r="N15" s="112"/>
    </row>
    <row r="16" spans="1:46" ht="14.25" customHeight="1" x14ac:dyDescent="0.25">
      <c r="A16" s="1455"/>
      <c r="B16" s="497" t="s">
        <v>152</v>
      </c>
      <c r="C16" s="106" t="s">
        <v>14</v>
      </c>
      <c r="D16" s="107">
        <v>25</v>
      </c>
      <c r="E16" s="201">
        <f t="shared" si="7"/>
        <v>7.954997383568811</v>
      </c>
      <c r="F16" s="109">
        <v>1</v>
      </c>
      <c r="G16" s="101">
        <f t="shared" si="0"/>
        <v>198.87493458922029</v>
      </c>
      <c r="H16" s="102">
        <f t="shared" si="1"/>
        <v>198.87493458922029</v>
      </c>
      <c r="I16" s="65">
        <f>VLOOKUP(B16,All_Ingredients!$A$1:$F$156,6,FALSE())</f>
        <v>1</v>
      </c>
      <c r="J16" s="101">
        <f>VLOOKUP(B16,All_Ingredients!$A$1:$J$156,10,FALSE())</f>
        <v>30</v>
      </c>
      <c r="K16" s="104">
        <f t="shared" si="8"/>
        <v>0.19887493458922029</v>
      </c>
      <c r="L16" s="104">
        <f t="shared" si="9"/>
        <v>5.9662480376766087</v>
      </c>
      <c r="M16" s="112"/>
      <c r="N16" s="112"/>
      <c r="T16" s="1089"/>
    </row>
    <row r="17" spans="1:32" ht="14.25" customHeight="1" x14ac:dyDescent="0.25">
      <c r="A17" s="1484"/>
      <c r="B17" s="506" t="s">
        <v>139</v>
      </c>
      <c r="C17" s="106" t="s">
        <v>14</v>
      </c>
      <c r="D17" s="390">
        <v>10</v>
      </c>
      <c r="E17" s="507">
        <f t="shared" si="7"/>
        <v>7.954997383568811</v>
      </c>
      <c r="F17" s="415">
        <v>0.75</v>
      </c>
      <c r="G17" s="422">
        <f t="shared" si="0"/>
        <v>79.549973835688107</v>
      </c>
      <c r="H17" s="417">
        <f t="shared" si="1"/>
        <v>59.662480376766084</v>
      </c>
      <c r="I17" s="65">
        <f>VLOOKUP(B17,All_Ingredients!$A$1:$F$156,6,FALSE())</f>
        <v>1</v>
      </c>
      <c r="J17" s="101">
        <f>VLOOKUP(B17,All_Ingredients!$A$1:$J$156,10,FALSE())</f>
        <v>15.277777777777779</v>
      </c>
      <c r="K17" s="104">
        <f t="shared" si="8"/>
        <v>5.9662480376766081E-2</v>
      </c>
      <c r="L17" s="104">
        <f t="shared" si="9"/>
        <v>0.91151011686725958</v>
      </c>
      <c r="M17" s="112"/>
      <c r="N17" s="112"/>
    </row>
    <row r="18" spans="1:32" ht="14.25" customHeight="1" x14ac:dyDescent="0.25">
      <c r="A18" s="1485"/>
      <c r="B18" s="334"/>
      <c r="C18" s="334"/>
      <c r="D18" s="334"/>
      <c r="E18" s="334"/>
      <c r="F18" s="336"/>
      <c r="G18" s="392"/>
      <c r="H18" s="338"/>
      <c r="I18" s="392"/>
      <c r="J18" s="455"/>
      <c r="K18" s="392"/>
      <c r="L18" s="189"/>
    </row>
    <row r="19" spans="1:32" ht="14.25" customHeight="1" x14ac:dyDescent="0.25">
      <c r="A19" s="62"/>
      <c r="B19" s="232"/>
      <c r="C19" s="232"/>
      <c r="D19" s="232"/>
      <c r="E19" s="232"/>
      <c r="F19" s="117"/>
      <c r="G19" s="76"/>
      <c r="H19" s="119"/>
      <c r="I19" s="76"/>
      <c r="J19" s="120"/>
      <c r="K19" s="76"/>
      <c r="L19" s="189"/>
    </row>
    <row r="20" spans="1:32" ht="14.25" customHeight="1" x14ac:dyDescent="0.25">
      <c r="A20" s="62"/>
      <c r="I20" s="76"/>
      <c r="J20" s="120"/>
      <c r="K20" s="76"/>
      <c r="L20" s="189"/>
    </row>
    <row r="21" spans="1:32" ht="14.25" customHeight="1" x14ac:dyDescent="0.25">
      <c r="A21" s="62"/>
      <c r="I21" s="76"/>
      <c r="J21" s="120"/>
      <c r="K21" s="76"/>
      <c r="L21" s="189"/>
    </row>
    <row r="22" spans="1:32" ht="14.25" customHeight="1" x14ac:dyDescent="0.25">
      <c r="A22" s="62"/>
      <c r="I22" s="76"/>
      <c r="J22" s="120"/>
      <c r="K22" s="76"/>
      <c r="L22" s="189"/>
    </row>
    <row r="23" spans="1:32" ht="14.25" customHeight="1" x14ac:dyDescent="0.25">
      <c r="A23" s="62"/>
      <c r="I23" s="76"/>
      <c r="J23" s="120"/>
      <c r="K23" s="76"/>
      <c r="L23" s="189"/>
    </row>
    <row r="24" spans="1:32" ht="14.25" customHeight="1" x14ac:dyDescent="0.25">
      <c r="A24" s="62"/>
      <c r="B24" s="84"/>
      <c r="C24" s="777"/>
      <c r="D24" s="777"/>
      <c r="E24" s="777"/>
      <c r="F24" s="777"/>
      <c r="G24" s="777"/>
      <c r="I24" s="76"/>
      <c r="J24" s="120"/>
      <c r="K24" s="76"/>
      <c r="L24" s="189"/>
      <c r="V24" s="14"/>
      <c r="Z24" s="1124"/>
    </row>
    <row r="25" spans="1:32" ht="14.25" customHeight="1" x14ac:dyDescent="0.25">
      <c r="A25" s="62"/>
      <c r="B25" s="347"/>
      <c r="C25" s="324"/>
      <c r="D25" s="241"/>
      <c r="E25" s="347"/>
      <c r="F25" s="347"/>
      <c r="G25" s="241"/>
      <c r="H25" s="53"/>
      <c r="I25" s="76"/>
      <c r="J25" s="120"/>
      <c r="K25" s="76"/>
      <c r="L25" s="189"/>
      <c r="R25" s="1640" t="s">
        <v>438</v>
      </c>
      <c r="S25" s="1633"/>
      <c r="T25" s="1633"/>
      <c r="U25" s="1633"/>
      <c r="V25" s="997"/>
      <c r="Z25" s="122" t="s">
        <v>252</v>
      </c>
      <c r="AA25" s="123">
        <v>1</v>
      </c>
      <c r="AB25" s="122" t="s">
        <v>249</v>
      </c>
      <c r="AC25" s="124">
        <f>(AF30*(4/3)*AA25)+(AA30*(AB28/R1))</f>
        <v>2.0361195029398333E-2</v>
      </c>
      <c r="AD25" s="14"/>
    </row>
    <row r="26" spans="1:32" ht="14.25" customHeight="1" x14ac:dyDescent="0.25">
      <c r="A26" s="62"/>
      <c r="B26" s="347"/>
      <c r="C26" s="324"/>
      <c r="D26" s="241"/>
      <c r="E26" s="347"/>
      <c r="F26" s="347"/>
      <c r="G26" s="241"/>
      <c r="H26" s="53"/>
      <c r="I26" s="76"/>
      <c r="J26" s="120"/>
      <c r="K26" s="76"/>
      <c r="L26" s="189"/>
      <c r="R26" s="1654" t="s">
        <v>253</v>
      </c>
      <c r="S26" s="1633"/>
      <c r="T26" s="1633"/>
      <c r="U26" s="1633"/>
      <c r="V26" s="997"/>
      <c r="Z26" s="14"/>
      <c r="AA26" s="14"/>
      <c r="AB26" s="14"/>
      <c r="AC26" s="14"/>
      <c r="AD26" s="14"/>
    </row>
    <row r="27" spans="1:32" ht="14.25" customHeight="1" thickBot="1" x14ac:dyDescent="0.3">
      <c r="A27" s="62"/>
      <c r="I27" s="76"/>
      <c r="J27" s="120"/>
      <c r="K27" s="76"/>
      <c r="L27" s="189"/>
      <c r="R27" s="126" t="s">
        <v>254</v>
      </c>
      <c r="S27" s="127" t="s">
        <v>439</v>
      </c>
      <c r="T27" s="127" t="s">
        <v>256</v>
      </c>
      <c r="U27" s="127" t="s">
        <v>257</v>
      </c>
      <c r="V27" s="127" t="s">
        <v>772</v>
      </c>
      <c r="W27" s="127" t="s">
        <v>779</v>
      </c>
      <c r="Z27" s="122" t="s">
        <v>258</v>
      </c>
      <c r="AA27" s="1031" t="s">
        <v>312</v>
      </c>
      <c r="AB27" s="128" t="s">
        <v>259</v>
      </c>
      <c r="AC27" s="128" t="s">
        <v>260</v>
      </c>
      <c r="AD27" s="128" t="s">
        <v>261</v>
      </c>
      <c r="AE27" s="1032" t="s">
        <v>779</v>
      </c>
      <c r="AF27" s="128" t="s">
        <v>262</v>
      </c>
    </row>
    <row r="28" spans="1:32" ht="14.25" customHeight="1" thickBot="1" x14ac:dyDescent="0.3">
      <c r="A28" s="62"/>
      <c r="I28" s="76"/>
      <c r="J28" s="120"/>
      <c r="K28" s="76"/>
      <c r="L28" s="189"/>
      <c r="R28" s="129" t="s">
        <v>263</v>
      </c>
      <c r="S28" s="690">
        <f>U28*S40</f>
        <v>9861.5384615384628</v>
      </c>
      <c r="T28" s="690">
        <f>U28*U40</f>
        <v>2958.4615384615386</v>
      </c>
      <c r="U28" s="696">
        <f>$Z$1</f>
        <v>12820</v>
      </c>
      <c r="V28" s="130">
        <f>SUM(AP5:AP13)</f>
        <v>751.48541114058389</v>
      </c>
      <c r="W28" s="130">
        <f>SUM(H37:H38)</f>
        <v>98.44</v>
      </c>
      <c r="Z28" s="132"/>
      <c r="AA28" s="1034"/>
      <c r="AB28" s="133">
        <f>AA25*$S$40</f>
        <v>0.76923076923076927</v>
      </c>
      <c r="AC28" s="133">
        <f>AA25*$U$40</f>
        <v>0.23076923076923078</v>
      </c>
      <c r="AD28" s="134">
        <f>AA25*(1/3)</f>
        <v>0.33333333333333331</v>
      </c>
      <c r="AE28" s="1034"/>
      <c r="AF28" s="135">
        <f>SUM(AB28:AD28)</f>
        <v>1.3333333333333333</v>
      </c>
    </row>
    <row r="29" spans="1:32" ht="14.25" customHeight="1" thickBot="1" x14ac:dyDescent="0.3">
      <c r="A29" s="62"/>
      <c r="I29" s="76"/>
      <c r="J29" s="120"/>
      <c r="K29" s="76"/>
      <c r="L29" s="189"/>
      <c r="R29" s="129" t="s">
        <v>264</v>
      </c>
      <c r="S29" s="692"/>
      <c r="T29" s="130">
        <f>U28*(1/3)</f>
        <v>4273.333333333333</v>
      </c>
      <c r="U29" s="690">
        <f>T29</f>
        <v>4273.333333333333</v>
      </c>
      <c r="V29" s="130"/>
      <c r="W29" s="130"/>
      <c r="Z29" s="132"/>
      <c r="AA29" s="1038"/>
      <c r="AB29" s="137">
        <f>AB28/$AF$28</f>
        <v>0.57692307692307698</v>
      </c>
      <c r="AC29" s="137">
        <f>AC28/$AF$28</f>
        <v>0.1730769230769231</v>
      </c>
      <c r="AD29" s="137">
        <f>AD28/$AF$28</f>
        <v>0.25</v>
      </c>
      <c r="AE29" s="1038"/>
      <c r="AF29" s="137">
        <f>AF28/$AF$28</f>
        <v>1</v>
      </c>
    </row>
    <row r="30" spans="1:32" ht="14.25" customHeight="1" thickBot="1" x14ac:dyDescent="0.3">
      <c r="A30" s="62"/>
      <c r="I30" s="76"/>
      <c r="J30" s="120"/>
      <c r="K30" s="76"/>
      <c r="L30" s="189"/>
      <c r="R30" s="129" t="s">
        <v>265</v>
      </c>
      <c r="S30" s="1187">
        <f>U30*S40</f>
        <v>769.23076923076928</v>
      </c>
      <c r="T30" s="1187">
        <f>(U30*U40)+(U30*(1/3))</f>
        <v>564.10256410256409</v>
      </c>
      <c r="U30" s="1173">
        <f>$AB$1</f>
        <v>1000</v>
      </c>
      <c r="V30" s="989"/>
      <c r="W30" s="989"/>
      <c r="Z30" s="122" t="s">
        <v>266</v>
      </c>
      <c r="AA30" s="1042">
        <f>V35/(S32/R1)</f>
        <v>8.9652948717948726E-4</v>
      </c>
      <c r="AB30" s="138">
        <f>S35/(S32)</f>
        <v>2.0463253221873916E-2</v>
      </c>
      <c r="AC30" s="139">
        <f>T35/T32</f>
        <v>5.9870382248137354E-3</v>
      </c>
      <c r="AD30" s="139">
        <f>T35/T32</f>
        <v>5.9870382248137354E-3</v>
      </c>
      <c r="AE30" s="1045">
        <f>W35/U32</f>
        <v>4.0422186351998218E-5</v>
      </c>
      <c r="AF30" s="1047">
        <f>SUMPRODUCT(AB30:AD30,AB29:AD29)+AE30</f>
        <v>1.4379122909469685E-2</v>
      </c>
    </row>
    <row r="31" spans="1:32" ht="15" customHeight="1" thickBot="1" x14ac:dyDescent="0.3">
      <c r="A31" s="62"/>
      <c r="I31" s="76"/>
      <c r="J31" s="120"/>
      <c r="K31" s="76"/>
      <c r="L31" s="189"/>
      <c r="R31" s="129" t="s">
        <v>267</v>
      </c>
      <c r="S31" s="136"/>
      <c r="T31" s="130"/>
      <c r="U31" s="130"/>
      <c r="V31" s="130"/>
      <c r="W31" s="130"/>
    </row>
    <row r="32" spans="1:32" ht="14.25" customHeight="1" thickBot="1" x14ac:dyDescent="0.3">
      <c r="A32" s="62"/>
      <c r="I32" s="76"/>
      <c r="J32" s="120"/>
      <c r="K32" s="76"/>
      <c r="L32" s="189"/>
      <c r="R32" s="141" t="s">
        <v>257</v>
      </c>
      <c r="S32" s="130">
        <f>SUM(S28:S30)</f>
        <v>10630.769230769232</v>
      </c>
      <c r="T32" s="130">
        <f>SUM(T28:T30)</f>
        <v>7795.8974358974356</v>
      </c>
      <c r="U32" s="130">
        <f>SUM(S32:T32)</f>
        <v>18426.666666666668</v>
      </c>
      <c r="V32" s="130">
        <f>SUM(V28:V30)</f>
        <v>751.48541114058389</v>
      </c>
      <c r="W32" s="130">
        <f>SUM(W28:W30)</f>
        <v>98.44</v>
      </c>
    </row>
    <row r="33" spans="1:23" ht="18.75" customHeight="1" thickBot="1" x14ac:dyDescent="0.3">
      <c r="A33" s="62"/>
      <c r="I33" s="76"/>
      <c r="J33" s="120"/>
      <c r="K33" s="76"/>
      <c r="L33" s="189"/>
      <c r="R33" s="142" t="s">
        <v>268</v>
      </c>
      <c r="S33" s="136"/>
      <c r="T33" s="136">
        <f>F79+F98</f>
        <v>0</v>
      </c>
      <c r="U33" s="136"/>
      <c r="V33" s="136"/>
      <c r="W33" s="136"/>
    </row>
    <row r="34" spans="1:23" ht="14.25" customHeight="1" thickBot="1" x14ac:dyDescent="0.3">
      <c r="A34" s="62"/>
      <c r="B34" s="232"/>
      <c r="C34" s="232"/>
      <c r="D34" s="232"/>
      <c r="E34" s="232"/>
      <c r="F34" s="117"/>
      <c r="G34" s="76"/>
      <c r="H34" s="119"/>
      <c r="I34" s="76"/>
      <c r="J34" s="120"/>
      <c r="K34" s="76"/>
      <c r="L34" s="189"/>
      <c r="R34" s="143" t="s">
        <v>269</v>
      </c>
      <c r="S34" s="136"/>
      <c r="T34" s="130"/>
      <c r="U34" s="136"/>
      <c r="V34" s="136"/>
      <c r="W34" s="136"/>
    </row>
    <row r="35" spans="1:23" ht="14.25" customHeight="1" thickBot="1" x14ac:dyDescent="0.3">
      <c r="A35" s="62"/>
      <c r="B35" s="1681" t="s">
        <v>666</v>
      </c>
      <c r="C35" s="1681"/>
      <c r="D35" s="1681"/>
      <c r="E35" s="1681"/>
      <c r="F35" s="1681"/>
      <c r="G35" s="798"/>
      <c r="H35" s="799"/>
      <c r="I35" s="803"/>
      <c r="J35" s="803"/>
      <c r="K35" s="803"/>
      <c r="L35" s="803"/>
      <c r="R35" s="144" t="s">
        <v>249</v>
      </c>
      <c r="S35" s="990">
        <f>$L$5</f>
        <v>217.5401227125366</v>
      </c>
      <c r="T35" s="1141">
        <f>SUM(L6:L17)</f>
        <v>46.674335945445335</v>
      </c>
      <c r="U35" s="990">
        <f>S35+T35+V35+W35</f>
        <v>281.39171530628499</v>
      </c>
      <c r="V35" s="990">
        <f>SUM(AT6:AT14)</f>
        <v>16.432410494456921</v>
      </c>
      <c r="W35" s="1063">
        <f>SUM(L37:L38)</f>
        <v>0.74484615384615394</v>
      </c>
    </row>
    <row r="36" spans="1:23" ht="14.25" customHeight="1" x14ac:dyDescent="0.25">
      <c r="A36" s="62"/>
      <c r="B36" s="776" t="s">
        <v>241</v>
      </c>
      <c r="C36" s="776" t="s">
        <v>317</v>
      </c>
      <c r="D36" s="778" t="s">
        <v>622</v>
      </c>
      <c r="E36" s="775" t="s">
        <v>623</v>
      </c>
      <c r="F36" s="778" t="s">
        <v>624</v>
      </c>
      <c r="G36" s="800"/>
      <c r="H36" s="778" t="s">
        <v>624</v>
      </c>
      <c r="I36" s="778" t="s">
        <v>246</v>
      </c>
      <c r="J36" s="778" t="s">
        <v>247</v>
      </c>
      <c r="K36" s="778" t="s">
        <v>248</v>
      </c>
      <c r="L36" s="778" t="s">
        <v>249</v>
      </c>
    </row>
    <row r="37" spans="1:23" ht="14.25" customHeight="1" x14ac:dyDescent="0.25">
      <c r="A37" s="62"/>
      <c r="B37" s="772" t="s">
        <v>686</v>
      </c>
      <c r="C37" s="773" t="s">
        <v>14</v>
      </c>
      <c r="D37" s="774">
        <v>7.0000000000000007E-2</v>
      </c>
      <c r="E37" s="772">
        <f>$AD$1</f>
        <v>92</v>
      </c>
      <c r="F37" s="772">
        <f>D37*E37</f>
        <v>6.44</v>
      </c>
      <c r="G37" s="794"/>
      <c r="H37" s="772">
        <f>F37</f>
        <v>6.44</v>
      </c>
      <c r="I37" s="772">
        <f>VLOOKUP(B37,All_Ingredients!$A$1:$F$156,6,FALSE())</f>
        <v>0.65</v>
      </c>
      <c r="J37" s="772">
        <f>VLOOKUP(B37,All_Ingredients!$A$1:$J$156,10,FALSE())</f>
        <v>45</v>
      </c>
      <c r="K37" s="772">
        <f>(H37/I37)/1000</f>
        <v>9.9076923076923083E-3</v>
      </c>
      <c r="L37" s="772">
        <f>K37*J37</f>
        <v>0.44584615384615389</v>
      </c>
    </row>
    <row r="38" spans="1:23" ht="14.25" customHeight="1" x14ac:dyDescent="0.25">
      <c r="A38" s="62"/>
      <c r="B38" s="772" t="s">
        <v>19</v>
      </c>
      <c r="C38" s="773" t="s">
        <v>14</v>
      </c>
      <c r="D38" s="774">
        <v>1</v>
      </c>
      <c r="E38" s="772">
        <f>$AD$1</f>
        <v>92</v>
      </c>
      <c r="F38" s="772">
        <f>D38*E38</f>
        <v>92</v>
      </c>
      <c r="H38" s="772">
        <f>F38</f>
        <v>92</v>
      </c>
      <c r="I38" s="772">
        <f>VLOOKUP(B38,All_Ingredients!$A$1:$F$156,6,FALSE())</f>
        <v>0.8</v>
      </c>
      <c r="J38" s="772">
        <f>VLOOKUP(B38,All_Ingredients!$A$1:$J$156,10,FALSE())</f>
        <v>2.6</v>
      </c>
      <c r="K38" s="772">
        <f>(H38/I38)/1000</f>
        <v>0.115</v>
      </c>
      <c r="L38" s="772">
        <f>K38*J38</f>
        <v>0.29900000000000004</v>
      </c>
    </row>
    <row r="39" spans="1:23" ht="14.25" customHeight="1" x14ac:dyDescent="0.25">
      <c r="A39" s="62"/>
      <c r="B39" s="232"/>
      <c r="C39" s="232"/>
      <c r="D39" s="232"/>
      <c r="E39" s="232"/>
      <c r="F39" s="117"/>
      <c r="G39" s="76"/>
      <c r="H39" s="119"/>
      <c r="I39" s="76"/>
      <c r="J39" s="120"/>
      <c r="K39" s="76"/>
      <c r="L39" s="189"/>
    </row>
    <row r="40" spans="1:23" ht="46.5" customHeight="1" x14ac:dyDescent="0.25">
      <c r="A40" s="62"/>
      <c r="B40" s="232"/>
      <c r="C40" s="232"/>
      <c r="D40" s="232"/>
      <c r="E40" s="232"/>
      <c r="F40" s="117"/>
      <c r="G40" s="76"/>
      <c r="H40" s="119"/>
      <c r="I40" s="76"/>
      <c r="J40" s="120"/>
      <c r="K40" s="76"/>
      <c r="L40" s="189"/>
      <c r="Q40" s="14"/>
      <c r="R40" s="146" t="s">
        <v>270</v>
      </c>
      <c r="S40" s="500">
        <v>0.76923076923076927</v>
      </c>
      <c r="T40" s="146" t="s">
        <v>271</v>
      </c>
      <c r="U40" s="500">
        <v>0.23076923076923078</v>
      </c>
      <c r="V40" s="149">
        <f>S40+U40</f>
        <v>1</v>
      </c>
      <c r="W40" s="14"/>
    </row>
    <row r="41" spans="1:23" ht="14.25" customHeight="1" x14ac:dyDescent="0.25">
      <c r="A41" s="62"/>
      <c r="B41" s="232"/>
      <c r="C41" s="232"/>
      <c r="D41" s="232"/>
      <c r="E41" s="232"/>
      <c r="F41" s="117"/>
      <c r="G41" s="76"/>
      <c r="H41" s="119"/>
      <c r="I41" s="76"/>
      <c r="J41" s="120"/>
      <c r="K41" s="76"/>
      <c r="L41" s="189"/>
      <c r="Q41" s="14"/>
      <c r="R41" s="14"/>
      <c r="S41" s="14"/>
      <c r="T41" s="14"/>
      <c r="U41" s="150"/>
      <c r="V41" s="14"/>
      <c r="W41" s="14"/>
    </row>
    <row r="42" spans="1:23" ht="14.25" customHeight="1" x14ac:dyDescent="0.25">
      <c r="A42" s="62"/>
      <c r="B42" s="232"/>
      <c r="C42" s="232"/>
      <c r="D42" s="232"/>
      <c r="E42" s="232"/>
      <c r="F42" s="117"/>
      <c r="G42" s="76"/>
      <c r="H42" s="119"/>
      <c r="I42" s="76"/>
      <c r="J42" s="120"/>
      <c r="K42" s="76"/>
      <c r="L42" s="189"/>
      <c r="Q42" s="14"/>
      <c r="R42" s="14"/>
      <c r="S42" s="14"/>
      <c r="T42" s="14"/>
      <c r="U42" s="14"/>
      <c r="V42" s="14"/>
      <c r="W42" s="14"/>
    </row>
    <row r="43" spans="1:23" ht="14.25" customHeight="1" thickBot="1" x14ac:dyDescent="0.3">
      <c r="A43" s="62"/>
      <c r="B43" s="1"/>
      <c r="C43" s="114"/>
      <c r="D43" s="232"/>
      <c r="E43" s="232"/>
      <c r="F43" s="117"/>
      <c r="G43" s="76"/>
      <c r="H43" s="119"/>
      <c r="I43" s="76"/>
      <c r="J43" s="120"/>
      <c r="K43" s="76"/>
      <c r="L43" s="189"/>
      <c r="Q43" s="151" t="s">
        <v>272</v>
      </c>
      <c r="R43" s="151" t="s">
        <v>273</v>
      </c>
      <c r="S43" s="151" t="s">
        <v>274</v>
      </c>
      <c r="T43" s="151" t="s">
        <v>275</v>
      </c>
      <c r="U43" s="151" t="s">
        <v>276</v>
      </c>
      <c r="V43" s="151" t="s">
        <v>277</v>
      </c>
      <c r="W43" s="235" t="s">
        <v>278</v>
      </c>
    </row>
    <row r="44" spans="1:23" ht="14.25" customHeight="1" thickBot="1" x14ac:dyDescent="0.3">
      <c r="A44" s="62"/>
      <c r="B44" s="1"/>
      <c r="E44" s="84"/>
      <c r="F44" s="84"/>
      <c r="L44" s="189"/>
      <c r="Q44" s="1182">
        <v>17728</v>
      </c>
      <c r="R44" s="154">
        <f>D51</f>
        <v>10000</v>
      </c>
      <c r="S44" s="461">
        <v>0.40909090909090912</v>
      </c>
      <c r="T44" s="461">
        <v>0.59090909090909094</v>
      </c>
      <c r="U44" s="220">
        <f>R44*S44</f>
        <v>4090.909090909091</v>
      </c>
      <c r="V44" s="157">
        <f>R44*T44</f>
        <v>5909.090909090909</v>
      </c>
      <c r="W44" s="237">
        <f>Q44-U44</f>
        <v>13637.090909090908</v>
      </c>
    </row>
    <row r="45" spans="1:23" ht="14.25" customHeight="1" x14ac:dyDescent="0.25">
      <c r="A45" s="62"/>
      <c r="B45" s="84"/>
      <c r="E45" s="84"/>
      <c r="F45" s="84"/>
      <c r="L45" s="189"/>
    </row>
    <row r="46" spans="1:23" ht="14.25" customHeight="1" x14ac:dyDescent="0.25">
      <c r="A46" s="62"/>
      <c r="B46" s="84"/>
      <c r="E46" s="84"/>
      <c r="F46" s="84"/>
      <c r="L46" s="189"/>
      <c r="S46" s="1026"/>
    </row>
    <row r="47" spans="1:23" ht="14.25" customHeight="1" x14ac:dyDescent="0.25">
      <c r="A47" s="62"/>
      <c r="L47" s="189"/>
    </row>
    <row r="48" spans="1:23" ht="14.25" customHeight="1" x14ac:dyDescent="0.25">
      <c r="A48" s="62"/>
      <c r="L48" s="189"/>
      <c r="S48" s="1026"/>
    </row>
    <row r="49" spans="1:12" ht="14.25" customHeight="1" x14ac:dyDescent="0.25">
      <c r="A49" s="62"/>
      <c r="L49" s="189"/>
    </row>
    <row r="50" spans="1:12" ht="14.25" customHeight="1" x14ac:dyDescent="0.25">
      <c r="A50" s="62"/>
      <c r="B50" s="126"/>
      <c r="C50" s="126" t="s">
        <v>233</v>
      </c>
      <c r="D50" s="126" t="s">
        <v>279</v>
      </c>
      <c r="E50" s="160"/>
      <c r="F50" s="84"/>
      <c r="G50" s="126" t="s">
        <v>280</v>
      </c>
      <c r="H50" s="126" t="s">
        <v>233</v>
      </c>
      <c r="I50" s="126" t="s">
        <v>281</v>
      </c>
      <c r="J50" s="126" t="s">
        <v>282</v>
      </c>
      <c r="L50" s="189"/>
    </row>
    <row r="51" spans="1:12" ht="14.25" customHeight="1" x14ac:dyDescent="0.25">
      <c r="A51" s="62"/>
      <c r="B51" s="161" t="s">
        <v>283</v>
      </c>
      <c r="C51" s="162">
        <f>10/$K$1</f>
        <v>10.204081632653061</v>
      </c>
      <c r="D51" s="163">
        <f>$C$1*10</f>
        <v>10000</v>
      </c>
      <c r="E51" s="164"/>
      <c r="F51" s="84"/>
      <c r="G51" s="161" t="s">
        <v>283</v>
      </c>
      <c r="H51" s="254">
        <f>I51/$D$5</f>
        <v>10</v>
      </c>
      <c r="I51" s="162">
        <f>J51/$R$1</f>
        <v>23512.225705329154</v>
      </c>
      <c r="J51" s="162">
        <f>$W$44</f>
        <v>13637.090909090908</v>
      </c>
    </row>
    <row r="52" spans="1:12" ht="14.25" customHeight="1" x14ac:dyDescent="0.25">
      <c r="A52" s="62"/>
      <c r="B52" s="209" t="s">
        <v>262</v>
      </c>
      <c r="C52" s="210">
        <f>$I$1</f>
        <v>7.954997383568811</v>
      </c>
      <c r="D52" s="211">
        <f>$E$1</f>
        <v>7795.8974358974356</v>
      </c>
      <c r="E52" s="84"/>
      <c r="F52" s="84"/>
      <c r="G52" s="129" t="s">
        <v>262</v>
      </c>
      <c r="H52" s="190">
        <f>I52/$D$5</f>
        <v>7.7954816768746706</v>
      </c>
      <c r="I52" s="157">
        <f>J52/$R$1</f>
        <v>18328.912466843507</v>
      </c>
      <c r="J52" s="165">
        <f>$S$32</f>
        <v>10630.769230769232</v>
      </c>
    </row>
    <row r="53" spans="1:12" ht="14.25" customHeight="1" x14ac:dyDescent="0.25">
      <c r="A53" s="62"/>
      <c r="B53" s="209" t="s">
        <v>284</v>
      </c>
      <c r="C53" s="212">
        <f>MIN(C52, C51)</f>
        <v>7.954997383568811</v>
      </c>
      <c r="D53" s="211">
        <f>(C53*$K$1)*$C$1</f>
        <v>7795.8974358974356</v>
      </c>
      <c r="E53" s="84"/>
      <c r="F53" s="84"/>
      <c r="G53" s="129" t="s">
        <v>284</v>
      </c>
      <c r="H53" s="168">
        <f>MIN(H52,H51)</f>
        <v>7.7954816768746706</v>
      </c>
      <c r="I53" s="157">
        <f>J53/$R$1</f>
        <v>18328.912466843507</v>
      </c>
      <c r="J53" s="157">
        <f>MIN(J52,J51)</f>
        <v>10630.769230769232</v>
      </c>
    </row>
    <row r="54" spans="1:12" ht="14.25" customHeight="1" x14ac:dyDescent="0.25">
      <c r="A54" s="62"/>
      <c r="B54" s="209" t="s">
        <v>285</v>
      </c>
      <c r="C54" s="212">
        <f>MIN(MAX(C52-C53,0),C51)</f>
        <v>0</v>
      </c>
      <c r="D54" s="211">
        <f>(C54*$K$1)*$C$1</f>
        <v>0</v>
      </c>
      <c r="E54" s="84"/>
      <c r="F54" s="84"/>
      <c r="G54" s="129" t="s">
        <v>285</v>
      </c>
      <c r="H54" s="168">
        <f>MIN(MAX(H52-H53),H51)</f>
        <v>0</v>
      </c>
      <c r="I54" s="157">
        <f>J54/$R$1</f>
        <v>0</v>
      </c>
      <c r="J54" s="157">
        <f>MIN(MAX(J52-J53),J51)</f>
        <v>0</v>
      </c>
    </row>
    <row r="55" spans="1:12" ht="14.25" customHeight="1" x14ac:dyDescent="0.25">
      <c r="A55" s="62"/>
      <c r="B55" s="209" t="s">
        <v>286</v>
      </c>
      <c r="C55" s="212">
        <f>MIN(MAX(C52-C53-C54,0),C51)</f>
        <v>0</v>
      </c>
      <c r="D55" s="211">
        <f>(C55*$K$1)*$C$1</f>
        <v>0</v>
      </c>
      <c r="E55" s="84"/>
      <c r="F55" s="84"/>
      <c r="G55" s="126" t="s">
        <v>286</v>
      </c>
      <c r="H55" s="168">
        <f>MIN(MAX(H52-H53-H54),H51)</f>
        <v>0</v>
      </c>
      <c r="I55" s="157">
        <f>J55/$R$1</f>
        <v>0</v>
      </c>
      <c r="J55" s="157">
        <f>MIN(MAX(J52-J53-J54),J51)</f>
        <v>0</v>
      </c>
    </row>
    <row r="56" spans="1:12" ht="14.25" customHeight="1" x14ac:dyDescent="0.25">
      <c r="A56" s="62"/>
      <c r="B56" s="160"/>
      <c r="C56" s="160"/>
      <c r="D56" s="160"/>
      <c r="E56" s="160"/>
      <c r="F56" s="84"/>
    </row>
    <row r="57" spans="1:12" ht="14.25" customHeight="1" x14ac:dyDescent="0.25">
      <c r="A57" s="62"/>
      <c r="B57" s="160"/>
      <c r="C57" s="160"/>
      <c r="D57" s="160"/>
      <c r="E57" s="160"/>
      <c r="F57" s="84"/>
    </row>
    <row r="58" spans="1:12" ht="14.25" customHeight="1" x14ac:dyDescent="0.25">
      <c r="A58" s="62"/>
      <c r="B58" s="160"/>
      <c r="C58" s="160"/>
      <c r="D58" s="160"/>
      <c r="E58" s="160"/>
      <c r="F58" s="84"/>
    </row>
    <row r="59" spans="1:12" ht="14.25" customHeight="1" x14ac:dyDescent="0.25">
      <c r="A59" s="62"/>
      <c r="B59" s="84"/>
      <c r="E59" s="84"/>
      <c r="F59" s="84"/>
    </row>
    <row r="60" spans="1:12" ht="14.25" customHeight="1" x14ac:dyDescent="0.25">
      <c r="A60" s="62"/>
      <c r="B60" s="84"/>
      <c r="E60" s="84"/>
      <c r="F60" s="84"/>
    </row>
    <row r="61" spans="1:12" ht="14.25" customHeight="1" x14ac:dyDescent="0.25">
      <c r="A61" s="62"/>
      <c r="B61" s="84"/>
      <c r="E61" s="84"/>
      <c r="F61" s="84"/>
    </row>
    <row r="62" spans="1:12" ht="18" customHeight="1" x14ac:dyDescent="0.25">
      <c r="A62" s="1456"/>
      <c r="B62" s="1636" t="str">
        <f>"كباب هندى   1 / " &amp; COUNTIF(C$53:C$55, "&gt;0")</f>
        <v>كباب هندى   1 / 1</v>
      </c>
      <c r="C62" s="1637"/>
      <c r="D62" s="1637"/>
      <c r="E62" s="1637"/>
      <c r="F62" s="1637"/>
      <c r="G62" s="1637"/>
      <c r="H62" s="1637"/>
    </row>
    <row r="63" spans="1:12" ht="18" customHeight="1" x14ac:dyDescent="0.25">
      <c r="A63" s="1456"/>
      <c r="B63" s="1634" t="str">
        <f>"Kebab Hindi 1 / " &amp; COUNTIF($C$53:$C$55, "&gt;0")</f>
        <v>Kebab Hindi 1 / 1</v>
      </c>
      <c r="C63" s="1635"/>
      <c r="D63" s="1635"/>
      <c r="E63" s="1635"/>
      <c r="F63" s="1635"/>
      <c r="G63" s="1635"/>
      <c r="H63" s="1635"/>
    </row>
    <row r="64" spans="1:12" ht="47.25" customHeight="1" x14ac:dyDescent="0.2">
      <c r="A64" s="1457"/>
      <c r="B64" s="75" t="s">
        <v>241</v>
      </c>
      <c r="C64" s="90" t="s">
        <v>242</v>
      </c>
      <c r="D64" s="75" t="s">
        <v>231</v>
      </c>
      <c r="E64" s="91" t="s">
        <v>234</v>
      </c>
      <c r="F64" s="91" t="s">
        <v>243</v>
      </c>
      <c r="G64" s="75" t="s">
        <v>244</v>
      </c>
      <c r="H64" s="197" t="s">
        <v>245</v>
      </c>
    </row>
    <row r="65" spans="1:8" ht="14.25" customHeight="1" x14ac:dyDescent="0.2">
      <c r="A65" s="1459"/>
      <c r="B65" s="299" t="str">
        <f t="shared" ref="B65:D77" si="14">B5</f>
        <v>Indian Meat Tammam Mafroom - مفروم هندى</v>
      </c>
      <c r="C65" s="299" t="str">
        <f t="shared" si="14"/>
        <v>gm</v>
      </c>
      <c r="D65" s="454">
        <f t="shared" si="14"/>
        <v>2351.2225705329156</v>
      </c>
      <c r="E65" s="177">
        <f>H53</f>
        <v>7.7954816768746706</v>
      </c>
      <c r="F65" s="109">
        <f t="shared" ref="F65:F77" si="15">F5</f>
        <v>1</v>
      </c>
      <c r="G65" s="101">
        <f t="shared" ref="G65:G77" si="16">D65*E65</f>
        <v>18328.912466843507</v>
      </c>
      <c r="H65" s="102">
        <f t="shared" ref="H65:H77" si="17">G65*F65</f>
        <v>18328.912466843507</v>
      </c>
    </row>
    <row r="66" spans="1:8" ht="14.25" customHeight="1" x14ac:dyDescent="0.25">
      <c r="A66" s="1455" t="s">
        <v>920</v>
      </c>
      <c r="B66" s="299" t="str">
        <f t="shared" si="14"/>
        <v>Onion - بصل</v>
      </c>
      <c r="C66" s="299" t="str">
        <f t="shared" si="14"/>
        <v>gm</v>
      </c>
      <c r="D66" s="299">
        <f t="shared" si="14"/>
        <v>200</v>
      </c>
      <c r="E66" s="177">
        <f t="shared" ref="E66:E77" si="18">$C$53</f>
        <v>7.954997383568811</v>
      </c>
      <c r="F66" s="109">
        <f t="shared" si="15"/>
        <v>1</v>
      </c>
      <c r="G66" s="101">
        <f t="shared" si="16"/>
        <v>1590.9994767137623</v>
      </c>
      <c r="H66" s="102">
        <f t="shared" si="17"/>
        <v>1590.9994767137623</v>
      </c>
    </row>
    <row r="67" spans="1:8" ht="14.25" customHeight="1" x14ac:dyDescent="0.25">
      <c r="A67" s="1455" t="s">
        <v>909</v>
      </c>
      <c r="B67" s="299" t="str">
        <f t="shared" si="14"/>
        <v>Tomato - طماطم</v>
      </c>
      <c r="C67" s="299" t="str">
        <f t="shared" si="14"/>
        <v>gm</v>
      </c>
      <c r="D67" s="299">
        <f t="shared" si="14"/>
        <v>300</v>
      </c>
      <c r="E67" s="177">
        <f>$C$53</f>
        <v>7.954997383568811</v>
      </c>
      <c r="F67" s="109">
        <f t="shared" si="15"/>
        <v>1</v>
      </c>
      <c r="G67" s="101">
        <f t="shared" si="16"/>
        <v>2386.4992150706435</v>
      </c>
      <c r="H67" s="102">
        <f t="shared" si="17"/>
        <v>2386.4992150706435</v>
      </c>
    </row>
    <row r="68" spans="1:8" ht="14.25" customHeight="1" x14ac:dyDescent="0.25">
      <c r="A68" s="1455" t="s">
        <v>907</v>
      </c>
      <c r="B68" s="299" t="str">
        <f t="shared" si="14"/>
        <v>Garlic - ثوم مقشر</v>
      </c>
      <c r="C68" s="299" t="str">
        <f t="shared" si="14"/>
        <v>gm</v>
      </c>
      <c r="D68" s="299">
        <f t="shared" si="14"/>
        <v>40</v>
      </c>
      <c r="E68" s="177">
        <f t="shared" si="18"/>
        <v>7.954997383568811</v>
      </c>
      <c r="F68" s="109">
        <f t="shared" si="15"/>
        <v>1</v>
      </c>
      <c r="G68" s="101">
        <f t="shared" si="16"/>
        <v>318.19989534275243</v>
      </c>
      <c r="H68" s="102">
        <f t="shared" si="17"/>
        <v>318.19989534275243</v>
      </c>
    </row>
    <row r="69" spans="1:8" ht="14.25" customHeight="1" x14ac:dyDescent="0.25">
      <c r="A69" s="1455"/>
      <c r="B69" s="299" t="str">
        <f t="shared" si="14"/>
        <v>Black Pepper Powder - فلفل أسود مطحون</v>
      </c>
      <c r="C69" s="299" t="str">
        <f t="shared" si="14"/>
        <v>gm</v>
      </c>
      <c r="D69" s="299">
        <f t="shared" si="14"/>
        <v>3</v>
      </c>
      <c r="E69" s="177">
        <f t="shared" si="18"/>
        <v>7.954997383568811</v>
      </c>
      <c r="F69" s="109">
        <f t="shared" si="15"/>
        <v>1</v>
      </c>
      <c r="G69" s="101">
        <f t="shared" si="16"/>
        <v>23.864992150706435</v>
      </c>
      <c r="H69" s="102">
        <f t="shared" si="17"/>
        <v>23.864992150706435</v>
      </c>
    </row>
    <row r="70" spans="1:8" ht="14.25" customHeight="1" x14ac:dyDescent="0.25">
      <c r="A70" s="1455"/>
      <c r="B70" s="299" t="str">
        <f t="shared" si="14"/>
        <v>Cumin Powder - كمون مطحون</v>
      </c>
      <c r="C70" s="299" t="str">
        <f t="shared" si="14"/>
        <v>gm</v>
      </c>
      <c r="D70" s="299">
        <f t="shared" si="14"/>
        <v>4</v>
      </c>
      <c r="E70" s="177">
        <f t="shared" si="18"/>
        <v>7.954997383568811</v>
      </c>
      <c r="F70" s="109">
        <f t="shared" si="15"/>
        <v>1</v>
      </c>
      <c r="G70" s="101">
        <f t="shared" si="16"/>
        <v>31.819989534275244</v>
      </c>
      <c r="H70" s="102">
        <f t="shared" si="17"/>
        <v>31.819989534275244</v>
      </c>
    </row>
    <row r="71" spans="1:8" ht="14.25" customHeight="1" x14ac:dyDescent="0.25">
      <c r="A71" s="1455"/>
      <c r="B71" s="299" t="str">
        <f t="shared" si="14"/>
        <v>Coriander Powder - كزبرة مطحونة</v>
      </c>
      <c r="C71" s="299" t="str">
        <f t="shared" si="14"/>
        <v>gm</v>
      </c>
      <c r="D71" s="299">
        <f t="shared" si="14"/>
        <v>6</v>
      </c>
      <c r="E71" s="177">
        <f t="shared" si="18"/>
        <v>7.954997383568811</v>
      </c>
      <c r="F71" s="109">
        <f t="shared" si="15"/>
        <v>1</v>
      </c>
      <c r="G71" s="101">
        <f t="shared" si="16"/>
        <v>47.72998430141287</v>
      </c>
      <c r="H71" s="102">
        <f t="shared" si="17"/>
        <v>47.72998430141287</v>
      </c>
    </row>
    <row r="72" spans="1:8" ht="14.25" customHeight="1" x14ac:dyDescent="0.25">
      <c r="A72" s="1455"/>
      <c r="B72" s="299" t="str">
        <f t="shared" si="14"/>
        <v>Cinnamon Powder - قرفة مطحونة</v>
      </c>
      <c r="C72" s="299" t="str">
        <f t="shared" si="14"/>
        <v>gm</v>
      </c>
      <c r="D72" s="299">
        <f t="shared" si="14"/>
        <v>5</v>
      </c>
      <c r="E72" s="177">
        <f t="shared" si="18"/>
        <v>7.954997383568811</v>
      </c>
      <c r="F72" s="109">
        <f t="shared" si="15"/>
        <v>0.9</v>
      </c>
      <c r="G72" s="101">
        <f t="shared" si="16"/>
        <v>39.774986917844053</v>
      </c>
      <c r="H72" s="102">
        <f t="shared" si="17"/>
        <v>35.797488226059649</v>
      </c>
    </row>
    <row r="73" spans="1:8" ht="14.25" customHeight="1" x14ac:dyDescent="0.25">
      <c r="A73" s="1455"/>
      <c r="B73" s="299" t="str">
        <f t="shared" si="14"/>
        <v>Salt - ملح</v>
      </c>
      <c r="C73" s="299" t="str">
        <f t="shared" si="14"/>
        <v>gm</v>
      </c>
      <c r="D73" s="299">
        <f t="shared" si="14"/>
        <v>11</v>
      </c>
      <c r="E73" s="177">
        <f t="shared" si="18"/>
        <v>7.954997383568811</v>
      </c>
      <c r="F73" s="109">
        <f t="shared" si="15"/>
        <v>0.75</v>
      </c>
      <c r="G73" s="101">
        <f t="shared" si="16"/>
        <v>87.504971219256916</v>
      </c>
      <c r="H73" s="102">
        <f t="shared" si="17"/>
        <v>65.628728414442691</v>
      </c>
    </row>
    <row r="74" spans="1:8" ht="14.25" customHeight="1" x14ac:dyDescent="0.25">
      <c r="A74" s="1455"/>
      <c r="B74" s="299" t="str">
        <f t="shared" si="14"/>
        <v>Tomato Paste - صلصة طماطم</v>
      </c>
      <c r="C74" s="299" t="str">
        <f t="shared" si="14"/>
        <v>gm</v>
      </c>
      <c r="D74" s="299">
        <f t="shared" si="14"/>
        <v>300</v>
      </c>
      <c r="E74" s="177">
        <f t="shared" si="18"/>
        <v>7.954997383568811</v>
      </c>
      <c r="F74" s="109">
        <f t="shared" si="15"/>
        <v>1</v>
      </c>
      <c r="G74" s="101">
        <f t="shared" si="16"/>
        <v>2386.4992150706435</v>
      </c>
      <c r="H74" s="102">
        <f t="shared" si="17"/>
        <v>2386.4992150706435</v>
      </c>
    </row>
    <row r="75" spans="1:8" ht="14.25" customHeight="1" x14ac:dyDescent="0.25">
      <c r="A75" s="1455"/>
      <c r="B75" s="299" t="str">
        <f t="shared" si="14"/>
        <v>Corn Starch - نشا ذرة</v>
      </c>
      <c r="C75" s="299" t="str">
        <f t="shared" si="14"/>
        <v>gm</v>
      </c>
      <c r="D75" s="299">
        <f t="shared" si="14"/>
        <v>50</v>
      </c>
      <c r="E75" s="177">
        <f t="shared" si="18"/>
        <v>7.954997383568811</v>
      </c>
      <c r="F75" s="109">
        <f t="shared" si="15"/>
        <v>1</v>
      </c>
      <c r="G75" s="101">
        <f t="shared" si="16"/>
        <v>397.74986917844058</v>
      </c>
      <c r="H75" s="102">
        <f t="shared" si="17"/>
        <v>397.74986917844058</v>
      </c>
    </row>
    <row r="76" spans="1:8" ht="14.25" customHeight="1" x14ac:dyDescent="0.25">
      <c r="A76" s="1455"/>
      <c r="B76" s="299" t="str">
        <f t="shared" si="14"/>
        <v>Butter - زبدة</v>
      </c>
      <c r="C76" s="299" t="str">
        <f t="shared" si="14"/>
        <v>gm</v>
      </c>
      <c r="D76" s="299">
        <f t="shared" si="14"/>
        <v>25</v>
      </c>
      <c r="E76" s="177">
        <f t="shared" si="18"/>
        <v>7.954997383568811</v>
      </c>
      <c r="F76" s="109">
        <f t="shared" si="15"/>
        <v>1</v>
      </c>
      <c r="G76" s="101">
        <f t="shared" si="16"/>
        <v>198.87493458922029</v>
      </c>
      <c r="H76" s="102">
        <f t="shared" si="17"/>
        <v>198.87493458922029</v>
      </c>
    </row>
    <row r="77" spans="1:8" ht="14.25" customHeight="1" x14ac:dyDescent="0.25">
      <c r="A77" s="1455"/>
      <c r="B77" s="299" t="str">
        <f t="shared" si="14"/>
        <v>Maggi Cubes - مكعبات ماجي</v>
      </c>
      <c r="C77" s="299" t="str">
        <f t="shared" si="14"/>
        <v>gm</v>
      </c>
      <c r="D77" s="299">
        <f t="shared" si="14"/>
        <v>10</v>
      </c>
      <c r="E77" s="177">
        <f t="shared" si="18"/>
        <v>7.954997383568811</v>
      </c>
      <c r="F77" s="109">
        <f t="shared" si="15"/>
        <v>0.75</v>
      </c>
      <c r="G77" s="101">
        <f t="shared" si="16"/>
        <v>79.549973835688107</v>
      </c>
      <c r="H77" s="102">
        <f t="shared" si="17"/>
        <v>59.662480376766084</v>
      </c>
    </row>
    <row r="78" spans="1:8" ht="20.25" customHeight="1" x14ac:dyDescent="0.25">
      <c r="A78" s="1458"/>
      <c r="B78" s="178" t="s">
        <v>287</v>
      </c>
      <c r="C78" s="180" t="s">
        <v>273</v>
      </c>
      <c r="D78" s="14"/>
      <c r="E78" s="180" t="s">
        <v>288</v>
      </c>
      <c r="F78" s="14"/>
      <c r="G78" s="804" t="s">
        <v>264</v>
      </c>
      <c r="H78" s="804" t="s">
        <v>673</v>
      </c>
    </row>
    <row r="79" spans="1:8" ht="19.5" customHeight="1" x14ac:dyDescent="0.3">
      <c r="A79" s="1458"/>
      <c r="B79" s="179">
        <f>$J$53</f>
        <v>10630.769230769232</v>
      </c>
      <c r="C79" s="179">
        <f>E79+G79</f>
        <v>7795.8974358974365</v>
      </c>
      <c r="D79" s="839"/>
      <c r="E79" s="179">
        <f>$D$53*$S$44</f>
        <v>3189.2307692307695</v>
      </c>
      <c r="F79" s="843"/>
      <c r="G79" s="179">
        <f>$D$53*$T$44</f>
        <v>4606.666666666667</v>
      </c>
      <c r="H79" s="179">
        <f>B79+E79</f>
        <v>13820.000000000002</v>
      </c>
    </row>
    <row r="80" spans="1:8" ht="14.25" customHeight="1" x14ac:dyDescent="0.25">
      <c r="A80" s="62"/>
      <c r="B80" s="84"/>
      <c r="E80" s="84"/>
      <c r="F80" s="84"/>
    </row>
    <row r="81" spans="1:8" ht="18" customHeight="1" x14ac:dyDescent="0.25">
      <c r="A81" s="1456"/>
      <c r="B81" s="1636" t="str">
        <f>"كباب هندى   2 / " &amp; COUNTIF(C$53:C$55, "&gt;0")</f>
        <v>كباب هندى   2 / 1</v>
      </c>
      <c r="C81" s="1637"/>
      <c r="D81" s="1637"/>
      <c r="E81" s="1637"/>
      <c r="F81" s="1637"/>
      <c r="G81" s="1637"/>
      <c r="H81" s="1637"/>
    </row>
    <row r="82" spans="1:8" ht="18" customHeight="1" x14ac:dyDescent="0.25">
      <c r="A82" s="1456"/>
      <c r="B82" s="1634" t="str">
        <f>"Kebab Hindi 2 / " &amp; COUNTIF($C$53:$C$55, "&gt;0")</f>
        <v>Kebab Hindi 2 / 1</v>
      </c>
      <c r="C82" s="1635"/>
      <c r="D82" s="1635"/>
      <c r="E82" s="1635"/>
      <c r="F82" s="1635"/>
      <c r="G82" s="1635"/>
      <c r="H82" s="1635"/>
    </row>
    <row r="83" spans="1:8" ht="42" customHeight="1" x14ac:dyDescent="0.2">
      <c r="A83" s="1457"/>
      <c r="B83" s="75" t="s">
        <v>241</v>
      </c>
      <c r="C83" s="90" t="s">
        <v>242</v>
      </c>
      <c r="D83" s="75" t="s">
        <v>231</v>
      </c>
      <c r="E83" s="91" t="s">
        <v>234</v>
      </c>
      <c r="F83" s="91" t="s">
        <v>243</v>
      </c>
      <c r="G83" s="75" t="s">
        <v>244</v>
      </c>
      <c r="H83" s="197" t="s">
        <v>245</v>
      </c>
    </row>
    <row r="84" spans="1:8" ht="14.25" customHeight="1" x14ac:dyDescent="0.25">
      <c r="A84" s="1455"/>
      <c r="B84" s="106" t="str">
        <f t="shared" ref="B84:D96" si="19">B5</f>
        <v>Indian Meat Tammam Mafroom - مفروم هندى</v>
      </c>
      <c r="C84" s="106" t="str">
        <f t="shared" si="19"/>
        <v>gm</v>
      </c>
      <c r="D84" s="102">
        <f t="shared" si="19"/>
        <v>2351.2225705329156</v>
      </c>
      <c r="E84" s="177">
        <f>H54</f>
        <v>0</v>
      </c>
      <c r="F84" s="109">
        <f t="shared" ref="F84:F96" si="20">F5</f>
        <v>1</v>
      </c>
      <c r="G84" s="101">
        <f t="shared" ref="G84:G96" si="21">D84*E84</f>
        <v>0</v>
      </c>
      <c r="H84" s="102">
        <f t="shared" ref="H84:H96" si="22">G84*F84</f>
        <v>0</v>
      </c>
    </row>
    <row r="85" spans="1:8" ht="14.25" customHeight="1" x14ac:dyDescent="0.25">
      <c r="A85" s="1455" t="s">
        <v>920</v>
      </c>
      <c r="B85" s="106" t="str">
        <f t="shared" si="19"/>
        <v>Onion - بصل</v>
      </c>
      <c r="C85" s="106" t="str">
        <f t="shared" si="19"/>
        <v>gm</v>
      </c>
      <c r="D85" s="106">
        <f t="shared" si="19"/>
        <v>200</v>
      </c>
      <c r="E85" s="177">
        <f>$C$54</f>
        <v>0</v>
      </c>
      <c r="F85" s="109">
        <f t="shared" si="20"/>
        <v>1</v>
      </c>
      <c r="G85" s="101">
        <f t="shared" si="21"/>
        <v>0</v>
      </c>
      <c r="H85" s="102">
        <f t="shared" si="22"/>
        <v>0</v>
      </c>
    </row>
    <row r="86" spans="1:8" ht="14.25" customHeight="1" x14ac:dyDescent="0.25">
      <c r="A86" s="1455" t="s">
        <v>909</v>
      </c>
      <c r="B86" s="106" t="str">
        <f t="shared" si="19"/>
        <v>Tomato - طماطم</v>
      </c>
      <c r="C86" s="106" t="str">
        <f t="shared" si="19"/>
        <v>gm</v>
      </c>
      <c r="D86" s="106">
        <f t="shared" si="19"/>
        <v>300</v>
      </c>
      <c r="E86" s="177">
        <f t="shared" ref="E86:E96" si="23">$C$54</f>
        <v>0</v>
      </c>
      <c r="F86" s="109">
        <f t="shared" si="20"/>
        <v>1</v>
      </c>
      <c r="G86" s="101">
        <f t="shared" si="21"/>
        <v>0</v>
      </c>
      <c r="H86" s="102">
        <f t="shared" si="22"/>
        <v>0</v>
      </c>
    </row>
    <row r="87" spans="1:8" ht="14.25" customHeight="1" x14ac:dyDescent="0.25">
      <c r="A87" s="1455" t="s">
        <v>907</v>
      </c>
      <c r="B87" s="106" t="str">
        <f t="shared" si="19"/>
        <v>Garlic - ثوم مقشر</v>
      </c>
      <c r="C87" s="106" t="str">
        <f t="shared" si="19"/>
        <v>gm</v>
      </c>
      <c r="D87" s="106">
        <f t="shared" si="19"/>
        <v>40</v>
      </c>
      <c r="E87" s="177">
        <f t="shared" si="23"/>
        <v>0</v>
      </c>
      <c r="F87" s="109">
        <f t="shared" si="20"/>
        <v>1</v>
      </c>
      <c r="G87" s="101">
        <f t="shared" si="21"/>
        <v>0</v>
      </c>
      <c r="H87" s="102">
        <f t="shared" si="22"/>
        <v>0</v>
      </c>
    </row>
    <row r="88" spans="1:8" ht="14.25" customHeight="1" x14ac:dyDescent="0.25">
      <c r="A88" s="1455"/>
      <c r="B88" s="106" t="str">
        <f t="shared" si="19"/>
        <v>Black Pepper Powder - فلفل أسود مطحون</v>
      </c>
      <c r="C88" s="106" t="str">
        <f t="shared" si="19"/>
        <v>gm</v>
      </c>
      <c r="D88" s="106">
        <f t="shared" si="19"/>
        <v>3</v>
      </c>
      <c r="E88" s="177">
        <f t="shared" si="23"/>
        <v>0</v>
      </c>
      <c r="F88" s="109">
        <f t="shared" si="20"/>
        <v>1</v>
      </c>
      <c r="G88" s="101">
        <f t="shared" si="21"/>
        <v>0</v>
      </c>
      <c r="H88" s="102">
        <f t="shared" si="22"/>
        <v>0</v>
      </c>
    </row>
    <row r="89" spans="1:8" ht="14.25" customHeight="1" x14ac:dyDescent="0.25">
      <c r="A89" s="1455"/>
      <c r="B89" s="106" t="str">
        <f t="shared" si="19"/>
        <v>Cumin Powder - كمون مطحون</v>
      </c>
      <c r="C89" s="106" t="str">
        <f t="shared" si="19"/>
        <v>gm</v>
      </c>
      <c r="D89" s="106">
        <f t="shared" si="19"/>
        <v>4</v>
      </c>
      <c r="E89" s="177">
        <f t="shared" si="23"/>
        <v>0</v>
      </c>
      <c r="F89" s="109">
        <f t="shared" si="20"/>
        <v>1</v>
      </c>
      <c r="G89" s="101">
        <f t="shared" si="21"/>
        <v>0</v>
      </c>
      <c r="H89" s="102">
        <f t="shared" si="22"/>
        <v>0</v>
      </c>
    </row>
    <row r="90" spans="1:8" ht="14.25" customHeight="1" x14ac:dyDescent="0.25">
      <c r="A90" s="1455"/>
      <c r="B90" s="106" t="str">
        <f t="shared" si="19"/>
        <v>Coriander Powder - كزبرة مطحونة</v>
      </c>
      <c r="C90" s="106" t="str">
        <f t="shared" si="19"/>
        <v>gm</v>
      </c>
      <c r="D90" s="106">
        <f t="shared" si="19"/>
        <v>6</v>
      </c>
      <c r="E90" s="177">
        <f t="shared" si="23"/>
        <v>0</v>
      </c>
      <c r="F90" s="109">
        <f t="shared" si="20"/>
        <v>1</v>
      </c>
      <c r="G90" s="101">
        <f t="shared" si="21"/>
        <v>0</v>
      </c>
      <c r="H90" s="102">
        <f t="shared" si="22"/>
        <v>0</v>
      </c>
    </row>
    <row r="91" spans="1:8" ht="14.25" customHeight="1" x14ac:dyDescent="0.25">
      <c r="A91" s="1455"/>
      <c r="B91" s="106" t="str">
        <f t="shared" si="19"/>
        <v>Cinnamon Powder - قرفة مطحونة</v>
      </c>
      <c r="C91" s="106" t="str">
        <f t="shared" si="19"/>
        <v>gm</v>
      </c>
      <c r="D91" s="106">
        <f t="shared" si="19"/>
        <v>5</v>
      </c>
      <c r="E91" s="177">
        <f t="shared" si="23"/>
        <v>0</v>
      </c>
      <c r="F91" s="109">
        <f t="shared" si="20"/>
        <v>0.9</v>
      </c>
      <c r="G91" s="101">
        <f t="shared" si="21"/>
        <v>0</v>
      </c>
      <c r="H91" s="102">
        <f t="shared" si="22"/>
        <v>0</v>
      </c>
    </row>
    <row r="92" spans="1:8" ht="14.25" customHeight="1" x14ac:dyDescent="0.25">
      <c r="A92" s="1455"/>
      <c r="B92" s="106" t="str">
        <f t="shared" si="19"/>
        <v>Salt - ملح</v>
      </c>
      <c r="C92" s="106" t="str">
        <f t="shared" si="19"/>
        <v>gm</v>
      </c>
      <c r="D92" s="106">
        <f t="shared" si="19"/>
        <v>11</v>
      </c>
      <c r="E92" s="177">
        <f t="shared" si="23"/>
        <v>0</v>
      </c>
      <c r="F92" s="109">
        <f t="shared" si="20"/>
        <v>0.75</v>
      </c>
      <c r="G92" s="101">
        <f t="shared" si="21"/>
        <v>0</v>
      </c>
      <c r="H92" s="102">
        <f t="shared" si="22"/>
        <v>0</v>
      </c>
    </row>
    <row r="93" spans="1:8" ht="14.25" customHeight="1" x14ac:dyDescent="0.25">
      <c r="A93" s="1455"/>
      <c r="B93" s="106" t="str">
        <f t="shared" si="19"/>
        <v>Tomato Paste - صلصة طماطم</v>
      </c>
      <c r="C93" s="106" t="str">
        <f t="shared" si="19"/>
        <v>gm</v>
      </c>
      <c r="D93" s="106">
        <f t="shared" si="19"/>
        <v>300</v>
      </c>
      <c r="E93" s="177">
        <f t="shared" si="23"/>
        <v>0</v>
      </c>
      <c r="F93" s="109">
        <f t="shared" si="20"/>
        <v>1</v>
      </c>
      <c r="G93" s="101">
        <f t="shared" si="21"/>
        <v>0</v>
      </c>
      <c r="H93" s="102">
        <f t="shared" si="22"/>
        <v>0</v>
      </c>
    </row>
    <row r="94" spans="1:8" ht="14.25" customHeight="1" x14ac:dyDescent="0.25">
      <c r="A94" s="1455"/>
      <c r="B94" s="106" t="str">
        <f t="shared" si="19"/>
        <v>Corn Starch - نشا ذرة</v>
      </c>
      <c r="C94" s="106" t="str">
        <f t="shared" si="19"/>
        <v>gm</v>
      </c>
      <c r="D94" s="106">
        <f t="shared" si="19"/>
        <v>50</v>
      </c>
      <c r="E94" s="177">
        <f t="shared" si="23"/>
        <v>0</v>
      </c>
      <c r="F94" s="109">
        <f t="shared" si="20"/>
        <v>1</v>
      </c>
      <c r="G94" s="101">
        <f t="shared" si="21"/>
        <v>0</v>
      </c>
      <c r="H94" s="102">
        <f t="shared" si="22"/>
        <v>0</v>
      </c>
    </row>
    <row r="95" spans="1:8" ht="14.25" customHeight="1" x14ac:dyDescent="0.25">
      <c r="A95" s="1455"/>
      <c r="B95" s="106" t="str">
        <f t="shared" si="19"/>
        <v>Butter - زبدة</v>
      </c>
      <c r="C95" s="106" t="str">
        <f t="shared" si="19"/>
        <v>gm</v>
      </c>
      <c r="D95" s="106">
        <f t="shared" si="19"/>
        <v>25</v>
      </c>
      <c r="E95" s="177">
        <f t="shared" si="23"/>
        <v>0</v>
      </c>
      <c r="F95" s="109">
        <f t="shared" si="20"/>
        <v>1</v>
      </c>
      <c r="G95" s="101">
        <f t="shared" si="21"/>
        <v>0</v>
      </c>
      <c r="H95" s="102">
        <f t="shared" si="22"/>
        <v>0</v>
      </c>
    </row>
    <row r="96" spans="1:8" ht="14.25" customHeight="1" x14ac:dyDescent="0.25">
      <c r="A96" s="1455"/>
      <c r="B96" s="106" t="str">
        <f t="shared" si="19"/>
        <v>Maggi Cubes - مكعبات ماجي</v>
      </c>
      <c r="C96" s="106" t="str">
        <f t="shared" si="19"/>
        <v>gm</v>
      </c>
      <c r="D96" s="106">
        <f t="shared" si="19"/>
        <v>10</v>
      </c>
      <c r="E96" s="177">
        <f t="shared" si="23"/>
        <v>0</v>
      </c>
      <c r="F96" s="109">
        <f t="shared" si="20"/>
        <v>0.75</v>
      </c>
      <c r="G96" s="101">
        <f t="shared" si="21"/>
        <v>0</v>
      </c>
      <c r="H96" s="102">
        <f t="shared" si="22"/>
        <v>0</v>
      </c>
    </row>
    <row r="97" spans="1:10" ht="20.25" customHeight="1" x14ac:dyDescent="0.3">
      <c r="A97" s="1458"/>
      <c r="B97" s="178" t="s">
        <v>287</v>
      </c>
      <c r="C97" s="180" t="s">
        <v>273</v>
      </c>
      <c r="D97" s="14"/>
      <c r="E97" s="180" t="s">
        <v>288</v>
      </c>
      <c r="F97" s="14"/>
      <c r="G97" s="804" t="s">
        <v>264</v>
      </c>
      <c r="H97" s="804" t="s">
        <v>673</v>
      </c>
      <c r="I97" s="184"/>
      <c r="J97" s="183"/>
    </row>
    <row r="98" spans="1:10" ht="20.25" x14ac:dyDescent="0.3">
      <c r="A98" s="1458"/>
      <c r="B98" s="179">
        <f>$J$54</f>
        <v>0</v>
      </c>
      <c r="C98" s="846">
        <f>E98+G98</f>
        <v>0</v>
      </c>
      <c r="D98" s="847"/>
      <c r="E98" s="846">
        <f>$D$54*$S$44</f>
        <v>0</v>
      </c>
      <c r="F98" s="848"/>
      <c r="G98" s="846">
        <f>$D$54*$T$44</f>
        <v>0</v>
      </c>
      <c r="H98" s="846">
        <f>B98+E98</f>
        <v>0</v>
      </c>
    </row>
    <row r="99" spans="1:10" x14ac:dyDescent="0.25">
      <c r="A99" s="62"/>
    </row>
    <row r="100" spans="1:10" x14ac:dyDescent="0.25">
      <c r="A100" s="62"/>
    </row>
    <row r="101" spans="1:10" x14ac:dyDescent="0.25">
      <c r="A101" s="62"/>
    </row>
    <row r="102" spans="1:10" x14ac:dyDescent="0.25">
      <c r="A102" s="62"/>
    </row>
    <row r="103" spans="1:10" x14ac:dyDescent="0.25">
      <c r="A103" s="62"/>
    </row>
    <row r="104" spans="1:10" x14ac:dyDescent="0.25">
      <c r="A104" s="62"/>
    </row>
    <row r="105" spans="1:10" x14ac:dyDescent="0.25">
      <c r="A105" s="62"/>
    </row>
    <row r="106" spans="1:10" x14ac:dyDescent="0.25">
      <c r="A106" s="62"/>
    </row>
    <row r="107" spans="1:10" x14ac:dyDescent="0.25">
      <c r="A107" s="62"/>
    </row>
    <row r="108" spans="1:10" x14ac:dyDescent="0.25">
      <c r="A108" s="62"/>
    </row>
    <row r="109" spans="1:10" x14ac:dyDescent="0.25">
      <c r="A109" s="62"/>
    </row>
    <row r="110" spans="1:10" x14ac:dyDescent="0.25">
      <c r="A110" s="62"/>
    </row>
    <row r="111" spans="1:10" x14ac:dyDescent="0.25">
      <c r="A111" s="62"/>
    </row>
    <row r="112" spans="1:10" x14ac:dyDescent="0.25">
      <c r="A112" s="62"/>
    </row>
    <row r="113" spans="1:1" x14ac:dyDescent="0.25">
      <c r="A113" s="62"/>
    </row>
    <row r="114" spans="1:1" x14ac:dyDescent="0.25">
      <c r="A114" s="62"/>
    </row>
    <row r="115" spans="1:1" x14ac:dyDescent="0.25">
      <c r="A115" s="62"/>
    </row>
    <row r="116" spans="1:1" x14ac:dyDescent="0.25">
      <c r="A116" s="62"/>
    </row>
    <row r="117" spans="1:1" x14ac:dyDescent="0.25">
      <c r="A117" s="62"/>
    </row>
    <row r="118" spans="1:1" x14ac:dyDescent="0.25">
      <c r="A118" s="62"/>
    </row>
    <row r="119" spans="1:1" x14ac:dyDescent="0.25">
      <c r="A119" s="62"/>
    </row>
    <row r="120" spans="1:1" x14ac:dyDescent="0.25">
      <c r="A120" s="62"/>
    </row>
    <row r="121" spans="1:1" x14ac:dyDescent="0.25">
      <c r="A121" s="62"/>
    </row>
    <row r="122" spans="1:1" x14ac:dyDescent="0.25">
      <c r="A122" s="62"/>
    </row>
    <row r="123" spans="1:1" x14ac:dyDescent="0.25">
      <c r="A123" s="62"/>
    </row>
    <row r="124" spans="1:1" x14ac:dyDescent="0.25">
      <c r="A124" s="62"/>
    </row>
    <row r="125" spans="1:1" x14ac:dyDescent="0.25">
      <c r="A125" s="62"/>
    </row>
    <row r="126" spans="1:1" x14ac:dyDescent="0.25">
      <c r="A126" s="62"/>
    </row>
    <row r="127" spans="1:1" x14ac:dyDescent="0.25">
      <c r="A127" s="62"/>
    </row>
    <row r="128" spans="1:1" x14ac:dyDescent="0.25">
      <c r="A128" s="62"/>
    </row>
    <row r="129" spans="1:1" x14ac:dyDescent="0.25">
      <c r="A129" s="62"/>
    </row>
    <row r="130" spans="1:1" x14ac:dyDescent="0.25">
      <c r="A130" s="62"/>
    </row>
    <row r="131" spans="1:1" x14ac:dyDescent="0.25">
      <c r="A131" s="62"/>
    </row>
    <row r="132" spans="1:1" x14ac:dyDescent="0.25">
      <c r="A132" s="62"/>
    </row>
    <row r="133" spans="1:1" x14ac:dyDescent="0.25">
      <c r="A133" s="62"/>
    </row>
    <row r="134" spans="1:1" x14ac:dyDescent="0.25">
      <c r="A134" s="62"/>
    </row>
    <row r="135" spans="1:1" x14ac:dyDescent="0.25">
      <c r="A135" s="62"/>
    </row>
    <row r="136" spans="1:1" x14ac:dyDescent="0.25">
      <c r="A136" s="62"/>
    </row>
    <row r="137" spans="1:1" x14ac:dyDescent="0.25">
      <c r="A137" s="62"/>
    </row>
    <row r="138" spans="1:1" x14ac:dyDescent="0.25">
      <c r="A138" s="62"/>
    </row>
    <row r="139" spans="1:1" x14ac:dyDescent="0.25">
      <c r="A139" s="62"/>
    </row>
    <row r="140" spans="1:1" x14ac:dyDescent="0.25">
      <c r="A140" s="62"/>
    </row>
    <row r="141" spans="1:1" x14ac:dyDescent="0.25">
      <c r="A141" s="62"/>
    </row>
    <row r="142" spans="1:1" x14ac:dyDescent="0.25">
      <c r="A142" s="62"/>
    </row>
    <row r="143" spans="1:1" x14ac:dyDescent="0.25">
      <c r="A143" s="62"/>
    </row>
    <row r="144" spans="1:1" x14ac:dyDescent="0.25">
      <c r="A144" s="62"/>
    </row>
    <row r="145" spans="1:1" x14ac:dyDescent="0.25">
      <c r="A145" s="62"/>
    </row>
    <row r="146" spans="1:1" x14ac:dyDescent="0.25">
      <c r="A146" s="62"/>
    </row>
    <row r="147" spans="1:1" x14ac:dyDescent="0.25">
      <c r="A147" s="62"/>
    </row>
    <row r="148" spans="1:1" x14ac:dyDescent="0.25">
      <c r="A148" s="62"/>
    </row>
    <row r="149" spans="1:1" x14ac:dyDescent="0.25">
      <c r="A149" s="62"/>
    </row>
    <row r="150" spans="1:1" x14ac:dyDescent="0.25">
      <c r="A150" s="62"/>
    </row>
    <row r="151" spans="1:1" x14ac:dyDescent="0.25">
      <c r="A151" s="62"/>
    </row>
    <row r="152" spans="1:1" x14ac:dyDescent="0.25">
      <c r="A152" s="62"/>
    </row>
    <row r="153" spans="1:1" x14ac:dyDescent="0.25">
      <c r="A153" s="62"/>
    </row>
    <row r="154" spans="1:1" x14ac:dyDescent="0.25">
      <c r="A154" s="62"/>
    </row>
    <row r="155" spans="1:1" x14ac:dyDescent="0.25">
      <c r="A155" s="62"/>
    </row>
    <row r="156" spans="1:1" x14ac:dyDescent="0.25">
      <c r="A156" s="62"/>
    </row>
    <row r="157" spans="1:1" x14ac:dyDescent="0.25">
      <c r="A157" s="62"/>
    </row>
    <row r="158" spans="1:1" x14ac:dyDescent="0.25">
      <c r="A158" s="62"/>
    </row>
    <row r="159" spans="1:1" x14ac:dyDescent="0.25">
      <c r="A159" s="62"/>
    </row>
    <row r="160" spans="1:1"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1">
    <mergeCell ref="B2:J3"/>
    <mergeCell ref="AE2:AG3"/>
    <mergeCell ref="B82:H82"/>
    <mergeCell ref="R26:U26"/>
    <mergeCell ref="AN2:AN3"/>
    <mergeCell ref="R25:U25"/>
    <mergeCell ref="B62:H62"/>
    <mergeCell ref="B81:H81"/>
    <mergeCell ref="B63:H63"/>
    <mergeCell ref="AK2:AM2"/>
    <mergeCell ref="B35:F35"/>
  </mergeCells>
  <printOptions horizontalCentered="1"/>
  <pageMargins left="0.4" right="0.4" top="1" bottom="0.5" header="0.3" footer="0.511811023622047"/>
  <pageSetup paperSize="9" scale="49" orientation="landscape" r:id="rId1"/>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5" tint="-0.249977111117893"/>
    <pageSetUpPr fitToPage="1"/>
  </sheetPr>
  <dimension ref="A1:AT174"/>
  <sheetViews>
    <sheetView topLeftCell="A30" zoomScale="70" zoomScaleNormal="70" workbookViewId="0">
      <selection activeCell="A5" sqref="A5:A174"/>
    </sheetView>
  </sheetViews>
  <sheetFormatPr defaultColWidth="12.5" defaultRowHeight="15" x14ac:dyDescent="0.25"/>
  <cols>
    <col min="1" max="1" width="11.5" style="63" customWidth="1"/>
    <col min="2" max="2" width="31.625" style="14" customWidth="1"/>
    <col min="3" max="3" width="21.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5.625" style="14" customWidth="1"/>
    <col min="15" max="17" width="12.5" style="14" customWidth="1"/>
    <col min="18" max="18" width="30.5" style="14" customWidth="1"/>
    <col min="19" max="27" width="12.5" style="14" customWidth="1"/>
    <col min="28" max="28" width="11.75" style="14" bestFit="1" customWidth="1"/>
    <col min="29" max="29" width="13.25" style="14" bestFit="1" customWidth="1"/>
    <col min="30" max="30" width="10.125" style="14" bestFit="1" customWidth="1"/>
    <col min="31" max="31" width="11.375" style="14" bestFit="1" customWidth="1"/>
    <col min="32" max="34" width="4.875" style="14" customWidth="1"/>
    <col min="35" max="35" width="12.5" style="14" customWidth="1"/>
    <col min="36" max="36" width="32.125" style="14" customWidth="1"/>
    <col min="37" max="37" width="12.5" style="14" customWidth="1"/>
    <col min="38" max="16384" width="12.5" style="14"/>
  </cols>
  <sheetData>
    <row r="1" spans="1:46" ht="35.25" customHeight="1" x14ac:dyDescent="0.25">
      <c r="B1" s="64" t="s">
        <v>231</v>
      </c>
      <c r="C1" s="65">
        <v>1000</v>
      </c>
      <c r="D1" s="66" t="s">
        <v>232</v>
      </c>
      <c r="E1" s="99">
        <f>T32</f>
        <v>3886.1538461538498</v>
      </c>
      <c r="F1" s="64" t="s">
        <v>233</v>
      </c>
      <c r="G1" s="65">
        <f>E1/C1</f>
        <v>3.8861538461538498</v>
      </c>
      <c r="H1" s="64" t="s">
        <v>234</v>
      </c>
      <c r="I1" s="227">
        <f>(G1/K1)</f>
        <v>3.9654631083202552</v>
      </c>
      <c r="J1" s="70" t="s">
        <v>235</v>
      </c>
      <c r="K1" s="65">
        <v>0.98</v>
      </c>
      <c r="L1" s="84"/>
      <c r="M1" s="73"/>
      <c r="N1" s="74"/>
      <c r="O1" s="75" t="s">
        <v>236</v>
      </c>
      <c r="P1" s="76" t="s">
        <v>237</v>
      </c>
      <c r="Q1" s="77" t="s">
        <v>238</v>
      </c>
      <c r="R1" s="76">
        <v>0.59</v>
      </c>
      <c r="Y1" s="75" t="s">
        <v>453</v>
      </c>
      <c r="Z1" s="766">
        <v>15840</v>
      </c>
      <c r="AA1" s="75" t="s">
        <v>556</v>
      </c>
      <c r="AB1" s="766">
        <v>1000</v>
      </c>
      <c r="AC1" s="75" t="s">
        <v>546</v>
      </c>
      <c r="AD1" s="766">
        <v>107</v>
      </c>
      <c r="AE1" s="228"/>
      <c r="AF1" s="230"/>
      <c r="AG1" s="76"/>
      <c r="AI1" s="63"/>
      <c r="AJ1" s="78" t="s">
        <v>250</v>
      </c>
      <c r="AK1" s="78">
        <v>10000</v>
      </c>
      <c r="AL1" s="561" t="s">
        <v>483</v>
      </c>
      <c r="AM1" s="562">
        <f>$S$32</f>
        <v>12953.846153846151</v>
      </c>
      <c r="AN1" s="78" t="s">
        <v>239</v>
      </c>
      <c r="AO1" s="305">
        <f>((S32)/$R$1)/$AK$1</f>
        <v>2.1955671447196865</v>
      </c>
      <c r="AP1" s="80"/>
    </row>
    <row r="2" spans="1:46" ht="12.75" customHeight="1" x14ac:dyDescent="0.25">
      <c r="A2" s="81"/>
      <c r="B2" s="82"/>
      <c r="C2" s="82"/>
      <c r="D2" s="82"/>
      <c r="E2" s="82"/>
      <c r="F2" s="1632" t="s">
        <v>956</v>
      </c>
      <c r="G2" s="82"/>
      <c r="H2" s="82"/>
      <c r="I2" s="82"/>
      <c r="J2" s="82"/>
      <c r="K2" s="82"/>
      <c r="L2" s="270"/>
      <c r="M2" s="84"/>
      <c r="N2" s="84"/>
      <c r="O2" s="84"/>
      <c r="P2" s="84"/>
      <c r="Q2" s="84"/>
      <c r="R2" s="84"/>
      <c r="AC2" s="83"/>
      <c r="AD2" s="83"/>
      <c r="AE2" s="1652"/>
      <c r="AF2" s="1655"/>
      <c r="AG2" s="1655"/>
      <c r="AI2" s="63"/>
      <c r="AJ2" s="85"/>
      <c r="AK2" s="1631" t="s">
        <v>489</v>
      </c>
      <c r="AL2" s="1631"/>
      <c r="AM2" s="1631"/>
      <c r="AN2" s="1631"/>
      <c r="AO2" s="85"/>
      <c r="AP2" s="85"/>
    </row>
    <row r="3" spans="1:46" ht="12.75" customHeight="1" x14ac:dyDescent="0.25">
      <c r="A3" s="81"/>
      <c r="B3" s="87"/>
      <c r="C3" s="87"/>
      <c r="D3" s="87"/>
      <c r="E3" s="87"/>
      <c r="F3" s="1633"/>
      <c r="G3" s="87"/>
      <c r="H3" s="87"/>
      <c r="I3" s="87"/>
      <c r="J3" s="87"/>
      <c r="K3" s="87"/>
      <c r="L3" s="270"/>
      <c r="M3" s="84"/>
      <c r="N3" s="84"/>
      <c r="O3" s="84"/>
      <c r="P3" s="84"/>
      <c r="Q3" s="84"/>
      <c r="R3" s="84"/>
      <c r="AC3" s="83"/>
      <c r="AD3" s="83"/>
      <c r="AE3" s="1655"/>
      <c r="AF3" s="1655"/>
      <c r="AG3" s="1655"/>
      <c r="AI3" s="63"/>
      <c r="AJ3" s="85"/>
      <c r="AK3" s="85"/>
      <c r="AL3" s="85"/>
      <c r="AM3" s="85"/>
      <c r="AN3" s="1655"/>
      <c r="AO3" s="85"/>
      <c r="AP3" s="85"/>
    </row>
    <row r="4" spans="1:46" ht="46.5" customHeight="1" x14ac:dyDescent="0.25">
      <c r="A4" s="75" t="s">
        <v>903</v>
      </c>
      <c r="B4" s="75" t="s">
        <v>241</v>
      </c>
      <c r="C4" s="90" t="s">
        <v>242</v>
      </c>
      <c r="D4" s="75" t="s">
        <v>231</v>
      </c>
      <c r="E4" s="91" t="s">
        <v>234</v>
      </c>
      <c r="F4" s="91" t="s">
        <v>243</v>
      </c>
      <c r="G4" s="75" t="s">
        <v>244</v>
      </c>
      <c r="H4" s="307" t="s">
        <v>335</v>
      </c>
      <c r="I4" s="75" t="s">
        <v>246</v>
      </c>
      <c r="J4" s="75" t="s">
        <v>247</v>
      </c>
      <c r="K4" s="75" t="s">
        <v>248</v>
      </c>
      <c r="L4" s="75" t="s">
        <v>249</v>
      </c>
      <c r="M4" s="347"/>
      <c r="N4" s="347"/>
      <c r="O4" s="84"/>
      <c r="P4" s="84"/>
      <c r="Q4" s="84"/>
      <c r="R4" s="84"/>
      <c r="AC4" s="229"/>
      <c r="AD4" s="231"/>
      <c r="AE4" s="229"/>
      <c r="AF4" s="229"/>
      <c r="AG4" s="229"/>
      <c r="AI4" s="63"/>
      <c r="AJ4" s="78" t="s">
        <v>241</v>
      </c>
      <c r="AK4" s="493" t="s">
        <v>242</v>
      </c>
      <c r="AL4" s="78" t="s">
        <v>250</v>
      </c>
      <c r="AM4" s="78" t="s">
        <v>234</v>
      </c>
      <c r="AN4" s="78" t="s">
        <v>243</v>
      </c>
      <c r="AO4" s="78" t="s">
        <v>244</v>
      </c>
      <c r="AP4" s="78" t="s">
        <v>335</v>
      </c>
      <c r="AQ4" s="75" t="s">
        <v>246</v>
      </c>
      <c r="AR4" s="75" t="s">
        <v>247</v>
      </c>
      <c r="AS4" s="75" t="s">
        <v>248</v>
      </c>
      <c r="AT4" s="75" t="s">
        <v>249</v>
      </c>
    </row>
    <row r="5" spans="1:46" ht="14.25" customHeight="1" x14ac:dyDescent="0.25">
      <c r="A5" s="1454"/>
      <c r="B5" s="286" t="s">
        <v>220</v>
      </c>
      <c r="C5" s="97" t="s">
        <v>14</v>
      </c>
      <c r="D5" s="103">
        <f>I51/10</f>
        <v>5649.8305084745762</v>
      </c>
      <c r="E5" s="99">
        <f>H52</f>
        <v>3.8860761246313529</v>
      </c>
      <c r="F5" s="276">
        <v>1</v>
      </c>
      <c r="G5" s="101">
        <f t="shared" ref="G5:G18" si="0">D5*E5</f>
        <v>21955.671447196866</v>
      </c>
      <c r="H5" s="187">
        <f t="shared" ref="H5:H18" si="1">G5*F5</f>
        <v>21955.671447196866</v>
      </c>
      <c r="I5" s="65">
        <f>VLOOKUP(B5,All_Ingredients!$A$1:$F$156,6,FALSE())</f>
        <v>0.86</v>
      </c>
      <c r="J5" s="101">
        <f>VLOOKUP(B5,All_Ingredients!$A$1:$J$156,10,FALSE())</f>
        <v>17.100000000000001</v>
      </c>
      <c r="K5" s="104">
        <f t="shared" ref="K5" si="2">(H5/I5)/1000</f>
        <v>25.529850519996355</v>
      </c>
      <c r="L5" s="104">
        <f t="shared" ref="L5" si="3">K5*J5</f>
        <v>436.56044389193772</v>
      </c>
      <c r="M5" s="112"/>
      <c r="N5" s="112"/>
      <c r="O5" s="84"/>
      <c r="P5" s="84"/>
      <c r="Q5" s="84"/>
      <c r="R5" s="84"/>
      <c r="AC5" s="76"/>
      <c r="AD5" s="114"/>
      <c r="AE5" s="232"/>
      <c r="AF5" s="116"/>
      <c r="AG5" s="117"/>
      <c r="AI5" s="63"/>
      <c r="AJ5" s="350" t="s">
        <v>220</v>
      </c>
      <c r="AK5" s="97" t="s">
        <v>227</v>
      </c>
      <c r="AL5" s="107">
        <v>10</v>
      </c>
      <c r="AM5" s="177">
        <f t="shared" ref="AM5:AM12" si="4">$AO$1</f>
        <v>2.1955671447196865</v>
      </c>
      <c r="AN5" s="276">
        <v>1</v>
      </c>
      <c r="AO5" s="101">
        <v>644.819466248038</v>
      </c>
      <c r="AP5" s="187">
        <v>644.819466248038</v>
      </c>
      <c r="AQ5" s="272"/>
      <c r="AR5" s="1017"/>
      <c r="AS5" s="156"/>
      <c r="AT5" s="1018"/>
    </row>
    <row r="6" spans="1:46" ht="14.25" customHeight="1" x14ac:dyDescent="0.25">
      <c r="A6" s="1471"/>
      <c r="B6" s="96" t="s">
        <v>82</v>
      </c>
      <c r="C6" s="97" t="s">
        <v>14</v>
      </c>
      <c r="D6" s="107">
        <v>1</v>
      </c>
      <c r="E6" s="177">
        <f t="shared" ref="E6:E18" si="5">$I$1</f>
        <v>3.9654631083202552</v>
      </c>
      <c r="F6" s="276">
        <v>1</v>
      </c>
      <c r="G6" s="101">
        <f t="shared" si="0"/>
        <v>3.9654631083202552</v>
      </c>
      <c r="H6" s="187">
        <f t="shared" si="1"/>
        <v>3.9654631083202552</v>
      </c>
      <c r="I6" s="65">
        <f>VLOOKUP(B6,All_Ingredients!$A$1:$F$156,6,FALSE())</f>
        <v>1</v>
      </c>
      <c r="J6" s="101">
        <f>VLOOKUP(B6,All_Ingredients!$A$1:$J$156,10,FALSE())</f>
        <v>147.88732394366198</v>
      </c>
      <c r="K6" s="104">
        <f t="shared" ref="K6:K18" si="6">(H6/I6)/1000</f>
        <v>3.9654631083202553E-3</v>
      </c>
      <c r="L6" s="104">
        <f t="shared" ref="L6:L18" si="7">K6*J6</f>
        <v>0.58644172728679833</v>
      </c>
      <c r="M6" s="112"/>
      <c r="N6" s="112"/>
      <c r="AI6" s="63" t="s">
        <v>55</v>
      </c>
      <c r="AJ6" s="65" t="s">
        <v>54</v>
      </c>
      <c r="AK6" s="97" t="s">
        <v>14</v>
      </c>
      <c r="AL6" s="107">
        <v>100</v>
      </c>
      <c r="AM6" s="177">
        <f t="shared" si="4"/>
        <v>2.1955671447196865</v>
      </c>
      <c r="AN6" s="276">
        <v>1</v>
      </c>
      <c r="AO6" s="101">
        <v>644.819466248038</v>
      </c>
      <c r="AP6" s="187">
        <v>644.819466248038</v>
      </c>
      <c r="AQ6" s="1018">
        <f>VLOOKUP(AJ6,Marination_Ordering!$A:$J,6,FALSE)</f>
        <v>0.87</v>
      </c>
      <c r="AR6" s="1018">
        <f>VLOOKUP(AJ6,Marination_Ordering!$A:$J,10,FALSE)</f>
        <v>7</v>
      </c>
      <c r="AS6" s="156">
        <f>AP6/AQ6</f>
        <v>741.1718002851012</v>
      </c>
      <c r="AT6" s="1018">
        <f>AR6*(AS6/1000)</f>
        <v>5.1882026019957088</v>
      </c>
    </row>
    <row r="7" spans="1:46" ht="14.25" customHeight="1" x14ac:dyDescent="0.25">
      <c r="A7" s="1471" t="s">
        <v>907</v>
      </c>
      <c r="B7" s="96" t="s">
        <v>727</v>
      </c>
      <c r="C7" s="97" t="s">
        <v>14</v>
      </c>
      <c r="D7" s="107">
        <v>30</v>
      </c>
      <c r="E7" s="177">
        <f t="shared" si="5"/>
        <v>3.9654631083202552</v>
      </c>
      <c r="F7" s="276">
        <v>1</v>
      </c>
      <c r="G7" s="101">
        <f t="shared" si="0"/>
        <v>118.96389324960765</v>
      </c>
      <c r="H7" s="187">
        <f t="shared" si="1"/>
        <v>118.96389324960765</v>
      </c>
      <c r="I7" s="65">
        <f>VLOOKUP(B7,All_Ingredients!$A$1:$F$156,6,FALSE())</f>
        <v>1</v>
      </c>
      <c r="J7" s="101">
        <f>VLOOKUP(B7,All_Ingredients!$A$1:$J$156,10,FALSE())</f>
        <v>10.5</v>
      </c>
      <c r="K7" s="104">
        <f t="shared" si="6"/>
        <v>0.11896389324960766</v>
      </c>
      <c r="L7" s="104">
        <f t="shared" si="7"/>
        <v>1.2491208791208803</v>
      </c>
      <c r="M7" s="112"/>
      <c r="N7" s="112"/>
      <c r="AI7" s="63" t="s">
        <v>13</v>
      </c>
      <c r="AJ7" s="65" t="s">
        <v>727</v>
      </c>
      <c r="AK7" s="97" t="s">
        <v>14</v>
      </c>
      <c r="AL7" s="107">
        <v>200</v>
      </c>
      <c r="AM7" s="177">
        <f t="shared" si="4"/>
        <v>2.1955671447196865</v>
      </c>
      <c r="AN7" s="276">
        <v>1</v>
      </c>
      <c r="AO7" s="101">
        <v>1289.6389324960801</v>
      </c>
      <c r="AP7" s="187">
        <v>1160.6750392464701</v>
      </c>
      <c r="AQ7" s="1018">
        <f>VLOOKUP(AJ7,Marination_Ordering!$A:$J,6,FALSE)</f>
        <v>1</v>
      </c>
      <c r="AR7" s="1018">
        <f>VLOOKUP(AJ7,Marination_Ordering!$A:$J,10,FALSE)</f>
        <v>10.5</v>
      </c>
      <c r="AS7" s="156">
        <f t="shared" ref="AS7:AS8" si="8">AP7/AQ7</f>
        <v>1160.6750392464701</v>
      </c>
      <c r="AT7" s="1018">
        <f t="shared" ref="AT7:AT8" si="9">AR7*(AS7/1000)</f>
        <v>12.187087912087934</v>
      </c>
    </row>
    <row r="8" spans="1:46" ht="14.25" customHeight="1" x14ac:dyDescent="0.25">
      <c r="A8" s="1471" t="s">
        <v>909</v>
      </c>
      <c r="B8" s="96" t="s">
        <v>17</v>
      </c>
      <c r="C8" s="97" t="s">
        <v>14</v>
      </c>
      <c r="D8" s="107">
        <v>400</v>
      </c>
      <c r="E8" s="177">
        <f t="shared" si="5"/>
        <v>3.9654631083202552</v>
      </c>
      <c r="F8" s="276">
        <v>0.9</v>
      </c>
      <c r="G8" s="101">
        <f t="shared" si="0"/>
        <v>1586.1852433281022</v>
      </c>
      <c r="H8" s="187">
        <f t="shared" si="1"/>
        <v>1427.5667189952919</v>
      </c>
      <c r="I8" s="65">
        <f>VLOOKUP(B8,All_Ingredients!$A$1:$F$156,6,FALSE())</f>
        <v>0.98</v>
      </c>
      <c r="J8" s="101">
        <f>VLOOKUP(B8,All_Ingredients!$A$1:$J$156,10,FALSE())</f>
        <v>3.5</v>
      </c>
      <c r="K8" s="104">
        <f t="shared" si="6"/>
        <v>1.4567007336686653</v>
      </c>
      <c r="L8" s="104">
        <f t="shared" si="7"/>
        <v>5.0984525678403285</v>
      </c>
      <c r="M8" s="112"/>
      <c r="N8" s="112"/>
      <c r="AI8" s="63" t="s">
        <v>204</v>
      </c>
      <c r="AJ8" s="65" t="s">
        <v>212</v>
      </c>
      <c r="AK8" s="97" t="s">
        <v>160</v>
      </c>
      <c r="AL8" s="107">
        <v>350</v>
      </c>
      <c r="AM8" s="177">
        <f t="shared" si="4"/>
        <v>2.1955671447196865</v>
      </c>
      <c r="AN8" s="276">
        <v>1</v>
      </c>
      <c r="AO8" s="101">
        <v>2256.8681318681301</v>
      </c>
      <c r="AP8" s="187">
        <v>2031.1813186813199</v>
      </c>
      <c r="AQ8" s="1018">
        <f>VLOOKUP(AJ8,Marination_Ordering!$A:$J,6,FALSE)</f>
        <v>1</v>
      </c>
      <c r="AR8" s="1018">
        <f>VLOOKUP(AJ8,Marination_Ordering!$A:$J,10,FALSE)</f>
        <v>5</v>
      </c>
      <c r="AS8" s="156">
        <f t="shared" si="8"/>
        <v>2031.1813186813199</v>
      </c>
      <c r="AT8" s="1018">
        <f t="shared" si="9"/>
        <v>10.1559065934066</v>
      </c>
    </row>
    <row r="9" spans="1:46" ht="14.25" customHeight="1" x14ac:dyDescent="0.25">
      <c r="A9" s="1471"/>
      <c r="B9" s="96" t="s">
        <v>698</v>
      </c>
      <c r="C9" s="97" t="s">
        <v>14</v>
      </c>
      <c r="D9" s="107">
        <v>200</v>
      </c>
      <c r="E9" s="177">
        <f t="shared" si="5"/>
        <v>3.9654631083202552</v>
      </c>
      <c r="F9" s="276">
        <v>0.9</v>
      </c>
      <c r="G9" s="101">
        <f t="shared" si="0"/>
        <v>793.09262166405108</v>
      </c>
      <c r="H9" s="187">
        <f t="shared" si="1"/>
        <v>713.78335949764596</v>
      </c>
      <c r="I9" s="65">
        <f>VLOOKUP(B9,All_Ingredients!$A$1:$F$156,6,FALSE())</f>
        <v>1</v>
      </c>
      <c r="J9" s="101">
        <f>VLOOKUP(B9,All_Ingredients!$A$1:$J$156,10,FALSE())</f>
        <v>8.1520833333333336</v>
      </c>
      <c r="K9" s="104">
        <f t="shared" si="6"/>
        <v>0.71378335949764593</v>
      </c>
      <c r="L9" s="104">
        <f t="shared" si="7"/>
        <v>5.818821428571435</v>
      </c>
      <c r="M9" s="112"/>
      <c r="N9" s="112"/>
      <c r="AI9" s="63" t="s">
        <v>204</v>
      </c>
      <c r="AJ9" s="65" t="s">
        <v>208</v>
      </c>
      <c r="AK9" s="106" t="s">
        <v>160</v>
      </c>
      <c r="AL9" s="107">
        <v>50</v>
      </c>
      <c r="AM9" s="177">
        <f t="shared" si="4"/>
        <v>2.1955671447196865</v>
      </c>
      <c r="AN9" s="276">
        <v>1</v>
      </c>
      <c r="AO9" s="101">
        <v>322.409733124019</v>
      </c>
      <c r="AP9" s="187">
        <v>322.409733124019</v>
      </c>
      <c r="AQ9" s="1018">
        <f>VLOOKUP(AJ9,Marination_Ordering!$A:$J,6,FALSE)</f>
        <v>1</v>
      </c>
      <c r="AR9" s="1018">
        <f>VLOOKUP(AJ9,Marination_Ordering!$A:$J,10,FALSE)</f>
        <v>2.1621621621621623</v>
      </c>
      <c r="AS9" s="156">
        <f t="shared" ref="AS9:AS12" si="10">AP9/AQ9</f>
        <v>322.409733124019</v>
      </c>
      <c r="AT9" s="1018">
        <f t="shared" ref="AT9:AT12" si="11">AR9*(AS9/1000)</f>
        <v>0.69710212567355467</v>
      </c>
    </row>
    <row r="10" spans="1:46" ht="14.25" customHeight="1" x14ac:dyDescent="0.25">
      <c r="A10" s="1471"/>
      <c r="B10" s="96" t="s">
        <v>179</v>
      </c>
      <c r="C10" s="97" t="s">
        <v>14</v>
      </c>
      <c r="D10" s="107">
        <v>10</v>
      </c>
      <c r="E10" s="177">
        <f t="shared" si="5"/>
        <v>3.9654631083202552</v>
      </c>
      <c r="F10" s="276">
        <v>1</v>
      </c>
      <c r="G10" s="101">
        <f t="shared" si="0"/>
        <v>39.654631083202553</v>
      </c>
      <c r="H10" s="187">
        <f t="shared" si="1"/>
        <v>39.654631083202553</v>
      </c>
      <c r="I10" s="65">
        <f>VLOOKUP(B10,All_Ingredients!$A$1:$F$156,6,FALSE())</f>
        <v>1</v>
      </c>
      <c r="J10" s="101">
        <f>VLOOKUP(B10,All_Ingredients!$A$1:$J$156,10,FALSE())</f>
        <v>2.7</v>
      </c>
      <c r="K10" s="104">
        <f t="shared" si="6"/>
        <v>3.9654631083202552E-2</v>
      </c>
      <c r="L10" s="104">
        <f t="shared" si="7"/>
        <v>0.1070675039246469</v>
      </c>
      <c r="M10" s="112"/>
      <c r="N10" s="112"/>
      <c r="AI10" s="63" t="s">
        <v>94</v>
      </c>
      <c r="AJ10" s="65" t="s">
        <v>93</v>
      </c>
      <c r="AK10" s="97" t="s">
        <v>14</v>
      </c>
      <c r="AL10" s="107">
        <v>2</v>
      </c>
      <c r="AM10" s="177">
        <f t="shared" si="4"/>
        <v>2.1955671447196865</v>
      </c>
      <c r="AN10" s="276">
        <v>1</v>
      </c>
      <c r="AO10" s="101">
        <v>12.896389324960801</v>
      </c>
      <c r="AP10" s="187">
        <v>12.896389324960801</v>
      </c>
      <c r="AQ10" s="1018">
        <f>VLOOKUP(AJ10,Marination_Ordering!$A:$J,6,FALSE)</f>
        <v>1</v>
      </c>
      <c r="AR10" s="1018">
        <f>VLOOKUP(AJ10,Marination_Ordering!$A:$J,10,FALSE)</f>
        <v>0.74</v>
      </c>
      <c r="AS10" s="156">
        <f t="shared" si="10"/>
        <v>12.896389324960801</v>
      </c>
      <c r="AT10" s="1018">
        <f t="shared" si="11"/>
        <v>9.5433281004709929E-3</v>
      </c>
    </row>
    <row r="11" spans="1:46" ht="14.25" customHeight="1" x14ac:dyDescent="0.25">
      <c r="A11" s="1471"/>
      <c r="B11" s="96" t="s">
        <v>208</v>
      </c>
      <c r="C11" s="97" t="s">
        <v>160</v>
      </c>
      <c r="D11" s="107">
        <v>5</v>
      </c>
      <c r="E11" s="177">
        <f t="shared" si="5"/>
        <v>3.9654631083202552</v>
      </c>
      <c r="F11" s="276">
        <v>1</v>
      </c>
      <c r="G11" s="101">
        <f t="shared" si="0"/>
        <v>19.827315541601276</v>
      </c>
      <c r="H11" s="187">
        <f t="shared" si="1"/>
        <v>19.827315541601276</v>
      </c>
      <c r="I11" s="65">
        <f>VLOOKUP(B11,All_Ingredients!$A$1:$F$156,6,FALSE())</f>
        <v>1</v>
      </c>
      <c r="J11" s="101">
        <f>VLOOKUP(B11,All_Ingredients!$A$1:$J$156,10,FALSE())</f>
        <v>2.1621621621621623</v>
      </c>
      <c r="K11" s="104">
        <f t="shared" si="6"/>
        <v>1.9827315541601276E-2</v>
      </c>
      <c r="L11" s="104">
        <f t="shared" si="7"/>
        <v>4.2869871441300056E-2</v>
      </c>
      <c r="M11" s="112"/>
      <c r="N11" s="112"/>
      <c r="AI11" s="63" t="s">
        <v>94</v>
      </c>
      <c r="AJ11" s="65" t="s">
        <v>99</v>
      </c>
      <c r="AK11" s="97" t="s">
        <v>14</v>
      </c>
      <c r="AL11" s="107">
        <v>2</v>
      </c>
      <c r="AM11" s="177">
        <f t="shared" si="4"/>
        <v>2.1955671447196865</v>
      </c>
      <c r="AN11" s="276">
        <v>1</v>
      </c>
      <c r="AO11" s="101">
        <v>12.896389324960801</v>
      </c>
      <c r="AP11" s="187">
        <v>12.896389324960801</v>
      </c>
      <c r="AQ11" s="1018">
        <f>VLOOKUP(AJ11,Marination_Ordering!$A:$J,6,FALSE)</f>
        <v>1</v>
      </c>
      <c r="AR11" s="1018">
        <f>VLOOKUP(AJ11,Marination_Ordering!$A:$J,10,FALSE)</f>
        <v>31</v>
      </c>
      <c r="AS11" s="156">
        <f t="shared" si="10"/>
        <v>12.896389324960801</v>
      </c>
      <c r="AT11" s="1018">
        <f t="shared" si="11"/>
        <v>0.39978806907378484</v>
      </c>
    </row>
    <row r="12" spans="1:46" x14ac:dyDescent="0.25">
      <c r="A12" s="1471"/>
      <c r="B12" s="105" t="s">
        <v>152</v>
      </c>
      <c r="C12" s="97" t="s">
        <v>14</v>
      </c>
      <c r="D12" s="107">
        <v>25</v>
      </c>
      <c r="E12" s="177">
        <f t="shared" si="5"/>
        <v>3.9654631083202552</v>
      </c>
      <c r="F12" s="276">
        <v>1</v>
      </c>
      <c r="G12" s="101">
        <f t="shared" si="0"/>
        <v>99.136577708006385</v>
      </c>
      <c r="H12" s="187">
        <f t="shared" si="1"/>
        <v>99.136577708006385</v>
      </c>
      <c r="I12" s="65">
        <f>VLOOKUP(B12,All_Ingredients!$A$1:$F$156,6,FALSE())</f>
        <v>1</v>
      </c>
      <c r="J12" s="101">
        <f>VLOOKUP(B12,All_Ingredients!$A$1:$J$156,10,FALSE())</f>
        <v>30</v>
      </c>
      <c r="K12" s="104">
        <f t="shared" si="6"/>
        <v>9.9136577708006379E-2</v>
      </c>
      <c r="L12" s="104">
        <f t="shared" si="7"/>
        <v>2.9740973312401913</v>
      </c>
      <c r="M12" s="112"/>
      <c r="N12" s="112"/>
      <c r="AI12" s="63" t="s">
        <v>94</v>
      </c>
      <c r="AJ12" s="65" t="s">
        <v>110</v>
      </c>
      <c r="AK12" s="97" t="s">
        <v>14</v>
      </c>
      <c r="AL12" s="107">
        <v>7</v>
      </c>
      <c r="AM12" s="177">
        <f t="shared" si="4"/>
        <v>2.1955671447196865</v>
      </c>
      <c r="AN12" s="276">
        <v>1</v>
      </c>
      <c r="AO12" s="101">
        <v>45.1373626373626</v>
      </c>
      <c r="AP12" s="187">
        <v>40.623626373626401</v>
      </c>
      <c r="AQ12" s="1018">
        <f>VLOOKUP(AJ12,Marination_Ordering!$A:$J,6,FALSE)</f>
        <v>1</v>
      </c>
      <c r="AR12" s="1018">
        <f>VLOOKUP(AJ12,Marination_Ordering!$A:$J,10,FALSE)</f>
        <v>64.243759177679877</v>
      </c>
      <c r="AS12" s="156">
        <f t="shared" si="10"/>
        <v>40.623626373626401</v>
      </c>
      <c r="AT12" s="1018">
        <f t="shared" si="11"/>
        <v>2.6098144696712997</v>
      </c>
    </row>
    <row r="13" spans="1:46" ht="14.25" customHeight="1" x14ac:dyDescent="0.25">
      <c r="A13" s="1471"/>
      <c r="B13" s="105" t="s">
        <v>84</v>
      </c>
      <c r="C13" s="97" t="s">
        <v>14</v>
      </c>
      <c r="D13" s="107">
        <v>1</v>
      </c>
      <c r="E13" s="177">
        <f t="shared" si="5"/>
        <v>3.9654631083202552</v>
      </c>
      <c r="F13" s="276">
        <v>0.9</v>
      </c>
      <c r="G13" s="101">
        <f t="shared" si="0"/>
        <v>3.9654631083202552</v>
      </c>
      <c r="H13" s="187">
        <f t="shared" si="1"/>
        <v>3.5689167974882299</v>
      </c>
      <c r="I13" s="65">
        <f>VLOOKUP(B13,All_Ingredients!$A$1:$F$156,6,FALSE())</f>
        <v>1</v>
      </c>
      <c r="J13" s="101">
        <f>VLOOKUP(B13,All_Ingredients!$A$1:$J$156,10,FALSE())</f>
        <v>140.84507042253523</v>
      </c>
      <c r="K13" s="104">
        <f t="shared" si="6"/>
        <v>3.5689167974882301E-3</v>
      </c>
      <c r="L13" s="104">
        <f t="shared" si="7"/>
        <v>0.50266433767439866</v>
      </c>
      <c r="M13" s="112"/>
      <c r="N13" s="112"/>
      <c r="R13" s="14" t="s">
        <v>440</v>
      </c>
      <c r="S13" s="14" t="s">
        <v>441</v>
      </c>
      <c r="T13" s="14" t="s">
        <v>442</v>
      </c>
    </row>
    <row r="14" spans="1:46" ht="14.25" customHeight="1" x14ac:dyDescent="0.25">
      <c r="A14" s="1471"/>
      <c r="B14" s="105" t="s">
        <v>192</v>
      </c>
      <c r="C14" s="97" t="s">
        <v>160</v>
      </c>
      <c r="D14" s="107">
        <v>35</v>
      </c>
      <c r="E14" s="177">
        <f t="shared" si="5"/>
        <v>3.9654631083202552</v>
      </c>
      <c r="F14" s="276">
        <v>0.75</v>
      </c>
      <c r="G14" s="101">
        <f t="shared" si="0"/>
        <v>138.79120879120893</v>
      </c>
      <c r="H14" s="187">
        <f t="shared" si="1"/>
        <v>104.0934065934067</v>
      </c>
      <c r="I14" s="65">
        <f>VLOOKUP(B14,All_Ingredients!$A$1:$F$156,6,FALSE())</f>
        <v>1</v>
      </c>
      <c r="J14" s="101">
        <f>VLOOKUP(B14,All_Ingredients!$A$1:$J$156,10,FALSE())</f>
        <v>58.685446009389672</v>
      </c>
      <c r="K14" s="104">
        <f t="shared" si="6"/>
        <v>0.1040934065934067</v>
      </c>
      <c r="L14" s="104">
        <f t="shared" si="7"/>
        <v>6.108767992570816</v>
      </c>
      <c r="M14" s="112"/>
      <c r="N14" s="112"/>
    </row>
    <row r="15" spans="1:46" ht="14.25" customHeight="1" x14ac:dyDescent="0.25">
      <c r="A15" s="1471"/>
      <c r="B15" s="105" t="s">
        <v>198</v>
      </c>
      <c r="C15" s="906" t="s">
        <v>160</v>
      </c>
      <c r="D15" s="107">
        <v>200</v>
      </c>
      <c r="E15" s="177">
        <f t="shared" si="5"/>
        <v>3.9654631083202552</v>
      </c>
      <c r="F15" s="276">
        <v>0.9</v>
      </c>
      <c r="G15" s="101">
        <f t="shared" si="0"/>
        <v>793.09262166405108</v>
      </c>
      <c r="H15" s="187">
        <f t="shared" si="1"/>
        <v>713.78335949764596</v>
      </c>
      <c r="I15" s="65">
        <f>VLOOKUP(B15,All_Ingredients!$A$1:$F$156,6,FALSE())</f>
        <v>1</v>
      </c>
      <c r="J15" s="101">
        <f>VLOOKUP(B15,All_Ingredients!$A$1:$J$156,10,FALSE())</f>
        <v>3.25</v>
      </c>
      <c r="K15" s="104">
        <f t="shared" si="6"/>
        <v>0.71378335949764593</v>
      </c>
      <c r="L15" s="104">
        <f t="shared" si="7"/>
        <v>2.3197959183673493</v>
      </c>
      <c r="M15" s="112"/>
      <c r="N15" s="112"/>
    </row>
    <row r="16" spans="1:46" ht="14.25" customHeight="1" x14ac:dyDescent="0.25">
      <c r="A16" s="1471"/>
      <c r="B16" s="105" t="s">
        <v>93</v>
      </c>
      <c r="C16" s="97" t="s">
        <v>14</v>
      </c>
      <c r="D16" s="107">
        <v>5</v>
      </c>
      <c r="E16" s="177">
        <f t="shared" si="5"/>
        <v>3.9654631083202552</v>
      </c>
      <c r="F16" s="276">
        <v>1</v>
      </c>
      <c r="G16" s="101">
        <f t="shared" si="0"/>
        <v>19.827315541601276</v>
      </c>
      <c r="H16" s="187">
        <f t="shared" si="1"/>
        <v>19.827315541601276</v>
      </c>
      <c r="I16" s="65">
        <f>VLOOKUP(B16,All_Ingredients!$A$1:$F$156,6,FALSE())</f>
        <v>1</v>
      </c>
      <c r="J16" s="101">
        <f>VLOOKUP(B16,All_Ingredients!$A$1:$J$156,10,FALSE())</f>
        <v>0.74</v>
      </c>
      <c r="K16" s="104">
        <f t="shared" si="6"/>
        <v>1.9827315541601276E-2</v>
      </c>
      <c r="L16" s="104">
        <f t="shared" si="7"/>
        <v>1.4672213500784945E-2</v>
      </c>
      <c r="M16" s="112"/>
      <c r="N16" s="112"/>
      <c r="S16" s="1149" t="s">
        <v>801</v>
      </c>
    </row>
    <row r="17" spans="1:31" ht="14.25" customHeight="1" x14ac:dyDescent="0.25">
      <c r="A17" s="1471"/>
      <c r="B17" s="271" t="s">
        <v>172</v>
      </c>
      <c r="C17" s="97" t="s">
        <v>14</v>
      </c>
      <c r="D17" s="107">
        <v>150</v>
      </c>
      <c r="E17" s="177">
        <f t="shared" si="5"/>
        <v>3.9654631083202552</v>
      </c>
      <c r="F17" s="276">
        <v>1</v>
      </c>
      <c r="G17" s="101">
        <f t="shared" si="0"/>
        <v>594.81946624803822</v>
      </c>
      <c r="H17" s="187">
        <f t="shared" si="1"/>
        <v>594.81946624803822</v>
      </c>
      <c r="I17" s="65">
        <f>VLOOKUP(B17,All_Ingredients!$A$1:$F$156,6,FALSE())</f>
        <v>1</v>
      </c>
      <c r="J17" s="101">
        <f>VLOOKUP(B17,All_Ingredients!$A$1:$J$156,10,FALSE())</f>
        <v>17.934782608695652</v>
      </c>
      <c r="K17" s="104">
        <f t="shared" si="6"/>
        <v>0.59481946624803828</v>
      </c>
      <c r="L17" s="104">
        <f t="shared" si="7"/>
        <v>10.667957818578948</v>
      </c>
      <c r="M17" s="112"/>
      <c r="N17" s="112"/>
    </row>
    <row r="18" spans="1:31" ht="14.25" customHeight="1" x14ac:dyDescent="0.25">
      <c r="A18" s="1471"/>
      <c r="B18" s="382" t="s">
        <v>836</v>
      </c>
      <c r="C18" s="97" t="s">
        <v>230</v>
      </c>
      <c r="D18" s="107">
        <v>50</v>
      </c>
      <c r="E18" s="177">
        <f t="shared" si="5"/>
        <v>3.9654631083202552</v>
      </c>
      <c r="F18" s="276">
        <v>1</v>
      </c>
      <c r="G18" s="101">
        <f t="shared" si="0"/>
        <v>198.27315541601277</v>
      </c>
      <c r="H18" s="187">
        <f t="shared" si="1"/>
        <v>198.27315541601277</v>
      </c>
      <c r="I18" s="65">
        <f>VLOOKUP(B18,All_Ingredients!$A$1:$F$156,6,FALSE())</f>
        <v>1</v>
      </c>
      <c r="J18" s="101">
        <f>VLOOKUP(B18,All_Ingredients!$A$1:$J$156,10,FALSE())</f>
        <v>0.58333333333333337</v>
      </c>
      <c r="K18" s="104">
        <f t="shared" si="6"/>
        <v>0.19827315541601276</v>
      </c>
      <c r="L18" s="104">
        <f t="shared" si="7"/>
        <v>0.11565934065934079</v>
      </c>
      <c r="M18" s="112"/>
      <c r="N18" s="112"/>
    </row>
    <row r="19" spans="1:31" ht="14.25" customHeight="1" x14ac:dyDescent="0.25">
      <c r="A19" s="1472"/>
      <c r="B19" s="76"/>
      <c r="C19" s="228"/>
      <c r="D19" s="232"/>
      <c r="E19" s="273"/>
      <c r="F19" s="498"/>
      <c r="G19" s="118"/>
      <c r="H19" s="499"/>
      <c r="I19" s="76"/>
      <c r="J19" s="120"/>
      <c r="K19" s="76"/>
      <c r="L19" s="118"/>
      <c r="M19" s="112"/>
      <c r="N19" s="112"/>
      <c r="X19"/>
    </row>
    <row r="20" spans="1:31" ht="14.25" customHeight="1" x14ac:dyDescent="0.25">
      <c r="A20" s="1472"/>
      <c r="I20" s="76"/>
      <c r="J20" s="120"/>
      <c r="K20" s="76"/>
      <c r="L20" s="118"/>
      <c r="M20" s="112"/>
      <c r="N20" s="112"/>
    </row>
    <row r="21" spans="1:31" ht="14.25" customHeight="1" x14ac:dyDescent="0.25">
      <c r="A21" s="1472"/>
      <c r="I21" s="76"/>
      <c r="J21" s="120"/>
      <c r="K21" s="76"/>
      <c r="L21" s="118"/>
      <c r="M21" s="112"/>
      <c r="N21" s="112"/>
    </row>
    <row r="22" spans="1:31" ht="14.25" customHeight="1" x14ac:dyDescent="0.25">
      <c r="A22" s="1472"/>
      <c r="I22" s="76"/>
      <c r="J22" s="120"/>
      <c r="K22" s="76"/>
      <c r="L22" s="118"/>
      <c r="M22" s="112"/>
      <c r="N22" s="112"/>
    </row>
    <row r="23" spans="1:31" ht="14.25" customHeight="1" x14ac:dyDescent="0.25">
      <c r="A23" s="1472"/>
      <c r="I23" s="76"/>
      <c r="J23" s="120"/>
      <c r="K23" s="76"/>
      <c r="L23" s="118"/>
      <c r="M23" s="112"/>
      <c r="N23" s="112"/>
    </row>
    <row r="24" spans="1:31" ht="14.25" customHeight="1" x14ac:dyDescent="0.25">
      <c r="A24" s="1472"/>
      <c r="I24" s="76"/>
      <c r="J24" s="120"/>
      <c r="K24" s="76"/>
      <c r="L24" s="118"/>
      <c r="M24" s="112"/>
      <c r="N24" s="112"/>
      <c r="Z24" s="1073"/>
    </row>
    <row r="25" spans="1:31" ht="14.25" customHeight="1" x14ac:dyDescent="0.25">
      <c r="A25" s="1472"/>
      <c r="I25" s="76"/>
      <c r="J25" s="120"/>
      <c r="K25" s="76"/>
      <c r="L25" s="118"/>
      <c r="M25" s="112"/>
      <c r="N25" s="112"/>
      <c r="R25" s="1640" t="s">
        <v>489</v>
      </c>
      <c r="S25" s="1633"/>
      <c r="T25" s="1633"/>
      <c r="U25" s="1633"/>
      <c r="V25" s="1052"/>
      <c r="W25" s="1052"/>
      <c r="Z25" s="122" t="s">
        <v>252</v>
      </c>
      <c r="AA25" s="123">
        <v>1</v>
      </c>
      <c r="AB25" s="122" t="s">
        <v>249</v>
      </c>
      <c r="AC25" s="124">
        <f>(AA25*AE30)+(AA30*(AB28/R1))</f>
        <v>2.9930951492173622E-2</v>
      </c>
    </row>
    <row r="26" spans="1:31" ht="14.25" customHeight="1" x14ac:dyDescent="0.25">
      <c r="A26" s="1472"/>
      <c r="I26" s="76"/>
      <c r="J26" s="120"/>
      <c r="K26" s="76"/>
      <c r="L26" s="118"/>
      <c r="M26" s="112"/>
      <c r="N26" s="112"/>
      <c r="R26" s="1654" t="s">
        <v>360</v>
      </c>
      <c r="S26" s="1633"/>
      <c r="T26" s="1633"/>
      <c r="U26" s="1633"/>
      <c r="V26" s="1052"/>
      <c r="W26" s="1052"/>
    </row>
    <row r="27" spans="1:31" ht="14.25" customHeight="1" thickBot="1" x14ac:dyDescent="0.3">
      <c r="A27" s="1472"/>
      <c r="I27" s="76"/>
      <c r="J27" s="120"/>
      <c r="K27" s="76"/>
      <c r="L27" s="118"/>
      <c r="M27" s="112"/>
      <c r="N27" s="112"/>
      <c r="R27" s="126" t="s">
        <v>254</v>
      </c>
      <c r="S27" s="127" t="s">
        <v>255</v>
      </c>
      <c r="T27" s="127" t="s">
        <v>256</v>
      </c>
      <c r="U27" s="127" t="s">
        <v>257</v>
      </c>
      <c r="V27" s="127" t="s">
        <v>772</v>
      </c>
      <c r="W27" s="127" t="s">
        <v>779</v>
      </c>
      <c r="Z27" s="122" t="s">
        <v>258</v>
      </c>
      <c r="AA27" s="1031" t="s">
        <v>312</v>
      </c>
      <c r="AB27" s="128" t="s">
        <v>259</v>
      </c>
      <c r="AC27" s="128" t="s">
        <v>260</v>
      </c>
      <c r="AD27" s="1032" t="s">
        <v>779</v>
      </c>
      <c r="AE27" s="128" t="s">
        <v>262</v>
      </c>
    </row>
    <row r="28" spans="1:31" ht="14.25" customHeight="1" thickBot="1" x14ac:dyDescent="0.3">
      <c r="A28" s="1472"/>
      <c r="I28" s="76"/>
      <c r="J28" s="120"/>
      <c r="K28" s="76"/>
      <c r="L28" s="118"/>
      <c r="M28" s="112"/>
      <c r="N28" s="112"/>
      <c r="R28" s="129" t="s">
        <v>263</v>
      </c>
      <c r="S28" s="690">
        <f>U28*S40</f>
        <v>12184.615384615381</v>
      </c>
      <c r="T28" s="690">
        <f>U28*U40</f>
        <v>3655.3846153846189</v>
      </c>
      <c r="U28" s="696">
        <f>$Z$1</f>
        <v>15840</v>
      </c>
      <c r="V28" s="130">
        <f>SUM(AP5:AP13)</f>
        <v>4870.3214285714339</v>
      </c>
      <c r="W28" s="130">
        <f>H37</f>
        <v>53.5</v>
      </c>
      <c r="Z28" s="132"/>
      <c r="AA28" s="1034"/>
      <c r="AB28" s="133">
        <f>AA25*$S$40</f>
        <v>0.76923076923076905</v>
      </c>
      <c r="AC28" s="133">
        <f>AA25-AB28</f>
        <v>0.23076923076923095</v>
      </c>
      <c r="AD28" s="1034"/>
      <c r="AE28" s="135">
        <f>SUM(AB28:AC28)</f>
        <v>1</v>
      </c>
    </row>
    <row r="29" spans="1:31" ht="14.25" customHeight="1" thickBot="1" x14ac:dyDescent="0.3">
      <c r="A29" s="1472"/>
      <c r="I29" s="76"/>
      <c r="J29" s="120"/>
      <c r="K29" s="76"/>
      <c r="L29" s="118"/>
      <c r="M29" s="112"/>
      <c r="N29" s="112"/>
      <c r="R29" s="129" t="s">
        <v>264</v>
      </c>
      <c r="S29" s="692"/>
      <c r="T29" s="690"/>
      <c r="U29" s="130">
        <f>T29</f>
        <v>0</v>
      </c>
      <c r="V29" s="130"/>
      <c r="W29" s="130"/>
      <c r="Z29" s="132"/>
      <c r="AA29" s="1038"/>
      <c r="AB29" s="137">
        <f>AB28/$AE$28</f>
        <v>0.76923076923076905</v>
      </c>
      <c r="AC29" s="137">
        <f>AC28/$AE$28</f>
        <v>0.23076923076923095</v>
      </c>
      <c r="AD29" s="1038"/>
      <c r="AE29" s="137">
        <f>AE28/$AE$28</f>
        <v>1</v>
      </c>
    </row>
    <row r="30" spans="1:31" ht="14.25" customHeight="1" thickBot="1" x14ac:dyDescent="0.3">
      <c r="A30" s="1472"/>
      <c r="I30" s="76"/>
      <c r="J30" s="120"/>
      <c r="K30" s="76"/>
      <c r="L30" s="118"/>
      <c r="M30" s="112"/>
      <c r="N30" s="112"/>
      <c r="R30" s="129" t="s">
        <v>265</v>
      </c>
      <c r="S30" s="1162">
        <f>U30*S40</f>
        <v>769.23076923076906</v>
      </c>
      <c r="T30" s="1162">
        <f>U30*U40</f>
        <v>230.769230769231</v>
      </c>
      <c r="U30" s="696">
        <f>$AB$1</f>
        <v>1000</v>
      </c>
      <c r="V30" s="989"/>
      <c r="W30" s="989"/>
      <c r="Z30" s="122" t="s">
        <v>266</v>
      </c>
      <c r="AA30" s="1042">
        <f>V35/(S32/R1)</f>
        <v>1.4232060802676473E-3</v>
      </c>
      <c r="AB30" s="138">
        <f>S35/(S32)</f>
        <v>3.3701221915648408E-2</v>
      </c>
      <c r="AC30" s="139">
        <f>T35/T32</f>
        <v>9.1623724485372805E-3</v>
      </c>
      <c r="AD30" s="1045">
        <f>W35/U32</f>
        <v>3.6991995574789315E-5</v>
      </c>
      <c r="AE30" s="1047">
        <f>SUMPRODUCT(AB30:AC30,AB29:AC29)+AD30</f>
        <v>2.8075402495736011E-2</v>
      </c>
    </row>
    <row r="31" spans="1:31" ht="14.25" customHeight="1" thickBot="1" x14ac:dyDescent="0.3">
      <c r="A31" s="1472"/>
      <c r="I31" s="76"/>
      <c r="J31" s="120"/>
      <c r="K31" s="76"/>
      <c r="L31" s="118"/>
      <c r="M31" s="112"/>
      <c r="N31" s="112"/>
      <c r="R31" s="129" t="s">
        <v>267</v>
      </c>
      <c r="S31" s="136"/>
      <c r="T31" s="130"/>
      <c r="U31" s="130"/>
      <c r="V31" s="130"/>
      <c r="W31" s="130"/>
    </row>
    <row r="32" spans="1:31" ht="14.25" customHeight="1" thickBot="1" x14ac:dyDescent="0.3">
      <c r="A32" s="1472"/>
      <c r="B32" s="76"/>
      <c r="C32" s="228"/>
      <c r="D32" s="232"/>
      <c r="E32" s="273"/>
      <c r="F32" s="498"/>
      <c r="G32" s="118"/>
      <c r="H32" s="499"/>
      <c r="I32" s="76"/>
      <c r="J32" s="120"/>
      <c r="K32" s="76"/>
      <c r="L32" s="118"/>
      <c r="M32" s="112"/>
      <c r="N32" s="112"/>
      <c r="R32" s="141" t="s">
        <v>257</v>
      </c>
      <c r="S32" s="130">
        <f>SUM(S28:S30)</f>
        <v>12953.846153846151</v>
      </c>
      <c r="T32" s="130">
        <f>SUM(T28:T30)</f>
        <v>3886.1538461538498</v>
      </c>
      <c r="U32" s="130">
        <f>SUM(U28:U30)</f>
        <v>16840</v>
      </c>
      <c r="V32" s="130"/>
      <c r="W32" s="130">
        <f>SUM(W28:W30)</f>
        <v>53.5</v>
      </c>
    </row>
    <row r="33" spans="1:24" ht="14.25" customHeight="1" thickBot="1" x14ac:dyDescent="0.3">
      <c r="A33" s="1472"/>
      <c r="B33" s="76"/>
      <c r="C33" s="228"/>
      <c r="D33" s="232"/>
      <c r="E33" s="273"/>
      <c r="F33" s="498"/>
      <c r="G33" s="118"/>
      <c r="H33" s="499"/>
      <c r="I33" s="76"/>
      <c r="J33" s="120"/>
      <c r="K33" s="76"/>
      <c r="L33" s="118"/>
      <c r="M33" s="112"/>
      <c r="N33" s="112"/>
      <c r="R33" s="142" t="s">
        <v>268</v>
      </c>
      <c r="S33" s="136"/>
      <c r="T33" s="136"/>
      <c r="U33" s="136"/>
      <c r="V33" s="136"/>
      <c r="W33" s="136"/>
    </row>
    <row r="34" spans="1:24" ht="13.5" customHeight="1" thickBot="1" x14ac:dyDescent="0.3">
      <c r="A34" s="1472"/>
      <c r="B34" s="76"/>
      <c r="C34" s="228"/>
      <c r="D34" s="232"/>
      <c r="E34" s="273"/>
      <c r="F34" s="498"/>
      <c r="G34" s="118"/>
      <c r="H34" s="499"/>
      <c r="I34" s="76"/>
      <c r="J34" s="120"/>
      <c r="K34" s="76"/>
      <c r="L34" s="118"/>
      <c r="M34" s="112"/>
      <c r="N34" s="112"/>
      <c r="R34" s="143" t="s">
        <v>269</v>
      </c>
      <c r="S34" s="136"/>
      <c r="T34" s="130"/>
      <c r="U34" s="136"/>
      <c r="V34" s="136"/>
      <c r="W34" s="136"/>
    </row>
    <row r="35" spans="1:24" ht="13.5" customHeight="1" thickBot="1" x14ac:dyDescent="0.3">
      <c r="A35" s="1472"/>
      <c r="B35" s="1681" t="s">
        <v>802</v>
      </c>
      <c r="C35" s="1681"/>
      <c r="D35" s="1681"/>
      <c r="E35" s="1681"/>
      <c r="F35" s="1681"/>
      <c r="G35" s="797"/>
      <c r="H35" s="797"/>
      <c r="I35" s="803"/>
      <c r="J35" s="803"/>
      <c r="K35" s="803"/>
      <c r="L35" s="803"/>
      <c r="M35" s="112"/>
      <c r="N35" s="112"/>
      <c r="R35" s="144" t="s">
        <v>249</v>
      </c>
      <c r="S35" s="990">
        <f>$L$5</f>
        <v>436.56044389193772</v>
      </c>
      <c r="T35" s="990">
        <f>SUM(L6:L18)</f>
        <v>35.606388930777221</v>
      </c>
      <c r="U35" s="990">
        <f>S35+T35+V35</f>
        <v>503.4142779227243</v>
      </c>
      <c r="V35" s="990">
        <f>SUM(AT6:AT13)</f>
        <v>31.247445100009354</v>
      </c>
      <c r="W35" s="990">
        <f>L37</f>
        <v>0.62294520547945209</v>
      </c>
    </row>
    <row r="36" spans="1:24" ht="14.2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c r="M36" s="112"/>
      <c r="N36" s="112"/>
      <c r="S36" s="152"/>
      <c r="T36" s="152"/>
      <c r="U36" s="152"/>
      <c r="V36" s="152"/>
    </row>
    <row r="37" spans="1:24" ht="14.25" customHeight="1" x14ac:dyDescent="0.25">
      <c r="A37" s="1472"/>
      <c r="B37" s="772" t="s">
        <v>28</v>
      </c>
      <c r="C37" s="773" t="s">
        <v>14</v>
      </c>
      <c r="D37" s="774">
        <v>0.5</v>
      </c>
      <c r="E37" s="772">
        <f>$AD$1</f>
        <v>107</v>
      </c>
      <c r="F37" s="772">
        <f>D37*E37</f>
        <v>53.5</v>
      </c>
      <c r="G37" s="796"/>
      <c r="H37" s="772">
        <f>F37</f>
        <v>53.5</v>
      </c>
      <c r="I37" s="772">
        <f>VLOOKUP(B37,All_Ingredients!$A$1:$F$156,6,FALSE())</f>
        <v>0.73</v>
      </c>
      <c r="J37" s="772">
        <f>VLOOKUP(B37,All_Ingredients!$A$1:$J$156,10,FALSE())</f>
        <v>8.5</v>
      </c>
      <c r="K37" s="772">
        <f>(H37/I37)/1000</f>
        <v>7.3287671232876717E-2</v>
      </c>
      <c r="L37" s="772">
        <f>K37*J37</f>
        <v>0.62294520547945209</v>
      </c>
      <c r="M37" s="112"/>
      <c r="N37" s="112"/>
    </row>
    <row r="38" spans="1:24" ht="14.25" customHeight="1" x14ac:dyDescent="0.25">
      <c r="A38" s="1472"/>
      <c r="B38" s="772" t="s">
        <v>30</v>
      </c>
      <c r="C38" s="773" t="s">
        <v>14</v>
      </c>
      <c r="D38" s="774">
        <v>0.5</v>
      </c>
      <c r="E38" s="772">
        <f t="shared" ref="E38:E39" si="12">$AD$1</f>
        <v>107</v>
      </c>
      <c r="F38" s="772">
        <f t="shared" ref="F38:F39" si="13">D38*E38</f>
        <v>53.5</v>
      </c>
      <c r="G38" s="796"/>
      <c r="H38" s="772">
        <f t="shared" ref="H38:H39" si="14">F38</f>
        <v>53.5</v>
      </c>
      <c r="I38" s="772">
        <f>VLOOKUP(B38,All_Ingredients!$A$1:$F$156,6,FALSE())</f>
        <v>0.71</v>
      </c>
      <c r="J38" s="772">
        <f>VLOOKUP(B38,All_Ingredients!$A$1:$J$156,10,FALSE())</f>
        <v>8.5</v>
      </c>
      <c r="K38" s="772">
        <f t="shared" ref="K38:K39" si="15">(H38/I38)/1000</f>
        <v>7.5352112676056335E-2</v>
      </c>
      <c r="L38" s="772">
        <f t="shared" ref="L38:L39" si="16">K38*J38</f>
        <v>0.64049295774647885</v>
      </c>
      <c r="M38" s="112"/>
      <c r="N38" s="112"/>
    </row>
    <row r="39" spans="1:24" ht="14.25" customHeight="1" x14ac:dyDescent="0.25">
      <c r="A39" s="1472"/>
      <c r="B39" s="772" t="s">
        <v>32</v>
      </c>
      <c r="C39" s="773" t="s">
        <v>14</v>
      </c>
      <c r="D39" s="774">
        <v>0.5</v>
      </c>
      <c r="E39" s="772">
        <f t="shared" si="12"/>
        <v>107</v>
      </c>
      <c r="F39" s="772">
        <f t="shared" si="13"/>
        <v>53.5</v>
      </c>
      <c r="G39" s="796"/>
      <c r="H39" s="772">
        <f t="shared" si="14"/>
        <v>53.5</v>
      </c>
      <c r="I39" s="772">
        <f>VLOOKUP(B39,All_Ingredients!$A$1:$F$156,6,FALSE())</f>
        <v>0.69</v>
      </c>
      <c r="J39" s="772">
        <f>VLOOKUP(B39,All_Ingredients!$A$1:$J$156,10,FALSE())</f>
        <v>4</v>
      </c>
      <c r="K39" s="772">
        <f t="shared" si="15"/>
        <v>7.7536231884057977E-2</v>
      </c>
      <c r="L39" s="772">
        <f t="shared" si="16"/>
        <v>0.31014492753623191</v>
      </c>
      <c r="M39" s="112"/>
      <c r="N39" s="112"/>
    </row>
    <row r="40" spans="1:24" ht="15.75" customHeight="1" x14ac:dyDescent="0.25">
      <c r="A40" s="1472"/>
      <c r="B40" s="76"/>
      <c r="C40" s="228"/>
      <c r="D40" s="232"/>
      <c r="E40" s="273"/>
      <c r="F40" s="498"/>
      <c r="G40" s="118"/>
      <c r="H40" s="499"/>
      <c r="I40" s="76"/>
      <c r="J40" s="120"/>
      <c r="K40" s="76"/>
      <c r="L40" s="118"/>
      <c r="M40" s="112"/>
      <c r="N40" s="112"/>
      <c r="R40" s="146" t="s">
        <v>270</v>
      </c>
      <c r="S40" s="147">
        <v>0.76923076923076905</v>
      </c>
      <c r="T40" s="146" t="s">
        <v>271</v>
      </c>
      <c r="U40" s="148">
        <v>0.230769230769231</v>
      </c>
      <c r="V40" s="149">
        <f>S40+U40</f>
        <v>1</v>
      </c>
    </row>
    <row r="41" spans="1:24" ht="14.25" customHeight="1" x14ac:dyDescent="0.25">
      <c r="A41" s="1472"/>
      <c r="B41"/>
      <c r="C41" s="228"/>
      <c r="D41" s="232"/>
      <c r="E41" s="273"/>
      <c r="F41" s="498"/>
      <c r="G41" s="118"/>
      <c r="H41" s="499"/>
      <c r="I41" s="76"/>
      <c r="J41" s="120"/>
      <c r="K41" s="76"/>
      <c r="L41" s="118"/>
      <c r="M41" s="112"/>
      <c r="N41" s="112"/>
      <c r="U41" s="150"/>
    </row>
    <row r="42" spans="1:24" ht="14.25" customHeight="1" x14ac:dyDescent="0.25">
      <c r="A42" s="1472"/>
      <c r="E42" s="273"/>
      <c r="G42" s="118"/>
      <c r="H42" s="499"/>
      <c r="I42" s="76"/>
      <c r="J42" s="120"/>
      <c r="K42" s="76"/>
      <c r="L42" s="274"/>
    </row>
    <row r="43" spans="1:24" ht="14.25" customHeight="1" x14ac:dyDescent="0.25">
      <c r="A43" s="1472"/>
      <c r="L43" s="274"/>
      <c r="Q43" s="151" t="s">
        <v>272</v>
      </c>
      <c r="R43" s="151" t="s">
        <v>273</v>
      </c>
      <c r="S43" s="151" t="s">
        <v>274</v>
      </c>
      <c r="T43" s="151" t="s">
        <v>275</v>
      </c>
      <c r="U43" s="151" t="s">
        <v>276</v>
      </c>
      <c r="V43" s="151" t="s">
        <v>277</v>
      </c>
      <c r="W43" s="235" t="s">
        <v>278</v>
      </c>
      <c r="X43" s="508"/>
    </row>
    <row r="44" spans="1:24" ht="14.25" customHeight="1" x14ac:dyDescent="0.25">
      <c r="A44" s="1472"/>
      <c r="L44" s="274"/>
      <c r="Q44" s="153">
        <v>43334</v>
      </c>
      <c r="R44" s="154">
        <f>D51</f>
        <v>10000</v>
      </c>
      <c r="S44" s="155">
        <v>1</v>
      </c>
      <c r="T44" s="155">
        <v>0</v>
      </c>
      <c r="U44" s="220">
        <f>R44*S44</f>
        <v>10000</v>
      </c>
      <c r="V44" s="157">
        <f>R44*T44</f>
        <v>0</v>
      </c>
      <c r="W44" s="237">
        <f>Q44-U44</f>
        <v>33334</v>
      </c>
      <c r="X44" s="509"/>
    </row>
    <row r="45" spans="1:24" ht="14.25" customHeight="1" x14ac:dyDescent="0.25">
      <c r="A45" s="1472"/>
      <c r="L45" s="274"/>
    </row>
    <row r="46" spans="1:24" ht="14.25" customHeight="1" x14ac:dyDescent="0.25">
      <c r="A46" s="1472"/>
      <c r="L46" s="274"/>
    </row>
    <row r="47" spans="1:24" ht="14.25" customHeight="1" x14ac:dyDescent="0.25">
      <c r="A47" s="1472"/>
      <c r="I47" s="14" t="s">
        <v>843</v>
      </c>
      <c r="L47" s="274"/>
    </row>
    <row r="48" spans="1:24" ht="14.25" customHeight="1" x14ac:dyDescent="0.25">
      <c r="A48" s="1472"/>
      <c r="L48" s="274"/>
    </row>
    <row r="49" spans="1:12" ht="14.25" customHeight="1" x14ac:dyDescent="0.25">
      <c r="A49" s="1472"/>
      <c r="L49" s="274"/>
    </row>
    <row r="50" spans="1:12" ht="14.25" customHeight="1" x14ac:dyDescent="0.25">
      <c r="A50" s="1472"/>
      <c r="B50" s="253"/>
      <c r="C50" s="126" t="s">
        <v>233</v>
      </c>
      <c r="D50" s="126" t="s">
        <v>279</v>
      </c>
      <c r="E50" s="84"/>
      <c r="F50" s="84"/>
      <c r="G50" s="126" t="s">
        <v>280</v>
      </c>
      <c r="H50" s="126" t="s">
        <v>233</v>
      </c>
      <c r="I50" s="126" t="s">
        <v>281</v>
      </c>
      <c r="J50" s="126" t="s">
        <v>282</v>
      </c>
      <c r="L50" s="274"/>
    </row>
    <row r="51" spans="1:12" x14ac:dyDescent="0.25">
      <c r="A51" s="1472"/>
      <c r="B51" s="161" t="s">
        <v>283</v>
      </c>
      <c r="C51" s="162">
        <f>10/$K$1</f>
        <v>10.204081632653061</v>
      </c>
      <c r="D51" s="163">
        <f>$C$1*10</f>
        <v>10000</v>
      </c>
      <c r="E51" s="164"/>
      <c r="F51" s="84"/>
      <c r="G51" s="161" t="s">
        <v>283</v>
      </c>
      <c r="H51" s="254">
        <f>I51/$D$5</f>
        <v>10</v>
      </c>
      <c r="I51" s="162">
        <f>J51/$R$1</f>
        <v>56498.305084745763</v>
      </c>
      <c r="J51" s="162">
        <f>$W$44</f>
        <v>33334</v>
      </c>
    </row>
    <row r="52" spans="1:12" x14ac:dyDescent="0.25">
      <c r="A52" s="1472"/>
      <c r="B52" s="209" t="s">
        <v>262</v>
      </c>
      <c r="C52" s="210">
        <f>$I$1</f>
        <v>3.9654631083202552</v>
      </c>
      <c r="D52" s="211">
        <f>$E$1</f>
        <v>3886.1538461538498</v>
      </c>
      <c r="E52" s="84"/>
      <c r="F52" s="84"/>
      <c r="G52" s="129" t="s">
        <v>262</v>
      </c>
      <c r="H52" s="190">
        <f>I52/$D$5</f>
        <v>3.8860761246313529</v>
      </c>
      <c r="I52" s="157">
        <f>J52/$R$1</f>
        <v>21955.671447196866</v>
      </c>
      <c r="J52" s="165">
        <f>$S$32</f>
        <v>12953.846153846151</v>
      </c>
    </row>
    <row r="53" spans="1:12" x14ac:dyDescent="0.25">
      <c r="A53" s="1472"/>
      <c r="B53" s="209" t="s">
        <v>284</v>
      </c>
      <c r="C53" s="212">
        <f>MIN(C52, C51)</f>
        <v>3.9654631083202552</v>
      </c>
      <c r="D53" s="211">
        <f>(C53*$K$1)*$C$1</f>
        <v>3886.1538461538498</v>
      </c>
      <c r="E53" s="84"/>
      <c r="F53" s="84"/>
      <c r="G53" s="129" t="s">
        <v>284</v>
      </c>
      <c r="H53" s="168">
        <f>MIN(H52,H51)</f>
        <v>3.8860761246313529</v>
      </c>
      <c r="I53" s="157">
        <f>J53/$R$1</f>
        <v>21955.671447196866</v>
      </c>
      <c r="J53" s="157">
        <f>MIN(J52,J51)</f>
        <v>12953.846153846151</v>
      </c>
    </row>
    <row r="54" spans="1:12" x14ac:dyDescent="0.25">
      <c r="A54" s="1472"/>
      <c r="B54" s="209" t="s">
        <v>285</v>
      </c>
      <c r="C54" s="212">
        <f>MIN(MAX(C52-C53,0),C51)</f>
        <v>0</v>
      </c>
      <c r="D54" s="211">
        <f>(C54*$K$1)*$C$1</f>
        <v>0</v>
      </c>
      <c r="E54" s="84"/>
      <c r="F54" s="84"/>
      <c r="G54" s="129" t="s">
        <v>285</v>
      </c>
      <c r="H54" s="168">
        <f>MIN(MAX(H52-H53),H51)</f>
        <v>0</v>
      </c>
      <c r="I54" s="157">
        <f>J54/$R$1</f>
        <v>0</v>
      </c>
      <c r="J54" s="157">
        <f>MIN(MAX(J52-J53),J51)</f>
        <v>0</v>
      </c>
    </row>
    <row r="55" spans="1:12"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2" x14ac:dyDescent="0.25">
      <c r="A56" s="1472"/>
    </row>
    <row r="57" spans="1:12" ht="14.25" customHeight="1" x14ac:dyDescent="0.25">
      <c r="A57" s="1472"/>
      <c r="B57" s="84"/>
      <c r="E57" s="84"/>
      <c r="F57" s="84"/>
    </row>
    <row r="58" spans="1:12" x14ac:dyDescent="0.25">
      <c r="A58" s="1472"/>
    </row>
    <row r="59" spans="1:12" x14ac:dyDescent="0.25">
      <c r="A59" s="1472"/>
    </row>
    <row r="60" spans="1:12" x14ac:dyDescent="0.25">
      <c r="A60" s="1472"/>
    </row>
    <row r="61" spans="1:12" x14ac:dyDescent="0.25">
      <c r="A61" s="1472"/>
    </row>
    <row r="62" spans="1:12" ht="18" customHeight="1" x14ac:dyDescent="0.25">
      <c r="A62" s="1473"/>
      <c r="B62" s="1636" t="str">
        <f>"دجاج البيتزا    1 / " &amp; COUNTIF($C$53:$C$55, "&gt;0")</f>
        <v>دجاج البيتزا    1 / 1</v>
      </c>
      <c r="C62" s="1637"/>
      <c r="D62" s="1637"/>
      <c r="E62" s="1637"/>
      <c r="F62" s="1637"/>
      <c r="G62" s="1637"/>
      <c r="H62" s="1637"/>
    </row>
    <row r="63" spans="1:12" ht="18" customHeight="1" x14ac:dyDescent="0.25">
      <c r="A63" s="1473"/>
      <c r="B63" s="1634" t="str">
        <f>"Pizza Chicken  1 / " &amp; COUNTIF($C$53:$C$55, "&gt;0")</f>
        <v>Pizza Chicken  1 / 1</v>
      </c>
      <c r="C63" s="1635"/>
      <c r="D63" s="1635"/>
      <c r="E63" s="1635"/>
      <c r="F63" s="1635"/>
      <c r="G63" s="1635"/>
      <c r="H63" s="1635"/>
    </row>
    <row r="64" spans="1:12" ht="25.5" customHeight="1" x14ac:dyDescent="0.2">
      <c r="A64" s="1457"/>
      <c r="B64" s="221" t="s">
        <v>241</v>
      </c>
      <c r="C64" s="222" t="s">
        <v>242</v>
      </c>
      <c r="D64" s="223" t="s">
        <v>231</v>
      </c>
      <c r="E64" s="197" t="s">
        <v>234</v>
      </c>
      <c r="F64" s="197" t="s">
        <v>243</v>
      </c>
      <c r="G64" s="223" t="s">
        <v>244</v>
      </c>
      <c r="H64" s="197" t="s">
        <v>245</v>
      </c>
    </row>
    <row r="65" spans="1:10" ht="14.25" customHeight="1" x14ac:dyDescent="0.2">
      <c r="A65" s="1459"/>
      <c r="B65" s="96" t="str">
        <f t="shared" ref="B65:D78" si="17">B5</f>
        <v>Chicken - دجاج</v>
      </c>
      <c r="C65" s="105" t="str">
        <f t="shared" si="17"/>
        <v>gm</v>
      </c>
      <c r="D65" s="240">
        <f t="shared" si="17"/>
        <v>5649.8305084745762</v>
      </c>
      <c r="E65" s="108">
        <f>H53</f>
        <v>3.8860761246313529</v>
      </c>
      <c r="F65" s="276">
        <f t="shared" ref="F65:F78" si="18">F5</f>
        <v>1</v>
      </c>
      <c r="G65" s="99">
        <f t="shared" ref="G65:G77" si="19">D65*E65</f>
        <v>21955.671447196866</v>
      </c>
      <c r="H65" s="187">
        <f t="shared" ref="H65:H77" si="20">G65*F65</f>
        <v>21955.671447196866</v>
      </c>
    </row>
    <row r="66" spans="1:10" ht="14.25" customHeight="1" x14ac:dyDescent="0.25">
      <c r="A66" s="1471"/>
      <c r="B66" s="96" t="str">
        <f t="shared" si="17"/>
        <v>Dry Oregano - أوريجانو مجفف</v>
      </c>
      <c r="C66" s="105" t="str">
        <f t="shared" si="17"/>
        <v>gm</v>
      </c>
      <c r="D66" s="105">
        <f t="shared" si="17"/>
        <v>1</v>
      </c>
      <c r="E66" s="108">
        <f>$C$53</f>
        <v>3.9654631083202552</v>
      </c>
      <c r="F66" s="276">
        <f t="shared" si="18"/>
        <v>1</v>
      </c>
      <c r="G66" s="99">
        <f t="shared" si="19"/>
        <v>3.9654631083202552</v>
      </c>
      <c r="H66" s="187">
        <f t="shared" si="20"/>
        <v>3.9654631083202552</v>
      </c>
    </row>
    <row r="67" spans="1:10" ht="14.25" customHeight="1" x14ac:dyDescent="0.25">
      <c r="A67" s="1471" t="s">
        <v>907</v>
      </c>
      <c r="B67" s="96" t="str">
        <f t="shared" si="17"/>
        <v>Garlic - ثوم مقشر</v>
      </c>
      <c r="C67" s="105" t="str">
        <f t="shared" si="17"/>
        <v>gm</v>
      </c>
      <c r="D67" s="105">
        <f t="shared" si="17"/>
        <v>30</v>
      </c>
      <c r="E67" s="108">
        <f t="shared" ref="E67:E78" si="21">$C$53</f>
        <v>3.9654631083202552</v>
      </c>
      <c r="F67" s="276">
        <f t="shared" si="18"/>
        <v>1</v>
      </c>
      <c r="G67" s="510">
        <f t="shared" si="19"/>
        <v>118.96389324960765</v>
      </c>
      <c r="H67" s="187">
        <f t="shared" si="20"/>
        <v>118.96389324960765</v>
      </c>
    </row>
    <row r="68" spans="1:10" ht="14.25" customHeight="1" x14ac:dyDescent="0.25">
      <c r="A68" s="1471" t="s">
        <v>909</v>
      </c>
      <c r="B68" s="96" t="str">
        <f t="shared" si="17"/>
        <v>Tomato - طماطم</v>
      </c>
      <c r="C68" s="105" t="str">
        <f t="shared" si="17"/>
        <v>gm</v>
      </c>
      <c r="D68" s="105">
        <f t="shared" si="17"/>
        <v>400</v>
      </c>
      <c r="E68" s="108">
        <f t="shared" si="21"/>
        <v>3.9654631083202552</v>
      </c>
      <c r="F68" s="276">
        <f t="shared" si="18"/>
        <v>0.9</v>
      </c>
      <c r="G68" s="510">
        <f t="shared" si="19"/>
        <v>1586.1852433281022</v>
      </c>
      <c r="H68" s="187">
        <f t="shared" si="20"/>
        <v>1427.5667189952919</v>
      </c>
    </row>
    <row r="69" spans="1:10" ht="14.25" customHeight="1" x14ac:dyDescent="0.25">
      <c r="A69" s="1471"/>
      <c r="B69" s="96" t="str">
        <f t="shared" si="17"/>
        <v>Tomato Paste - صلصة طماطم</v>
      </c>
      <c r="C69" s="105" t="str">
        <f t="shared" si="17"/>
        <v>gm</v>
      </c>
      <c r="D69" s="105">
        <f t="shared" si="17"/>
        <v>200</v>
      </c>
      <c r="E69" s="108">
        <f t="shared" si="21"/>
        <v>3.9654631083202552</v>
      </c>
      <c r="F69" s="276">
        <f t="shared" si="18"/>
        <v>0.9</v>
      </c>
      <c r="G69" s="510">
        <f t="shared" si="19"/>
        <v>793.09262166405108</v>
      </c>
      <c r="H69" s="187">
        <f t="shared" si="20"/>
        <v>713.78335949764596</v>
      </c>
    </row>
    <row r="70" spans="1:10" ht="14.25" customHeight="1" x14ac:dyDescent="0.25">
      <c r="A70" s="1471"/>
      <c r="B70" s="96" t="str">
        <f t="shared" si="17"/>
        <v>Sugar - سكر</v>
      </c>
      <c r="C70" s="105" t="str">
        <f t="shared" si="17"/>
        <v>gm</v>
      </c>
      <c r="D70" s="105">
        <f t="shared" si="17"/>
        <v>10</v>
      </c>
      <c r="E70" s="108">
        <f t="shared" si="21"/>
        <v>3.9654631083202552</v>
      </c>
      <c r="F70" s="276">
        <f t="shared" si="18"/>
        <v>1</v>
      </c>
      <c r="G70" s="510">
        <f t="shared" si="19"/>
        <v>39.654631083202553</v>
      </c>
      <c r="H70" s="187">
        <f t="shared" si="20"/>
        <v>39.654631083202553</v>
      </c>
    </row>
    <row r="71" spans="1:10" ht="14.25" customHeight="1" x14ac:dyDescent="0.25">
      <c r="A71" s="1471"/>
      <c r="B71" s="96" t="str">
        <f t="shared" si="17"/>
        <v>Vinegar - خل</v>
      </c>
      <c r="C71" s="105" t="str">
        <f t="shared" si="17"/>
        <v>ml</v>
      </c>
      <c r="D71" s="105">
        <f t="shared" si="17"/>
        <v>5</v>
      </c>
      <c r="E71" s="108">
        <f t="shared" si="21"/>
        <v>3.9654631083202552</v>
      </c>
      <c r="F71" s="276">
        <f t="shared" si="18"/>
        <v>1</v>
      </c>
      <c r="G71" s="510">
        <f t="shared" si="19"/>
        <v>19.827315541601276</v>
      </c>
      <c r="H71" s="187">
        <f t="shared" si="20"/>
        <v>19.827315541601276</v>
      </c>
    </row>
    <row r="72" spans="1:10" ht="14.25" customHeight="1" x14ac:dyDescent="0.25">
      <c r="A72" s="1471"/>
      <c r="B72" s="96" t="str">
        <f t="shared" si="17"/>
        <v>Butter - زبدة</v>
      </c>
      <c r="C72" s="105" t="str">
        <f t="shared" si="17"/>
        <v>gm</v>
      </c>
      <c r="D72" s="105">
        <f t="shared" si="17"/>
        <v>25</v>
      </c>
      <c r="E72" s="108">
        <f t="shared" si="21"/>
        <v>3.9654631083202552</v>
      </c>
      <c r="F72" s="276">
        <f t="shared" si="18"/>
        <v>1</v>
      </c>
      <c r="G72" s="510">
        <f t="shared" si="19"/>
        <v>99.136577708006385</v>
      </c>
      <c r="H72" s="187">
        <f t="shared" si="20"/>
        <v>99.136577708006385</v>
      </c>
    </row>
    <row r="73" spans="1:10" ht="14.25" customHeight="1" x14ac:dyDescent="0.25">
      <c r="A73" s="1471"/>
      <c r="B73" s="96" t="str">
        <f t="shared" si="17"/>
        <v>Dry Basil - ريحان مجفف</v>
      </c>
      <c r="C73" s="105" t="str">
        <f t="shared" si="17"/>
        <v>gm</v>
      </c>
      <c r="D73" s="105">
        <f t="shared" si="17"/>
        <v>1</v>
      </c>
      <c r="E73" s="108">
        <f t="shared" si="21"/>
        <v>3.9654631083202552</v>
      </c>
      <c r="F73" s="276">
        <f t="shared" si="18"/>
        <v>0.9</v>
      </c>
      <c r="G73" s="510">
        <f t="shared" si="19"/>
        <v>3.9654631083202552</v>
      </c>
      <c r="H73" s="187">
        <f t="shared" si="20"/>
        <v>3.5689167974882299</v>
      </c>
    </row>
    <row r="74" spans="1:10" ht="14.25" customHeight="1" x14ac:dyDescent="0.25">
      <c r="A74" s="1471"/>
      <c r="B74" s="96" t="str">
        <f t="shared" si="17"/>
        <v>Sriracha Sauce - صوص سريراتشا</v>
      </c>
      <c r="C74" s="105" t="str">
        <f t="shared" si="17"/>
        <v>ml</v>
      </c>
      <c r="D74" s="105">
        <f t="shared" si="17"/>
        <v>35</v>
      </c>
      <c r="E74" s="108">
        <f t="shared" si="21"/>
        <v>3.9654631083202552</v>
      </c>
      <c r="F74" s="276">
        <f t="shared" si="18"/>
        <v>0.75</v>
      </c>
      <c r="G74" s="510">
        <f t="shared" si="19"/>
        <v>138.79120879120893</v>
      </c>
      <c r="H74" s="187">
        <f t="shared" si="20"/>
        <v>104.0934065934067</v>
      </c>
    </row>
    <row r="75" spans="1:10" ht="14.25" customHeight="1" x14ac:dyDescent="0.25">
      <c r="A75" s="1471"/>
      <c r="B75" s="96" t="str">
        <f t="shared" si="17"/>
        <v>Tomato Ketchup - كاتشب طماطم</v>
      </c>
      <c r="C75" s="105" t="str">
        <f t="shared" si="17"/>
        <v>ml</v>
      </c>
      <c r="D75" s="105">
        <f t="shared" si="17"/>
        <v>200</v>
      </c>
      <c r="E75" s="108">
        <f t="shared" si="21"/>
        <v>3.9654631083202552</v>
      </c>
      <c r="F75" s="276">
        <f t="shared" si="18"/>
        <v>0.9</v>
      </c>
      <c r="G75" s="510">
        <f t="shared" si="19"/>
        <v>793.09262166405108</v>
      </c>
      <c r="H75" s="187">
        <f t="shared" si="20"/>
        <v>713.78335949764596</v>
      </c>
    </row>
    <row r="76" spans="1:10" ht="14.25" customHeight="1" x14ac:dyDescent="0.25">
      <c r="A76" s="1471"/>
      <c r="B76" s="96" t="str">
        <f t="shared" si="17"/>
        <v>Salt - ملح</v>
      </c>
      <c r="C76" s="105" t="str">
        <f t="shared" si="17"/>
        <v>gm</v>
      </c>
      <c r="D76" s="105">
        <f t="shared" si="17"/>
        <v>5</v>
      </c>
      <c r="E76" s="108">
        <f t="shared" si="21"/>
        <v>3.9654631083202552</v>
      </c>
      <c r="F76" s="276">
        <f t="shared" si="18"/>
        <v>1</v>
      </c>
      <c r="G76" s="510">
        <f t="shared" si="19"/>
        <v>19.827315541601276</v>
      </c>
      <c r="H76" s="187">
        <f t="shared" si="20"/>
        <v>19.827315541601276</v>
      </c>
    </row>
    <row r="77" spans="1:10" ht="14.25" customHeight="1" x14ac:dyDescent="0.25">
      <c r="A77" s="1471"/>
      <c r="B77" s="96" t="str">
        <f t="shared" si="17"/>
        <v>Mozzarella Cheese - جبنة موتزاريلا</v>
      </c>
      <c r="C77" s="105" t="str">
        <f t="shared" si="17"/>
        <v>gm</v>
      </c>
      <c r="D77" s="105">
        <f t="shared" si="17"/>
        <v>150</v>
      </c>
      <c r="E77" s="108">
        <f t="shared" si="21"/>
        <v>3.9654631083202552</v>
      </c>
      <c r="F77" s="276">
        <f t="shared" si="18"/>
        <v>1</v>
      </c>
      <c r="G77" s="510">
        <f t="shared" si="19"/>
        <v>594.81946624803822</v>
      </c>
      <c r="H77" s="187">
        <f t="shared" si="20"/>
        <v>594.81946624803822</v>
      </c>
    </row>
    <row r="78" spans="1:10" ht="20.25" customHeight="1" x14ac:dyDescent="0.3">
      <c r="A78" s="1471"/>
      <c r="B78" s="96" t="str">
        <f t="shared" si="17"/>
        <v>Sliced cheese - جبنة شرائح</v>
      </c>
      <c r="C78" s="105" t="str">
        <f t="shared" si="17"/>
        <v>Piece</v>
      </c>
      <c r="D78" s="105">
        <f t="shared" si="17"/>
        <v>50</v>
      </c>
      <c r="E78" s="108">
        <f t="shared" si="21"/>
        <v>3.9654631083202552</v>
      </c>
      <c r="F78" s="276">
        <f t="shared" si="18"/>
        <v>1</v>
      </c>
      <c r="G78" s="510">
        <f>D78*E78</f>
        <v>198.27315541601277</v>
      </c>
      <c r="H78" s="187">
        <f>G78*F78</f>
        <v>198.27315541601277</v>
      </c>
      <c r="I78" s="184"/>
      <c r="J78" s="183"/>
    </row>
    <row r="79" spans="1:10" ht="18" x14ac:dyDescent="0.25">
      <c r="A79" s="1458"/>
      <c r="B79" s="178" t="s">
        <v>287</v>
      </c>
      <c r="C79" s="180" t="s">
        <v>273</v>
      </c>
      <c r="E79" s="180" t="s">
        <v>288</v>
      </c>
      <c r="G79" s="804" t="s">
        <v>264</v>
      </c>
      <c r="H79" s="804" t="s">
        <v>673</v>
      </c>
    </row>
    <row r="80" spans="1:10" ht="20.25" x14ac:dyDescent="0.3">
      <c r="A80" s="1458"/>
      <c r="B80" s="179">
        <f>$J$53</f>
        <v>12953.846153846151</v>
      </c>
      <c r="C80" s="179">
        <f>E80+G80</f>
        <v>3886.1538461538498</v>
      </c>
      <c r="D80" s="839"/>
      <c r="E80" s="179">
        <f>$D$53*$S$44</f>
        <v>3886.1538461538498</v>
      </c>
      <c r="F80" s="843"/>
      <c r="G80" s="179">
        <f>$D$53*$T$44</f>
        <v>0</v>
      </c>
      <c r="H80" s="179">
        <f>B80+E80</f>
        <v>16840</v>
      </c>
    </row>
    <row r="81" spans="1:1" x14ac:dyDescent="0.25">
      <c r="A81" s="1472"/>
    </row>
    <row r="82" spans="1:1" x14ac:dyDescent="0.25">
      <c r="A82" s="1472"/>
    </row>
    <row r="83" spans="1:1" x14ac:dyDescent="0.25">
      <c r="A83" s="1472"/>
    </row>
    <row r="84" spans="1:1" x14ac:dyDescent="0.25">
      <c r="A84" s="1472"/>
    </row>
    <row r="85" spans="1:1" x14ac:dyDescent="0.25">
      <c r="A85" s="1472"/>
    </row>
    <row r="86" spans="1:1" x14ac:dyDescent="0.25">
      <c r="A86" s="1472"/>
    </row>
    <row r="87" spans="1:1" x14ac:dyDescent="0.25">
      <c r="A87" s="1472"/>
    </row>
    <row r="88" spans="1:1" x14ac:dyDescent="0.25">
      <c r="A88" s="1472"/>
    </row>
    <row r="89" spans="1:1" x14ac:dyDescent="0.25">
      <c r="A89" s="1472"/>
    </row>
    <row r="90" spans="1:1" x14ac:dyDescent="0.25">
      <c r="A90" s="1472"/>
    </row>
    <row r="91" spans="1:1" x14ac:dyDescent="0.25">
      <c r="A91" s="1472"/>
    </row>
    <row r="92" spans="1:1" x14ac:dyDescent="0.25">
      <c r="A92" s="1472"/>
    </row>
    <row r="93" spans="1:1" x14ac:dyDescent="0.25">
      <c r="A93" s="1472"/>
    </row>
    <row r="94" spans="1:1" x14ac:dyDescent="0.25">
      <c r="A94" s="1472"/>
    </row>
    <row r="95" spans="1:1" x14ac:dyDescent="0.25">
      <c r="A95" s="1472"/>
    </row>
    <row r="96" spans="1:1" x14ac:dyDescent="0.25">
      <c r="A96" s="1472"/>
    </row>
    <row r="97" spans="1:1" x14ac:dyDescent="0.25">
      <c r="A97" s="1472"/>
    </row>
    <row r="98" spans="1:1" x14ac:dyDescent="0.25">
      <c r="A98" s="1472"/>
    </row>
    <row r="99" spans="1:1" x14ac:dyDescent="0.25">
      <c r="A99" s="1472"/>
    </row>
    <row r="100" spans="1:1" x14ac:dyDescent="0.25">
      <c r="A100" s="1472"/>
    </row>
    <row r="101" spans="1:1" x14ac:dyDescent="0.25">
      <c r="A101" s="1472"/>
    </row>
    <row r="102" spans="1:1" x14ac:dyDescent="0.25">
      <c r="A102" s="1472"/>
    </row>
    <row r="103" spans="1:1" x14ac:dyDescent="0.25">
      <c r="A103" s="1472"/>
    </row>
    <row r="104" spans="1:1" x14ac:dyDescent="0.25">
      <c r="A104" s="1472"/>
    </row>
    <row r="105" spans="1:1" x14ac:dyDescent="0.25">
      <c r="A105" s="1472"/>
    </row>
    <row r="106" spans="1:1" x14ac:dyDescent="0.25">
      <c r="A106" s="1472"/>
    </row>
    <row r="107" spans="1:1" x14ac:dyDescent="0.25">
      <c r="A107" s="1472"/>
    </row>
    <row r="108" spans="1:1" x14ac:dyDescent="0.25">
      <c r="A108" s="1472"/>
    </row>
    <row r="109" spans="1:1" x14ac:dyDescent="0.25">
      <c r="A109" s="1472"/>
    </row>
    <row r="110" spans="1:1" x14ac:dyDescent="0.25">
      <c r="A110" s="1472"/>
    </row>
    <row r="111" spans="1:1" x14ac:dyDescent="0.25">
      <c r="A111" s="1472"/>
    </row>
    <row r="112" spans="1:1"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9">
    <mergeCell ref="B63:H63"/>
    <mergeCell ref="AE2:AG3"/>
    <mergeCell ref="R26:U26"/>
    <mergeCell ref="AN2:AN3"/>
    <mergeCell ref="B62:H62"/>
    <mergeCell ref="R25:U25"/>
    <mergeCell ref="F2:F3"/>
    <mergeCell ref="AK2:AM2"/>
    <mergeCell ref="B35:F35"/>
  </mergeCells>
  <printOptions horizontalCentered="1"/>
  <pageMargins left="0.4" right="0.4" top="1" bottom="0.5" header="0.3" footer="0.511811023622047"/>
  <pageSetup paperSize="9" scale="47" orientation="landscape"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tabColor rgb="FFC55A11"/>
    <pageSetUpPr fitToPage="1"/>
  </sheetPr>
  <dimension ref="A1:AG174"/>
  <sheetViews>
    <sheetView zoomScale="85" zoomScaleNormal="85" workbookViewId="0">
      <selection activeCell="F21" sqref="F21"/>
    </sheetView>
  </sheetViews>
  <sheetFormatPr defaultColWidth="12.5" defaultRowHeight="15" x14ac:dyDescent="0.25"/>
  <cols>
    <col min="1" max="1" width="12.5" style="63" customWidth="1"/>
    <col min="2" max="2" width="36.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375" style="14" customWidth="1"/>
    <col min="15" max="17" width="12.5" style="14" customWidth="1"/>
    <col min="18" max="18" width="30.5" style="14" customWidth="1"/>
    <col min="19" max="19" width="12.5" style="14" customWidth="1"/>
    <col min="20" max="16384" width="12.5" style="14"/>
  </cols>
  <sheetData>
    <row r="1" spans="1:33" ht="35.25" customHeight="1" x14ac:dyDescent="0.25">
      <c r="B1" s="64" t="s">
        <v>231</v>
      </c>
      <c r="C1" s="65">
        <v>1000</v>
      </c>
      <c r="D1" s="66" t="s">
        <v>232</v>
      </c>
      <c r="E1" s="99">
        <f>T32</f>
        <v>4136.915</v>
      </c>
      <c r="F1" s="64" t="s">
        <v>233</v>
      </c>
      <c r="G1" s="65">
        <f>E1/C1</f>
        <v>4.1369150000000001</v>
      </c>
      <c r="H1" s="64" t="s">
        <v>234</v>
      </c>
      <c r="I1" s="260">
        <f>G1/K1</f>
        <v>4.1369150000000001</v>
      </c>
      <c r="J1" s="70" t="s">
        <v>235</v>
      </c>
      <c r="K1" s="84">
        <v>1</v>
      </c>
      <c r="L1" s="84"/>
      <c r="M1" s="73"/>
      <c r="N1" s="74"/>
      <c r="O1" s="75" t="s">
        <v>236</v>
      </c>
      <c r="P1" s="76" t="s">
        <v>289</v>
      </c>
      <c r="Q1" s="77" t="s">
        <v>238</v>
      </c>
      <c r="R1" s="76">
        <v>0.66</v>
      </c>
      <c r="Y1" s="75" t="s">
        <v>453</v>
      </c>
      <c r="Z1" s="766">
        <v>11650</v>
      </c>
      <c r="AA1" s="75" t="s">
        <v>556</v>
      </c>
      <c r="AB1" s="766">
        <v>0</v>
      </c>
      <c r="AC1" s="75" t="s">
        <v>546</v>
      </c>
      <c r="AD1" s="766">
        <v>79</v>
      </c>
      <c r="AE1" s="228"/>
      <c r="AF1" s="230"/>
      <c r="AG1" s="76"/>
    </row>
    <row r="2" spans="1:33" ht="12.75" customHeight="1" x14ac:dyDescent="0.25">
      <c r="A2" s="81"/>
      <c r="B2" s="1721" t="s">
        <v>134</v>
      </c>
      <c r="C2" s="1661"/>
      <c r="D2" s="1661"/>
      <c r="E2" s="1661"/>
      <c r="F2" s="1661"/>
      <c r="G2" s="1661"/>
      <c r="H2" s="1661"/>
      <c r="I2" s="1661"/>
      <c r="J2" s="1661"/>
      <c r="K2" s="1722"/>
      <c r="L2" s="270"/>
      <c r="M2" s="84"/>
      <c r="N2" s="84"/>
      <c r="O2" s="84"/>
      <c r="P2" s="84"/>
      <c r="Q2" s="84"/>
      <c r="R2" s="84"/>
      <c r="AC2" s="83"/>
      <c r="AD2" s="83"/>
      <c r="AE2" s="1652"/>
      <c r="AF2" s="1655"/>
      <c r="AG2" s="1655"/>
    </row>
    <row r="3" spans="1:33" ht="12.75" customHeight="1" x14ac:dyDescent="0.25">
      <c r="A3" s="81"/>
      <c r="B3" s="1633"/>
      <c r="C3" s="1633"/>
      <c r="D3" s="1633"/>
      <c r="E3" s="1633"/>
      <c r="F3" s="1633"/>
      <c r="G3" s="1633"/>
      <c r="H3" s="1633"/>
      <c r="I3" s="1633"/>
      <c r="J3" s="1633"/>
      <c r="K3" s="1686"/>
      <c r="L3" s="270"/>
      <c r="M3" s="84"/>
      <c r="N3" s="84"/>
      <c r="O3" s="84"/>
      <c r="P3" s="84"/>
      <c r="Q3" s="84"/>
      <c r="R3" s="84"/>
      <c r="AC3" s="83"/>
      <c r="AD3" s="83"/>
      <c r="AE3" s="1655"/>
      <c r="AF3" s="1655"/>
      <c r="AG3" s="1655"/>
    </row>
    <row r="4" spans="1:33" ht="35.25"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AA4" s="229"/>
      <c r="AB4" s="231"/>
      <c r="AC4" s="229"/>
      <c r="AD4" s="229"/>
      <c r="AE4" s="229"/>
    </row>
    <row r="5" spans="1:33" ht="14.25" customHeight="1" x14ac:dyDescent="0.2">
      <c r="A5" s="1454"/>
      <c r="B5" s="263" t="s">
        <v>226</v>
      </c>
      <c r="C5" s="97" t="s">
        <v>14</v>
      </c>
      <c r="D5" s="103">
        <f>I51/10</f>
        <v>5050.6060606060601</v>
      </c>
      <c r="E5" s="99">
        <f>H52</f>
        <v>2.2538804223915521</v>
      </c>
      <c r="F5" s="109">
        <v>1</v>
      </c>
      <c r="G5" s="103">
        <f t="shared" ref="G5:G20" si="0">D5*E5</f>
        <v>11383.46212121212</v>
      </c>
      <c r="H5" s="102">
        <f t="shared" ref="H5:H20" si="1">G5*F5</f>
        <v>11383.46212121212</v>
      </c>
      <c r="I5" s="65">
        <f>VLOOKUP(B5,All_Ingredients!$A$1:$F$156,6,FALSE())</f>
        <v>0.99</v>
      </c>
      <c r="J5" s="101">
        <f>VLOOKUP(B5,All_Ingredients!$A$1:$J$156,10,FALSE())</f>
        <v>11.75</v>
      </c>
      <c r="K5" s="104">
        <f t="shared" ref="K5" si="2">(H5/I5)/1000</f>
        <v>11.498446587082951</v>
      </c>
      <c r="L5" s="104">
        <f t="shared" ref="L5" si="3">K5*J5</f>
        <v>135.10674739822468</v>
      </c>
      <c r="M5" s="84"/>
      <c r="N5" s="84"/>
      <c r="O5" s="84"/>
      <c r="P5" s="84"/>
      <c r="AA5" s="76"/>
      <c r="AB5" s="114"/>
      <c r="AC5" s="232"/>
      <c r="AD5" s="116"/>
      <c r="AE5" s="117"/>
    </row>
    <row r="6" spans="1:33" ht="14.25" customHeight="1" x14ac:dyDescent="0.2">
      <c r="A6" s="1483" t="s">
        <v>920</v>
      </c>
      <c r="B6" s="263" t="s">
        <v>12</v>
      </c>
      <c r="C6" s="106" t="s">
        <v>14</v>
      </c>
      <c r="D6" s="107">
        <v>300</v>
      </c>
      <c r="E6" s="177">
        <f t="shared" ref="E6:E20" si="4">$G$1</f>
        <v>4.1369150000000001</v>
      </c>
      <c r="F6" s="109">
        <v>0.95</v>
      </c>
      <c r="G6" s="103">
        <f t="shared" si="0"/>
        <v>1241.0744999999999</v>
      </c>
      <c r="H6" s="102">
        <f t="shared" si="1"/>
        <v>1179.020775</v>
      </c>
      <c r="I6" s="65">
        <f>VLOOKUP(B6,All_Ingredients!$A$1:$F$156,6,FALSE())</f>
        <v>0.9</v>
      </c>
      <c r="J6" s="101">
        <f>VLOOKUP(B6,All_Ingredients!$A$1:$J$156,10,FALSE())</f>
        <v>3</v>
      </c>
      <c r="K6" s="104">
        <f t="shared" ref="K6:K20" si="5">(H6/I6)/1000</f>
        <v>1.3100230833333333</v>
      </c>
      <c r="L6" s="104">
        <f t="shared" ref="L6:L20" si="6">K6*J6</f>
        <v>3.9300692499999998</v>
      </c>
    </row>
    <row r="7" spans="1:33" ht="14.25" customHeight="1" x14ac:dyDescent="0.2">
      <c r="A7" s="1483" t="s">
        <v>907</v>
      </c>
      <c r="B7" s="263" t="s">
        <v>727</v>
      </c>
      <c r="C7" s="106" t="s">
        <v>14</v>
      </c>
      <c r="D7" s="107">
        <v>25</v>
      </c>
      <c r="E7" s="201">
        <f t="shared" si="4"/>
        <v>4.1369150000000001</v>
      </c>
      <c r="F7" s="109">
        <v>0.95</v>
      </c>
      <c r="G7" s="103">
        <f t="shared" si="0"/>
        <v>103.422875</v>
      </c>
      <c r="H7" s="102">
        <f t="shared" si="1"/>
        <v>98.251731250000006</v>
      </c>
      <c r="I7" s="65">
        <f>VLOOKUP(B7,All_Ingredients!$A$1:$F$156,6,FALSE())</f>
        <v>1</v>
      </c>
      <c r="J7" s="101">
        <f>VLOOKUP(B7,All_Ingredients!$A$1:$J$156,10,FALSE())</f>
        <v>10.5</v>
      </c>
      <c r="K7" s="104">
        <f t="shared" si="5"/>
        <v>9.8251731250000002E-2</v>
      </c>
      <c r="L7" s="104">
        <f t="shared" si="6"/>
        <v>1.0316431781249999</v>
      </c>
    </row>
    <row r="8" spans="1:33" ht="14.25" customHeight="1" x14ac:dyDescent="0.2">
      <c r="A8" s="1483" t="s">
        <v>909</v>
      </c>
      <c r="B8" s="263" t="s">
        <v>17</v>
      </c>
      <c r="C8" s="106" t="s">
        <v>14</v>
      </c>
      <c r="D8" s="107">
        <v>600</v>
      </c>
      <c r="E8" s="201">
        <f t="shared" si="4"/>
        <v>4.1369150000000001</v>
      </c>
      <c r="F8" s="109">
        <v>1</v>
      </c>
      <c r="G8" s="103">
        <f t="shared" si="0"/>
        <v>2482.1489999999999</v>
      </c>
      <c r="H8" s="102">
        <f t="shared" si="1"/>
        <v>2482.1489999999999</v>
      </c>
      <c r="I8" s="65">
        <f>VLOOKUP(B8,All_Ingredients!$A$1:$F$156,6,FALSE())</f>
        <v>0.98</v>
      </c>
      <c r="J8" s="101">
        <f>VLOOKUP(B8,All_Ingredients!$A$1:$J$156,10,FALSE())</f>
        <v>3.5</v>
      </c>
      <c r="K8" s="104">
        <f t="shared" si="5"/>
        <v>2.532805102040816</v>
      </c>
      <c r="L8" s="104">
        <f t="shared" si="6"/>
        <v>8.8648178571428566</v>
      </c>
    </row>
    <row r="9" spans="1:33" ht="14.25" customHeight="1" x14ac:dyDescent="0.2">
      <c r="A9" s="1483"/>
      <c r="B9" s="263" t="s">
        <v>698</v>
      </c>
      <c r="C9" s="106" t="s">
        <v>14</v>
      </c>
      <c r="D9" s="250">
        <v>500</v>
      </c>
      <c r="E9" s="201">
        <f t="shared" si="4"/>
        <v>4.1369150000000001</v>
      </c>
      <c r="F9" s="109">
        <v>1</v>
      </c>
      <c r="G9" s="103">
        <f t="shared" si="0"/>
        <v>2068.4575</v>
      </c>
      <c r="H9" s="102">
        <f t="shared" si="1"/>
        <v>2068.4575</v>
      </c>
      <c r="I9" s="65">
        <f>VLOOKUP(B9,All_Ingredients!$A$1:$F$156,6,FALSE())</f>
        <v>1</v>
      </c>
      <c r="J9" s="101">
        <f>VLOOKUP(B9,All_Ingredients!$A$1:$J$156,10,FALSE())</f>
        <v>8.1520833333333336</v>
      </c>
      <c r="K9" s="104">
        <f t="shared" si="5"/>
        <v>2.0684575000000001</v>
      </c>
      <c r="L9" s="104">
        <f t="shared" si="6"/>
        <v>16.862237911458333</v>
      </c>
    </row>
    <row r="10" spans="1:33" ht="14.25" customHeight="1" x14ac:dyDescent="0.2">
      <c r="A10" s="1483"/>
      <c r="B10" s="263" t="s">
        <v>99</v>
      </c>
      <c r="C10" s="106" t="s">
        <v>14</v>
      </c>
      <c r="D10" s="250">
        <v>10</v>
      </c>
      <c r="E10" s="201">
        <f t="shared" si="4"/>
        <v>4.1369150000000001</v>
      </c>
      <c r="F10" s="109">
        <v>0.75</v>
      </c>
      <c r="G10" s="103">
        <f t="shared" si="0"/>
        <v>41.369150000000005</v>
      </c>
      <c r="H10" s="102">
        <f t="shared" si="1"/>
        <v>31.026862500000004</v>
      </c>
      <c r="I10" s="65">
        <f>VLOOKUP(B10,All_Ingredients!$A$1:$F$156,6,FALSE())</f>
        <v>1</v>
      </c>
      <c r="J10" s="101">
        <f>VLOOKUP(B10,All_Ingredients!$A$1:$J$156,10,FALSE())</f>
        <v>31</v>
      </c>
      <c r="K10" s="104">
        <f t="shared" si="5"/>
        <v>3.1026862500000002E-2</v>
      </c>
      <c r="L10" s="104">
        <f t="shared" si="6"/>
        <v>0.96183273750000009</v>
      </c>
    </row>
    <row r="11" spans="1:33" ht="14.25" customHeight="1" x14ac:dyDescent="0.2">
      <c r="A11" s="1483"/>
      <c r="B11" s="263" t="s">
        <v>105</v>
      </c>
      <c r="C11" s="106" t="s">
        <v>14</v>
      </c>
      <c r="D11" s="250">
        <v>20</v>
      </c>
      <c r="E11" s="201">
        <f t="shared" si="4"/>
        <v>4.1369150000000001</v>
      </c>
      <c r="F11" s="109">
        <v>1</v>
      </c>
      <c r="G11" s="103">
        <f t="shared" si="0"/>
        <v>82.73830000000001</v>
      </c>
      <c r="H11" s="102">
        <f t="shared" si="1"/>
        <v>82.73830000000001</v>
      </c>
      <c r="I11" s="65">
        <f>VLOOKUP(B11,All_Ingredients!$A$1:$F$156,6,FALSE())</f>
        <v>1</v>
      </c>
      <c r="J11" s="101">
        <f>VLOOKUP(B11,All_Ingredients!$A$1:$J$156,10,FALSE())</f>
        <v>15</v>
      </c>
      <c r="K11" s="104">
        <f t="shared" si="5"/>
        <v>8.2738300000000015E-2</v>
      </c>
      <c r="L11" s="104">
        <f t="shared" si="6"/>
        <v>1.2410745000000003</v>
      </c>
    </row>
    <row r="12" spans="1:33" ht="14.25" customHeight="1" x14ac:dyDescent="0.2">
      <c r="A12" s="1483"/>
      <c r="B12" s="263" t="s">
        <v>107</v>
      </c>
      <c r="C12" s="106" t="s">
        <v>14</v>
      </c>
      <c r="D12" s="250">
        <v>20</v>
      </c>
      <c r="E12" s="201">
        <f t="shared" si="4"/>
        <v>4.1369150000000001</v>
      </c>
      <c r="F12" s="109">
        <v>1</v>
      </c>
      <c r="G12" s="103">
        <f t="shared" si="0"/>
        <v>82.73830000000001</v>
      </c>
      <c r="H12" s="102">
        <f t="shared" si="1"/>
        <v>82.73830000000001</v>
      </c>
      <c r="I12" s="65">
        <f>VLOOKUP(B12,All_Ingredients!$A$1:$F$156,6,FALSE())</f>
        <v>1</v>
      </c>
      <c r="J12" s="101">
        <f>VLOOKUP(B12,All_Ingredients!$A$1:$J$156,10,FALSE())</f>
        <v>8</v>
      </c>
      <c r="K12" s="104">
        <f t="shared" si="5"/>
        <v>8.2738300000000015E-2</v>
      </c>
      <c r="L12" s="104">
        <f t="shared" si="6"/>
        <v>0.66190640000000012</v>
      </c>
    </row>
    <row r="13" spans="1:33" ht="17.25" customHeight="1" x14ac:dyDescent="0.2">
      <c r="A13" s="1483"/>
      <c r="B13" s="263" t="s">
        <v>122</v>
      </c>
      <c r="C13" s="106" t="s">
        <v>14</v>
      </c>
      <c r="D13" s="107">
        <v>10</v>
      </c>
      <c r="E13" s="201">
        <f t="shared" si="4"/>
        <v>4.1369150000000001</v>
      </c>
      <c r="F13" s="109">
        <v>0.75</v>
      </c>
      <c r="G13" s="103">
        <f t="shared" si="0"/>
        <v>41.369150000000005</v>
      </c>
      <c r="H13" s="102">
        <f t="shared" si="1"/>
        <v>31.026862500000004</v>
      </c>
      <c r="I13" s="65">
        <f>VLOOKUP(B13,All_Ingredients!$A$1:$F$156,6,FALSE())</f>
        <v>1</v>
      </c>
      <c r="J13" s="101">
        <f>VLOOKUP(B13,All_Ingredients!$A$1:$J$156,10,FALSE())</f>
        <v>14</v>
      </c>
      <c r="K13" s="104">
        <f t="shared" si="5"/>
        <v>3.1026862500000002E-2</v>
      </c>
      <c r="L13" s="104">
        <f t="shared" si="6"/>
        <v>0.43437607500000003</v>
      </c>
      <c r="P13" s="84" t="s">
        <v>443</v>
      </c>
      <c r="Q13" s="84" t="s">
        <v>444</v>
      </c>
    </row>
    <row r="14" spans="1:33" ht="14.25" customHeight="1" x14ac:dyDescent="0.2">
      <c r="A14" s="1483"/>
      <c r="B14" s="263" t="s">
        <v>139</v>
      </c>
      <c r="C14" s="106" t="s">
        <v>14</v>
      </c>
      <c r="D14" s="250">
        <v>15</v>
      </c>
      <c r="E14" s="201">
        <f t="shared" si="4"/>
        <v>4.1369150000000001</v>
      </c>
      <c r="F14" s="109">
        <v>0.75</v>
      </c>
      <c r="G14" s="103">
        <f t="shared" si="0"/>
        <v>62.053725</v>
      </c>
      <c r="H14" s="102">
        <f t="shared" si="1"/>
        <v>46.540293750000004</v>
      </c>
      <c r="I14" s="65">
        <f>VLOOKUP(B14,All_Ingredients!$A$1:$F$156,6,FALSE())</f>
        <v>1</v>
      </c>
      <c r="J14" s="101">
        <f>VLOOKUP(B14,All_Ingredients!$A$1:$J$156,10,FALSE())</f>
        <v>15.277777777777779</v>
      </c>
      <c r="K14" s="104">
        <f t="shared" si="5"/>
        <v>4.6540293750000003E-2</v>
      </c>
      <c r="L14" s="104">
        <f t="shared" si="6"/>
        <v>0.7110322656250001</v>
      </c>
      <c r="P14" s="164"/>
      <c r="Q14" s="84"/>
    </row>
    <row r="15" spans="1:33" ht="14.25" customHeight="1" x14ac:dyDescent="0.2">
      <c r="A15" s="1483"/>
      <c r="B15" s="263" t="s">
        <v>93</v>
      </c>
      <c r="C15" s="106" t="s">
        <v>14</v>
      </c>
      <c r="D15" s="107">
        <v>5</v>
      </c>
      <c r="E15" s="201">
        <f t="shared" si="4"/>
        <v>4.1369150000000001</v>
      </c>
      <c r="F15" s="109">
        <v>0.75</v>
      </c>
      <c r="G15" s="103">
        <f t="shared" si="0"/>
        <v>20.684575000000002</v>
      </c>
      <c r="H15" s="102">
        <f t="shared" si="1"/>
        <v>15.513431250000002</v>
      </c>
      <c r="I15" s="65">
        <f>VLOOKUP(B15,All_Ingredients!$A$1:$F$156,6,FALSE())</f>
        <v>1</v>
      </c>
      <c r="J15" s="101">
        <f>VLOOKUP(B15,All_Ingredients!$A$1:$J$156,10,FALSE())</f>
        <v>0.74</v>
      </c>
      <c r="K15" s="104">
        <f t="shared" si="5"/>
        <v>1.5513431250000001E-2</v>
      </c>
      <c r="L15" s="104">
        <f t="shared" si="6"/>
        <v>1.1479939125000001E-2</v>
      </c>
      <c r="P15" s="84"/>
      <c r="Q15" s="84"/>
    </row>
    <row r="16" spans="1:33" ht="14.25" customHeight="1" x14ac:dyDescent="0.2">
      <c r="A16" s="1483" t="s">
        <v>923</v>
      </c>
      <c r="B16" s="65" t="s">
        <v>730</v>
      </c>
      <c r="C16" s="106" t="s">
        <v>14</v>
      </c>
      <c r="D16" s="107">
        <v>5</v>
      </c>
      <c r="E16" s="201">
        <f t="shared" si="4"/>
        <v>4.1369150000000001</v>
      </c>
      <c r="F16" s="109">
        <v>0.75</v>
      </c>
      <c r="G16" s="103">
        <f t="shared" si="0"/>
        <v>20.684575000000002</v>
      </c>
      <c r="H16" s="102">
        <f t="shared" si="1"/>
        <v>15.513431250000002</v>
      </c>
      <c r="I16" s="65">
        <f>VLOOKUP(B16,All_Ingredients!$A$1:$F$156,6,FALSE())</f>
        <v>0.52</v>
      </c>
      <c r="J16" s="101">
        <f>VLOOKUP(B16,All_Ingredients!$A$1:$J$156,10,FALSE())</f>
        <v>100</v>
      </c>
      <c r="K16" s="104">
        <f t="shared" si="5"/>
        <v>2.9833521634615386E-2</v>
      </c>
      <c r="L16" s="104">
        <f t="shared" si="6"/>
        <v>2.9833521634615385</v>
      </c>
      <c r="P16" s="84"/>
      <c r="Q16" s="84"/>
    </row>
    <row r="17" spans="1:30" ht="14.25" customHeight="1" x14ac:dyDescent="0.2">
      <c r="A17" s="1483"/>
      <c r="B17" s="65" t="s">
        <v>726</v>
      </c>
      <c r="C17" s="106" t="s">
        <v>14</v>
      </c>
      <c r="D17" s="511">
        <v>100</v>
      </c>
      <c r="E17" s="201">
        <f t="shared" si="4"/>
        <v>4.1369150000000001</v>
      </c>
      <c r="F17" s="109">
        <v>1</v>
      </c>
      <c r="G17" s="103">
        <f t="shared" si="0"/>
        <v>413.69150000000002</v>
      </c>
      <c r="H17" s="102">
        <f t="shared" si="1"/>
        <v>413.69150000000002</v>
      </c>
      <c r="I17" s="65">
        <f>VLOOKUP(B17,All_Ingredients!$A$1:$F$156,6,FALSE())</f>
        <v>1</v>
      </c>
      <c r="J17" s="101">
        <f>VLOOKUP(B17,All_Ingredients!$A$1:$J$156,10,FALSE())</f>
        <v>67.91483113069016</v>
      </c>
      <c r="K17" s="104">
        <f t="shared" si="5"/>
        <v>0.41369150000000005</v>
      </c>
      <c r="L17" s="104">
        <f t="shared" si="6"/>
        <v>28.09578836270191</v>
      </c>
      <c r="P17" s="84"/>
      <c r="Q17" s="84"/>
    </row>
    <row r="18" spans="1:30" ht="14.25" customHeight="1" x14ac:dyDescent="0.2">
      <c r="A18" s="1483"/>
      <c r="B18" s="65" t="s">
        <v>214</v>
      </c>
      <c r="C18" s="106" t="s">
        <v>14</v>
      </c>
      <c r="D18" s="97">
        <v>1</v>
      </c>
      <c r="E18" s="201">
        <f t="shared" si="4"/>
        <v>4.1369150000000001</v>
      </c>
      <c r="F18" s="109">
        <v>1</v>
      </c>
      <c r="G18" s="103">
        <f t="shared" si="0"/>
        <v>4.1369150000000001</v>
      </c>
      <c r="H18" s="102">
        <f t="shared" si="1"/>
        <v>4.1369150000000001</v>
      </c>
      <c r="I18" s="65">
        <f>VLOOKUP(B18,All_Ingredients!$A$1:$F$156,6,FALSE())</f>
        <v>1</v>
      </c>
      <c r="J18" s="101">
        <f>VLOOKUP(B18,All_Ingredients!$A$1:$J$156,10,FALSE())</f>
        <v>35</v>
      </c>
      <c r="K18" s="104">
        <f t="shared" si="5"/>
        <v>4.1369149999999997E-3</v>
      </c>
      <c r="L18" s="104">
        <f t="shared" si="6"/>
        <v>0.14479202499999999</v>
      </c>
      <c r="P18" s="84"/>
      <c r="Q18" s="84"/>
    </row>
    <row r="19" spans="1:30" ht="14.25" customHeight="1" x14ac:dyDescent="0.25">
      <c r="A19" s="1471"/>
      <c r="B19" s="65" t="s">
        <v>152</v>
      </c>
      <c r="C19" s="106" t="s">
        <v>14</v>
      </c>
      <c r="D19" s="97">
        <v>40</v>
      </c>
      <c r="E19" s="201">
        <f t="shared" si="4"/>
        <v>4.1369150000000001</v>
      </c>
      <c r="F19" s="109">
        <v>1</v>
      </c>
      <c r="G19" s="103">
        <f t="shared" si="0"/>
        <v>165.47660000000002</v>
      </c>
      <c r="H19" s="102">
        <f t="shared" si="1"/>
        <v>165.47660000000002</v>
      </c>
      <c r="I19" s="65">
        <f>VLOOKUP(B19,All_Ingredients!$A$1:$F$156,6,FALSE())</f>
        <v>1</v>
      </c>
      <c r="J19" s="101">
        <f>VLOOKUP(B19,All_Ingredients!$A$1:$J$156,10,FALSE())</f>
        <v>30</v>
      </c>
      <c r="K19" s="104">
        <f t="shared" si="5"/>
        <v>0.16547660000000003</v>
      </c>
      <c r="L19" s="104">
        <f t="shared" si="6"/>
        <v>4.9642980000000012</v>
      </c>
      <c r="P19" s="84"/>
      <c r="Q19" s="84"/>
    </row>
    <row r="20" spans="1:30" ht="18" customHeight="1" x14ac:dyDescent="0.25">
      <c r="A20" s="1471"/>
      <c r="B20" s="65" t="s">
        <v>172</v>
      </c>
      <c r="C20" s="106" t="s">
        <v>14</v>
      </c>
      <c r="D20" s="97">
        <v>100</v>
      </c>
      <c r="E20" s="201">
        <f t="shared" si="4"/>
        <v>4.1369150000000001</v>
      </c>
      <c r="F20" s="109">
        <v>1</v>
      </c>
      <c r="G20" s="103">
        <f t="shared" si="0"/>
        <v>413.69150000000002</v>
      </c>
      <c r="H20" s="102">
        <f t="shared" si="1"/>
        <v>413.69150000000002</v>
      </c>
      <c r="I20" s="65">
        <f>VLOOKUP(B20,All_Ingredients!$A$1:$F$156,6,FALSE())</f>
        <v>1</v>
      </c>
      <c r="J20" s="101">
        <f>VLOOKUP(B20,All_Ingredients!$A$1:$J$156,10,FALSE())</f>
        <v>17.934782608695652</v>
      </c>
      <c r="K20" s="104">
        <f t="shared" si="5"/>
        <v>0.41369150000000005</v>
      </c>
      <c r="L20" s="104">
        <f t="shared" si="6"/>
        <v>7.4194671195652182</v>
      </c>
      <c r="P20" s="84" t="s">
        <v>445</v>
      </c>
      <c r="Q20" s="84" t="s">
        <v>446</v>
      </c>
    </row>
    <row r="21" spans="1:30" ht="24" customHeight="1" x14ac:dyDescent="0.25">
      <c r="A21" s="1472"/>
      <c r="B21" s="76"/>
      <c r="C21" s="114"/>
      <c r="D21" s="228"/>
      <c r="E21" s="203"/>
      <c r="F21" s="117"/>
      <c r="G21" s="121"/>
      <c r="H21" s="119"/>
      <c r="I21" s="76"/>
      <c r="J21" s="118"/>
      <c r="K21" s="112"/>
      <c r="L21" s="112"/>
      <c r="R21" s="84"/>
      <c r="S21" s="84" t="s">
        <v>447</v>
      </c>
    </row>
    <row r="22" spans="1:30" ht="14.25" customHeight="1" x14ac:dyDescent="0.25">
      <c r="A22" s="1472"/>
      <c r="B22"/>
    </row>
    <row r="23" spans="1:30" ht="14.25" customHeight="1" x14ac:dyDescent="0.25">
      <c r="A23" s="1472"/>
      <c r="L23" s="274"/>
    </row>
    <row r="24" spans="1:30" ht="14.25" customHeight="1" x14ac:dyDescent="0.25">
      <c r="A24" s="1472"/>
      <c r="L24" s="274"/>
      <c r="Z24" s="1073"/>
    </row>
    <row r="25" spans="1:30" ht="14.25" customHeight="1" x14ac:dyDescent="0.25">
      <c r="A25" s="1472"/>
      <c r="L25" s="274"/>
      <c r="R25" s="1654" t="s">
        <v>448</v>
      </c>
      <c r="S25" s="1714"/>
      <c r="T25" s="1714"/>
      <c r="U25" s="1714"/>
      <c r="V25" s="1059"/>
      <c r="Z25" s="122" t="s">
        <v>252</v>
      </c>
      <c r="AA25" s="123">
        <v>1</v>
      </c>
      <c r="AB25" s="122" t="s">
        <v>249</v>
      </c>
      <c r="AC25" s="124">
        <f>AD30*AA25</f>
        <v>1.8352597539637399E-2</v>
      </c>
    </row>
    <row r="26" spans="1:30" ht="18" customHeight="1" x14ac:dyDescent="0.25">
      <c r="A26" s="1472"/>
      <c r="L26" s="274"/>
      <c r="R26" s="1654" t="s">
        <v>360</v>
      </c>
      <c r="S26" s="1714"/>
      <c r="T26" s="1714"/>
      <c r="U26" s="1714"/>
      <c r="V26" s="1052"/>
    </row>
    <row r="27" spans="1:30" ht="23.25" customHeight="1" thickBot="1" x14ac:dyDescent="0.3">
      <c r="A27" s="1472"/>
      <c r="L27" s="274"/>
      <c r="R27" s="126" t="s">
        <v>254</v>
      </c>
      <c r="S27" s="127" t="s">
        <v>379</v>
      </c>
      <c r="T27" s="127" t="s">
        <v>256</v>
      </c>
      <c r="U27" s="127" t="s">
        <v>257</v>
      </c>
      <c r="V27" s="127" t="s">
        <v>779</v>
      </c>
      <c r="Z27" s="122" t="s">
        <v>258</v>
      </c>
      <c r="AA27" s="128" t="s">
        <v>259</v>
      </c>
      <c r="AB27" s="128" t="s">
        <v>260</v>
      </c>
      <c r="AC27" s="1032" t="s">
        <v>779</v>
      </c>
      <c r="AD27" s="128" t="s">
        <v>262</v>
      </c>
    </row>
    <row r="28" spans="1:30" ht="14.25" customHeight="1" thickBot="1" x14ac:dyDescent="0.3">
      <c r="A28" s="1472"/>
      <c r="L28" s="274"/>
      <c r="R28" s="129" t="s">
        <v>263</v>
      </c>
      <c r="S28" s="1174">
        <f>U28*S40</f>
        <v>7513.085</v>
      </c>
      <c r="T28" s="690">
        <f>U28*U40</f>
        <v>4136.915</v>
      </c>
      <c r="U28" s="696">
        <f>$Z$1</f>
        <v>11650</v>
      </c>
      <c r="V28" s="130">
        <f>SUM(H37)</f>
        <v>5.53</v>
      </c>
      <c r="Z28" s="132"/>
      <c r="AA28" s="133">
        <f>AA25*$S$40</f>
        <v>0.64490000000000003</v>
      </c>
      <c r="AB28" s="133">
        <f>AA25*$U$40</f>
        <v>0.35510000000000003</v>
      </c>
      <c r="AC28" s="1034"/>
      <c r="AD28" s="135">
        <f>SUM(AA28:AC28)</f>
        <v>1</v>
      </c>
    </row>
    <row r="29" spans="1:30" ht="14.25" customHeight="1" thickBot="1" x14ac:dyDescent="0.3">
      <c r="A29" s="1472"/>
      <c r="B29" s="84"/>
      <c r="L29" s="274"/>
      <c r="R29" s="129" t="s">
        <v>264</v>
      </c>
      <c r="S29" s="692"/>
      <c r="T29" s="690"/>
      <c r="U29" s="130">
        <f>T29</f>
        <v>0</v>
      </c>
      <c r="V29" s="130"/>
      <c r="Z29" s="132"/>
      <c r="AA29" s="137">
        <f>AA28/$AD$28</f>
        <v>0.64490000000000003</v>
      </c>
      <c r="AB29" s="137">
        <f>AB28/$AD$28</f>
        <v>0.35510000000000003</v>
      </c>
      <c r="AC29" s="1038"/>
      <c r="AD29" s="137">
        <f>AD28/$AD$28</f>
        <v>1</v>
      </c>
    </row>
    <row r="30" spans="1:30" ht="14.25" customHeight="1" thickBot="1" x14ac:dyDescent="0.3">
      <c r="A30" s="1472"/>
      <c r="B30" s="84"/>
      <c r="L30" s="274"/>
      <c r="R30" s="129" t="s">
        <v>265</v>
      </c>
      <c r="S30" s="1162">
        <f>U30*S40</f>
        <v>0</v>
      </c>
      <c r="T30" s="690">
        <f>U30*U40</f>
        <v>0</v>
      </c>
      <c r="U30" s="1173">
        <f>$AB$1</f>
        <v>0</v>
      </c>
      <c r="V30" s="989"/>
      <c r="Z30" s="122" t="s">
        <v>266</v>
      </c>
      <c r="AA30" s="138">
        <f>S35/(S32)</f>
        <v>1.7982858891949803E-2</v>
      </c>
      <c r="AB30" s="139">
        <f>T35/T32</f>
        <v>1.8931539029616237E-2</v>
      </c>
      <c r="AC30" s="1045">
        <f>V35/U32</f>
        <v>3.286233080224497E-5</v>
      </c>
      <c r="AD30" s="1047">
        <f>SUMPRODUCT(AA30:AB30,AA29:AB29)+AC30</f>
        <v>1.8352597539637399E-2</v>
      </c>
    </row>
    <row r="31" spans="1:30" ht="14.25" customHeight="1" thickBot="1" x14ac:dyDescent="0.3">
      <c r="A31" s="1472"/>
      <c r="B31" s="84"/>
      <c r="C31" s="777"/>
      <c r="D31" s="777"/>
      <c r="E31" s="777"/>
      <c r="F31" s="777"/>
      <c r="G31" s="777"/>
      <c r="H31"/>
      <c r="R31" s="129" t="s">
        <v>267</v>
      </c>
      <c r="S31" s="136"/>
      <c r="T31" s="130"/>
      <c r="U31" s="130"/>
      <c r="V31" s="130"/>
    </row>
    <row r="32" spans="1:30" ht="14.25" customHeight="1" thickBot="1" x14ac:dyDescent="0.3">
      <c r="A32" s="1472"/>
      <c r="B32" s="347"/>
      <c r="C32" s="324"/>
      <c r="D32" s="241"/>
      <c r="E32" s="347"/>
      <c r="F32" s="347"/>
      <c r="G32" s="241"/>
      <c r="H32" s="53"/>
      <c r="R32" s="141" t="s">
        <v>257</v>
      </c>
      <c r="S32" s="130">
        <f>SUM(S28:S30)</f>
        <v>7513.085</v>
      </c>
      <c r="T32" s="130">
        <f>SUM(T28:T30)</f>
        <v>4136.915</v>
      </c>
      <c r="U32" s="130">
        <f>SUM(U28:U30)</f>
        <v>11650</v>
      </c>
      <c r="V32" s="130">
        <f>SUM(V28:V30)</f>
        <v>5.53</v>
      </c>
    </row>
    <row r="33" spans="1:23" ht="14.25" customHeight="1" thickBot="1" x14ac:dyDescent="0.3">
      <c r="A33" s="1472"/>
      <c r="B33" s="84"/>
      <c r="E33" s="84"/>
      <c r="F33" s="84"/>
      <c r="R33" s="142" t="s">
        <v>268</v>
      </c>
      <c r="S33" s="136"/>
      <c r="T33" s="136"/>
      <c r="U33" s="130">
        <f>F57</f>
        <v>0</v>
      </c>
      <c r="V33" s="136"/>
    </row>
    <row r="34" spans="1:23" ht="14.25" customHeight="1" thickBot="1" x14ac:dyDescent="0.3">
      <c r="A34" s="1472"/>
      <c r="R34" s="143" t="s">
        <v>269</v>
      </c>
      <c r="S34" s="136"/>
      <c r="T34" s="130"/>
      <c r="U34" s="130">
        <f>U33-(U28+U29)</f>
        <v>-11650</v>
      </c>
      <c r="V34" s="136"/>
    </row>
    <row r="35" spans="1:23" ht="14.25" customHeight="1" thickBot="1" x14ac:dyDescent="0.3">
      <c r="A35" s="1472"/>
      <c r="B35" s="1681" t="s">
        <v>667</v>
      </c>
      <c r="C35" s="1681"/>
      <c r="D35" s="1681"/>
      <c r="E35" s="1681"/>
      <c r="F35" s="1681"/>
      <c r="G35" s="797"/>
      <c r="H35" s="797"/>
      <c r="I35" s="803"/>
      <c r="J35" s="803"/>
      <c r="K35" s="803"/>
      <c r="L35" s="803"/>
      <c r="R35" s="144" t="s">
        <v>249</v>
      </c>
      <c r="S35" s="990">
        <f>$L$5</f>
        <v>135.10674739822468</v>
      </c>
      <c r="T35" s="990">
        <f>SUM(L6:L20)</f>
        <v>78.318167784704855</v>
      </c>
      <c r="U35" s="990">
        <f>S35+T35+V35</f>
        <v>213.80776133677568</v>
      </c>
      <c r="V35" s="1049">
        <f>SUM(L37)</f>
        <v>0.38284615384615389</v>
      </c>
    </row>
    <row r="36" spans="1:23" ht="14.2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ht="14.25" customHeight="1" x14ac:dyDescent="0.25">
      <c r="A37" s="1472"/>
      <c r="B37" s="772" t="s">
        <v>686</v>
      </c>
      <c r="C37" s="773" t="s">
        <v>14</v>
      </c>
      <c r="D37" s="774">
        <v>7.0000000000000007E-2</v>
      </c>
      <c r="E37" s="772">
        <f>$AD$1</f>
        <v>79</v>
      </c>
      <c r="F37" s="772">
        <f>D37*E37</f>
        <v>5.53</v>
      </c>
      <c r="G37" s="796"/>
      <c r="H37" s="772">
        <f>F37</f>
        <v>5.53</v>
      </c>
      <c r="I37" s="772">
        <f>VLOOKUP(B37,All_Ingredients!$A$1:$F$156,6,FALSE())</f>
        <v>0.65</v>
      </c>
      <c r="J37" s="772">
        <f>VLOOKUP(B37,All_Ingredients!$A$1:$J$156,10,FALSE())</f>
        <v>45</v>
      </c>
      <c r="K37" s="772">
        <f>(H37/I37)/1000</f>
        <v>8.5076923076923081E-3</v>
      </c>
      <c r="L37" s="772">
        <f>K37*J37</f>
        <v>0.38284615384615389</v>
      </c>
    </row>
    <row r="38" spans="1:23" ht="14.25" customHeight="1" x14ac:dyDescent="0.25">
      <c r="A38" s="1472"/>
      <c r="B38"/>
      <c r="E38" s="84"/>
      <c r="F38" s="84"/>
    </row>
    <row r="39" spans="1:23" ht="14.25" customHeight="1" x14ac:dyDescent="0.25">
      <c r="A39" s="1472"/>
      <c r="B39"/>
    </row>
    <row r="40" spans="1:23" ht="14.25" customHeight="1" x14ac:dyDescent="0.25">
      <c r="A40" s="1472"/>
      <c r="B40"/>
      <c r="R40" s="146" t="s">
        <v>270</v>
      </c>
      <c r="S40" s="217">
        <v>0.64490000000000003</v>
      </c>
      <c r="T40" s="146" t="s">
        <v>271</v>
      </c>
      <c r="U40" s="217">
        <v>0.35510000000000003</v>
      </c>
      <c r="V40" s="149">
        <f>S40+U40</f>
        <v>1</v>
      </c>
    </row>
    <row r="41" spans="1:23" ht="14.25" customHeight="1" x14ac:dyDescent="0.25">
      <c r="A41" s="1472"/>
      <c r="U41" s="150"/>
    </row>
    <row r="42" spans="1:23" ht="14.25" customHeight="1"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43334</v>
      </c>
      <c r="R44" s="154">
        <f>D51</f>
        <v>10000</v>
      </c>
      <c r="S44" s="155">
        <v>1</v>
      </c>
      <c r="T44" s="155">
        <v>0</v>
      </c>
      <c r="U44" s="220">
        <f>R44*S44</f>
        <v>10000</v>
      </c>
      <c r="V44" s="157">
        <f>R44*T44</f>
        <v>0</v>
      </c>
      <c r="W44" s="237">
        <f>Q44-U44</f>
        <v>33334</v>
      </c>
    </row>
    <row r="45" spans="1:23" x14ac:dyDescent="0.25">
      <c r="A45" s="1472"/>
    </row>
    <row r="46" spans="1:23" x14ac:dyDescent="0.25">
      <c r="A46" s="1472"/>
    </row>
    <row r="47" spans="1:23" x14ac:dyDescent="0.25">
      <c r="A47" s="1472"/>
    </row>
    <row r="48" spans="1:23" x14ac:dyDescent="0.25">
      <c r="A48" s="1472"/>
    </row>
    <row r="49" spans="1:10" x14ac:dyDescent="0.25">
      <c r="A49" s="1472"/>
    </row>
    <row r="50" spans="1:10" x14ac:dyDescent="0.25">
      <c r="A50" s="1472"/>
      <c r="B50" s="253"/>
      <c r="C50" s="126" t="s">
        <v>233</v>
      </c>
      <c r="D50" s="126" t="s">
        <v>279</v>
      </c>
      <c r="G50" s="126" t="s">
        <v>280</v>
      </c>
      <c r="H50" s="126" t="s">
        <v>233</v>
      </c>
      <c r="I50" s="126" t="s">
        <v>281</v>
      </c>
      <c r="J50" s="126" t="s">
        <v>282</v>
      </c>
    </row>
    <row r="51" spans="1:10" x14ac:dyDescent="0.25">
      <c r="A51" s="1472"/>
      <c r="B51" s="161" t="s">
        <v>283</v>
      </c>
      <c r="C51" s="162">
        <f>10/$K$1</f>
        <v>10</v>
      </c>
      <c r="D51" s="163">
        <f>$C$1*10</f>
        <v>10000</v>
      </c>
      <c r="G51" s="161" t="s">
        <v>283</v>
      </c>
      <c r="H51" s="254">
        <f>I51/$D$5</f>
        <v>10</v>
      </c>
      <c r="I51" s="162">
        <f>J51/$R$1</f>
        <v>50506.060606060601</v>
      </c>
      <c r="J51" s="162">
        <f>$W$44</f>
        <v>33334</v>
      </c>
    </row>
    <row r="52" spans="1:10" x14ac:dyDescent="0.25">
      <c r="A52" s="1472"/>
      <c r="B52" s="209" t="s">
        <v>262</v>
      </c>
      <c r="C52" s="210">
        <f>$I$1</f>
        <v>4.1369150000000001</v>
      </c>
      <c r="D52" s="211">
        <f>$E$1</f>
        <v>4136.915</v>
      </c>
      <c r="G52" s="129" t="s">
        <v>262</v>
      </c>
      <c r="H52" s="190">
        <f>I52/$D$5</f>
        <v>2.2538804223915521</v>
      </c>
      <c r="I52" s="157">
        <f>J52/$R$1</f>
        <v>11383.46212121212</v>
      </c>
      <c r="J52" s="165">
        <f>$S$32</f>
        <v>7513.085</v>
      </c>
    </row>
    <row r="53" spans="1:10" x14ac:dyDescent="0.25">
      <c r="A53" s="1472"/>
      <c r="B53" s="209" t="s">
        <v>284</v>
      </c>
      <c r="C53" s="212">
        <f>MIN(C52, C51)</f>
        <v>4.1369150000000001</v>
      </c>
      <c r="D53" s="211">
        <f>(C53*$K$1)*$C$1</f>
        <v>4136.915</v>
      </c>
      <c r="G53" s="129" t="s">
        <v>284</v>
      </c>
      <c r="H53" s="168">
        <f>MIN(H52,H51)</f>
        <v>2.2538804223915521</v>
      </c>
      <c r="I53" s="157">
        <f>J53/$R$1</f>
        <v>11383.46212121212</v>
      </c>
      <c r="J53" s="157">
        <f>MIN(J52,J51)</f>
        <v>7513.085</v>
      </c>
    </row>
    <row r="54" spans="1:10" x14ac:dyDescent="0.25">
      <c r="A54" s="1472"/>
      <c r="B54" s="209" t="s">
        <v>285</v>
      </c>
      <c r="C54" s="212">
        <f>MIN(MAX(C52-C53,0),C51)</f>
        <v>0</v>
      </c>
      <c r="D54" s="211">
        <f>(C54*$K$1)*$C$1</f>
        <v>0</v>
      </c>
      <c r="G54" s="129" t="s">
        <v>285</v>
      </c>
      <c r="H54" s="168">
        <f>MIN(MAX(H52-H53),H51)</f>
        <v>0</v>
      </c>
      <c r="I54" s="157">
        <f>J54/$R$1</f>
        <v>0</v>
      </c>
      <c r="J54" s="157">
        <f>MIN(MAX(J52-J53),J51)</f>
        <v>0</v>
      </c>
    </row>
    <row r="55" spans="1:10" x14ac:dyDescent="0.25">
      <c r="A55" s="1472"/>
      <c r="B55" s="209" t="s">
        <v>286</v>
      </c>
      <c r="C55" s="212">
        <f>MIN(MAX(C52-C53-C54,0),C51)</f>
        <v>0</v>
      </c>
      <c r="D55" s="211">
        <f>(C55*$K$1)*$C$1</f>
        <v>0</v>
      </c>
      <c r="G55" s="126" t="s">
        <v>286</v>
      </c>
      <c r="H55" s="168">
        <f>MIN(MAX(H52-H53-H54),H51)</f>
        <v>0</v>
      </c>
      <c r="I55" s="157">
        <f>J55/$R$1</f>
        <v>0</v>
      </c>
      <c r="J55" s="157">
        <f>MIN(MAX(J52-J53-J54),J51)</f>
        <v>0</v>
      </c>
    </row>
    <row r="56" spans="1:10"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4.25" customHeight="1" x14ac:dyDescent="0.25">
      <c r="A62" s="1473"/>
      <c r="B62" s="1636" t="str">
        <f>"لحم بولونيز    1 / " &amp; COUNTIF($C$53:$C$55, "&gt;0")</f>
        <v>لحم بولونيز    1 / 1</v>
      </c>
      <c r="C62" s="1637"/>
      <c r="D62" s="1637"/>
      <c r="E62" s="1637"/>
      <c r="F62" s="1637"/>
      <c r="G62" s="1637"/>
      <c r="H62" s="1637"/>
    </row>
    <row r="63" spans="1:10" x14ac:dyDescent="0.25">
      <c r="A63" s="1473"/>
      <c r="B63" s="1634" t="str">
        <f>"Lahm Bolognese  1 / " &amp; COUNTIF($C$53:$C$55, "&gt;0")</f>
        <v>Lahm Bolognese  1 / 1</v>
      </c>
      <c r="C63" s="1635"/>
      <c r="D63" s="1635"/>
      <c r="E63" s="1635"/>
      <c r="F63" s="1635"/>
      <c r="G63" s="1635"/>
      <c r="H63" s="1635"/>
    </row>
    <row r="64" spans="1:10" ht="48" customHeight="1" x14ac:dyDescent="0.2">
      <c r="A64" s="1457"/>
      <c r="B64" s="75" t="s">
        <v>241</v>
      </c>
      <c r="C64" s="90" t="s">
        <v>242</v>
      </c>
      <c r="D64" s="75" t="s">
        <v>231</v>
      </c>
      <c r="E64" s="197" t="s">
        <v>234</v>
      </c>
      <c r="F64" s="91" t="s">
        <v>243</v>
      </c>
      <c r="G64" s="75" t="s">
        <v>244</v>
      </c>
      <c r="H64" s="197" t="s">
        <v>245</v>
      </c>
    </row>
    <row r="65" spans="1:8" ht="18" customHeight="1" x14ac:dyDescent="0.2">
      <c r="A65" s="1459"/>
      <c r="B65" s="299" t="str">
        <f t="shared" ref="B65:D80" si="7">B5</f>
        <v>Indian Meat Tammam Mafroom - مفروم هندى</v>
      </c>
      <c r="C65" s="106" t="str">
        <f t="shared" si="7"/>
        <v>gm</v>
      </c>
      <c r="D65" s="201">
        <f t="shared" si="7"/>
        <v>5050.6060606060601</v>
      </c>
      <c r="E65" s="108">
        <f>H53</f>
        <v>2.2538804223915521</v>
      </c>
      <c r="F65" s="109">
        <f t="shared" ref="F65:F80" si="8">F5</f>
        <v>1</v>
      </c>
      <c r="G65" s="101">
        <f t="shared" ref="G65:G80" si="9">D65*E65</f>
        <v>11383.46212121212</v>
      </c>
      <c r="H65" s="102">
        <f t="shared" ref="H65:H80" si="10">G65*F65</f>
        <v>11383.46212121212</v>
      </c>
    </row>
    <row r="66" spans="1:8" x14ac:dyDescent="0.25">
      <c r="A66" s="1471" t="s">
        <v>920</v>
      </c>
      <c r="B66" s="299" t="str">
        <f t="shared" si="7"/>
        <v>Onion - بصل</v>
      </c>
      <c r="C66" s="106" t="str">
        <f t="shared" si="7"/>
        <v>gm</v>
      </c>
      <c r="D66" s="107">
        <f t="shared" si="7"/>
        <v>300</v>
      </c>
      <c r="E66" s="108">
        <f>$C$53</f>
        <v>4.1369150000000001</v>
      </c>
      <c r="F66" s="109">
        <f t="shared" si="8"/>
        <v>0.95</v>
      </c>
      <c r="G66" s="101">
        <f t="shared" si="9"/>
        <v>1241.0744999999999</v>
      </c>
      <c r="H66" s="102">
        <f t="shared" si="10"/>
        <v>1179.020775</v>
      </c>
    </row>
    <row r="67" spans="1:8" ht="14.25" customHeight="1" x14ac:dyDescent="0.25">
      <c r="A67" s="1471" t="s">
        <v>907</v>
      </c>
      <c r="B67" s="299" t="str">
        <f t="shared" si="7"/>
        <v>Garlic - ثوم مقشر</v>
      </c>
      <c r="C67" s="106" t="str">
        <f t="shared" si="7"/>
        <v>gm</v>
      </c>
      <c r="D67" s="107">
        <f t="shared" si="7"/>
        <v>25</v>
      </c>
      <c r="E67" s="108">
        <f t="shared" ref="E67:E80" si="11">$C$53</f>
        <v>4.1369150000000001</v>
      </c>
      <c r="F67" s="109">
        <f t="shared" si="8"/>
        <v>0.95</v>
      </c>
      <c r="G67" s="101">
        <f t="shared" si="9"/>
        <v>103.422875</v>
      </c>
      <c r="H67" s="102">
        <f t="shared" si="10"/>
        <v>98.251731250000006</v>
      </c>
    </row>
    <row r="68" spans="1:8" ht="14.25" customHeight="1" x14ac:dyDescent="0.25">
      <c r="A68" s="1471" t="s">
        <v>909</v>
      </c>
      <c r="B68" s="299" t="str">
        <f t="shared" si="7"/>
        <v>Tomato - طماطم</v>
      </c>
      <c r="C68" s="106" t="str">
        <f t="shared" si="7"/>
        <v>gm</v>
      </c>
      <c r="D68" s="107">
        <f t="shared" si="7"/>
        <v>600</v>
      </c>
      <c r="E68" s="108">
        <f t="shared" si="11"/>
        <v>4.1369150000000001</v>
      </c>
      <c r="F68" s="109">
        <f t="shared" si="8"/>
        <v>1</v>
      </c>
      <c r="G68" s="101">
        <f t="shared" si="9"/>
        <v>2482.1489999999999</v>
      </c>
      <c r="H68" s="102">
        <f t="shared" si="10"/>
        <v>2482.1489999999999</v>
      </c>
    </row>
    <row r="69" spans="1:8" ht="14.25" customHeight="1" x14ac:dyDescent="0.25">
      <c r="A69" s="1471"/>
      <c r="B69" s="299" t="str">
        <f t="shared" si="7"/>
        <v>Tomato Paste - صلصة طماطم</v>
      </c>
      <c r="C69" s="106" t="str">
        <f t="shared" si="7"/>
        <v>gm</v>
      </c>
      <c r="D69" s="107">
        <f t="shared" si="7"/>
        <v>500</v>
      </c>
      <c r="E69" s="108">
        <f t="shared" si="11"/>
        <v>4.1369150000000001</v>
      </c>
      <c r="F69" s="109">
        <f t="shared" si="8"/>
        <v>1</v>
      </c>
      <c r="G69" s="101">
        <f t="shared" si="9"/>
        <v>2068.4575</v>
      </c>
      <c r="H69" s="102">
        <f t="shared" si="10"/>
        <v>2068.4575</v>
      </c>
    </row>
    <row r="70" spans="1:8" ht="14.25" customHeight="1" x14ac:dyDescent="0.25">
      <c r="A70" s="1471"/>
      <c r="B70" s="299" t="str">
        <f t="shared" si="7"/>
        <v>Black Pepper Powder - فلفل أسود مطحون</v>
      </c>
      <c r="C70" s="106" t="str">
        <f t="shared" si="7"/>
        <v>gm</v>
      </c>
      <c r="D70" s="107">
        <f t="shared" si="7"/>
        <v>10</v>
      </c>
      <c r="E70" s="108">
        <f t="shared" si="11"/>
        <v>4.1369150000000001</v>
      </c>
      <c r="F70" s="109">
        <f t="shared" si="8"/>
        <v>0.75</v>
      </c>
      <c r="G70" s="101">
        <f t="shared" si="9"/>
        <v>41.369150000000005</v>
      </c>
      <c r="H70" s="102">
        <f t="shared" si="10"/>
        <v>31.026862500000004</v>
      </c>
    </row>
    <row r="71" spans="1:8" ht="14.25" customHeight="1" x14ac:dyDescent="0.25">
      <c r="A71" s="1471"/>
      <c r="B71" s="299" t="str">
        <f t="shared" si="7"/>
        <v>Cumin Powder - كمون مطحون</v>
      </c>
      <c r="C71" s="106" t="str">
        <f t="shared" si="7"/>
        <v>gm</v>
      </c>
      <c r="D71" s="107">
        <f t="shared" si="7"/>
        <v>20</v>
      </c>
      <c r="E71" s="108">
        <f t="shared" si="11"/>
        <v>4.1369150000000001</v>
      </c>
      <c r="F71" s="109">
        <f t="shared" si="8"/>
        <v>1</v>
      </c>
      <c r="G71" s="101">
        <f t="shared" si="9"/>
        <v>82.73830000000001</v>
      </c>
      <c r="H71" s="102">
        <f t="shared" si="10"/>
        <v>82.73830000000001</v>
      </c>
    </row>
    <row r="72" spans="1:8" ht="14.25" customHeight="1" x14ac:dyDescent="0.25">
      <c r="A72" s="1471"/>
      <c r="B72" s="299" t="str">
        <f t="shared" si="7"/>
        <v>Coriander Powder - كزبرة مطحونة</v>
      </c>
      <c r="C72" s="106" t="str">
        <f t="shared" si="7"/>
        <v>gm</v>
      </c>
      <c r="D72" s="107">
        <f t="shared" si="7"/>
        <v>20</v>
      </c>
      <c r="E72" s="108">
        <f t="shared" si="11"/>
        <v>4.1369150000000001</v>
      </c>
      <c r="F72" s="109">
        <f t="shared" si="8"/>
        <v>1</v>
      </c>
      <c r="G72" s="101">
        <f t="shared" si="9"/>
        <v>82.73830000000001</v>
      </c>
      <c r="H72" s="102">
        <f t="shared" si="10"/>
        <v>82.73830000000001</v>
      </c>
    </row>
    <row r="73" spans="1:8" ht="14.25" customHeight="1" x14ac:dyDescent="0.25">
      <c r="A73" s="1471"/>
      <c r="B73" s="299" t="str">
        <f t="shared" si="7"/>
        <v>Cinnamon Powder - قرفة مطحونة</v>
      </c>
      <c r="C73" s="106" t="str">
        <f t="shared" si="7"/>
        <v>gm</v>
      </c>
      <c r="D73" s="107">
        <f t="shared" si="7"/>
        <v>10</v>
      </c>
      <c r="E73" s="108">
        <f t="shared" si="11"/>
        <v>4.1369150000000001</v>
      </c>
      <c r="F73" s="109">
        <f t="shared" si="8"/>
        <v>0.75</v>
      </c>
      <c r="G73" s="101">
        <f t="shared" si="9"/>
        <v>41.369150000000005</v>
      </c>
      <c r="H73" s="102">
        <f t="shared" si="10"/>
        <v>31.026862500000004</v>
      </c>
    </row>
    <row r="74" spans="1:8" ht="14.25" customHeight="1" x14ac:dyDescent="0.25">
      <c r="A74" s="1471"/>
      <c r="B74" s="299" t="str">
        <f t="shared" si="7"/>
        <v>Maggi Cubes - مكعبات ماجي</v>
      </c>
      <c r="C74" s="106" t="str">
        <f t="shared" si="7"/>
        <v>gm</v>
      </c>
      <c r="D74" s="107">
        <f t="shared" si="7"/>
        <v>15</v>
      </c>
      <c r="E74" s="108">
        <f t="shared" si="11"/>
        <v>4.1369150000000001</v>
      </c>
      <c r="F74" s="109">
        <f t="shared" si="8"/>
        <v>0.75</v>
      </c>
      <c r="G74" s="101">
        <f t="shared" si="9"/>
        <v>62.053725</v>
      </c>
      <c r="H74" s="102">
        <f t="shared" si="10"/>
        <v>46.540293750000004</v>
      </c>
    </row>
    <row r="75" spans="1:8" ht="14.25" customHeight="1" x14ac:dyDescent="0.25">
      <c r="A75" s="1471"/>
      <c r="B75" s="299" t="str">
        <f t="shared" si="7"/>
        <v>Salt - ملح</v>
      </c>
      <c r="C75" s="106" t="str">
        <f t="shared" si="7"/>
        <v>gm</v>
      </c>
      <c r="D75" s="107">
        <f t="shared" si="7"/>
        <v>5</v>
      </c>
      <c r="E75" s="108">
        <f t="shared" si="11"/>
        <v>4.1369150000000001</v>
      </c>
      <c r="F75" s="109">
        <f t="shared" si="8"/>
        <v>0.75</v>
      </c>
      <c r="G75" s="101">
        <f t="shared" si="9"/>
        <v>20.684575000000002</v>
      </c>
      <c r="H75" s="102">
        <f t="shared" si="10"/>
        <v>15.513431250000002</v>
      </c>
    </row>
    <row r="76" spans="1:8" ht="14.25" customHeight="1" x14ac:dyDescent="0.25">
      <c r="A76" s="1471" t="s">
        <v>923</v>
      </c>
      <c r="B76" s="299" t="str">
        <f t="shared" si="7"/>
        <v>Basil - ريحان</v>
      </c>
      <c r="C76" s="106" t="str">
        <f t="shared" si="7"/>
        <v>gm</v>
      </c>
      <c r="D76" s="107">
        <f t="shared" si="7"/>
        <v>5</v>
      </c>
      <c r="E76" s="108">
        <f t="shared" si="11"/>
        <v>4.1369150000000001</v>
      </c>
      <c r="F76" s="109">
        <f t="shared" si="8"/>
        <v>0.75</v>
      </c>
      <c r="G76" s="101">
        <f t="shared" si="9"/>
        <v>20.684575000000002</v>
      </c>
      <c r="H76" s="102">
        <f t="shared" si="10"/>
        <v>15.513431250000002</v>
      </c>
    </row>
    <row r="77" spans="1:8" ht="14.25" customHeight="1" x14ac:dyDescent="0.25">
      <c r="A77" s="1471"/>
      <c r="B77" s="299" t="str">
        <f t="shared" si="7"/>
        <v>Parmesan Cheese Powder - بديل البارميزان</v>
      </c>
      <c r="C77" s="106" t="str">
        <f t="shared" si="7"/>
        <v>gm</v>
      </c>
      <c r="D77" s="107">
        <f t="shared" si="7"/>
        <v>100</v>
      </c>
      <c r="E77" s="108">
        <f t="shared" si="11"/>
        <v>4.1369150000000001</v>
      </c>
      <c r="F77" s="109">
        <f t="shared" si="8"/>
        <v>1</v>
      </c>
      <c r="G77" s="101">
        <f t="shared" si="9"/>
        <v>413.69150000000002</v>
      </c>
      <c r="H77" s="102">
        <f t="shared" si="10"/>
        <v>413.69150000000002</v>
      </c>
    </row>
    <row r="78" spans="1:8" ht="14.25" customHeight="1" x14ac:dyDescent="0.25">
      <c r="A78" s="1471"/>
      <c r="B78" s="299" t="str">
        <f t="shared" si="7"/>
        <v>Orange Color - لون برتقالي</v>
      </c>
      <c r="C78" s="106" t="str">
        <f t="shared" si="7"/>
        <v>gm</v>
      </c>
      <c r="D78" s="107">
        <f t="shared" si="7"/>
        <v>1</v>
      </c>
      <c r="E78" s="108">
        <f t="shared" si="11"/>
        <v>4.1369150000000001</v>
      </c>
      <c r="F78" s="109">
        <f t="shared" si="8"/>
        <v>1</v>
      </c>
      <c r="G78" s="101">
        <f t="shared" si="9"/>
        <v>4.1369150000000001</v>
      </c>
      <c r="H78" s="102">
        <f t="shared" si="10"/>
        <v>4.1369150000000001</v>
      </c>
    </row>
    <row r="79" spans="1:8" ht="14.25" customHeight="1" x14ac:dyDescent="0.25">
      <c r="A79" s="1472"/>
      <c r="B79" s="299" t="str">
        <f t="shared" si="7"/>
        <v>Butter - زبدة</v>
      </c>
      <c r="C79" s="106" t="str">
        <f t="shared" si="7"/>
        <v>gm</v>
      </c>
      <c r="D79" s="107">
        <f t="shared" si="7"/>
        <v>40</v>
      </c>
      <c r="E79" s="108">
        <f t="shared" si="11"/>
        <v>4.1369150000000001</v>
      </c>
      <c r="F79" s="109">
        <f t="shared" si="8"/>
        <v>1</v>
      </c>
      <c r="G79" s="101">
        <f t="shared" si="9"/>
        <v>165.47660000000002</v>
      </c>
      <c r="H79" s="102">
        <f t="shared" si="10"/>
        <v>165.47660000000002</v>
      </c>
    </row>
    <row r="80" spans="1:8" ht="14.25" customHeight="1" x14ac:dyDescent="0.25">
      <c r="A80" s="1472"/>
      <c r="B80" s="299" t="str">
        <f t="shared" si="7"/>
        <v>Mozzarella Cheese - جبنة موتزاريلا</v>
      </c>
      <c r="C80" s="106" t="str">
        <f t="shared" si="7"/>
        <v>gm</v>
      </c>
      <c r="D80" s="107">
        <f t="shared" si="7"/>
        <v>100</v>
      </c>
      <c r="E80" s="108">
        <f t="shared" si="11"/>
        <v>4.1369150000000001</v>
      </c>
      <c r="F80" s="109">
        <f t="shared" si="8"/>
        <v>1</v>
      </c>
      <c r="G80" s="101">
        <f t="shared" si="9"/>
        <v>413.69150000000002</v>
      </c>
      <c r="H80" s="102">
        <f t="shared" si="10"/>
        <v>413.69150000000002</v>
      </c>
    </row>
    <row r="81" spans="1:8" ht="14.25" customHeight="1" x14ac:dyDescent="0.25">
      <c r="A81" s="1458"/>
      <c r="B81" s="178" t="s">
        <v>287</v>
      </c>
      <c r="C81" s="180" t="s">
        <v>273</v>
      </c>
      <c r="E81" s="180" t="s">
        <v>288</v>
      </c>
      <c r="G81" s="804" t="s">
        <v>264</v>
      </c>
      <c r="H81" s="804" t="s">
        <v>673</v>
      </c>
    </row>
    <row r="82" spans="1:8" ht="27" customHeight="1" x14ac:dyDescent="0.3">
      <c r="A82" s="1458"/>
      <c r="B82" s="179">
        <f>$J$53</f>
        <v>7513.085</v>
      </c>
      <c r="C82" s="179">
        <f>E82+G82</f>
        <v>4136.915</v>
      </c>
      <c r="D82" s="839"/>
      <c r="E82" s="179">
        <f>$D$53*$S$44</f>
        <v>4136.915</v>
      </c>
      <c r="F82" s="843"/>
      <c r="G82" s="179">
        <f>$D$53*$T$44</f>
        <v>0</v>
      </c>
      <c r="H82" s="179">
        <f>B82+E82</f>
        <v>11650</v>
      </c>
    </row>
    <row r="83" spans="1:8" ht="20.25" customHeight="1" x14ac:dyDescent="0.25">
      <c r="A83" s="1472"/>
    </row>
    <row r="84" spans="1:8" x14ac:dyDescent="0.25">
      <c r="A84" s="1472"/>
    </row>
    <row r="85" spans="1:8" x14ac:dyDescent="0.25">
      <c r="A85" s="1472"/>
    </row>
    <row r="86" spans="1:8" x14ac:dyDescent="0.25">
      <c r="A86" s="1472"/>
    </row>
    <row r="87" spans="1:8" x14ac:dyDescent="0.25">
      <c r="A87" s="1472"/>
    </row>
    <row r="88" spans="1:8" x14ac:dyDescent="0.25">
      <c r="A88" s="1472"/>
    </row>
    <row r="89" spans="1:8" x14ac:dyDescent="0.25">
      <c r="A89" s="1472"/>
    </row>
    <row r="90" spans="1:8" x14ac:dyDescent="0.25">
      <c r="A90" s="1472"/>
    </row>
    <row r="91" spans="1:8" x14ac:dyDescent="0.25">
      <c r="A91" s="1472"/>
    </row>
    <row r="92" spans="1:8" x14ac:dyDescent="0.25">
      <c r="A92" s="1472"/>
    </row>
    <row r="93" spans="1:8" x14ac:dyDescent="0.25">
      <c r="A93" s="1472"/>
    </row>
    <row r="94" spans="1:8" x14ac:dyDescent="0.25">
      <c r="A94" s="1472"/>
    </row>
    <row r="95" spans="1:8" x14ac:dyDescent="0.25">
      <c r="A95" s="1472"/>
    </row>
    <row r="96" spans="1:8" x14ac:dyDescent="0.25">
      <c r="A96" s="1472"/>
    </row>
    <row r="97" spans="1:1" x14ac:dyDescent="0.25">
      <c r="A97" s="1472"/>
    </row>
    <row r="98" spans="1:1" x14ac:dyDescent="0.25">
      <c r="A98" s="1472"/>
    </row>
    <row r="99" spans="1:1" x14ac:dyDescent="0.25">
      <c r="A99" s="1472"/>
    </row>
    <row r="100" spans="1:1" x14ac:dyDescent="0.25">
      <c r="A100" s="1472"/>
    </row>
    <row r="101" spans="1:1" x14ac:dyDescent="0.25">
      <c r="A101" s="1472"/>
    </row>
    <row r="102" spans="1:1" x14ac:dyDescent="0.25">
      <c r="A102" s="1472"/>
    </row>
    <row r="103" spans="1:1" x14ac:dyDescent="0.25">
      <c r="A103" s="1472"/>
    </row>
    <row r="104" spans="1:1" x14ac:dyDescent="0.25">
      <c r="A104" s="1472"/>
    </row>
    <row r="105" spans="1:1" x14ac:dyDescent="0.25">
      <c r="A105" s="1472"/>
    </row>
    <row r="106" spans="1:1" x14ac:dyDescent="0.25">
      <c r="A106" s="1472"/>
    </row>
    <row r="107" spans="1:1" x14ac:dyDescent="0.25">
      <c r="A107" s="1472"/>
    </row>
    <row r="108" spans="1:1" x14ac:dyDescent="0.25">
      <c r="A108" s="1472"/>
    </row>
    <row r="109" spans="1:1" x14ac:dyDescent="0.25">
      <c r="A109" s="1472"/>
    </row>
    <row r="110" spans="1:1" x14ac:dyDescent="0.25">
      <c r="A110" s="1472"/>
    </row>
    <row r="111" spans="1:1" x14ac:dyDescent="0.25">
      <c r="A111" s="1472"/>
    </row>
    <row r="112" spans="1:1"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7">
    <mergeCell ref="AE2:AG3"/>
    <mergeCell ref="B63:H63"/>
    <mergeCell ref="R26:U26"/>
    <mergeCell ref="R25:U25"/>
    <mergeCell ref="B62:H62"/>
    <mergeCell ref="B2:K3"/>
    <mergeCell ref="B35:F35"/>
  </mergeCells>
  <printOptions horizontalCentered="1"/>
  <pageMargins left="0.5" right="0.5" top="1" bottom="0.5" header="0.3" footer="0.511811023622047"/>
  <pageSetup paperSize="9" scale="31"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4">
    <tabColor rgb="FFC55A11"/>
    <pageSetUpPr fitToPage="1"/>
  </sheetPr>
  <dimension ref="A1:AG174"/>
  <sheetViews>
    <sheetView topLeftCell="R1" zoomScale="85" zoomScaleNormal="85" workbookViewId="0">
      <selection activeCell="A5" sqref="A5:A174"/>
    </sheetView>
  </sheetViews>
  <sheetFormatPr defaultColWidth="12.5" defaultRowHeight="15" x14ac:dyDescent="0.25"/>
  <cols>
    <col min="1" max="1" width="12.5" style="63" customWidth="1"/>
    <col min="2" max="2" width="32.5" style="14" bestFit="1"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9" width="10.5" style="14" customWidth="1"/>
    <col min="10" max="10" width="23.25" style="14" customWidth="1"/>
    <col min="11" max="11" width="10.5" style="14" customWidth="1"/>
    <col min="12" max="12" width="11.625" style="14" customWidth="1"/>
    <col min="13" max="14" width="7.875" style="14" customWidth="1"/>
    <col min="15" max="17" width="12.5" style="14" customWidth="1"/>
    <col min="18" max="18" width="31.375" style="14" bestFit="1" customWidth="1"/>
    <col min="19" max="19" width="12.5" style="14" customWidth="1"/>
    <col min="20" max="16384" width="12.5" style="14"/>
  </cols>
  <sheetData>
    <row r="1" spans="1:33" ht="35.25" customHeight="1" x14ac:dyDescent="0.25">
      <c r="B1" s="64" t="s">
        <v>231</v>
      </c>
      <c r="C1" s="65">
        <v>1000</v>
      </c>
      <c r="D1" s="66" t="s">
        <v>232</v>
      </c>
      <c r="E1" s="99">
        <f>T32</f>
        <v>46308.443197755958</v>
      </c>
      <c r="F1" s="64" t="s">
        <v>233</v>
      </c>
      <c r="G1" s="65">
        <f>E1/C1</f>
        <v>46.308443197755956</v>
      </c>
      <c r="H1" s="64" t="s">
        <v>234</v>
      </c>
      <c r="I1" s="260">
        <f>G1/K1</f>
        <v>46.308443197755956</v>
      </c>
      <c r="J1" s="70" t="s">
        <v>235</v>
      </c>
      <c r="K1" s="84">
        <v>1</v>
      </c>
      <c r="L1" s="84"/>
      <c r="M1" s="73"/>
      <c r="N1" s="74"/>
      <c r="O1" s="75" t="s">
        <v>236</v>
      </c>
      <c r="P1" s="76" t="s">
        <v>289</v>
      </c>
      <c r="Q1" s="77" t="s">
        <v>238</v>
      </c>
      <c r="R1" s="76">
        <v>0.51</v>
      </c>
      <c r="Y1" s="75" t="s">
        <v>453</v>
      </c>
      <c r="Z1" s="766">
        <v>103000</v>
      </c>
      <c r="AA1" s="75" t="s">
        <v>556</v>
      </c>
      <c r="AB1" s="766">
        <v>1000</v>
      </c>
      <c r="AC1" s="75" t="s">
        <v>546</v>
      </c>
      <c r="AD1" s="766">
        <v>333</v>
      </c>
    </row>
    <row r="2" spans="1:33" ht="12.75" customHeight="1" x14ac:dyDescent="0.25">
      <c r="A2" s="81"/>
      <c r="B2" s="1632" t="s">
        <v>449</v>
      </c>
      <c r="C2" s="1661"/>
      <c r="D2" s="1661"/>
      <c r="E2" s="1661"/>
      <c r="F2" s="1661"/>
      <c r="G2" s="1661"/>
      <c r="H2" s="1661"/>
      <c r="I2" s="512"/>
      <c r="J2" s="512"/>
      <c r="K2" s="513"/>
      <c r="L2" s="270"/>
      <c r="M2" s="84"/>
      <c r="N2" s="84"/>
      <c r="O2" s="84"/>
      <c r="P2" s="84"/>
      <c r="Q2" s="84"/>
      <c r="R2" s="84"/>
      <c r="AE2" s="1647"/>
      <c r="AF2" s="1655"/>
      <c r="AG2" s="1655"/>
    </row>
    <row r="3" spans="1:33" ht="12.75" customHeight="1" x14ac:dyDescent="0.25">
      <c r="A3" s="81"/>
      <c r="B3" s="1633"/>
      <c r="C3" s="1633"/>
      <c r="D3" s="1633"/>
      <c r="E3" s="1633"/>
      <c r="F3" s="1633"/>
      <c r="G3" s="1633"/>
      <c r="H3" s="1633"/>
      <c r="I3" s="346"/>
      <c r="J3" s="346"/>
      <c r="K3" s="468"/>
      <c r="L3" s="270"/>
      <c r="M3" s="84"/>
      <c r="N3" s="84"/>
      <c r="O3" s="84"/>
      <c r="P3" s="84"/>
      <c r="Q3" s="84"/>
      <c r="R3" s="84"/>
      <c r="AE3" s="1655"/>
      <c r="AF3" s="1655"/>
      <c r="AG3" s="1655"/>
    </row>
    <row r="4" spans="1:33" ht="48" customHeight="1" x14ac:dyDescent="0.2">
      <c r="A4" s="75" t="s">
        <v>903</v>
      </c>
      <c r="B4" s="75" t="s">
        <v>241</v>
      </c>
      <c r="C4" s="90" t="s">
        <v>242</v>
      </c>
      <c r="D4" s="75" t="s">
        <v>231</v>
      </c>
      <c r="E4" s="197" t="s">
        <v>234</v>
      </c>
      <c r="F4" s="91" t="s">
        <v>243</v>
      </c>
      <c r="G4" s="75" t="s">
        <v>244</v>
      </c>
      <c r="H4" s="197" t="s">
        <v>245</v>
      </c>
      <c r="I4" s="75" t="s">
        <v>246</v>
      </c>
      <c r="J4" s="75" t="s">
        <v>247</v>
      </c>
      <c r="K4" s="75" t="s">
        <v>248</v>
      </c>
      <c r="L4" s="75" t="s">
        <v>249</v>
      </c>
      <c r="M4" s="84"/>
      <c r="N4" s="84"/>
      <c r="O4" s="84"/>
      <c r="P4" s="84"/>
    </row>
    <row r="5" spans="1:33" ht="14.25" customHeight="1" x14ac:dyDescent="0.2">
      <c r="A5" s="1481"/>
      <c r="B5" s="20" t="s">
        <v>450</v>
      </c>
      <c r="C5" s="106" t="s">
        <v>14</v>
      </c>
      <c r="D5" s="107">
        <v>154</v>
      </c>
      <c r="E5" s="177">
        <f t="shared" ref="E5:E13" si="0">$G$1</f>
        <v>46.308443197755956</v>
      </c>
      <c r="F5" s="109">
        <v>1</v>
      </c>
      <c r="G5" s="103">
        <f t="shared" ref="G5:G13" si="1">D5*E5</f>
        <v>7131.500252454417</v>
      </c>
      <c r="H5" s="102">
        <f t="shared" ref="H5:H13" si="2">G5*F5</f>
        <v>7131.500252454417</v>
      </c>
      <c r="I5" s="65">
        <f>VLOOKUP(B5,All_Ingredients!$A$1:$F$156,6,FALSE())</f>
        <v>1</v>
      </c>
      <c r="J5" s="101">
        <f>VLOOKUP(B5,All_Ingredients!$A$1:$J$156,10,FALSE())</f>
        <v>30.2863436123348</v>
      </c>
      <c r="K5" s="104">
        <f t="shared" ref="K5" si="3">(H5/I5)/1000</f>
        <v>7.1315002524544173</v>
      </c>
      <c r="L5" s="104">
        <f t="shared" ref="L5" si="4">K5*J5</f>
        <v>215.98706711728687</v>
      </c>
      <c r="M5" s="84"/>
      <c r="N5" s="84"/>
      <c r="O5" s="84"/>
      <c r="P5" s="84"/>
    </row>
    <row r="6" spans="1:33" ht="14.25" customHeight="1" x14ac:dyDescent="0.25">
      <c r="A6" s="1471"/>
      <c r="B6" s="20" t="s">
        <v>159</v>
      </c>
      <c r="C6" s="106" t="s">
        <v>14</v>
      </c>
      <c r="D6" s="107">
        <v>212</v>
      </c>
      <c r="E6" s="177">
        <f t="shared" si="0"/>
        <v>46.308443197755956</v>
      </c>
      <c r="F6" s="109">
        <v>1</v>
      </c>
      <c r="G6" s="101">
        <f t="shared" si="1"/>
        <v>9817.3899579242625</v>
      </c>
      <c r="H6" s="102">
        <f t="shared" si="2"/>
        <v>9817.3899579242625</v>
      </c>
      <c r="I6" s="65">
        <f>VLOOKUP(B6,All_Ingredients!$A$1:$F$156,6,FALSE())</f>
        <v>1</v>
      </c>
      <c r="J6" s="101">
        <f>VLOOKUP(B6,All_Ingredients!$A$1:$J$156,10,FALSE())</f>
        <v>4.2033333333333331</v>
      </c>
      <c r="K6" s="104">
        <f t="shared" ref="K6:K13" si="5">(H6/I6)/1000</f>
        <v>9.8173899579242629</v>
      </c>
      <c r="L6" s="104">
        <f t="shared" ref="L6:L13" si="6">K6*J6</f>
        <v>41.265762456474981</v>
      </c>
    </row>
    <row r="7" spans="1:33" ht="14.25" customHeight="1" x14ac:dyDescent="0.25">
      <c r="A7" s="1471"/>
      <c r="B7" s="20" t="s">
        <v>166</v>
      </c>
      <c r="C7" s="106" t="s">
        <v>160</v>
      </c>
      <c r="D7" s="107">
        <v>212</v>
      </c>
      <c r="E7" s="201">
        <f t="shared" si="0"/>
        <v>46.308443197755956</v>
      </c>
      <c r="F7" s="109">
        <v>1</v>
      </c>
      <c r="G7" s="101">
        <f t="shared" si="1"/>
        <v>9817.3899579242625</v>
      </c>
      <c r="H7" s="102">
        <f t="shared" si="2"/>
        <v>9817.3899579242625</v>
      </c>
      <c r="I7" s="65">
        <f>VLOOKUP(B7,All_Ingredients!$A$1:$F$156,6,FALSE())</f>
        <v>1</v>
      </c>
      <c r="J7" s="101">
        <f>VLOOKUP(B7,All_Ingredients!$A$1:$J$156,10,FALSE())</f>
        <v>12.666666666666666</v>
      </c>
      <c r="K7" s="104">
        <f t="shared" si="5"/>
        <v>9.8173899579242629</v>
      </c>
      <c r="L7" s="104">
        <f t="shared" si="6"/>
        <v>124.35360613370733</v>
      </c>
    </row>
    <row r="8" spans="1:33" ht="14.25" customHeight="1" x14ac:dyDescent="0.25">
      <c r="A8" s="1471"/>
      <c r="B8" s="20" t="s">
        <v>152</v>
      </c>
      <c r="C8" s="106" t="s">
        <v>14</v>
      </c>
      <c r="D8" s="107">
        <v>9.3000000000000007</v>
      </c>
      <c r="E8" s="201">
        <f t="shared" si="0"/>
        <v>46.308443197755956</v>
      </c>
      <c r="F8" s="109">
        <v>1</v>
      </c>
      <c r="G8" s="103">
        <f t="shared" si="1"/>
        <v>430.66852173913043</v>
      </c>
      <c r="H8" s="102">
        <f t="shared" si="2"/>
        <v>430.66852173913043</v>
      </c>
      <c r="I8" s="65">
        <f>VLOOKUP(B8,All_Ingredients!$A$1:$F$156,6,FALSE())</f>
        <v>1</v>
      </c>
      <c r="J8" s="101">
        <f>VLOOKUP(B8,All_Ingredients!$A$1:$J$156,10,FALSE())</f>
        <v>30</v>
      </c>
      <c r="K8" s="104">
        <f t="shared" si="5"/>
        <v>0.43066852173913045</v>
      </c>
      <c r="L8" s="104">
        <f t="shared" si="6"/>
        <v>12.920055652173913</v>
      </c>
    </row>
    <row r="9" spans="1:33" ht="14.25" customHeight="1" x14ac:dyDescent="0.25">
      <c r="A9" s="1471"/>
      <c r="B9" s="20" t="s">
        <v>185</v>
      </c>
      <c r="C9" s="106" t="s">
        <v>14</v>
      </c>
      <c r="D9" s="107">
        <v>33</v>
      </c>
      <c r="E9" s="201">
        <f t="shared" si="0"/>
        <v>46.308443197755956</v>
      </c>
      <c r="F9" s="109">
        <v>1</v>
      </c>
      <c r="G9" s="103">
        <f t="shared" si="1"/>
        <v>1528.1786255259465</v>
      </c>
      <c r="H9" s="102">
        <f t="shared" si="2"/>
        <v>1528.1786255259465</v>
      </c>
      <c r="I9" s="65">
        <f>VLOOKUP(B9,All_Ingredients!$A$1:$F$156,6,FALSE())</f>
        <v>1</v>
      </c>
      <c r="J9" s="101">
        <f>VLOOKUP(B9,All_Ingredients!$A$1:$J$156,10,FALSE())</f>
        <v>1.7</v>
      </c>
      <c r="K9" s="104">
        <f t="shared" si="5"/>
        <v>1.5281786255259464</v>
      </c>
      <c r="L9" s="104">
        <f t="shared" si="6"/>
        <v>2.5979036633941086</v>
      </c>
    </row>
    <row r="10" spans="1:33" ht="14.25" customHeight="1" x14ac:dyDescent="0.25">
      <c r="A10" s="1471"/>
      <c r="B10" s="20" t="s">
        <v>139</v>
      </c>
      <c r="C10" s="106" t="s">
        <v>14</v>
      </c>
      <c r="D10" s="107">
        <v>18.600000000000001</v>
      </c>
      <c r="E10" s="201">
        <f t="shared" si="0"/>
        <v>46.308443197755956</v>
      </c>
      <c r="F10" s="109">
        <v>1</v>
      </c>
      <c r="G10" s="103">
        <f t="shared" si="1"/>
        <v>861.33704347826085</v>
      </c>
      <c r="H10" s="102">
        <f t="shared" si="2"/>
        <v>861.33704347826085</v>
      </c>
      <c r="I10" s="65">
        <f>VLOOKUP(B10,All_Ingredients!$A$1:$F$156,6,FALSE())</f>
        <v>1</v>
      </c>
      <c r="J10" s="101">
        <f>VLOOKUP(B10,All_Ingredients!$A$1:$J$156,10,FALSE())</f>
        <v>15.277777777777779</v>
      </c>
      <c r="K10" s="104">
        <f t="shared" si="5"/>
        <v>0.8613370434782609</v>
      </c>
      <c r="L10" s="104">
        <f t="shared" si="6"/>
        <v>13.159315942028986</v>
      </c>
    </row>
    <row r="11" spans="1:33" ht="14.25" customHeight="1" x14ac:dyDescent="0.25">
      <c r="A11" s="1471"/>
      <c r="B11" s="20" t="s">
        <v>101</v>
      </c>
      <c r="C11" s="106" t="s">
        <v>14</v>
      </c>
      <c r="D11" s="177">
        <v>0.6</v>
      </c>
      <c r="E11" s="201">
        <f t="shared" si="0"/>
        <v>46.308443197755956</v>
      </c>
      <c r="F11" s="109">
        <v>1</v>
      </c>
      <c r="G11" s="103">
        <f t="shared" si="1"/>
        <v>27.785065918653572</v>
      </c>
      <c r="H11" s="102">
        <f t="shared" si="2"/>
        <v>27.785065918653572</v>
      </c>
      <c r="I11" s="65">
        <f>VLOOKUP(B11,All_Ingredients!$A$1:$F$156,6,FALSE())</f>
        <v>1</v>
      </c>
      <c r="J11" s="101">
        <f>VLOOKUP(B11,All_Ingredients!$A$1:$J$156,10,FALSE())</f>
        <v>47</v>
      </c>
      <c r="K11" s="104">
        <f t="shared" si="5"/>
        <v>2.7785065918653571E-2</v>
      </c>
      <c r="L11" s="104">
        <f t="shared" si="6"/>
        <v>1.3058980981767179</v>
      </c>
      <c r="R11" s="84"/>
    </row>
    <row r="12" spans="1:33" ht="15" customHeight="1" x14ac:dyDescent="0.25">
      <c r="A12" s="1471"/>
      <c r="B12" s="20" t="s">
        <v>93</v>
      </c>
      <c r="C12" s="106" t="s">
        <v>14</v>
      </c>
      <c r="D12" s="107">
        <v>5</v>
      </c>
      <c r="E12" s="201">
        <f t="shared" si="0"/>
        <v>46.308443197755956</v>
      </c>
      <c r="F12" s="109">
        <v>1</v>
      </c>
      <c r="G12" s="103">
        <f t="shared" si="1"/>
        <v>231.54221598877979</v>
      </c>
      <c r="H12" s="102">
        <f t="shared" si="2"/>
        <v>231.54221598877979</v>
      </c>
      <c r="I12" s="65">
        <f>VLOOKUP(B12,All_Ingredients!$A$1:$F$156,6,FALSE())</f>
        <v>1</v>
      </c>
      <c r="J12" s="101">
        <f>VLOOKUP(B12,All_Ingredients!$A$1:$J$156,10,FALSE())</f>
        <v>0.74</v>
      </c>
      <c r="K12" s="104">
        <f t="shared" si="5"/>
        <v>0.23154221598877978</v>
      </c>
      <c r="L12" s="104">
        <f t="shared" si="6"/>
        <v>0.17134123983169702</v>
      </c>
      <c r="R12" s="84"/>
    </row>
    <row r="13" spans="1:33" ht="14.25" customHeight="1" x14ac:dyDescent="0.25">
      <c r="A13" s="1482"/>
      <c r="B13" s="20" t="s">
        <v>172</v>
      </c>
      <c r="C13" s="106" t="s">
        <v>14</v>
      </c>
      <c r="D13" s="97">
        <v>310</v>
      </c>
      <c r="E13" s="201">
        <f t="shared" si="0"/>
        <v>46.308443197755956</v>
      </c>
      <c r="F13" s="109">
        <v>1</v>
      </c>
      <c r="G13" s="103">
        <f t="shared" si="1"/>
        <v>14355.617391304346</v>
      </c>
      <c r="H13" s="102">
        <f t="shared" si="2"/>
        <v>14355.617391304346</v>
      </c>
      <c r="I13" s="65">
        <f>VLOOKUP(B13,All_Ingredients!$A$1:$F$156,6,FALSE())</f>
        <v>1</v>
      </c>
      <c r="J13" s="101">
        <f>VLOOKUP(B13,All_Ingredients!$A$1:$J$156,10,FALSE())</f>
        <v>17.934782608695652</v>
      </c>
      <c r="K13" s="104">
        <f t="shared" si="5"/>
        <v>14.355617391304346</v>
      </c>
      <c r="L13" s="104">
        <f t="shared" si="6"/>
        <v>257.46487712665402</v>
      </c>
      <c r="P13" s="84"/>
      <c r="R13" s="517"/>
    </row>
    <row r="14" spans="1:33" ht="14.25" customHeight="1" x14ac:dyDescent="0.25">
      <c r="A14" s="1472"/>
      <c r="R14" s="304"/>
      <c r="S14" s="518"/>
      <c r="T14" s="517"/>
    </row>
    <row r="15" spans="1:33" ht="14.25" customHeight="1" x14ac:dyDescent="0.25">
      <c r="A15" s="1472"/>
      <c r="G15" s="514"/>
      <c r="R15" s="84"/>
      <c r="S15" s="518"/>
      <c r="T15" s="517"/>
    </row>
    <row r="16" spans="1:33" ht="14.25" customHeight="1" x14ac:dyDescent="0.25">
      <c r="A16" s="1472"/>
      <c r="H16" s="515"/>
      <c r="R16" s="84"/>
      <c r="S16" s="518"/>
      <c r="T16" s="517"/>
    </row>
    <row r="17" spans="1:29" ht="14.25" customHeight="1" x14ac:dyDescent="0.25">
      <c r="A17" s="1472"/>
      <c r="H17" s="515"/>
      <c r="R17" s="84"/>
      <c r="S17" s="518"/>
      <c r="T17" s="517"/>
    </row>
    <row r="18" spans="1:29" ht="14.25" customHeight="1" x14ac:dyDescent="0.25">
      <c r="A18" s="1472"/>
      <c r="H18" s="515"/>
      <c r="R18" s="84"/>
      <c r="S18" s="518"/>
      <c r="T18" s="517"/>
    </row>
    <row r="19" spans="1:29" ht="14.25" customHeight="1" x14ac:dyDescent="0.25">
      <c r="A19" s="1472"/>
      <c r="H19" s="515"/>
      <c r="R19" s="84"/>
      <c r="S19" s="519"/>
      <c r="T19" s="517"/>
    </row>
    <row r="20" spans="1:29" ht="14.25" customHeight="1" x14ac:dyDescent="0.25">
      <c r="A20" s="1472"/>
      <c r="H20" s="515"/>
      <c r="R20" s="84"/>
      <c r="S20" s="519"/>
      <c r="T20" s="517"/>
    </row>
    <row r="21" spans="1:29" ht="14.25" customHeight="1" x14ac:dyDescent="0.25">
      <c r="A21" s="1472"/>
      <c r="H21" s="515"/>
      <c r="R21" s="84"/>
      <c r="S21" s="519"/>
      <c r="T21" s="517"/>
    </row>
    <row r="22" spans="1:29" ht="14.25" customHeight="1" x14ac:dyDescent="0.25">
      <c r="A22" s="1472"/>
      <c r="H22" s="515"/>
      <c r="R22" s="84"/>
      <c r="S22" s="518"/>
      <c r="T22" s="556">
        <f>U28/U23</f>
        <v>0.4398877980364656</v>
      </c>
    </row>
    <row r="23" spans="1:29" ht="14.25" customHeight="1" x14ac:dyDescent="0.25">
      <c r="A23" s="1472"/>
      <c r="H23" s="515"/>
      <c r="T23" s="314" t="s">
        <v>453</v>
      </c>
      <c r="U23" s="375">
        <f>$Z$1</f>
        <v>103000</v>
      </c>
    </row>
    <row r="24" spans="1:29" ht="14.25" customHeight="1" x14ac:dyDescent="0.25">
      <c r="A24" s="1472"/>
      <c r="B24" s="84"/>
      <c r="H24" s="515"/>
    </row>
    <row r="25" spans="1:29" ht="14.25" customHeight="1" x14ac:dyDescent="0.25">
      <c r="A25" s="1472"/>
      <c r="E25" s="84"/>
      <c r="F25" s="518"/>
      <c r="G25" s="515"/>
      <c r="H25" s="515"/>
      <c r="R25" s="1654" t="s">
        <v>449</v>
      </c>
      <c r="S25" s="1633"/>
      <c r="T25" s="1633"/>
      <c r="U25" s="1633"/>
      <c r="Z25" s="122" t="s">
        <v>252</v>
      </c>
      <c r="AA25" s="123">
        <v>1</v>
      </c>
      <c r="AB25" s="122" t="s">
        <v>249</v>
      </c>
      <c r="AC25" s="124">
        <f>(T35/T32)*AA25</f>
        <v>1.4451486191661877E-2</v>
      </c>
    </row>
    <row r="26" spans="1:29" ht="18" customHeight="1" x14ac:dyDescent="0.25">
      <c r="A26" s="1472"/>
      <c r="E26" s="84"/>
      <c r="F26" s="518"/>
      <c r="G26" s="515"/>
      <c r="H26" s="515"/>
      <c r="R26" s="1654" t="s">
        <v>360</v>
      </c>
      <c r="S26" s="1633"/>
      <c r="T26" s="1633"/>
      <c r="U26" s="1633"/>
    </row>
    <row r="27" spans="1:29" ht="23.25" customHeight="1" x14ac:dyDescent="0.25">
      <c r="A27" s="1472"/>
      <c r="B27" s="84"/>
      <c r="E27" s="84"/>
      <c r="F27" s="84"/>
      <c r="R27" s="126" t="s">
        <v>254</v>
      </c>
      <c r="S27" s="127" t="s">
        <v>352</v>
      </c>
      <c r="T27" s="127" t="s">
        <v>256</v>
      </c>
      <c r="U27" s="127" t="s">
        <v>257</v>
      </c>
    </row>
    <row r="28" spans="1:29" ht="14.25" customHeight="1" x14ac:dyDescent="0.25">
      <c r="A28" s="1472"/>
      <c r="B28" s="84"/>
      <c r="E28" s="84"/>
      <c r="F28" s="84"/>
      <c r="R28" s="129" t="s">
        <v>263</v>
      </c>
      <c r="S28" s="130"/>
      <c r="T28" s="1215">
        <f>U28-S28</f>
        <v>45308.443197755958</v>
      </c>
      <c r="U28" s="1215">
        <f>U23-'Beef Lasagne Sauce'!U28</f>
        <v>45308.443197755958</v>
      </c>
    </row>
    <row r="29" spans="1:29" ht="14.25" customHeight="1" x14ac:dyDescent="0.25">
      <c r="A29" s="1472"/>
      <c r="B29" s="84"/>
      <c r="E29" s="84"/>
      <c r="F29" s="84"/>
      <c r="R29" s="129" t="s">
        <v>264</v>
      </c>
      <c r="S29" s="136"/>
      <c r="T29" s="1215"/>
      <c r="U29" s="1215">
        <f>T29</f>
        <v>0</v>
      </c>
    </row>
    <row r="30" spans="1:29" ht="14.25" customHeight="1" x14ac:dyDescent="0.25">
      <c r="A30" s="1472"/>
      <c r="B30" s="84"/>
      <c r="E30" s="84"/>
      <c r="F30" s="84"/>
      <c r="R30" s="129" t="s">
        <v>265</v>
      </c>
      <c r="S30" s="136"/>
      <c r="T30" s="1186">
        <f>$AB$1</f>
        <v>1000</v>
      </c>
      <c r="U30" s="1218">
        <f>T30</f>
        <v>1000</v>
      </c>
    </row>
    <row r="31" spans="1:29" ht="14.25" customHeight="1" x14ac:dyDescent="0.25">
      <c r="A31" s="1472"/>
      <c r="B31" s="84"/>
      <c r="E31" s="84"/>
      <c r="F31" s="84"/>
      <c r="R31" s="129" t="s">
        <v>267</v>
      </c>
      <c r="S31" s="136"/>
      <c r="T31" s="1215"/>
      <c r="U31" s="1215"/>
    </row>
    <row r="32" spans="1:29" ht="14.25" customHeight="1" x14ac:dyDescent="0.25">
      <c r="A32" s="1472"/>
      <c r="C32" s="84"/>
      <c r="D32" s="518"/>
      <c r="L32" s="275"/>
      <c r="M32" s="275"/>
      <c r="N32" s="275"/>
      <c r="P32" s="274"/>
      <c r="R32" s="141" t="s">
        <v>257</v>
      </c>
      <c r="S32" s="130">
        <f>SUM(S28:S30)</f>
        <v>0</v>
      </c>
      <c r="T32" s="130">
        <f>SUM(T28:T30)</f>
        <v>46308.443197755958</v>
      </c>
      <c r="U32" s="130">
        <f>SUM(U28:U30)</f>
        <v>46308.443197755958</v>
      </c>
    </row>
    <row r="33" spans="1:21" ht="14.25" customHeight="1" x14ac:dyDescent="0.25">
      <c r="A33" s="1472"/>
      <c r="C33" s="84"/>
      <c r="D33" s="518"/>
      <c r="L33" s="275"/>
      <c r="M33" s="275"/>
      <c r="N33" s="296"/>
      <c r="O33" s="514"/>
      <c r="P33" s="274"/>
      <c r="R33" s="142" t="s">
        <v>268</v>
      </c>
      <c r="S33" s="136"/>
      <c r="T33" s="136"/>
      <c r="U33" s="130">
        <f>F75</f>
        <v>0</v>
      </c>
    </row>
    <row r="34" spans="1:21" ht="14.25" customHeight="1" x14ac:dyDescent="0.25">
      <c r="A34" s="1472"/>
      <c r="C34" s="84"/>
      <c r="D34" s="518"/>
      <c r="L34" s="275"/>
      <c r="M34" s="275"/>
      <c r="N34" s="296"/>
      <c r="O34" s="514"/>
      <c r="P34" s="274"/>
      <c r="R34" s="143" t="s">
        <v>269</v>
      </c>
      <c r="S34" s="136"/>
      <c r="T34" s="130"/>
      <c r="U34" s="130">
        <f>U33-(U28+U29)</f>
        <v>-45308.443197755958</v>
      </c>
    </row>
    <row r="35" spans="1:21" ht="14.25" customHeight="1" x14ac:dyDescent="0.25">
      <c r="A35" s="1472"/>
      <c r="C35" s="84"/>
      <c r="D35" s="518"/>
      <c r="L35" s="275"/>
      <c r="M35" s="275"/>
      <c r="N35" s="296"/>
      <c r="O35" s="514"/>
      <c r="P35" s="274"/>
      <c r="R35" s="144" t="s">
        <v>249</v>
      </c>
      <c r="S35" s="990"/>
      <c r="T35" s="990">
        <f>SUM(L5:L13)</f>
        <v>669.22582742972861</v>
      </c>
      <c r="U35" s="990">
        <f>S35+T35</f>
        <v>669.22582742972861</v>
      </c>
    </row>
    <row r="36" spans="1:21" ht="14.25" customHeight="1" x14ac:dyDescent="0.25">
      <c r="A36" s="1472"/>
      <c r="C36" s="84"/>
      <c r="D36" s="519"/>
      <c r="L36" s="275"/>
      <c r="M36" s="275"/>
      <c r="N36" s="296"/>
      <c r="O36" s="514"/>
      <c r="P36" s="274"/>
    </row>
    <row r="37" spans="1:21" ht="14.25" customHeight="1" x14ac:dyDescent="0.25">
      <c r="A37" s="1472"/>
      <c r="C37" s="84"/>
      <c r="D37" s="519"/>
      <c r="N37" s="383"/>
      <c r="O37" s="514"/>
      <c r="P37" s="274"/>
    </row>
    <row r="38" spans="1:21" ht="14.25" customHeight="1" x14ac:dyDescent="0.25">
      <c r="A38" s="1472"/>
      <c r="C38" s="84"/>
      <c r="D38" s="519"/>
      <c r="O38" s="514"/>
      <c r="P38" s="274"/>
    </row>
    <row r="39" spans="1:21" ht="14.25" customHeight="1" x14ac:dyDescent="0.25">
      <c r="A39" s="1472"/>
      <c r="O39" s="514"/>
      <c r="P39" s="274"/>
    </row>
    <row r="40" spans="1:21" ht="14.25" customHeight="1" x14ac:dyDescent="0.25">
      <c r="A40" s="1472"/>
      <c r="O40" s="514"/>
      <c r="P40" s="274"/>
      <c r="R40" s="363"/>
      <c r="S40" s="465"/>
      <c r="T40" s="363"/>
      <c r="U40" s="465"/>
    </row>
    <row r="41" spans="1:21" ht="14.25" customHeight="1" x14ac:dyDescent="0.25">
      <c r="A41" s="1472"/>
      <c r="N41" s="296"/>
      <c r="O41" s="514"/>
      <c r="U41" s="150"/>
    </row>
    <row r="42" spans="1:21" ht="14.25" customHeight="1" x14ac:dyDescent="0.25">
      <c r="A42" s="1472"/>
      <c r="N42" s="383"/>
      <c r="O42" s="275"/>
    </row>
    <row r="43" spans="1:21" ht="14.25" customHeight="1" x14ac:dyDescent="0.25">
      <c r="A43" s="1472"/>
      <c r="Q43" s="298"/>
      <c r="R43" s="298"/>
      <c r="S43" s="298"/>
      <c r="T43" s="298"/>
      <c r="U43" s="298"/>
    </row>
    <row r="44" spans="1:21" ht="14.25" customHeight="1" x14ac:dyDescent="0.25">
      <c r="A44" s="1472"/>
      <c r="R44" s="362"/>
      <c r="S44" s="365"/>
      <c r="T44" s="365"/>
      <c r="U44" s="366"/>
    </row>
    <row r="45" spans="1:21" x14ac:dyDescent="0.25">
      <c r="A45" s="1472"/>
    </row>
    <row r="46" spans="1:21" x14ac:dyDescent="0.25">
      <c r="A46" s="1472"/>
    </row>
    <row r="47" spans="1:21" x14ac:dyDescent="0.25">
      <c r="A47" s="1472"/>
    </row>
    <row r="48" spans="1:21" x14ac:dyDescent="0.25">
      <c r="A48" s="1472"/>
    </row>
    <row r="49" spans="1:8" x14ac:dyDescent="0.25">
      <c r="A49" s="1472"/>
    </row>
    <row r="50" spans="1:8" x14ac:dyDescent="0.25">
      <c r="A50" s="1472"/>
      <c r="B50" s="253"/>
      <c r="C50" s="126" t="s">
        <v>233</v>
      </c>
      <c r="D50" s="126" t="s">
        <v>279</v>
      </c>
    </row>
    <row r="51" spans="1:8" x14ac:dyDescent="0.25">
      <c r="A51" s="1472"/>
      <c r="B51" s="161" t="s">
        <v>283</v>
      </c>
      <c r="C51" s="162">
        <f>10/$K$1</f>
        <v>10</v>
      </c>
      <c r="D51" s="163">
        <f>$C$1*10</f>
        <v>10000</v>
      </c>
    </row>
    <row r="52" spans="1:8" x14ac:dyDescent="0.25">
      <c r="A52" s="1472"/>
      <c r="B52" s="253" t="s">
        <v>262</v>
      </c>
      <c r="C52" s="166">
        <f>I1</f>
        <v>46.308443197755956</v>
      </c>
      <c r="D52" s="166">
        <f>E1</f>
        <v>46308.443197755958</v>
      </c>
    </row>
    <row r="53" spans="1:8" x14ac:dyDescent="0.25">
      <c r="A53" s="1472"/>
      <c r="B53" s="253" t="s">
        <v>284</v>
      </c>
      <c r="C53" s="516">
        <f>MIN($C$52, C51)</f>
        <v>10</v>
      </c>
      <c r="D53" s="166">
        <f t="shared" ref="D53:D59" si="7">(C53*$K$1)*$C$1</f>
        <v>10000</v>
      </c>
    </row>
    <row r="54" spans="1:8" x14ac:dyDescent="0.25">
      <c r="A54" s="1472"/>
      <c r="B54" s="253" t="s">
        <v>285</v>
      </c>
      <c r="C54" s="167">
        <f>MIN(MAX($C$52-C53,0),C51)</f>
        <v>10</v>
      </c>
      <c r="D54" s="166">
        <f t="shared" si="7"/>
        <v>10000</v>
      </c>
    </row>
    <row r="55" spans="1:8" ht="14.25" customHeight="1" x14ac:dyDescent="0.25">
      <c r="A55" s="1472"/>
      <c r="B55" s="253" t="s">
        <v>286</v>
      </c>
      <c r="C55" s="167">
        <f>MIN(MAX($C$52-C53-C54,0),C51)</f>
        <v>10</v>
      </c>
      <c r="D55" s="166">
        <f t="shared" si="7"/>
        <v>10000</v>
      </c>
    </row>
    <row r="56" spans="1:8" ht="14.25" customHeight="1" x14ac:dyDescent="0.25">
      <c r="A56" s="1472"/>
      <c r="B56" s="253" t="s">
        <v>293</v>
      </c>
      <c r="C56" s="167">
        <f>MIN(MAX($C$52-C53-C54-C55,0),C51)</f>
        <v>10</v>
      </c>
      <c r="D56" s="166">
        <f t="shared" si="7"/>
        <v>10000</v>
      </c>
    </row>
    <row r="57" spans="1:8" x14ac:dyDescent="0.25">
      <c r="A57" s="1472"/>
      <c r="B57" s="253" t="s">
        <v>344</v>
      </c>
      <c r="C57" s="167">
        <f>MIN(MAX($C$52-C53-C54-C55-C56,0),C51)</f>
        <v>6.3084431977559561</v>
      </c>
      <c r="D57" s="166">
        <f t="shared" si="7"/>
        <v>6308.4431977559561</v>
      </c>
    </row>
    <row r="58" spans="1:8" x14ac:dyDescent="0.25">
      <c r="A58" s="1472"/>
      <c r="B58" s="253" t="s">
        <v>451</v>
      </c>
      <c r="C58" s="167">
        <f>MIN(MAX($C$52-C53-C54-C55-C56-C57,0),C51)</f>
        <v>0</v>
      </c>
      <c r="D58" s="166">
        <f t="shared" si="7"/>
        <v>0</v>
      </c>
    </row>
    <row r="59" spans="1:8" x14ac:dyDescent="0.25">
      <c r="A59" s="1472"/>
      <c r="B59" s="253" t="s">
        <v>452</v>
      </c>
      <c r="C59" s="167">
        <f>MIN(MAX($C$52-C53-C54-C55-C56-C57-C58,0),C51)</f>
        <v>0</v>
      </c>
      <c r="D59" s="166">
        <f t="shared" si="7"/>
        <v>0</v>
      </c>
    </row>
    <row r="60" spans="1:8" x14ac:dyDescent="0.25">
      <c r="A60" s="1472"/>
    </row>
    <row r="61" spans="1:8" x14ac:dyDescent="0.25">
      <c r="A61" s="1472"/>
    </row>
    <row r="62" spans="1:8" ht="18" customHeight="1" x14ac:dyDescent="0.25">
      <c r="A62" s="1472"/>
      <c r="B62" s="1660"/>
      <c r="C62" s="1653"/>
      <c r="D62" s="1653"/>
      <c r="E62" s="1653"/>
      <c r="F62" s="1653"/>
      <c r="G62" s="1653"/>
      <c r="H62" s="1653"/>
    </row>
    <row r="63" spans="1:8" ht="18" customHeight="1" x14ac:dyDescent="0.25">
      <c r="A63" s="1472"/>
      <c r="B63" s="1660"/>
      <c r="C63" s="1653"/>
      <c r="D63" s="1653"/>
      <c r="E63" s="1653"/>
      <c r="F63" s="1653"/>
      <c r="G63" s="1653"/>
      <c r="H63" s="1653"/>
    </row>
    <row r="64" spans="1:8" ht="25.5" customHeight="1" x14ac:dyDescent="0.2">
      <c r="A64" s="1470"/>
      <c r="B64" s="347"/>
      <c r="C64" s="324"/>
      <c r="D64" s="347"/>
      <c r="E64" s="323"/>
      <c r="F64" s="347"/>
      <c r="G64" s="347"/>
      <c r="H64" s="323"/>
    </row>
    <row r="65" spans="1:8" ht="14.25" customHeight="1" x14ac:dyDescent="0.25">
      <c r="A65" s="1472"/>
      <c r="B65" s="325"/>
      <c r="C65" s="114"/>
      <c r="D65" s="232"/>
      <c r="E65" s="116"/>
      <c r="F65" s="117"/>
      <c r="G65" s="118"/>
      <c r="H65" s="119"/>
    </row>
    <row r="66" spans="1:8" ht="14.25" customHeight="1" x14ac:dyDescent="0.25">
      <c r="A66" s="1472"/>
      <c r="B66" s="325"/>
      <c r="C66" s="114"/>
      <c r="D66" s="232"/>
      <c r="E66" s="116"/>
      <c r="F66" s="117"/>
      <c r="G66" s="118"/>
      <c r="H66" s="119"/>
    </row>
    <row r="67" spans="1:8" ht="14.25" customHeight="1" x14ac:dyDescent="0.25">
      <c r="A67" s="1472"/>
      <c r="B67" s="325"/>
      <c r="C67" s="114"/>
      <c r="D67" s="232"/>
      <c r="E67" s="116"/>
      <c r="F67" s="117"/>
      <c r="G67" s="118"/>
      <c r="H67" s="119"/>
    </row>
    <row r="68" spans="1:8" ht="14.25" customHeight="1" x14ac:dyDescent="0.25">
      <c r="A68" s="1472"/>
      <c r="B68" s="325"/>
      <c r="C68" s="114"/>
      <c r="D68" s="232"/>
      <c r="E68" s="116"/>
      <c r="F68" s="117"/>
      <c r="G68" s="118"/>
      <c r="H68" s="119"/>
    </row>
    <row r="69" spans="1:8" ht="14.25" customHeight="1" x14ac:dyDescent="0.25">
      <c r="A69" s="1472"/>
      <c r="B69" s="325"/>
      <c r="C69" s="114"/>
      <c r="D69" s="232"/>
      <c r="E69" s="116"/>
      <c r="F69" s="117"/>
      <c r="G69" s="118"/>
      <c r="H69" s="119"/>
    </row>
    <row r="70" spans="1:8" ht="14.25" customHeight="1" x14ac:dyDescent="0.25">
      <c r="A70" s="1472"/>
      <c r="B70" s="325"/>
      <c r="C70" s="114"/>
      <c r="D70" s="232"/>
      <c r="E70" s="116"/>
      <c r="F70" s="117"/>
      <c r="G70" s="118"/>
      <c r="H70" s="119"/>
    </row>
    <row r="71" spans="1:8" ht="14.25" customHeight="1" x14ac:dyDescent="0.25">
      <c r="A71" s="1472"/>
      <c r="B71" s="325"/>
      <c r="C71" s="114"/>
      <c r="D71" s="232"/>
      <c r="E71" s="116"/>
      <c r="F71" s="117"/>
      <c r="G71" s="118"/>
      <c r="H71" s="119"/>
    </row>
    <row r="72" spans="1:8" ht="14.25" customHeight="1" x14ac:dyDescent="0.25">
      <c r="A72" s="1472"/>
      <c r="B72" s="325"/>
      <c r="C72" s="114"/>
      <c r="D72" s="232"/>
      <c r="E72" s="116"/>
      <c r="F72" s="117"/>
      <c r="G72" s="118"/>
      <c r="H72" s="119"/>
    </row>
    <row r="73" spans="1:8" ht="14.25" customHeight="1" x14ac:dyDescent="0.25">
      <c r="A73" s="1472"/>
      <c r="B73" s="325"/>
      <c r="C73" s="114"/>
      <c r="D73" s="232"/>
      <c r="E73" s="116"/>
      <c r="F73" s="117"/>
      <c r="G73" s="118"/>
      <c r="H73" s="119"/>
    </row>
    <row r="74" spans="1:8" ht="14.25" customHeight="1" x14ac:dyDescent="0.25">
      <c r="A74" s="1472"/>
      <c r="B74" s="325"/>
      <c r="C74" s="114"/>
      <c r="D74" s="232"/>
      <c r="E74" s="116"/>
      <c r="F74" s="117"/>
      <c r="G74" s="118"/>
      <c r="H74" s="119"/>
    </row>
    <row r="75" spans="1:8" ht="14.25" customHeight="1" x14ac:dyDescent="0.25">
      <c r="A75" s="1472"/>
      <c r="B75" s="84"/>
    </row>
    <row r="76" spans="1:8" x14ac:dyDescent="0.25">
      <c r="A76" s="1472"/>
    </row>
    <row r="77" spans="1:8" x14ac:dyDescent="0.25">
      <c r="A77" s="1472"/>
    </row>
    <row r="78" spans="1:8" x14ac:dyDescent="0.25">
      <c r="A78" s="1472"/>
    </row>
    <row r="79" spans="1:8" x14ac:dyDescent="0.25">
      <c r="A79" s="1472"/>
    </row>
    <row r="80" spans="1:8" ht="18" customHeight="1" x14ac:dyDescent="0.25">
      <c r="A80" s="1472"/>
      <c r="B80" s="1660"/>
      <c r="C80" s="1653"/>
      <c r="D80" s="1653"/>
      <c r="E80" s="1653"/>
      <c r="F80" s="1653"/>
      <c r="G80" s="1653"/>
      <c r="H80" s="1653"/>
    </row>
    <row r="81" spans="1:8" ht="18" customHeight="1" x14ac:dyDescent="0.25">
      <c r="A81" s="1472"/>
      <c r="B81" s="1660"/>
      <c r="C81" s="1653"/>
      <c r="D81" s="1653"/>
      <c r="E81" s="1653"/>
      <c r="F81" s="1653"/>
      <c r="G81" s="1653"/>
      <c r="H81" s="1653"/>
    </row>
    <row r="82" spans="1:8" ht="25.5" customHeight="1" x14ac:dyDescent="0.2">
      <c r="A82" s="1470"/>
      <c r="B82" s="347"/>
      <c r="C82" s="324"/>
      <c r="D82" s="347"/>
      <c r="E82" s="323"/>
      <c r="F82" s="347"/>
      <c r="G82" s="347"/>
      <c r="H82" s="323"/>
    </row>
    <row r="83" spans="1:8" ht="14.25" customHeight="1" x14ac:dyDescent="0.25">
      <c r="A83" s="1472"/>
      <c r="B83" s="325"/>
      <c r="C83" s="325"/>
      <c r="D83" s="325"/>
      <c r="E83" s="116"/>
      <c r="F83" s="117"/>
      <c r="G83" s="118"/>
      <c r="H83" s="119"/>
    </row>
    <row r="84" spans="1:8" ht="14.25" customHeight="1" x14ac:dyDescent="0.25">
      <c r="A84" s="1472"/>
      <c r="B84" s="325"/>
      <c r="C84" s="325"/>
      <c r="D84" s="325"/>
      <c r="E84" s="116"/>
      <c r="F84" s="117"/>
      <c r="G84" s="118"/>
      <c r="H84" s="119"/>
    </row>
    <row r="85" spans="1:8" ht="14.25" customHeight="1" x14ac:dyDescent="0.25">
      <c r="A85" s="1472"/>
      <c r="B85" s="325"/>
      <c r="C85" s="325"/>
      <c r="D85" s="325"/>
      <c r="E85" s="116"/>
      <c r="F85" s="117"/>
      <c r="G85" s="118"/>
      <c r="H85" s="119"/>
    </row>
    <row r="86" spans="1:8" ht="14.25" customHeight="1" x14ac:dyDescent="0.25">
      <c r="A86" s="1472"/>
      <c r="B86" s="325"/>
      <c r="C86" s="325"/>
      <c r="D86" s="325"/>
      <c r="E86" s="116"/>
      <c r="F86" s="117"/>
      <c r="G86" s="118"/>
      <c r="H86" s="119"/>
    </row>
    <row r="87" spans="1:8" ht="14.25" customHeight="1" x14ac:dyDescent="0.25">
      <c r="A87" s="1472"/>
      <c r="B87" s="325"/>
      <c r="C87" s="325"/>
      <c r="D87" s="325"/>
      <c r="E87" s="116"/>
      <c r="F87" s="117"/>
      <c r="G87" s="118"/>
      <c r="H87" s="119"/>
    </row>
    <row r="88" spans="1:8" ht="14.25" customHeight="1" x14ac:dyDescent="0.25">
      <c r="A88" s="1472"/>
      <c r="B88" s="325"/>
      <c r="C88" s="325"/>
      <c r="D88" s="325"/>
      <c r="E88" s="116"/>
      <c r="F88" s="117"/>
      <c r="G88" s="118"/>
      <c r="H88" s="119"/>
    </row>
    <row r="89" spans="1:8" ht="14.25" customHeight="1" x14ac:dyDescent="0.25">
      <c r="A89" s="1472"/>
      <c r="B89" s="325"/>
      <c r="C89" s="325"/>
      <c r="D89" s="325"/>
      <c r="E89" s="116"/>
      <c r="F89" s="117"/>
      <c r="G89" s="118"/>
      <c r="H89" s="119"/>
    </row>
    <row r="90" spans="1:8" ht="14.25" customHeight="1" x14ac:dyDescent="0.25">
      <c r="A90" s="1472"/>
      <c r="B90" s="325"/>
      <c r="C90" s="325"/>
      <c r="D90" s="325"/>
      <c r="E90" s="116"/>
      <c r="F90" s="117"/>
      <c r="G90" s="118"/>
      <c r="H90" s="119"/>
    </row>
    <row r="91" spans="1:8" ht="20.25" customHeight="1" x14ac:dyDescent="0.3">
      <c r="A91" s="1472"/>
      <c r="B91" s="84"/>
      <c r="E91" s="84"/>
      <c r="F91" s="84"/>
      <c r="G91" s="184"/>
      <c r="H91" s="183"/>
    </row>
    <row r="92" spans="1:8" ht="14.25" customHeight="1" x14ac:dyDescent="0.25">
      <c r="A92" s="1472"/>
      <c r="B92" s="84"/>
    </row>
    <row r="93" spans="1:8" x14ac:dyDescent="0.25">
      <c r="A93" s="1472"/>
    </row>
    <row r="94" spans="1:8" x14ac:dyDescent="0.25">
      <c r="A94" s="1472"/>
    </row>
    <row r="95" spans="1:8" x14ac:dyDescent="0.25">
      <c r="A95" s="1472"/>
    </row>
    <row r="96" spans="1:8" x14ac:dyDescent="0.25">
      <c r="A96" s="1472"/>
    </row>
    <row r="97" spans="1:8" x14ac:dyDescent="0.25">
      <c r="A97" s="1472"/>
    </row>
    <row r="98" spans="1:8" ht="18" customHeight="1" x14ac:dyDescent="0.25">
      <c r="A98" s="1472"/>
      <c r="B98" s="1660"/>
      <c r="C98" s="1653"/>
      <c r="D98" s="1653"/>
      <c r="E98" s="1653"/>
      <c r="F98" s="1653"/>
      <c r="G98" s="1653"/>
      <c r="H98" s="1653"/>
    </row>
    <row r="99" spans="1:8" ht="18" customHeight="1" x14ac:dyDescent="0.25">
      <c r="A99" s="1472"/>
      <c r="B99" s="1660"/>
      <c r="C99" s="1653"/>
      <c r="D99" s="1653"/>
      <c r="E99" s="1653"/>
      <c r="F99" s="1653"/>
      <c r="G99" s="1653"/>
      <c r="H99" s="1653"/>
    </row>
    <row r="100" spans="1:8" ht="25.5" customHeight="1" x14ac:dyDescent="0.2">
      <c r="A100" s="1470"/>
      <c r="B100" s="347"/>
      <c r="C100" s="324"/>
      <c r="D100" s="347"/>
      <c r="E100" s="323"/>
      <c r="F100" s="347"/>
      <c r="G100" s="347"/>
      <c r="H100" s="323"/>
    </row>
    <row r="101" spans="1:8" ht="14.25" customHeight="1" x14ac:dyDescent="0.25">
      <c r="A101" s="1472"/>
      <c r="B101" s="325"/>
      <c r="C101" s="325"/>
      <c r="D101" s="325"/>
      <c r="E101" s="821"/>
      <c r="F101" s="822"/>
      <c r="G101" s="118"/>
      <c r="H101" s="119"/>
    </row>
    <row r="102" spans="1:8" ht="14.25" customHeight="1" x14ac:dyDescent="0.25">
      <c r="A102" s="1472"/>
      <c r="B102" s="325"/>
      <c r="C102" s="325"/>
      <c r="D102" s="325"/>
      <c r="E102" s="821"/>
      <c r="F102" s="822"/>
      <c r="G102" s="118"/>
      <c r="H102" s="119"/>
    </row>
    <row r="103" spans="1:8" ht="14.25" customHeight="1" x14ac:dyDescent="0.25">
      <c r="A103" s="1472"/>
      <c r="B103" s="325"/>
      <c r="C103" s="325"/>
      <c r="D103" s="325"/>
      <c r="E103" s="821"/>
      <c r="F103" s="822"/>
      <c r="G103" s="118"/>
      <c r="H103" s="119"/>
    </row>
    <row r="104" spans="1:8" ht="14.25" customHeight="1" x14ac:dyDescent="0.25">
      <c r="A104" s="1472"/>
      <c r="B104" s="325"/>
      <c r="C104" s="325"/>
      <c r="D104" s="325"/>
      <c r="E104" s="821"/>
      <c r="F104" s="822"/>
      <c r="G104" s="118"/>
      <c r="H104" s="119"/>
    </row>
    <row r="105" spans="1:8" ht="14.25" customHeight="1" x14ac:dyDescent="0.25">
      <c r="A105" s="1472"/>
      <c r="B105" s="325"/>
      <c r="C105" s="325"/>
      <c r="D105" s="325"/>
      <c r="E105" s="821"/>
      <c r="F105" s="822"/>
      <c r="G105" s="118"/>
      <c r="H105" s="119"/>
    </row>
    <row r="106" spans="1:8" ht="14.25" customHeight="1" x14ac:dyDescent="0.25">
      <c r="A106" s="1472"/>
      <c r="B106" s="325"/>
      <c r="C106" s="325"/>
      <c r="D106" s="325"/>
      <c r="E106" s="821"/>
      <c r="F106" s="822"/>
      <c r="G106" s="118"/>
      <c r="H106" s="119"/>
    </row>
    <row r="107" spans="1:8" ht="14.25" customHeight="1" x14ac:dyDescent="0.25">
      <c r="A107" s="1472"/>
      <c r="B107" s="325"/>
      <c r="C107" s="325"/>
      <c r="D107" s="325"/>
      <c r="E107" s="821"/>
      <c r="F107" s="822"/>
      <c r="G107" s="118"/>
      <c r="H107" s="119"/>
    </row>
    <row r="108" spans="1:8" ht="14.25" customHeight="1" x14ac:dyDescent="0.25">
      <c r="A108" s="1472"/>
      <c r="B108" s="325"/>
      <c r="C108" s="325"/>
      <c r="D108" s="325"/>
      <c r="E108" s="821"/>
      <c r="F108" s="822"/>
      <c r="G108" s="118"/>
      <c r="H108" s="119"/>
    </row>
    <row r="109" spans="1:8" ht="20.25" customHeight="1" x14ac:dyDescent="0.3">
      <c r="A109" s="1472"/>
      <c r="B109" s="84"/>
      <c r="E109" s="84"/>
      <c r="F109" s="84"/>
      <c r="G109" s="184"/>
      <c r="H109" s="183"/>
    </row>
    <row r="110" spans="1:8" ht="14.25" customHeight="1" x14ac:dyDescent="0.25">
      <c r="A110" s="1472"/>
      <c r="B110" s="84"/>
    </row>
    <row r="111" spans="1:8" x14ac:dyDescent="0.25">
      <c r="A111" s="1472"/>
    </row>
    <row r="112" spans="1:8" x14ac:dyDescent="0.25">
      <c r="A112" s="1472"/>
    </row>
    <row r="113" spans="1:8" x14ac:dyDescent="0.25">
      <c r="A113" s="1472"/>
    </row>
    <row r="114" spans="1:8" x14ac:dyDescent="0.25">
      <c r="A114" s="1472"/>
    </row>
    <row r="115" spans="1:8" x14ac:dyDescent="0.25">
      <c r="A115" s="1472"/>
    </row>
    <row r="116" spans="1:8" ht="18" customHeight="1" x14ac:dyDescent="0.25">
      <c r="A116" s="1472"/>
      <c r="B116" s="1660"/>
      <c r="C116" s="1653"/>
      <c r="D116" s="1653"/>
      <c r="E116" s="1653"/>
      <c r="F116" s="1653"/>
      <c r="G116" s="1653"/>
      <c r="H116" s="1653"/>
    </row>
    <row r="117" spans="1:8" ht="18" customHeight="1" x14ac:dyDescent="0.25">
      <c r="A117" s="1472"/>
      <c r="B117" s="1660"/>
      <c r="C117" s="1653"/>
      <c r="D117" s="1653"/>
      <c r="E117" s="1653"/>
      <c r="F117" s="1653"/>
      <c r="G117" s="1653"/>
      <c r="H117" s="1653"/>
    </row>
    <row r="118" spans="1:8" ht="25.5" customHeight="1" x14ac:dyDescent="0.2">
      <c r="A118" s="1470"/>
      <c r="B118" s="347"/>
      <c r="C118" s="324"/>
      <c r="D118" s="347"/>
      <c r="E118" s="323"/>
      <c r="F118" s="347"/>
      <c r="G118" s="347"/>
      <c r="H118" s="323"/>
    </row>
    <row r="119" spans="1:8" ht="14.25" customHeight="1" x14ac:dyDescent="0.25">
      <c r="A119" s="1472"/>
      <c r="B119" s="325"/>
      <c r="C119" s="325"/>
      <c r="D119" s="325"/>
      <c r="E119" s="821"/>
      <c r="F119" s="822"/>
      <c r="G119" s="118"/>
      <c r="H119" s="119"/>
    </row>
    <row r="120" spans="1:8" ht="14.25" customHeight="1" x14ac:dyDescent="0.25">
      <c r="A120" s="1472"/>
      <c r="B120" s="325"/>
      <c r="C120" s="325"/>
      <c r="D120" s="325"/>
      <c r="E120" s="821"/>
      <c r="F120" s="822"/>
      <c r="G120" s="118"/>
      <c r="H120" s="119"/>
    </row>
    <row r="121" spans="1:8" ht="14.25" customHeight="1" x14ac:dyDescent="0.25">
      <c r="A121" s="1472"/>
      <c r="B121" s="325"/>
      <c r="C121" s="325"/>
      <c r="D121" s="325"/>
      <c r="E121" s="821"/>
      <c r="F121" s="822"/>
      <c r="G121" s="118"/>
      <c r="H121" s="119"/>
    </row>
    <row r="122" spans="1:8" ht="14.25" customHeight="1" x14ac:dyDescent="0.25">
      <c r="A122" s="1472"/>
      <c r="B122" s="325"/>
      <c r="C122" s="325"/>
      <c r="D122" s="325"/>
      <c r="E122" s="821"/>
      <c r="F122" s="822"/>
      <c r="G122" s="118"/>
      <c r="H122" s="119"/>
    </row>
    <row r="123" spans="1:8" ht="14.25" customHeight="1" x14ac:dyDescent="0.25">
      <c r="A123" s="1472"/>
      <c r="B123" s="325"/>
      <c r="C123" s="325"/>
      <c r="D123" s="325"/>
      <c r="E123" s="821"/>
      <c r="F123" s="822"/>
      <c r="G123" s="118"/>
      <c r="H123" s="119"/>
    </row>
    <row r="124" spans="1:8" ht="14.25" customHeight="1" x14ac:dyDescent="0.25">
      <c r="A124" s="1472"/>
      <c r="B124" s="325"/>
      <c r="C124" s="325"/>
      <c r="D124" s="325"/>
      <c r="E124" s="821"/>
      <c r="F124" s="822"/>
      <c r="G124" s="118"/>
      <c r="H124" s="119"/>
    </row>
    <row r="125" spans="1:8" ht="14.25" customHeight="1" x14ac:dyDescent="0.25">
      <c r="A125" s="1472"/>
      <c r="B125" s="325"/>
      <c r="C125" s="325"/>
      <c r="D125" s="325"/>
      <c r="E125" s="821"/>
      <c r="F125" s="822"/>
      <c r="G125" s="118"/>
      <c r="H125" s="119"/>
    </row>
    <row r="126" spans="1:8" ht="14.25" customHeight="1" x14ac:dyDescent="0.25">
      <c r="A126" s="1472"/>
      <c r="B126" s="325"/>
      <c r="C126" s="114"/>
      <c r="D126" s="232"/>
      <c r="E126" s="116"/>
      <c r="F126" s="117"/>
      <c r="G126" s="118"/>
      <c r="H126" s="119"/>
    </row>
    <row r="127" spans="1:8" ht="20.25" customHeight="1" x14ac:dyDescent="0.3">
      <c r="A127" s="1472"/>
      <c r="B127" s="84"/>
      <c r="E127" s="84"/>
      <c r="F127" s="84"/>
      <c r="G127" s="184"/>
      <c r="H127" s="183"/>
    </row>
    <row r="128" spans="1:8" x14ac:dyDescent="0.25">
      <c r="A128" s="1472"/>
    </row>
    <row r="129" spans="1:8" x14ac:dyDescent="0.25">
      <c r="A129" s="1472"/>
    </row>
    <row r="130" spans="1:8" ht="18" customHeight="1" x14ac:dyDescent="0.25">
      <c r="A130" s="1472"/>
      <c r="B130" s="1660"/>
      <c r="C130" s="1653"/>
      <c r="D130" s="1653"/>
      <c r="E130" s="1653"/>
      <c r="F130" s="1653"/>
      <c r="G130" s="1653"/>
      <c r="H130" s="1653"/>
    </row>
    <row r="131" spans="1:8" ht="18" customHeight="1" x14ac:dyDescent="0.25">
      <c r="A131" s="1472"/>
      <c r="B131" s="1660"/>
      <c r="C131" s="1653"/>
      <c r="D131" s="1653"/>
      <c r="E131" s="1653"/>
      <c r="F131" s="1653"/>
      <c r="G131" s="1653"/>
      <c r="H131" s="1653"/>
    </row>
    <row r="132" spans="1:8" ht="25.5" customHeight="1" x14ac:dyDescent="0.2">
      <c r="A132" s="1470"/>
      <c r="B132" s="347"/>
      <c r="C132" s="324"/>
      <c r="D132" s="347"/>
      <c r="E132" s="323"/>
      <c r="F132" s="347"/>
      <c r="G132" s="347"/>
      <c r="H132" s="323"/>
    </row>
    <row r="133" spans="1:8" ht="14.25" customHeight="1" x14ac:dyDescent="0.25">
      <c r="A133" s="1472"/>
      <c r="B133" s="325"/>
      <c r="C133" s="325"/>
      <c r="D133" s="325"/>
      <c r="E133" s="821"/>
      <c r="F133" s="822"/>
      <c r="G133" s="118"/>
      <c r="H133" s="119"/>
    </row>
    <row r="134" spans="1:8" ht="14.25" customHeight="1" x14ac:dyDescent="0.25">
      <c r="A134" s="1472"/>
      <c r="B134" s="325"/>
      <c r="C134" s="325"/>
      <c r="D134" s="325"/>
      <c r="E134" s="821"/>
      <c r="F134" s="822"/>
      <c r="G134" s="118"/>
      <c r="H134" s="119"/>
    </row>
    <row r="135" spans="1:8" ht="14.25" customHeight="1" x14ac:dyDescent="0.25">
      <c r="A135" s="1472"/>
      <c r="B135" s="325"/>
      <c r="C135" s="325"/>
      <c r="D135" s="325"/>
      <c r="E135" s="821"/>
      <c r="F135" s="822"/>
      <c r="G135" s="118"/>
      <c r="H135" s="119"/>
    </row>
    <row r="136" spans="1:8" ht="14.25" customHeight="1" x14ac:dyDescent="0.25">
      <c r="A136" s="1472"/>
      <c r="B136" s="325"/>
      <c r="C136" s="325"/>
      <c r="D136" s="325"/>
      <c r="E136" s="821"/>
      <c r="F136" s="822"/>
      <c r="G136" s="118"/>
      <c r="H136" s="119"/>
    </row>
    <row r="137" spans="1:8" ht="18" customHeight="1" x14ac:dyDescent="0.25">
      <c r="A137" s="1472"/>
      <c r="B137" s="325"/>
      <c r="C137" s="325"/>
      <c r="D137" s="325"/>
      <c r="E137" s="821"/>
      <c r="F137" s="822"/>
      <c r="G137" s="118"/>
      <c r="H137" s="119"/>
    </row>
    <row r="138" spans="1:8" ht="14.25" customHeight="1" x14ac:dyDescent="0.25">
      <c r="A138" s="1472"/>
      <c r="B138" s="325"/>
      <c r="C138" s="325"/>
      <c r="D138" s="325"/>
      <c r="E138" s="821"/>
      <c r="F138" s="822"/>
      <c r="G138" s="118"/>
      <c r="H138" s="119"/>
    </row>
    <row r="139" spans="1:8" ht="14.25" customHeight="1" x14ac:dyDescent="0.25">
      <c r="A139" s="1472"/>
      <c r="B139" s="325"/>
      <c r="C139" s="325"/>
      <c r="D139" s="325"/>
      <c r="E139" s="821"/>
      <c r="F139" s="822"/>
      <c r="G139" s="118"/>
      <c r="H139" s="119"/>
    </row>
    <row r="140" spans="1:8" ht="14.25" customHeight="1" x14ac:dyDescent="0.25">
      <c r="A140" s="1472"/>
      <c r="B140" s="325"/>
      <c r="C140" s="114"/>
      <c r="D140" s="232"/>
      <c r="E140" s="116"/>
      <c r="F140" s="117"/>
      <c r="G140" s="118"/>
      <c r="H140" s="119"/>
    </row>
    <row r="141" spans="1:8" ht="20.25" customHeight="1" x14ac:dyDescent="0.3">
      <c r="A141" s="1472"/>
      <c r="B141" s="84"/>
      <c r="E141" s="84"/>
      <c r="F141" s="84"/>
      <c r="G141" s="184"/>
      <c r="H141" s="183"/>
    </row>
    <row r="142" spans="1:8" x14ac:dyDescent="0.25">
      <c r="A142" s="1472"/>
    </row>
    <row r="143" spans="1:8" x14ac:dyDescent="0.25">
      <c r="A143" s="1472"/>
    </row>
    <row r="144" spans="1:8" ht="18" customHeight="1" x14ac:dyDescent="0.25">
      <c r="A144" s="1472"/>
      <c r="B144" s="1660"/>
      <c r="C144" s="1653"/>
      <c r="D144" s="1653"/>
      <c r="E144" s="1653"/>
      <c r="F144" s="1653"/>
      <c r="G144" s="1653"/>
      <c r="H144" s="1653"/>
    </row>
    <row r="145" spans="1:8" ht="18" customHeight="1" x14ac:dyDescent="0.25">
      <c r="A145" s="1472"/>
      <c r="B145" s="1660"/>
      <c r="C145" s="1653"/>
      <c r="D145" s="1653"/>
      <c r="E145" s="1653"/>
      <c r="F145" s="1653"/>
      <c r="G145" s="1653"/>
      <c r="H145" s="1653"/>
    </row>
    <row r="146" spans="1:8" ht="25.5" customHeight="1" x14ac:dyDescent="0.2">
      <c r="A146" s="1470"/>
      <c r="B146" s="347"/>
      <c r="C146" s="324"/>
      <c r="D146" s="347"/>
      <c r="E146" s="323"/>
      <c r="F146" s="347"/>
      <c r="G146" s="347"/>
      <c r="H146" s="323"/>
    </row>
    <row r="147" spans="1:8" ht="14.25" customHeight="1" x14ac:dyDescent="0.25">
      <c r="A147" s="1472"/>
      <c r="B147" s="325"/>
      <c r="C147" s="325"/>
      <c r="D147" s="325"/>
      <c r="E147" s="821"/>
      <c r="F147" s="822"/>
      <c r="G147" s="118"/>
      <c r="H147" s="119"/>
    </row>
    <row r="148" spans="1:8" ht="14.25" customHeight="1" x14ac:dyDescent="0.25">
      <c r="A148" s="1472"/>
      <c r="B148" s="325"/>
      <c r="C148" s="325"/>
      <c r="D148" s="325"/>
      <c r="E148" s="821"/>
      <c r="F148" s="822"/>
      <c r="G148" s="118"/>
      <c r="H148" s="119"/>
    </row>
    <row r="149" spans="1:8" ht="14.25" customHeight="1" x14ac:dyDescent="0.25">
      <c r="A149" s="1472"/>
      <c r="B149" s="325"/>
      <c r="C149" s="325"/>
      <c r="D149" s="325"/>
      <c r="E149" s="821"/>
      <c r="F149" s="822"/>
      <c r="G149" s="118"/>
      <c r="H149" s="119"/>
    </row>
    <row r="150" spans="1:8" ht="14.25" customHeight="1" x14ac:dyDescent="0.25">
      <c r="A150" s="1472"/>
      <c r="B150" s="325"/>
      <c r="C150" s="325"/>
      <c r="D150" s="325"/>
      <c r="E150" s="821"/>
      <c r="F150" s="822"/>
      <c r="G150" s="118"/>
      <c r="H150" s="119"/>
    </row>
    <row r="151" spans="1:8" ht="18" customHeight="1" x14ac:dyDescent="0.25">
      <c r="A151" s="1472"/>
      <c r="B151" s="325"/>
      <c r="C151" s="325"/>
      <c r="D151" s="325"/>
      <c r="E151" s="821"/>
      <c r="F151" s="822"/>
      <c r="G151" s="118"/>
      <c r="H151" s="119"/>
    </row>
    <row r="152" spans="1:8" ht="14.25" customHeight="1" x14ac:dyDescent="0.25">
      <c r="A152" s="1472"/>
      <c r="B152" s="325"/>
      <c r="C152" s="325"/>
      <c r="D152" s="325"/>
      <c r="E152" s="821"/>
      <c r="F152" s="822"/>
      <c r="G152" s="118"/>
      <c r="H152" s="119"/>
    </row>
    <row r="153" spans="1:8" ht="14.25" customHeight="1" x14ac:dyDescent="0.25">
      <c r="A153" s="1472"/>
      <c r="B153" s="325"/>
      <c r="C153" s="325"/>
      <c r="D153" s="325"/>
      <c r="E153" s="821"/>
      <c r="F153" s="822"/>
      <c r="G153" s="118"/>
      <c r="H153" s="119"/>
    </row>
    <row r="154" spans="1:8" ht="14.25" customHeight="1" x14ac:dyDescent="0.25">
      <c r="A154" s="1472"/>
      <c r="B154" s="325"/>
      <c r="C154" s="114"/>
      <c r="D154" s="232"/>
      <c r="E154" s="116"/>
      <c r="F154" s="117"/>
      <c r="G154" s="118"/>
      <c r="H154" s="119"/>
    </row>
    <row r="155" spans="1:8" ht="20.25" customHeight="1" x14ac:dyDescent="0.3">
      <c r="A155" s="1472"/>
      <c r="B155" s="84"/>
      <c r="E155" s="84"/>
      <c r="F155" s="84"/>
      <c r="G155" s="184"/>
      <c r="H155" s="183"/>
    </row>
    <row r="156" spans="1:8" x14ac:dyDescent="0.25">
      <c r="A156" s="1472"/>
    </row>
    <row r="157" spans="1:8" x14ac:dyDescent="0.25">
      <c r="A157" s="1472"/>
    </row>
    <row r="158" spans="1:8" x14ac:dyDescent="0.25">
      <c r="A158" s="1472"/>
    </row>
    <row r="159" spans="1:8" x14ac:dyDescent="0.25">
      <c r="A159" s="1472"/>
    </row>
    <row r="160" spans="1:8" ht="18" customHeight="1" x14ac:dyDescent="0.25">
      <c r="A160" s="1472"/>
      <c r="B160" s="1660"/>
      <c r="C160" s="1653"/>
      <c r="D160" s="1653"/>
      <c r="E160" s="1653"/>
      <c r="F160" s="1653"/>
      <c r="G160" s="1653"/>
      <c r="H160" s="1653"/>
    </row>
    <row r="161" spans="1:8" ht="18" customHeight="1" x14ac:dyDescent="0.25">
      <c r="A161" s="1472"/>
      <c r="B161" s="1660"/>
      <c r="C161" s="1653"/>
      <c r="D161" s="1653"/>
      <c r="E161" s="1653"/>
      <c r="F161" s="1653"/>
      <c r="G161" s="1653"/>
      <c r="H161" s="1653"/>
    </row>
    <row r="162" spans="1:8" ht="25.5" customHeight="1" x14ac:dyDescent="0.2">
      <c r="A162" s="1470"/>
      <c r="B162" s="347"/>
      <c r="C162" s="324"/>
      <c r="D162" s="347"/>
      <c r="E162" s="323"/>
      <c r="F162" s="347"/>
      <c r="G162" s="347"/>
      <c r="H162" s="323"/>
    </row>
    <row r="163" spans="1:8" ht="14.25" customHeight="1" x14ac:dyDescent="0.25">
      <c r="A163" s="1472"/>
      <c r="B163" s="325"/>
      <c r="C163" s="325"/>
      <c r="D163" s="325"/>
      <c r="E163" s="821"/>
      <c r="F163" s="822"/>
      <c r="G163" s="118"/>
      <c r="H163" s="119"/>
    </row>
    <row r="164" spans="1:8" ht="14.25" customHeight="1" x14ac:dyDescent="0.25">
      <c r="A164" s="1472"/>
      <c r="B164" s="325"/>
      <c r="C164" s="325"/>
      <c r="D164" s="325"/>
      <c r="E164" s="821"/>
      <c r="F164" s="822"/>
      <c r="G164" s="118"/>
      <c r="H164" s="119"/>
    </row>
    <row r="165" spans="1:8" ht="14.25" customHeight="1" x14ac:dyDescent="0.25">
      <c r="A165" s="1472"/>
      <c r="B165" s="325"/>
      <c r="C165" s="325"/>
      <c r="D165" s="325"/>
      <c r="E165" s="821"/>
      <c r="F165" s="822"/>
      <c r="G165" s="118"/>
      <c r="H165" s="119"/>
    </row>
    <row r="166" spans="1:8" ht="14.25" customHeight="1" x14ac:dyDescent="0.25">
      <c r="A166" s="1472"/>
      <c r="B166" s="325"/>
      <c r="C166" s="325"/>
      <c r="D166" s="325"/>
      <c r="E166" s="821"/>
      <c r="F166" s="822"/>
      <c r="G166" s="118"/>
      <c r="H166" s="119"/>
    </row>
    <row r="167" spans="1:8" ht="18" customHeight="1" x14ac:dyDescent="0.25">
      <c r="A167" s="1472"/>
      <c r="B167" s="325"/>
      <c r="C167" s="325"/>
      <c r="D167" s="325"/>
      <c r="E167" s="821"/>
      <c r="F167" s="822"/>
      <c r="G167" s="118"/>
      <c r="H167" s="119"/>
    </row>
    <row r="168" spans="1:8" ht="14.25" customHeight="1" x14ac:dyDescent="0.25">
      <c r="A168" s="1472"/>
      <c r="B168" s="325"/>
      <c r="C168" s="325"/>
      <c r="D168" s="325"/>
      <c r="E168" s="821"/>
      <c r="F168" s="822"/>
      <c r="G168" s="118"/>
      <c r="H168" s="119"/>
    </row>
    <row r="169" spans="1:8" ht="14.25" customHeight="1" x14ac:dyDescent="0.25">
      <c r="A169" s="1472"/>
      <c r="B169" s="325"/>
      <c r="C169" s="325"/>
      <c r="D169" s="325"/>
      <c r="E169" s="821"/>
      <c r="F169" s="822"/>
      <c r="G169" s="118"/>
      <c r="H169" s="119"/>
    </row>
    <row r="170" spans="1:8" ht="20.25" customHeight="1" x14ac:dyDescent="0.3">
      <c r="A170" s="1472"/>
      <c r="B170" s="325"/>
      <c r="C170" s="114"/>
      <c r="D170" s="232"/>
      <c r="E170" s="116"/>
      <c r="F170" s="84"/>
      <c r="G170" s="184"/>
      <c r="H170" s="183"/>
    </row>
    <row r="171" spans="1:8" ht="20.25" customHeight="1" x14ac:dyDescent="0.3">
      <c r="A171" s="1472"/>
      <c r="B171" s="84"/>
      <c r="E171" s="84"/>
      <c r="F171" s="84"/>
      <c r="G171" s="184"/>
      <c r="H171" s="183"/>
    </row>
    <row r="172" spans="1:8" x14ac:dyDescent="0.25">
      <c r="A172" s="1472"/>
    </row>
    <row r="173" spans="1:8" x14ac:dyDescent="0.25">
      <c r="A173" s="1472"/>
    </row>
    <row r="174" spans="1:8" x14ac:dyDescent="0.25">
      <c r="A174" s="1472"/>
    </row>
  </sheetData>
  <mergeCells count="18">
    <mergeCell ref="AE2:AG3"/>
    <mergeCell ref="B131:H131"/>
    <mergeCell ref="B98:H98"/>
    <mergeCell ref="B144:H144"/>
    <mergeCell ref="R26:U26"/>
    <mergeCell ref="B62:H62"/>
    <mergeCell ref="R25:U25"/>
    <mergeCell ref="B116:H116"/>
    <mergeCell ref="B2:H3"/>
    <mergeCell ref="B117:H117"/>
    <mergeCell ref="B130:H130"/>
    <mergeCell ref="B161:H161"/>
    <mergeCell ref="B80:H80"/>
    <mergeCell ref="B81:H81"/>
    <mergeCell ref="B63:H63"/>
    <mergeCell ref="B145:H145"/>
    <mergeCell ref="B99:H99"/>
    <mergeCell ref="B160:H160"/>
  </mergeCells>
  <printOptions horizontalCentered="1"/>
  <pageMargins left="0.5" right="0.5" top="1" bottom="0.5" header="0.3" footer="0.511811023622047"/>
  <pageSetup paperSize="9" scale="29" orientation="portrait"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5">
    <tabColor rgb="FFC55A11"/>
    <pageSetUpPr fitToPage="1"/>
  </sheetPr>
  <dimension ref="A1:AG174"/>
  <sheetViews>
    <sheetView topLeftCell="H1" zoomScale="62" zoomScaleNormal="85" workbookViewId="0">
      <selection activeCell="A5" sqref="A5:A174"/>
    </sheetView>
  </sheetViews>
  <sheetFormatPr defaultColWidth="12.5" defaultRowHeight="15" x14ac:dyDescent="0.25"/>
  <cols>
    <col min="1" max="1" width="12.5" style="63" customWidth="1"/>
    <col min="2" max="2" width="35.875" style="14" bestFit="1" customWidth="1"/>
    <col min="3" max="3" width="15.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5.25" style="14" customWidth="1"/>
    <col min="15" max="17" width="12.5" style="14" customWidth="1"/>
    <col min="18" max="18" width="32.625" style="14" customWidth="1"/>
    <col min="19" max="19" width="12.5" style="14" customWidth="1"/>
    <col min="20" max="26" width="12.5" style="14"/>
    <col min="27" max="27" width="11" style="14" bestFit="1" customWidth="1"/>
    <col min="28" max="28" width="11.75" style="14" bestFit="1" customWidth="1"/>
    <col min="29" max="29" width="13.25" style="14" bestFit="1" customWidth="1"/>
    <col min="30" max="30" width="10.375" style="14" bestFit="1" customWidth="1"/>
    <col min="31" max="33" width="5.625" style="14" customWidth="1"/>
    <col min="34" max="16384" width="12.5" style="14"/>
  </cols>
  <sheetData>
    <row r="1" spans="1:33" ht="35.25" customHeight="1" x14ac:dyDescent="0.25">
      <c r="B1" s="64" t="s">
        <v>231</v>
      </c>
      <c r="C1" s="65">
        <v>1000</v>
      </c>
      <c r="D1" s="66" t="s">
        <v>232</v>
      </c>
      <c r="E1" s="99">
        <f>T32</f>
        <v>16557.47680224404</v>
      </c>
      <c r="F1" s="64" t="s">
        <v>233</v>
      </c>
      <c r="G1" s="245">
        <f>E1/C1</f>
        <v>16.55747680224404</v>
      </c>
      <c r="H1" s="64" t="s">
        <v>234</v>
      </c>
      <c r="I1" s="260">
        <f>G1/K1</f>
        <v>16.55747680224404</v>
      </c>
      <c r="J1" s="70" t="s">
        <v>235</v>
      </c>
      <c r="K1" s="84">
        <v>1</v>
      </c>
      <c r="L1" s="84"/>
      <c r="M1" s="73"/>
      <c r="N1" s="74"/>
      <c r="O1" s="75" t="s">
        <v>236</v>
      </c>
      <c r="P1" s="76" t="s">
        <v>289</v>
      </c>
      <c r="Q1" s="77" t="s">
        <v>238</v>
      </c>
      <c r="R1" s="520">
        <v>0.78</v>
      </c>
      <c r="Y1" s="75" t="s">
        <v>453</v>
      </c>
      <c r="Z1" s="766">
        <v>103000</v>
      </c>
      <c r="AA1" s="75" t="s">
        <v>556</v>
      </c>
      <c r="AB1" s="766">
        <v>0</v>
      </c>
      <c r="AC1" s="75" t="s">
        <v>546</v>
      </c>
      <c r="AD1" s="766">
        <v>333</v>
      </c>
      <c r="AE1" s="228"/>
      <c r="AF1" s="230"/>
      <c r="AG1" s="76"/>
    </row>
    <row r="2" spans="1:33" ht="12.75" customHeight="1" x14ac:dyDescent="0.25">
      <c r="A2" s="81"/>
      <c r="B2" s="1632" t="s">
        <v>454</v>
      </c>
      <c r="C2" s="1661"/>
      <c r="D2" s="1661"/>
      <c r="E2" s="1661"/>
      <c r="F2" s="1661"/>
      <c r="G2" s="1661"/>
      <c r="H2" s="1661"/>
      <c r="I2" s="512"/>
      <c r="J2" s="512"/>
      <c r="K2" s="513"/>
      <c r="L2" s="270"/>
      <c r="M2" s="84"/>
      <c r="N2" s="84"/>
      <c r="O2" s="84"/>
      <c r="P2" s="84"/>
      <c r="Q2" s="84"/>
      <c r="R2" s="84"/>
      <c r="AC2" s="83"/>
      <c r="AD2" s="83"/>
      <c r="AE2" s="1652"/>
      <c r="AF2" s="1655"/>
      <c r="AG2" s="1655"/>
    </row>
    <row r="3" spans="1:33" ht="12.75" customHeight="1" x14ac:dyDescent="0.25">
      <c r="A3" s="81"/>
      <c r="B3" s="1633"/>
      <c r="C3" s="1633"/>
      <c r="D3" s="1633"/>
      <c r="E3" s="1633"/>
      <c r="F3" s="1633"/>
      <c r="G3" s="1633"/>
      <c r="H3" s="1633"/>
      <c r="I3" s="346"/>
      <c r="J3" s="346"/>
      <c r="K3" s="468"/>
      <c r="L3" s="270"/>
      <c r="M3" s="84"/>
      <c r="N3" s="84"/>
      <c r="O3" s="84"/>
      <c r="P3" s="84"/>
      <c r="Q3" s="84"/>
      <c r="R3" s="84"/>
      <c r="AC3" s="83"/>
      <c r="AD3" s="83"/>
      <c r="AE3" s="1655"/>
      <c r="AF3" s="1655"/>
      <c r="AG3" s="1655"/>
    </row>
    <row r="4" spans="1:33" ht="48.75" customHeight="1" x14ac:dyDescent="0.2">
      <c r="A4" s="75" t="s">
        <v>903</v>
      </c>
      <c r="B4" s="75" t="s">
        <v>241</v>
      </c>
      <c r="C4" s="90" t="s">
        <v>242</v>
      </c>
      <c r="D4" s="75" t="s">
        <v>231</v>
      </c>
      <c r="E4" s="197" t="s">
        <v>234</v>
      </c>
      <c r="F4" s="91" t="s">
        <v>243</v>
      </c>
      <c r="G4" s="75" t="s">
        <v>244</v>
      </c>
      <c r="H4" s="307" t="s">
        <v>335</v>
      </c>
      <c r="I4" s="75" t="s">
        <v>246</v>
      </c>
      <c r="J4" s="75" t="s">
        <v>247</v>
      </c>
      <c r="K4" s="75" t="s">
        <v>248</v>
      </c>
      <c r="L4" s="75" t="s">
        <v>249</v>
      </c>
      <c r="M4" s="84"/>
      <c r="N4" s="84"/>
      <c r="O4" s="84"/>
      <c r="P4" s="84"/>
      <c r="AA4" s="229"/>
      <c r="AB4" s="231"/>
      <c r="AC4" s="229"/>
      <c r="AD4" s="229"/>
      <c r="AE4" s="229"/>
    </row>
    <row r="5" spans="1:33" ht="14.25" customHeight="1" x14ac:dyDescent="0.2">
      <c r="A5" s="1454"/>
      <c r="B5" s="299" t="s">
        <v>226</v>
      </c>
      <c r="C5" s="106" t="s">
        <v>14</v>
      </c>
      <c r="D5" s="103">
        <f>I51/H51</f>
        <v>3185.1282051282051</v>
      </c>
      <c r="E5" s="177">
        <f>$H$52</f>
        <v>16.556947351473195</v>
      </c>
      <c r="F5" s="109">
        <v>1</v>
      </c>
      <c r="G5" s="103">
        <f t="shared" ref="G5:G19" si="0">D5*E5</f>
        <v>52736.000000000007</v>
      </c>
      <c r="H5" s="102">
        <f t="shared" ref="H5:H19" si="1">G5*F5</f>
        <v>52736.000000000007</v>
      </c>
      <c r="I5" s="65">
        <f>VLOOKUP(B5,All_Ingredients!$A$1:$F$156,6,FALSE())</f>
        <v>0.99</v>
      </c>
      <c r="J5" s="101">
        <f>VLOOKUP(B5,All_Ingredients!$A$1:$J$156,10,FALSE())</f>
        <v>11.75</v>
      </c>
      <c r="K5" s="104">
        <f t="shared" ref="K5" si="2">(H5/I5)/1000</f>
        <v>53.268686868686878</v>
      </c>
      <c r="L5" s="104">
        <f t="shared" ref="L5" si="3">K5*J5</f>
        <v>625.90707070707083</v>
      </c>
      <c r="M5" s="84"/>
      <c r="N5" s="84"/>
      <c r="O5" s="84"/>
      <c r="P5" s="84"/>
      <c r="X5" s="84"/>
      <c r="AA5" s="76"/>
      <c r="AB5" s="114"/>
      <c r="AC5" s="232"/>
      <c r="AD5" s="116"/>
      <c r="AE5" s="117"/>
    </row>
    <row r="6" spans="1:33" ht="14.25" customHeight="1" x14ac:dyDescent="0.25">
      <c r="A6" s="1471" t="s">
        <v>922</v>
      </c>
      <c r="B6" s="20" t="s">
        <v>17</v>
      </c>
      <c r="C6" s="106" t="s">
        <v>14</v>
      </c>
      <c r="D6" s="107">
        <v>500</v>
      </c>
      <c r="E6" s="177">
        <f t="shared" ref="E6:E19" si="4">$G$1</f>
        <v>16.55747680224404</v>
      </c>
      <c r="F6" s="109">
        <v>1</v>
      </c>
      <c r="G6" s="103">
        <f t="shared" si="0"/>
        <v>8278.7384011220202</v>
      </c>
      <c r="H6" s="102">
        <f t="shared" si="1"/>
        <v>8278.7384011220202</v>
      </c>
      <c r="I6" s="65">
        <f>VLOOKUP(B6,All_Ingredients!$A$1:$F$156,6,FALSE())</f>
        <v>0.98</v>
      </c>
      <c r="J6" s="101">
        <f>VLOOKUP(B6,All_Ingredients!$A$1:$J$156,10,FALSE())</f>
        <v>3.5</v>
      </c>
      <c r="K6" s="104">
        <f t="shared" ref="K6:K19" si="5">(H6/I6)/1000</f>
        <v>8.4476922460428785</v>
      </c>
      <c r="L6" s="104">
        <f t="shared" ref="L6:L19" si="6">K6*J6</f>
        <v>29.566922861150076</v>
      </c>
      <c r="U6" s="518"/>
      <c r="V6" s="84"/>
    </row>
    <row r="7" spans="1:33" ht="14.25" customHeight="1" x14ac:dyDescent="0.25">
      <c r="A7" s="1471" t="s">
        <v>920</v>
      </c>
      <c r="B7" s="20" t="s">
        <v>12</v>
      </c>
      <c r="C7" s="106" t="s">
        <v>14</v>
      </c>
      <c r="D7" s="107">
        <v>300</v>
      </c>
      <c r="E7" s="201">
        <f t="shared" si="4"/>
        <v>16.55747680224404</v>
      </c>
      <c r="F7" s="109">
        <v>1</v>
      </c>
      <c r="G7" s="103">
        <f t="shared" si="0"/>
        <v>4967.2430406732119</v>
      </c>
      <c r="H7" s="102">
        <f t="shared" si="1"/>
        <v>4967.2430406732119</v>
      </c>
      <c r="I7" s="65">
        <f>VLOOKUP(B7,All_Ingredients!$A$1:$F$156,6,FALSE())</f>
        <v>0.9</v>
      </c>
      <c r="J7" s="101">
        <f>VLOOKUP(B7,All_Ingredients!$A$1:$J$156,10,FALSE())</f>
        <v>3</v>
      </c>
      <c r="K7" s="104">
        <f t="shared" si="5"/>
        <v>5.5191589340813465</v>
      </c>
      <c r="L7" s="104">
        <f t="shared" si="6"/>
        <v>16.55747680224404</v>
      </c>
      <c r="U7" s="518"/>
      <c r="V7" s="84"/>
    </row>
    <row r="8" spans="1:33" ht="14.25" customHeight="1" x14ac:dyDescent="0.25">
      <c r="A8" s="1471"/>
      <c r="B8" s="20" t="s">
        <v>152</v>
      </c>
      <c r="C8" s="106" t="s">
        <v>14</v>
      </c>
      <c r="D8" s="107">
        <v>50</v>
      </c>
      <c r="E8" s="201">
        <f t="shared" si="4"/>
        <v>16.55747680224404</v>
      </c>
      <c r="F8" s="109">
        <v>1</v>
      </c>
      <c r="G8" s="103">
        <f t="shared" si="0"/>
        <v>827.87384011220195</v>
      </c>
      <c r="H8" s="102">
        <f t="shared" si="1"/>
        <v>827.87384011220195</v>
      </c>
      <c r="I8" s="65">
        <f>VLOOKUP(B8,All_Ingredients!$A$1:$F$156,6,FALSE())</f>
        <v>1</v>
      </c>
      <c r="J8" s="101">
        <f>VLOOKUP(B8,All_Ingredients!$A$1:$J$156,10,FALSE())</f>
        <v>30</v>
      </c>
      <c r="K8" s="104">
        <f t="shared" si="5"/>
        <v>0.827873840112202</v>
      </c>
      <c r="L8" s="104">
        <f t="shared" si="6"/>
        <v>24.836215203366059</v>
      </c>
      <c r="U8" s="518"/>
      <c r="V8" s="84"/>
    </row>
    <row r="9" spans="1:33" ht="14.25" customHeight="1" x14ac:dyDescent="0.25">
      <c r="A9" s="1471" t="s">
        <v>907</v>
      </c>
      <c r="B9" s="20" t="s">
        <v>727</v>
      </c>
      <c r="C9" s="106" t="s">
        <v>14</v>
      </c>
      <c r="D9" s="107">
        <v>50</v>
      </c>
      <c r="E9" s="201">
        <f t="shared" si="4"/>
        <v>16.55747680224404</v>
      </c>
      <c r="F9" s="109">
        <v>1</v>
      </c>
      <c r="G9" s="103">
        <f t="shared" si="0"/>
        <v>827.87384011220195</v>
      </c>
      <c r="H9" s="102">
        <f t="shared" si="1"/>
        <v>827.87384011220195</v>
      </c>
      <c r="I9" s="65">
        <f>VLOOKUP(B9,All_Ingredients!$A$1:$F$156,6,FALSE())</f>
        <v>1</v>
      </c>
      <c r="J9" s="101">
        <f>VLOOKUP(B9,All_Ingredients!$A$1:$J$156,10,FALSE())</f>
        <v>10.5</v>
      </c>
      <c r="K9" s="104">
        <f t="shared" si="5"/>
        <v>0.827873840112202</v>
      </c>
      <c r="L9" s="104">
        <f t="shared" si="6"/>
        <v>8.6926753211781218</v>
      </c>
      <c r="U9" s="518"/>
      <c r="V9" s="84"/>
    </row>
    <row r="10" spans="1:33" ht="16.5" customHeight="1" x14ac:dyDescent="0.25">
      <c r="A10" s="1471"/>
      <c r="B10" s="20" t="s">
        <v>698</v>
      </c>
      <c r="C10" s="106" t="s">
        <v>14</v>
      </c>
      <c r="D10" s="107">
        <v>500</v>
      </c>
      <c r="E10" s="201">
        <f t="shared" si="4"/>
        <v>16.55747680224404</v>
      </c>
      <c r="F10" s="109">
        <v>1</v>
      </c>
      <c r="G10" s="103">
        <f t="shared" si="0"/>
        <v>8278.7384011220202</v>
      </c>
      <c r="H10" s="102">
        <f t="shared" si="1"/>
        <v>8278.7384011220202</v>
      </c>
      <c r="I10" s="65">
        <f>VLOOKUP(B10,All_Ingredients!$A$1:$F$156,6,FALSE())</f>
        <v>1</v>
      </c>
      <c r="J10" s="101">
        <f>VLOOKUP(B10,All_Ingredients!$A$1:$J$156,10,FALSE())</f>
        <v>8.1520833333333336</v>
      </c>
      <c r="K10" s="104">
        <f t="shared" si="5"/>
        <v>8.2787384011220198</v>
      </c>
      <c r="L10" s="104">
        <f t="shared" si="6"/>
        <v>67.488965340813465</v>
      </c>
      <c r="U10" s="518"/>
      <c r="V10" s="84"/>
    </row>
    <row r="11" spans="1:33" ht="14.25" customHeight="1" x14ac:dyDescent="0.25">
      <c r="A11" s="1471"/>
      <c r="B11" s="20" t="s">
        <v>192</v>
      </c>
      <c r="C11" s="106" t="s">
        <v>160</v>
      </c>
      <c r="D11" s="107">
        <v>50</v>
      </c>
      <c r="E11" s="201">
        <f t="shared" si="4"/>
        <v>16.55747680224404</v>
      </c>
      <c r="F11" s="109">
        <v>1</v>
      </c>
      <c r="G11" s="103">
        <f t="shared" si="0"/>
        <v>827.87384011220195</v>
      </c>
      <c r="H11" s="102">
        <f t="shared" si="1"/>
        <v>827.87384011220195</v>
      </c>
      <c r="I11" s="65">
        <f>VLOOKUP(B11,All_Ingredients!$A$1:$F$156,6,FALSE())</f>
        <v>1</v>
      </c>
      <c r="J11" s="101">
        <f>VLOOKUP(B11,All_Ingredients!$A$1:$J$156,10,FALSE())</f>
        <v>58.685446009389672</v>
      </c>
      <c r="K11" s="104">
        <f t="shared" si="5"/>
        <v>0.827873840112202</v>
      </c>
      <c r="L11" s="104">
        <f t="shared" si="6"/>
        <v>48.584145546490731</v>
      </c>
      <c r="U11" s="518"/>
      <c r="V11" s="84"/>
    </row>
    <row r="12" spans="1:33" x14ac:dyDescent="0.25">
      <c r="A12" s="1471"/>
      <c r="B12" s="20" t="s">
        <v>107</v>
      </c>
      <c r="C12" s="106" t="s">
        <v>14</v>
      </c>
      <c r="D12" s="107">
        <v>20</v>
      </c>
      <c r="E12" s="201">
        <f t="shared" si="4"/>
        <v>16.55747680224404</v>
      </c>
      <c r="F12" s="109">
        <v>1</v>
      </c>
      <c r="G12" s="103">
        <f t="shared" si="0"/>
        <v>331.14953604488079</v>
      </c>
      <c r="H12" s="102">
        <f t="shared" si="1"/>
        <v>331.14953604488079</v>
      </c>
      <c r="I12" s="65">
        <f>VLOOKUP(B12,All_Ingredients!$A$1:$F$156,6,FALSE())</f>
        <v>1</v>
      </c>
      <c r="J12" s="101">
        <f>VLOOKUP(B12,All_Ingredients!$A$1:$J$156,10,FALSE())</f>
        <v>8</v>
      </c>
      <c r="K12" s="104">
        <f t="shared" si="5"/>
        <v>0.33114953604488079</v>
      </c>
      <c r="L12" s="104">
        <f t="shared" si="6"/>
        <v>2.6491962883590463</v>
      </c>
      <c r="U12" s="518"/>
      <c r="V12" s="84"/>
    </row>
    <row r="13" spans="1:33" ht="15.75" customHeight="1" x14ac:dyDescent="0.25">
      <c r="A13" s="1471"/>
      <c r="B13" s="20" t="s">
        <v>105</v>
      </c>
      <c r="C13" s="106" t="s">
        <v>14</v>
      </c>
      <c r="D13" s="107">
        <v>20</v>
      </c>
      <c r="E13" s="201">
        <f t="shared" si="4"/>
        <v>16.55747680224404</v>
      </c>
      <c r="F13" s="109">
        <v>1</v>
      </c>
      <c r="G13" s="103">
        <f t="shared" si="0"/>
        <v>331.14953604488079</v>
      </c>
      <c r="H13" s="102">
        <f t="shared" si="1"/>
        <v>331.14953604488079</v>
      </c>
      <c r="I13" s="65">
        <f>VLOOKUP(B13,All_Ingredients!$A$1:$F$156,6,FALSE())</f>
        <v>1</v>
      </c>
      <c r="J13" s="101">
        <f>VLOOKUP(B13,All_Ingredients!$A$1:$J$156,10,FALSE())</f>
        <v>15</v>
      </c>
      <c r="K13" s="104">
        <f t="shared" si="5"/>
        <v>0.33114953604488079</v>
      </c>
      <c r="L13" s="104">
        <f t="shared" si="6"/>
        <v>4.9672430406732122</v>
      </c>
      <c r="U13" s="518"/>
      <c r="V13" s="84"/>
    </row>
    <row r="14" spans="1:33" ht="17.25" customHeight="1" x14ac:dyDescent="0.25">
      <c r="A14" s="1471"/>
      <c r="B14" s="299" t="s">
        <v>99</v>
      </c>
      <c r="C14" s="106" t="s">
        <v>14</v>
      </c>
      <c r="D14" s="107">
        <v>10</v>
      </c>
      <c r="E14" s="201">
        <f t="shared" si="4"/>
        <v>16.55747680224404</v>
      </c>
      <c r="F14" s="109">
        <v>1</v>
      </c>
      <c r="G14" s="103">
        <f t="shared" si="0"/>
        <v>165.5747680224404</v>
      </c>
      <c r="H14" s="102">
        <f t="shared" si="1"/>
        <v>165.5747680224404</v>
      </c>
      <c r="I14" s="65">
        <f>VLOOKUP(B14,All_Ingredients!$A$1:$F$156,6,FALSE())</f>
        <v>1</v>
      </c>
      <c r="J14" s="101">
        <f>VLOOKUP(B14,All_Ingredients!$A$1:$J$156,10,FALSE())</f>
        <v>31</v>
      </c>
      <c r="K14" s="104">
        <f t="shared" si="5"/>
        <v>0.16557476802244039</v>
      </c>
      <c r="L14" s="104">
        <f t="shared" si="6"/>
        <v>5.132817808695652</v>
      </c>
      <c r="U14" s="518"/>
      <c r="V14" s="84"/>
    </row>
    <row r="15" spans="1:33" ht="18.75" customHeight="1" x14ac:dyDescent="0.25">
      <c r="A15" s="1471"/>
      <c r="B15" s="299" t="s">
        <v>122</v>
      </c>
      <c r="C15" s="106" t="s">
        <v>14</v>
      </c>
      <c r="D15" s="107">
        <v>5</v>
      </c>
      <c r="E15" s="201">
        <f t="shared" si="4"/>
        <v>16.55747680224404</v>
      </c>
      <c r="F15" s="109">
        <v>1</v>
      </c>
      <c r="G15" s="103">
        <f t="shared" si="0"/>
        <v>82.787384011220198</v>
      </c>
      <c r="H15" s="102">
        <f t="shared" si="1"/>
        <v>82.787384011220198</v>
      </c>
      <c r="I15" s="65">
        <f>VLOOKUP(B15,All_Ingredients!$A$1:$F$156,6,FALSE())</f>
        <v>1</v>
      </c>
      <c r="J15" s="101">
        <f>VLOOKUP(B15,All_Ingredients!$A$1:$J$156,10,FALSE())</f>
        <v>14</v>
      </c>
      <c r="K15" s="104">
        <f t="shared" si="5"/>
        <v>8.2787384011220197E-2</v>
      </c>
      <c r="L15" s="104">
        <f t="shared" si="6"/>
        <v>1.1590233761570827</v>
      </c>
      <c r="U15" s="518"/>
      <c r="V15" s="84"/>
    </row>
    <row r="16" spans="1:33" ht="15" customHeight="1" x14ac:dyDescent="0.25">
      <c r="A16" s="1471"/>
      <c r="B16" s="299" t="s">
        <v>214</v>
      </c>
      <c r="C16" s="106" t="s">
        <v>14</v>
      </c>
      <c r="D16" s="107">
        <v>1</v>
      </c>
      <c r="E16" s="201">
        <f t="shared" si="4"/>
        <v>16.55747680224404</v>
      </c>
      <c r="F16" s="109">
        <v>1</v>
      </c>
      <c r="G16" s="103">
        <f t="shared" si="0"/>
        <v>16.55747680224404</v>
      </c>
      <c r="H16" s="102">
        <f t="shared" si="1"/>
        <v>16.55747680224404</v>
      </c>
      <c r="I16" s="65">
        <f>VLOOKUP(B16,All_Ingredients!$A$1:$F$156,6,FALSE())</f>
        <v>1</v>
      </c>
      <c r="J16" s="101">
        <f>VLOOKUP(B16,All_Ingredients!$A$1:$J$156,10,FALSE())</f>
        <v>35</v>
      </c>
      <c r="K16" s="104">
        <f t="shared" si="5"/>
        <v>1.655747680224404E-2</v>
      </c>
      <c r="L16" s="104">
        <f t="shared" si="6"/>
        <v>0.57951168807854136</v>
      </c>
      <c r="U16" s="518"/>
      <c r="V16" s="84"/>
    </row>
    <row r="17" spans="1:29" ht="14.25" customHeight="1" x14ac:dyDescent="0.25">
      <c r="A17" s="1472"/>
      <c r="B17" s="299" t="s">
        <v>172</v>
      </c>
      <c r="C17" s="106" t="s">
        <v>14</v>
      </c>
      <c r="D17" s="97">
        <v>297</v>
      </c>
      <c r="E17" s="201">
        <f t="shared" si="4"/>
        <v>16.55747680224404</v>
      </c>
      <c r="F17" s="109">
        <v>1</v>
      </c>
      <c r="G17" s="103">
        <f t="shared" si="0"/>
        <v>4917.5706102664799</v>
      </c>
      <c r="H17" s="102">
        <f t="shared" si="1"/>
        <v>4917.5706102664799</v>
      </c>
      <c r="I17" s="65">
        <f>VLOOKUP(B17,All_Ingredients!$A$1:$F$156,6,FALSE())</f>
        <v>1</v>
      </c>
      <c r="J17" s="101">
        <f>VLOOKUP(B17,All_Ingredients!$A$1:$J$156,10,FALSE())</f>
        <v>17.934782608695652</v>
      </c>
      <c r="K17" s="104">
        <f t="shared" si="5"/>
        <v>4.9175706102664796</v>
      </c>
      <c r="L17" s="104">
        <f t="shared" si="6"/>
        <v>88.195559858040127</v>
      </c>
      <c r="Q17" s="383"/>
      <c r="T17" s="14" t="s">
        <v>806</v>
      </c>
    </row>
    <row r="18" spans="1:29" ht="14.25" customHeight="1" x14ac:dyDescent="0.25">
      <c r="A18" s="1471"/>
      <c r="B18" s="20" t="s">
        <v>93</v>
      </c>
      <c r="C18" s="106" t="s">
        <v>14</v>
      </c>
      <c r="D18" s="107">
        <v>5</v>
      </c>
      <c r="E18" s="201">
        <f t="shared" si="4"/>
        <v>16.55747680224404</v>
      </c>
      <c r="F18" s="109">
        <v>1</v>
      </c>
      <c r="G18" s="103">
        <f t="shared" si="0"/>
        <v>82.787384011220198</v>
      </c>
      <c r="H18" s="102">
        <f t="shared" si="1"/>
        <v>82.787384011220198</v>
      </c>
      <c r="I18" s="65">
        <f>VLOOKUP(B18,All_Ingredients!$A$1:$F$156,6,FALSE())</f>
        <v>1</v>
      </c>
      <c r="J18" s="101">
        <f>VLOOKUP(B18,All_Ingredients!$A$1:$J$156,10,FALSE())</f>
        <v>0.74</v>
      </c>
      <c r="K18" s="104">
        <f t="shared" si="5"/>
        <v>8.2787384011220197E-2</v>
      </c>
      <c r="L18" s="104">
        <f t="shared" si="6"/>
        <v>6.1262664168302942E-2</v>
      </c>
    </row>
    <row r="19" spans="1:29" ht="14.25" customHeight="1" x14ac:dyDescent="0.25">
      <c r="A19" s="1471"/>
      <c r="B19" s="20" t="s">
        <v>185</v>
      </c>
      <c r="C19" s="106" t="s">
        <v>14</v>
      </c>
      <c r="D19" s="107">
        <v>100</v>
      </c>
      <c r="E19" s="201">
        <f t="shared" si="4"/>
        <v>16.55747680224404</v>
      </c>
      <c r="F19" s="109">
        <v>1</v>
      </c>
      <c r="G19" s="103">
        <f t="shared" si="0"/>
        <v>1655.7476802244039</v>
      </c>
      <c r="H19" s="102">
        <f t="shared" si="1"/>
        <v>1655.7476802244039</v>
      </c>
      <c r="I19" s="65">
        <f>VLOOKUP(B19,All_Ingredients!$A$1:$F$156,6,FALSE())</f>
        <v>1</v>
      </c>
      <c r="J19" s="101">
        <f>VLOOKUP(B19,All_Ingredients!$A$1:$J$156,10,FALSE())</f>
        <v>1.7</v>
      </c>
      <c r="K19" s="104">
        <f t="shared" si="5"/>
        <v>1.655747680224404</v>
      </c>
      <c r="L19" s="104">
        <f t="shared" si="6"/>
        <v>2.8147710563814865</v>
      </c>
      <c r="T19" s="14" t="s">
        <v>807</v>
      </c>
    </row>
    <row r="20" spans="1:29" x14ac:dyDescent="0.25">
      <c r="A20" s="1472"/>
      <c r="R20" s="556">
        <f>U28/R22</f>
        <v>0.5601122019635344</v>
      </c>
    </row>
    <row r="21" spans="1:29" ht="14.25" customHeight="1" x14ac:dyDescent="0.25">
      <c r="A21" s="1472"/>
      <c r="L21" s="274"/>
      <c r="R21" s="521" t="s">
        <v>355</v>
      </c>
      <c r="T21" s="521" t="s">
        <v>455</v>
      </c>
    </row>
    <row r="22" spans="1:29" ht="14.25" customHeight="1" x14ac:dyDescent="0.25">
      <c r="A22" s="1472"/>
      <c r="L22" s="274"/>
      <c r="R22" s="375">
        <f>$Z$1</f>
        <v>103000</v>
      </c>
      <c r="T22" s="375">
        <f>$AB$1</f>
        <v>0</v>
      </c>
    </row>
    <row r="23" spans="1:29" ht="14.25" customHeight="1" x14ac:dyDescent="0.25">
      <c r="A23" s="1472"/>
      <c r="L23" s="274"/>
    </row>
    <row r="24" spans="1:29" ht="14.25" customHeight="1" x14ac:dyDescent="0.25">
      <c r="A24" s="1472"/>
      <c r="L24" s="274"/>
      <c r="Z24" s="1073"/>
    </row>
    <row r="25" spans="1:29" ht="14.25" customHeight="1" x14ac:dyDescent="0.25">
      <c r="A25" s="1472"/>
      <c r="L25" s="274"/>
      <c r="R25" s="1654" t="s">
        <v>456</v>
      </c>
      <c r="S25" s="1633"/>
      <c r="T25" s="1633"/>
      <c r="U25" s="1633"/>
      <c r="Z25" s="122" t="s">
        <v>252</v>
      </c>
      <c r="AA25" s="123">
        <v>1</v>
      </c>
      <c r="AB25" s="122" t="s">
        <v>249</v>
      </c>
      <c r="AC25" s="124">
        <f>AC30*AA25</f>
        <v>1.6071552042547784E-2</v>
      </c>
    </row>
    <row r="26" spans="1:29" ht="18" customHeight="1" x14ac:dyDescent="0.25">
      <c r="A26" s="1472"/>
      <c r="L26" s="274"/>
      <c r="R26" s="1654" t="s">
        <v>360</v>
      </c>
      <c r="S26" s="1633"/>
      <c r="T26" s="1633"/>
      <c r="U26" s="1633"/>
    </row>
    <row r="27" spans="1:29" ht="23.25" customHeight="1" x14ac:dyDescent="0.25">
      <c r="A27" s="1472"/>
      <c r="L27" s="274"/>
      <c r="R27" s="126" t="s">
        <v>254</v>
      </c>
      <c r="S27" s="127" t="s">
        <v>379</v>
      </c>
      <c r="T27" s="127" t="s">
        <v>256</v>
      </c>
      <c r="U27" s="127" t="s">
        <v>257</v>
      </c>
      <c r="Z27" s="122" t="s">
        <v>258</v>
      </c>
      <c r="AA27" s="128" t="s">
        <v>259</v>
      </c>
      <c r="AB27" s="128" t="s">
        <v>260</v>
      </c>
      <c r="AC27" s="128" t="s">
        <v>262</v>
      </c>
    </row>
    <row r="28" spans="1:29" ht="14.25" customHeight="1" x14ac:dyDescent="0.25">
      <c r="A28" s="1472"/>
      <c r="L28" s="274"/>
      <c r="R28" s="129" t="s">
        <v>263</v>
      </c>
      <c r="S28" s="690">
        <f>($R$22*0.512)*$R$1</f>
        <v>41134.080000000002</v>
      </c>
      <c r="T28" s="690">
        <f>U28*U40</f>
        <v>16557.47680224404</v>
      </c>
      <c r="U28" s="690">
        <f>S28/S40</f>
        <v>57691.556802244042</v>
      </c>
      <c r="Z28" s="132"/>
      <c r="AA28" s="133">
        <f>AA25*$S$40</f>
        <v>0.71299999999999997</v>
      </c>
      <c r="AB28" s="133">
        <f>AA25*$U$40</f>
        <v>0.28699999999999998</v>
      </c>
      <c r="AC28" s="135">
        <f>SUM(AA28:AB28)</f>
        <v>1</v>
      </c>
    </row>
    <row r="29" spans="1:29" ht="14.25" customHeight="1" x14ac:dyDescent="0.25">
      <c r="A29" s="1472"/>
      <c r="R29" s="129" t="s">
        <v>264</v>
      </c>
      <c r="S29" s="692"/>
      <c r="T29" s="690"/>
      <c r="U29" s="690">
        <f>T29</f>
        <v>0</v>
      </c>
      <c r="Z29" s="132"/>
      <c r="AA29" s="137">
        <f>AA28/$AC$28</f>
        <v>0.71299999999999997</v>
      </c>
      <c r="AB29" s="137">
        <f>AB28/$AC$28</f>
        <v>0.28699999999999998</v>
      </c>
      <c r="AC29" s="137">
        <f>AC28/$AC$28</f>
        <v>1</v>
      </c>
    </row>
    <row r="30" spans="1:29" ht="14.25" customHeight="1" x14ac:dyDescent="0.25">
      <c r="A30" s="1472"/>
      <c r="B30" s="84"/>
      <c r="R30" s="129" t="s">
        <v>265</v>
      </c>
      <c r="S30" s="690">
        <f>($T$22*0.512)*$R$1</f>
        <v>0</v>
      </c>
      <c r="T30" s="690">
        <f>U30-S30</f>
        <v>0</v>
      </c>
      <c r="U30" s="690">
        <f>S30/S40</f>
        <v>0</v>
      </c>
      <c r="Z30" s="122" t="s">
        <v>266</v>
      </c>
      <c r="AA30" s="138">
        <f>S35/(S32)</f>
        <v>1.5216265216265219E-2</v>
      </c>
      <c r="AB30" s="139">
        <f>T35/T32</f>
        <v>1.8196358687633044E-2</v>
      </c>
      <c r="AC30" s="1135">
        <f>SUMPRODUCT(AA29:AB29,AA30:AB30)</f>
        <v>1.6071552042547784E-2</v>
      </c>
    </row>
    <row r="31" spans="1:29" ht="14.25" customHeight="1" x14ac:dyDescent="0.25">
      <c r="A31" s="1472"/>
      <c r="B31" s="84"/>
      <c r="R31" s="129" t="s">
        <v>267</v>
      </c>
      <c r="S31" s="136"/>
      <c r="T31" s="130"/>
      <c r="U31" s="130"/>
      <c r="AC31" s="1142"/>
    </row>
    <row r="32" spans="1:29" ht="14.25" customHeight="1" x14ac:dyDescent="0.25">
      <c r="A32" s="1472"/>
      <c r="B32" s="84"/>
      <c r="E32" s="84"/>
      <c r="F32" s="84"/>
      <c r="R32" s="141" t="s">
        <v>257</v>
      </c>
      <c r="S32" s="130">
        <f>SUM(S28:S30)</f>
        <v>41134.080000000002</v>
      </c>
      <c r="T32" s="130">
        <f>SUM(T28:T30)</f>
        <v>16557.47680224404</v>
      </c>
      <c r="U32" s="130">
        <f>SUM(U28:U30)</f>
        <v>57691.556802244042</v>
      </c>
    </row>
    <row r="33" spans="1:24" ht="14.25" customHeight="1" x14ac:dyDescent="0.25">
      <c r="A33" s="1472"/>
      <c r="B33" s="84"/>
      <c r="E33" s="84"/>
      <c r="F33" s="84"/>
      <c r="R33" s="142" t="s">
        <v>268</v>
      </c>
      <c r="S33" s="136"/>
      <c r="T33" s="136"/>
      <c r="U33" s="130">
        <f>F82</f>
        <v>0</v>
      </c>
    </row>
    <row r="34" spans="1:24" ht="14.25" customHeight="1" x14ac:dyDescent="0.25">
      <c r="A34" s="1472"/>
      <c r="B34" s="84"/>
      <c r="E34" s="84"/>
      <c r="F34" s="84"/>
      <c r="R34" s="143" t="s">
        <v>269</v>
      </c>
      <c r="S34" s="136"/>
      <c r="T34" s="130"/>
      <c r="U34" s="130"/>
    </row>
    <row r="35" spans="1:24" ht="14.25" customHeight="1" x14ac:dyDescent="0.25">
      <c r="A35" s="1472"/>
      <c r="B35" s="84"/>
      <c r="E35" s="84"/>
      <c r="F35" s="84"/>
      <c r="R35" s="144" t="s">
        <v>249</v>
      </c>
      <c r="S35" s="990">
        <f>$L$5</f>
        <v>625.90707070707083</v>
      </c>
      <c r="T35" s="990">
        <f>SUM(L6:L19)</f>
        <v>301.28578685579595</v>
      </c>
      <c r="U35" s="990">
        <f>S35+T35</f>
        <v>927.19285756286672</v>
      </c>
    </row>
    <row r="36" spans="1:24" ht="14.25" customHeight="1" x14ac:dyDescent="0.25">
      <c r="A36" s="1472"/>
      <c r="B36" s="84"/>
      <c r="E36" s="84"/>
      <c r="F36" s="84"/>
    </row>
    <row r="37" spans="1:24" x14ac:dyDescent="0.25">
      <c r="A37" s="1472"/>
    </row>
    <row r="38" spans="1:24" x14ac:dyDescent="0.25">
      <c r="A38" s="1472"/>
    </row>
    <row r="39" spans="1:24" x14ac:dyDescent="0.25">
      <c r="A39" s="1472"/>
    </row>
    <row r="40" spans="1:24" ht="14.25" customHeight="1" x14ac:dyDescent="0.25">
      <c r="A40" s="1472"/>
      <c r="R40" s="146" t="s">
        <v>270</v>
      </c>
      <c r="S40" s="217">
        <v>0.71299999999999997</v>
      </c>
      <c r="T40" s="146" t="s">
        <v>271</v>
      </c>
      <c r="U40" s="217">
        <v>0.28699999999999998</v>
      </c>
      <c r="V40" s="149">
        <f>S40+U40</f>
        <v>1</v>
      </c>
    </row>
    <row r="41" spans="1:24" ht="14.25" customHeight="1" x14ac:dyDescent="0.25">
      <c r="A41" s="1472"/>
      <c r="U41" s="150"/>
    </row>
    <row r="42" spans="1:24" ht="14.25" customHeight="1" x14ac:dyDescent="0.25">
      <c r="A42" s="1472"/>
    </row>
    <row r="43" spans="1:24" ht="14.25" customHeight="1" x14ac:dyDescent="0.25">
      <c r="A43" s="1472"/>
      <c r="Q43" s="151" t="s">
        <v>272</v>
      </c>
      <c r="R43" s="151" t="s">
        <v>273</v>
      </c>
      <c r="S43" s="151" t="s">
        <v>274</v>
      </c>
      <c r="T43" s="151" t="s">
        <v>275</v>
      </c>
      <c r="U43" s="151" t="s">
        <v>276</v>
      </c>
      <c r="V43" s="151" t="s">
        <v>277</v>
      </c>
      <c r="W43" s="235" t="s">
        <v>278</v>
      </c>
      <c r="X43" s="298"/>
    </row>
    <row r="44" spans="1:24" ht="14.25" customHeight="1" x14ac:dyDescent="0.25">
      <c r="A44" s="1472"/>
      <c r="Q44" s="153">
        <v>34844</v>
      </c>
      <c r="R44" s="154">
        <f>D51</f>
        <v>10000</v>
      </c>
      <c r="S44" s="219">
        <v>1</v>
      </c>
      <c r="T44" s="219">
        <v>0</v>
      </c>
      <c r="U44" s="220">
        <f>R44*S44</f>
        <v>10000</v>
      </c>
      <c r="V44" s="157">
        <f>R44*T44</f>
        <v>0</v>
      </c>
      <c r="W44" s="237">
        <f>Q44-U44</f>
        <v>24844</v>
      </c>
      <c r="X44" s="275"/>
    </row>
    <row r="45" spans="1:24" x14ac:dyDescent="0.25">
      <c r="A45" s="1472"/>
    </row>
    <row r="46" spans="1:24" x14ac:dyDescent="0.25">
      <c r="A46" s="1472"/>
    </row>
    <row r="47" spans="1:24" x14ac:dyDescent="0.25">
      <c r="A47" s="1472"/>
    </row>
    <row r="48" spans="1:24" x14ac:dyDescent="0.25">
      <c r="A48" s="1472"/>
    </row>
    <row r="49" spans="1:10" x14ac:dyDescent="0.25">
      <c r="A49" s="1472"/>
    </row>
    <row r="50" spans="1:10" x14ac:dyDescent="0.25">
      <c r="A50" s="1472"/>
      <c r="B50" s="253"/>
      <c r="C50" s="126" t="s">
        <v>233</v>
      </c>
      <c r="D50" s="126" t="s">
        <v>279</v>
      </c>
      <c r="G50" s="126" t="s">
        <v>280</v>
      </c>
      <c r="H50" s="126" t="s">
        <v>233</v>
      </c>
      <c r="I50" s="126" t="s">
        <v>281</v>
      </c>
      <c r="J50" s="126" t="s">
        <v>282</v>
      </c>
    </row>
    <row r="51" spans="1:10" x14ac:dyDescent="0.25">
      <c r="A51" s="1472"/>
      <c r="B51" s="161" t="s">
        <v>283</v>
      </c>
      <c r="C51" s="162">
        <f>10/$K$1</f>
        <v>10</v>
      </c>
      <c r="D51" s="163">
        <f>$C$1*10</f>
        <v>10000</v>
      </c>
      <c r="G51" s="161" t="s">
        <v>283</v>
      </c>
      <c r="H51" s="254">
        <v>10</v>
      </c>
      <c r="I51" s="162">
        <f t="shared" ref="I51:I57" si="7">J51/$R$1</f>
        <v>31851.282051282051</v>
      </c>
      <c r="J51" s="162">
        <f>$W$44</f>
        <v>24844</v>
      </c>
    </row>
    <row r="52" spans="1:10" x14ac:dyDescent="0.25">
      <c r="A52" s="1472"/>
      <c r="B52" s="209" t="s">
        <v>262</v>
      </c>
      <c r="C52" s="210">
        <f>$I$1</f>
        <v>16.55747680224404</v>
      </c>
      <c r="D52" s="211">
        <f>$T$32</f>
        <v>16557.47680224404</v>
      </c>
      <c r="G52" s="129" t="s">
        <v>262</v>
      </c>
      <c r="H52" s="190">
        <f>I52/$D$5</f>
        <v>16.556947351473195</v>
      </c>
      <c r="I52" s="157">
        <f t="shared" si="7"/>
        <v>52736</v>
      </c>
      <c r="J52" s="165">
        <f>$S$32</f>
        <v>41134.080000000002</v>
      </c>
    </row>
    <row r="53" spans="1:10" x14ac:dyDescent="0.25">
      <c r="A53" s="1472"/>
      <c r="B53" s="209" t="s">
        <v>284</v>
      </c>
      <c r="C53" s="212">
        <f>MIN(C52, C51)</f>
        <v>10</v>
      </c>
      <c r="D53" s="211">
        <f>(C53*$K$1)*$C$1</f>
        <v>10000</v>
      </c>
      <c r="G53" s="129" t="s">
        <v>284</v>
      </c>
      <c r="H53" s="168">
        <f>MIN(H52,H51)</f>
        <v>10</v>
      </c>
      <c r="I53" s="157">
        <f t="shared" si="7"/>
        <v>31851.282051282051</v>
      </c>
      <c r="J53" s="157">
        <f>MIN(J52,J51)</f>
        <v>24844</v>
      </c>
    </row>
    <row r="54" spans="1:10" x14ac:dyDescent="0.25">
      <c r="A54" s="1472"/>
      <c r="B54" s="209" t="s">
        <v>285</v>
      </c>
      <c r="C54" s="212">
        <f>MIN(MAX(C52-C53,0),C51)</f>
        <v>6.5574768022440395</v>
      </c>
      <c r="D54" s="211">
        <f>(C54*$K$1)*$C$1</f>
        <v>6557.4768022440394</v>
      </c>
      <c r="G54" s="129" t="s">
        <v>285</v>
      </c>
      <c r="H54" s="522">
        <f>MIN(MAX(H52-H53),H51)</f>
        <v>6.5569473514731946</v>
      </c>
      <c r="I54" s="157">
        <f t="shared" si="7"/>
        <v>20884.717948717949</v>
      </c>
      <c r="J54" s="157">
        <f>MIN(MAX(J52-J53,0),J51)</f>
        <v>16290.080000000002</v>
      </c>
    </row>
    <row r="55" spans="1:10" x14ac:dyDescent="0.25">
      <c r="A55" s="1472"/>
      <c r="B55" s="209" t="s">
        <v>286</v>
      </c>
      <c r="C55" s="212">
        <f>MIN(MAX(C52-C53-C54,0),C51)</f>
        <v>0</v>
      </c>
      <c r="D55" s="211">
        <f>(C55*$K$1)*$C$1</f>
        <v>0</v>
      </c>
      <c r="G55" s="126" t="s">
        <v>286</v>
      </c>
      <c r="H55" s="168">
        <f>MIN(MAX(H52-H53-H54),H51)</f>
        <v>0</v>
      </c>
      <c r="I55" s="157">
        <f t="shared" si="7"/>
        <v>0</v>
      </c>
      <c r="J55" s="157">
        <f>MIN(MAX(J52-J53-J54,0),J51)</f>
        <v>0</v>
      </c>
    </row>
    <row r="56" spans="1:10" x14ac:dyDescent="0.25">
      <c r="A56" s="1472"/>
      <c r="B56" s="209" t="s">
        <v>293</v>
      </c>
      <c r="C56" s="212">
        <f>MIN(MAX(C52-C53-C54-C55,0),C51)</f>
        <v>0</v>
      </c>
      <c r="D56" s="213">
        <f>C56*$K$1</f>
        <v>0</v>
      </c>
      <c r="G56" s="126" t="s">
        <v>293</v>
      </c>
      <c r="H56" s="168">
        <f>MIN(MAX(H52-H53-H54-H55,0),H51)</f>
        <v>0</v>
      </c>
      <c r="I56" s="157">
        <f t="shared" si="7"/>
        <v>0</v>
      </c>
      <c r="J56" s="157">
        <f>MIN(MAX(J52-J53-J54-J55,0),J51)</f>
        <v>0</v>
      </c>
    </row>
    <row r="57" spans="1:10" x14ac:dyDescent="0.25">
      <c r="A57" s="1472"/>
      <c r="B57" s="84"/>
      <c r="G57" s="126" t="s">
        <v>344</v>
      </c>
      <c r="H57" s="168">
        <f>MIN(MAX(H52-H53-H54-H55-H56,0),H51)</f>
        <v>0</v>
      </c>
      <c r="I57" s="157">
        <f t="shared" si="7"/>
        <v>0</v>
      </c>
      <c r="J57" s="190">
        <f>MIN(MAX(J52-J53-J54-J55-J56,0),J51)</f>
        <v>0</v>
      </c>
    </row>
    <row r="58" spans="1:10" x14ac:dyDescent="0.25">
      <c r="A58" s="1472"/>
    </row>
    <row r="59" spans="1:10" x14ac:dyDescent="0.25">
      <c r="A59" s="1472"/>
    </row>
    <row r="60" spans="1:10" ht="14.25" customHeight="1" x14ac:dyDescent="0.25">
      <c r="A60" s="1472"/>
    </row>
    <row r="61" spans="1:10" ht="14.25" customHeight="1" x14ac:dyDescent="0.25">
      <c r="A61" s="1472"/>
    </row>
    <row r="62" spans="1:10" x14ac:dyDescent="0.25">
      <c r="A62" s="1472"/>
    </row>
    <row r="63" spans="1:10" x14ac:dyDescent="0.25">
      <c r="A63" s="1472"/>
    </row>
    <row r="64" spans="1:10" ht="18" customHeight="1" x14ac:dyDescent="0.25">
      <c r="A64" s="1472"/>
      <c r="B64" s="1660"/>
      <c r="C64" s="1653"/>
      <c r="D64" s="1653"/>
      <c r="E64" s="1653"/>
      <c r="F64" s="1653"/>
      <c r="G64" s="1653"/>
      <c r="H64" s="1653"/>
    </row>
    <row r="65" spans="1:8" ht="18" customHeight="1" x14ac:dyDescent="0.25">
      <c r="A65" s="1472"/>
      <c r="B65" s="1660"/>
      <c r="C65" s="1653"/>
      <c r="D65" s="1653"/>
      <c r="E65" s="1653"/>
      <c r="F65" s="1653"/>
      <c r="G65" s="1653"/>
      <c r="H65" s="1653"/>
    </row>
    <row r="66" spans="1:8" ht="25.5" customHeight="1" x14ac:dyDescent="0.2">
      <c r="A66" s="1470"/>
      <c r="B66" s="347"/>
      <c r="C66" s="324"/>
      <c r="D66" s="347"/>
      <c r="E66" s="323"/>
      <c r="F66" s="347"/>
      <c r="G66" s="347"/>
      <c r="H66" s="323"/>
    </row>
    <row r="67" spans="1:8" ht="14.25" customHeight="1" x14ac:dyDescent="0.2">
      <c r="A67" s="1470"/>
      <c r="B67" s="325"/>
      <c r="C67" s="114"/>
      <c r="D67" s="203"/>
      <c r="E67" s="116"/>
      <c r="F67" s="117"/>
      <c r="G67" s="118"/>
      <c r="H67" s="119"/>
    </row>
    <row r="68" spans="1:8" ht="14.25" customHeight="1" x14ac:dyDescent="0.25">
      <c r="A68" s="1472"/>
      <c r="B68" s="325"/>
      <c r="C68" s="114"/>
      <c r="D68" s="232"/>
      <c r="E68" s="116"/>
      <c r="F68" s="117"/>
      <c r="G68" s="118"/>
      <c r="H68" s="119"/>
    </row>
    <row r="69" spans="1:8" ht="14.25" customHeight="1" x14ac:dyDescent="0.25">
      <c r="A69" s="1472"/>
      <c r="B69" s="325"/>
      <c r="C69" s="114"/>
      <c r="D69" s="232"/>
      <c r="E69" s="116"/>
      <c r="F69" s="117"/>
      <c r="G69" s="118"/>
      <c r="H69" s="119"/>
    </row>
    <row r="70" spans="1:8" ht="14.25" customHeight="1" x14ac:dyDescent="0.25">
      <c r="A70" s="1472"/>
      <c r="B70" s="325"/>
      <c r="C70" s="114"/>
      <c r="D70" s="232"/>
      <c r="E70" s="116"/>
      <c r="F70" s="117"/>
      <c r="G70" s="118"/>
      <c r="H70" s="119"/>
    </row>
    <row r="71" spans="1:8" ht="14.25" customHeight="1" x14ac:dyDescent="0.25">
      <c r="A71" s="1472"/>
      <c r="B71" s="325"/>
      <c r="C71" s="114"/>
      <c r="D71" s="232"/>
      <c r="E71" s="116"/>
      <c r="F71" s="117"/>
      <c r="G71" s="118"/>
      <c r="H71" s="119"/>
    </row>
    <row r="72" spans="1:8" ht="14.25" customHeight="1" x14ac:dyDescent="0.25">
      <c r="A72" s="1472"/>
      <c r="B72" s="325"/>
      <c r="C72" s="114"/>
      <c r="D72" s="232"/>
      <c r="E72" s="116"/>
      <c r="F72" s="117"/>
      <c r="G72" s="118"/>
      <c r="H72" s="119"/>
    </row>
    <row r="73" spans="1:8" ht="14.25" customHeight="1" x14ac:dyDescent="0.25">
      <c r="A73" s="1472"/>
      <c r="B73" s="325"/>
      <c r="C73" s="114"/>
      <c r="D73" s="232"/>
      <c r="E73" s="116"/>
      <c r="F73" s="117"/>
      <c r="G73" s="118"/>
      <c r="H73" s="119"/>
    </row>
    <row r="74" spans="1:8" ht="14.25" customHeight="1" x14ac:dyDescent="0.25">
      <c r="A74" s="1472"/>
      <c r="B74" s="325"/>
      <c r="C74" s="114"/>
      <c r="D74" s="232"/>
      <c r="E74" s="116"/>
      <c r="F74" s="117"/>
      <c r="G74" s="118"/>
      <c r="H74" s="119"/>
    </row>
    <row r="75" spans="1:8" ht="14.25" customHeight="1" x14ac:dyDescent="0.25">
      <c r="A75" s="1472"/>
      <c r="B75" s="325"/>
      <c r="C75" s="114"/>
      <c r="D75" s="232"/>
      <c r="E75" s="116"/>
      <c r="F75" s="117"/>
      <c r="G75" s="118"/>
      <c r="H75" s="119"/>
    </row>
    <row r="76" spans="1:8" ht="14.25" customHeight="1" x14ac:dyDescent="0.25">
      <c r="A76" s="1472"/>
      <c r="B76" s="325"/>
      <c r="C76" s="114"/>
      <c r="D76" s="232"/>
      <c r="E76" s="116"/>
      <c r="F76" s="117"/>
      <c r="G76" s="118"/>
      <c r="H76" s="119"/>
    </row>
    <row r="77" spans="1:8" ht="14.25" customHeight="1" x14ac:dyDescent="0.25">
      <c r="A77" s="1472"/>
      <c r="B77" s="325"/>
      <c r="C77" s="114"/>
      <c r="D77" s="232"/>
      <c r="E77" s="116"/>
      <c r="F77" s="117"/>
      <c r="G77" s="118"/>
      <c r="H77" s="119"/>
    </row>
    <row r="78" spans="1:8" ht="14.25" customHeight="1" x14ac:dyDescent="0.25">
      <c r="A78" s="1472"/>
      <c r="B78" s="325"/>
      <c r="C78" s="114"/>
      <c r="D78" s="232"/>
      <c r="E78" s="116"/>
      <c r="F78" s="117"/>
      <c r="G78" s="118"/>
      <c r="H78" s="119"/>
    </row>
    <row r="79" spans="1:8" ht="14.25" customHeight="1" x14ac:dyDescent="0.25">
      <c r="A79" s="1472"/>
      <c r="B79" s="325"/>
      <c r="C79" s="114"/>
      <c r="D79" s="232"/>
      <c r="E79" s="116"/>
      <c r="F79" s="117"/>
      <c r="G79" s="118"/>
      <c r="H79" s="119"/>
    </row>
    <row r="80" spans="1:8" ht="14.25" customHeight="1" x14ac:dyDescent="0.25">
      <c r="A80" s="1472"/>
      <c r="B80" s="325"/>
      <c r="C80" s="114"/>
      <c r="D80" s="232"/>
      <c r="E80" s="116"/>
      <c r="F80" s="117"/>
      <c r="G80" s="118"/>
      <c r="H80" s="119"/>
    </row>
    <row r="81" spans="1:8" ht="20.25" customHeight="1" x14ac:dyDescent="0.3">
      <c r="A81" s="1472"/>
      <c r="B81" s="184"/>
      <c r="C81" s="450"/>
      <c r="D81" s="451"/>
      <c r="E81" s="452"/>
      <c r="F81" s="451"/>
      <c r="G81" s="453"/>
      <c r="H81" s="183"/>
    </row>
    <row r="82" spans="1:8" ht="14.25" customHeight="1" x14ac:dyDescent="0.25">
      <c r="A82" s="1472"/>
      <c r="B82" s="84"/>
      <c r="C82" s="188"/>
      <c r="D82" s="189"/>
      <c r="E82" s="84"/>
      <c r="F82" s="84"/>
    </row>
    <row r="83" spans="1:8" x14ac:dyDescent="0.25">
      <c r="A83" s="1472"/>
    </row>
    <row r="84" spans="1:8" x14ac:dyDescent="0.25">
      <c r="A84" s="1472"/>
    </row>
    <row r="85" spans="1:8" ht="18" customHeight="1" x14ac:dyDescent="0.25">
      <c r="A85" s="1472"/>
      <c r="B85" s="1660"/>
      <c r="C85" s="1653"/>
      <c r="D85" s="1653"/>
      <c r="E85" s="1653"/>
      <c r="F85" s="1653"/>
      <c r="G85" s="1653"/>
      <c r="H85" s="1653"/>
    </row>
    <row r="86" spans="1:8" ht="18" customHeight="1" x14ac:dyDescent="0.25">
      <c r="A86" s="1472"/>
      <c r="B86" s="1660"/>
      <c r="C86" s="1653"/>
      <c r="D86" s="1653"/>
      <c r="E86" s="1653"/>
      <c r="F86" s="1653"/>
      <c r="G86" s="1653"/>
      <c r="H86" s="1653"/>
    </row>
    <row r="87" spans="1:8" ht="25.5" customHeight="1" x14ac:dyDescent="0.2">
      <c r="A87" s="1470"/>
      <c r="B87" s="347"/>
      <c r="C87" s="324"/>
      <c r="D87" s="347"/>
      <c r="E87" s="323"/>
      <c r="F87" s="347"/>
      <c r="G87" s="347"/>
      <c r="H87" s="323"/>
    </row>
    <row r="88" spans="1:8" ht="14.25" customHeight="1" x14ac:dyDescent="0.2">
      <c r="A88" s="1470"/>
      <c r="B88" s="325"/>
      <c r="C88" s="325"/>
      <c r="D88" s="823"/>
      <c r="E88" s="116"/>
      <c r="F88" s="117"/>
      <c r="G88" s="118"/>
      <c r="H88" s="119"/>
    </row>
    <row r="89" spans="1:8" ht="14.25" customHeight="1" x14ac:dyDescent="0.25">
      <c r="A89" s="1472"/>
      <c r="B89" s="325"/>
      <c r="C89" s="325"/>
      <c r="D89" s="325"/>
      <c r="E89" s="116"/>
      <c r="F89" s="117"/>
      <c r="G89" s="118"/>
      <c r="H89" s="119"/>
    </row>
    <row r="90" spans="1:8" ht="14.25" customHeight="1" x14ac:dyDescent="0.25">
      <c r="A90" s="1472"/>
      <c r="B90" s="325"/>
      <c r="C90" s="325"/>
      <c r="D90" s="325"/>
      <c r="E90" s="116"/>
      <c r="F90" s="117"/>
      <c r="G90" s="118"/>
      <c r="H90" s="119"/>
    </row>
    <row r="91" spans="1:8" ht="14.25" customHeight="1" x14ac:dyDescent="0.25">
      <c r="A91" s="1472"/>
      <c r="B91" s="325"/>
      <c r="C91" s="325"/>
      <c r="D91" s="325"/>
      <c r="E91" s="116"/>
      <c r="F91" s="117"/>
      <c r="G91" s="118"/>
      <c r="H91" s="119"/>
    </row>
    <row r="92" spans="1:8" ht="14.25" customHeight="1" x14ac:dyDescent="0.25">
      <c r="A92" s="1472"/>
      <c r="B92" s="325"/>
      <c r="C92" s="325"/>
      <c r="D92" s="325"/>
      <c r="E92" s="116"/>
      <c r="F92" s="117"/>
      <c r="G92" s="118"/>
      <c r="H92" s="119"/>
    </row>
    <row r="93" spans="1:8" ht="14.25" customHeight="1" x14ac:dyDescent="0.25">
      <c r="A93" s="1472"/>
      <c r="B93" s="325"/>
      <c r="C93" s="325"/>
      <c r="D93" s="325"/>
      <c r="E93" s="116"/>
      <c r="F93" s="117"/>
      <c r="G93" s="118"/>
      <c r="H93" s="119"/>
    </row>
    <row r="94" spans="1:8" ht="14.25" customHeight="1" x14ac:dyDescent="0.25">
      <c r="A94" s="1472"/>
      <c r="B94" s="325"/>
      <c r="C94" s="325"/>
      <c r="D94" s="325"/>
      <c r="E94" s="116"/>
      <c r="F94" s="117"/>
      <c r="G94" s="118"/>
      <c r="H94" s="119"/>
    </row>
    <row r="95" spans="1:8" ht="14.25" customHeight="1" x14ac:dyDescent="0.25">
      <c r="A95" s="1472"/>
      <c r="B95" s="325"/>
      <c r="C95" s="325"/>
      <c r="D95" s="325"/>
      <c r="E95" s="116"/>
      <c r="F95" s="117"/>
      <c r="G95" s="118"/>
      <c r="H95" s="119"/>
    </row>
    <row r="96" spans="1:8" ht="14.25" customHeight="1" x14ac:dyDescent="0.25">
      <c r="A96" s="1472"/>
      <c r="B96" s="325"/>
      <c r="C96" s="325"/>
      <c r="D96" s="325"/>
      <c r="E96" s="116"/>
      <c r="F96" s="117"/>
      <c r="G96" s="118"/>
      <c r="H96" s="119"/>
    </row>
    <row r="97" spans="1:8" ht="14.25" customHeight="1" x14ac:dyDescent="0.25">
      <c r="A97" s="1472"/>
      <c r="B97" s="325"/>
      <c r="C97" s="325"/>
      <c r="D97" s="325"/>
      <c r="E97" s="116"/>
      <c r="F97" s="117"/>
      <c r="G97" s="118"/>
      <c r="H97" s="119"/>
    </row>
    <row r="98" spans="1:8" ht="14.25" customHeight="1" x14ac:dyDescent="0.25">
      <c r="A98" s="1472"/>
      <c r="B98" s="325"/>
      <c r="C98" s="325"/>
      <c r="D98" s="325"/>
      <c r="E98" s="116"/>
      <c r="F98" s="117"/>
      <c r="G98" s="118"/>
      <c r="H98" s="119"/>
    </row>
    <row r="99" spans="1:8" ht="14.25" customHeight="1" x14ac:dyDescent="0.25">
      <c r="A99" s="1472"/>
      <c r="B99" s="325"/>
      <c r="C99" s="325"/>
      <c r="D99" s="325"/>
      <c r="E99" s="116"/>
      <c r="F99" s="117"/>
      <c r="G99" s="118"/>
      <c r="H99" s="119"/>
    </row>
    <row r="100" spans="1:8" ht="14.25" customHeight="1" x14ac:dyDescent="0.25">
      <c r="A100" s="1472"/>
      <c r="B100" s="325"/>
      <c r="C100" s="325"/>
      <c r="D100" s="325"/>
      <c r="E100" s="116"/>
      <c r="F100" s="117"/>
      <c r="G100" s="118"/>
      <c r="H100" s="119"/>
    </row>
    <row r="101" spans="1:8" ht="14.25" customHeight="1" x14ac:dyDescent="0.25">
      <c r="A101" s="1472"/>
      <c r="B101" s="325"/>
      <c r="C101" s="325"/>
      <c r="D101" s="325"/>
      <c r="E101" s="116"/>
      <c r="F101" s="117"/>
      <c r="G101" s="118"/>
      <c r="H101" s="119"/>
    </row>
    <row r="102" spans="1:8" ht="20.25" customHeight="1" x14ac:dyDescent="0.3">
      <c r="A102" s="1472"/>
      <c r="B102" s="184"/>
      <c r="C102" s="450"/>
      <c r="D102" s="451"/>
      <c r="E102" s="452"/>
      <c r="F102" s="451"/>
      <c r="G102" s="453"/>
      <c r="H102" s="183"/>
    </row>
    <row r="103" spans="1:8" x14ac:dyDescent="0.25">
      <c r="A103" s="1472"/>
    </row>
    <row r="104" spans="1:8" x14ac:dyDescent="0.25">
      <c r="A104" s="1472"/>
    </row>
    <row r="105" spans="1:8" x14ac:dyDescent="0.25">
      <c r="A105" s="1472"/>
    </row>
    <row r="106" spans="1:8" ht="18" customHeight="1" x14ac:dyDescent="0.25">
      <c r="A106" s="1472"/>
      <c r="B106" s="1660"/>
      <c r="C106" s="1653"/>
      <c r="D106" s="1653"/>
      <c r="E106" s="1653"/>
      <c r="F106" s="1653"/>
      <c r="G106" s="1653"/>
      <c r="H106" s="1653"/>
    </row>
    <row r="107" spans="1:8" ht="18" customHeight="1" x14ac:dyDescent="0.25">
      <c r="A107" s="1472"/>
      <c r="B107" s="1660"/>
      <c r="C107" s="1653"/>
      <c r="D107" s="1653"/>
      <c r="E107" s="1653"/>
      <c r="F107" s="1653"/>
      <c r="G107" s="1653"/>
      <c r="H107" s="1653"/>
    </row>
    <row r="108" spans="1:8" ht="25.5" customHeight="1" x14ac:dyDescent="0.2">
      <c r="A108" s="1470"/>
      <c r="B108" s="347"/>
      <c r="C108" s="324"/>
      <c r="D108" s="347"/>
      <c r="E108" s="323"/>
      <c r="F108" s="347"/>
      <c r="G108" s="347"/>
      <c r="H108" s="323"/>
    </row>
    <row r="109" spans="1:8" ht="14.25" customHeight="1" x14ac:dyDescent="0.2">
      <c r="A109" s="1470"/>
      <c r="B109" s="325"/>
      <c r="C109" s="325"/>
      <c r="D109" s="325"/>
      <c r="E109" s="116"/>
      <c r="F109" s="117"/>
      <c r="G109" s="230"/>
      <c r="H109" s="824"/>
    </row>
    <row r="110" spans="1:8" ht="14.25" customHeight="1" x14ac:dyDescent="0.25">
      <c r="A110" s="1472"/>
      <c r="B110" s="325"/>
      <c r="C110" s="325"/>
      <c r="D110" s="325"/>
      <c r="E110" s="116"/>
      <c r="F110" s="117"/>
      <c r="G110" s="118"/>
      <c r="H110" s="119"/>
    </row>
    <row r="111" spans="1:8" ht="14.25" customHeight="1" x14ac:dyDescent="0.25">
      <c r="A111" s="1472"/>
      <c r="B111" s="325"/>
      <c r="C111" s="325"/>
      <c r="D111" s="325"/>
      <c r="E111" s="116"/>
      <c r="F111" s="117"/>
      <c r="G111" s="118"/>
      <c r="H111" s="119"/>
    </row>
    <row r="112" spans="1:8" ht="14.25" customHeight="1" x14ac:dyDescent="0.25">
      <c r="A112" s="1472"/>
      <c r="B112" s="325"/>
      <c r="C112" s="325"/>
      <c r="D112" s="325"/>
      <c r="E112" s="116"/>
      <c r="F112" s="117"/>
      <c r="G112" s="118"/>
      <c r="H112" s="119"/>
    </row>
    <row r="113" spans="1:8" ht="14.25" customHeight="1" x14ac:dyDescent="0.25">
      <c r="A113" s="1472"/>
      <c r="B113" s="325"/>
      <c r="C113" s="325"/>
      <c r="D113" s="325"/>
      <c r="E113" s="116"/>
      <c r="F113" s="117"/>
      <c r="G113" s="118"/>
      <c r="H113" s="119"/>
    </row>
    <row r="114" spans="1:8" ht="14.25" customHeight="1" x14ac:dyDescent="0.25">
      <c r="A114" s="1472"/>
      <c r="B114" s="325"/>
      <c r="C114" s="325"/>
      <c r="D114" s="325"/>
      <c r="E114" s="116"/>
      <c r="F114" s="117"/>
      <c r="G114" s="118"/>
      <c r="H114" s="119"/>
    </row>
    <row r="115" spans="1:8" ht="14.25" customHeight="1" x14ac:dyDescent="0.25">
      <c r="A115" s="1472"/>
      <c r="B115" s="325"/>
      <c r="C115" s="325"/>
      <c r="D115" s="325"/>
      <c r="E115" s="116"/>
      <c r="F115" s="117"/>
      <c r="G115" s="118"/>
      <c r="H115" s="119"/>
    </row>
    <row r="116" spans="1:8" ht="14.25" customHeight="1" x14ac:dyDescent="0.25">
      <c r="A116" s="1472"/>
      <c r="B116" s="325"/>
      <c r="C116" s="325"/>
      <c r="D116" s="325"/>
      <c r="E116" s="116"/>
      <c r="F116" s="117"/>
      <c r="G116" s="118"/>
      <c r="H116" s="119"/>
    </row>
    <row r="117" spans="1:8" ht="14.25" customHeight="1" x14ac:dyDescent="0.25">
      <c r="A117" s="1472"/>
      <c r="B117" s="325"/>
      <c r="C117" s="325"/>
      <c r="D117" s="325"/>
      <c r="E117" s="116"/>
      <c r="F117" s="117"/>
      <c r="G117" s="118"/>
      <c r="H117" s="119"/>
    </row>
    <row r="118" spans="1:8" ht="14.25" customHeight="1" x14ac:dyDescent="0.25">
      <c r="A118" s="1472"/>
      <c r="B118" s="325"/>
      <c r="C118" s="325"/>
      <c r="D118" s="325"/>
      <c r="E118" s="116"/>
      <c r="F118" s="117"/>
      <c r="G118" s="118"/>
      <c r="H118" s="119"/>
    </row>
    <row r="119" spans="1:8" ht="14.25" customHeight="1" x14ac:dyDescent="0.25">
      <c r="A119" s="1472"/>
      <c r="B119" s="325"/>
      <c r="C119" s="325"/>
      <c r="D119" s="325"/>
      <c r="E119" s="116"/>
      <c r="F119" s="117"/>
      <c r="G119" s="118"/>
      <c r="H119" s="119"/>
    </row>
    <row r="120" spans="1:8" ht="14.25" customHeight="1" x14ac:dyDescent="0.25">
      <c r="A120" s="1472"/>
      <c r="B120" s="325"/>
      <c r="C120" s="325"/>
      <c r="D120" s="325"/>
      <c r="E120" s="116"/>
      <c r="F120" s="117"/>
      <c r="G120" s="118"/>
      <c r="H120" s="119"/>
    </row>
    <row r="121" spans="1:8" ht="14.25" customHeight="1" x14ac:dyDescent="0.25">
      <c r="A121" s="1472"/>
      <c r="B121" s="325"/>
      <c r="C121" s="325"/>
      <c r="D121" s="325"/>
      <c r="E121" s="116"/>
      <c r="F121" s="117"/>
      <c r="G121" s="118"/>
      <c r="H121" s="119"/>
    </row>
    <row r="122" spans="1:8" ht="14.25" customHeight="1" x14ac:dyDescent="0.25">
      <c r="A122" s="1472"/>
      <c r="B122" s="325"/>
      <c r="C122" s="325"/>
      <c r="D122" s="325"/>
      <c r="E122" s="116"/>
      <c r="F122" s="117"/>
      <c r="G122" s="118"/>
      <c r="H122" s="119"/>
    </row>
    <row r="123" spans="1:8" ht="20.25" customHeight="1" x14ac:dyDescent="0.3">
      <c r="A123" s="1472"/>
      <c r="B123" s="184"/>
      <c r="C123" s="450"/>
      <c r="D123" s="451"/>
      <c r="E123" s="452"/>
      <c r="F123" s="451"/>
      <c r="G123" s="453"/>
      <c r="H123" s="183"/>
    </row>
    <row r="124" spans="1:8" x14ac:dyDescent="0.25">
      <c r="A124" s="1472"/>
    </row>
    <row r="125" spans="1:8" x14ac:dyDescent="0.25">
      <c r="A125" s="1472"/>
    </row>
    <row r="126" spans="1:8" x14ac:dyDescent="0.25">
      <c r="A126" s="1472"/>
    </row>
    <row r="127" spans="1:8" ht="18" customHeight="1" x14ac:dyDescent="0.25">
      <c r="A127" s="1472"/>
      <c r="B127" s="1660"/>
      <c r="C127" s="1653"/>
      <c r="D127" s="1653"/>
      <c r="E127" s="1653"/>
      <c r="F127" s="1653"/>
      <c r="G127" s="1653"/>
      <c r="H127" s="1653"/>
    </row>
    <row r="128" spans="1:8" ht="18" customHeight="1" x14ac:dyDescent="0.25">
      <c r="A128" s="1472"/>
      <c r="B128" s="1660"/>
      <c r="C128" s="1653"/>
      <c r="D128" s="1653"/>
      <c r="E128" s="1653"/>
      <c r="F128" s="1653"/>
      <c r="G128" s="1653"/>
      <c r="H128" s="1653"/>
    </row>
    <row r="129" spans="1:8" ht="25.5" customHeight="1" x14ac:dyDescent="0.2">
      <c r="A129" s="1470"/>
      <c r="B129" s="347"/>
      <c r="C129" s="324"/>
      <c r="D129" s="347"/>
      <c r="E129" s="323"/>
      <c r="F129" s="347"/>
      <c r="G129" s="347"/>
      <c r="H129" s="323"/>
    </row>
    <row r="130" spans="1:8" ht="14.25" customHeight="1" x14ac:dyDescent="0.2">
      <c r="A130" s="1470"/>
      <c r="B130" s="325"/>
      <c r="C130" s="325"/>
      <c r="D130" s="325"/>
      <c r="E130" s="116"/>
      <c r="F130" s="117"/>
      <c r="G130" s="230"/>
      <c r="H130" s="824"/>
    </row>
    <row r="131" spans="1:8" ht="14.25" customHeight="1" x14ac:dyDescent="0.25">
      <c r="A131" s="1472"/>
      <c r="B131" s="325"/>
      <c r="C131" s="325"/>
      <c r="D131" s="325"/>
      <c r="E131" s="116"/>
      <c r="F131" s="117"/>
      <c r="G131" s="118"/>
      <c r="H131" s="119"/>
    </row>
    <row r="132" spans="1:8" ht="14.25" customHeight="1" x14ac:dyDescent="0.25">
      <c r="A132" s="1472"/>
      <c r="B132" s="325"/>
      <c r="C132" s="325"/>
      <c r="D132" s="325"/>
      <c r="E132" s="116"/>
      <c r="F132" s="117"/>
      <c r="G132" s="118"/>
      <c r="H132" s="119"/>
    </row>
    <row r="133" spans="1:8" ht="14.25" customHeight="1" x14ac:dyDescent="0.25">
      <c r="A133" s="1472"/>
      <c r="B133" s="325"/>
      <c r="C133" s="325"/>
      <c r="D133" s="325"/>
      <c r="E133" s="116"/>
      <c r="F133" s="117"/>
      <c r="G133" s="118"/>
      <c r="H133" s="119"/>
    </row>
    <row r="134" spans="1:8" ht="14.25" customHeight="1" x14ac:dyDescent="0.25">
      <c r="A134" s="1472"/>
      <c r="B134" s="325"/>
      <c r="C134" s="325"/>
      <c r="D134" s="325"/>
      <c r="E134" s="116"/>
      <c r="F134" s="117"/>
      <c r="G134" s="118"/>
      <c r="H134" s="119"/>
    </row>
    <row r="135" spans="1:8" ht="14.25" customHeight="1" x14ac:dyDescent="0.25">
      <c r="A135" s="1472"/>
      <c r="B135" s="325"/>
      <c r="C135" s="325"/>
      <c r="D135" s="325"/>
      <c r="E135" s="116"/>
      <c r="F135" s="117"/>
      <c r="G135" s="118"/>
      <c r="H135" s="119"/>
    </row>
    <row r="136" spans="1:8" ht="14.25" customHeight="1" x14ac:dyDescent="0.25">
      <c r="A136" s="1472"/>
      <c r="B136" s="325"/>
      <c r="C136" s="325"/>
      <c r="D136" s="325"/>
      <c r="E136" s="116"/>
      <c r="F136" s="117"/>
      <c r="G136" s="118"/>
      <c r="H136" s="119"/>
    </row>
    <row r="137" spans="1:8" ht="14.25" customHeight="1" x14ac:dyDescent="0.25">
      <c r="A137" s="1472"/>
      <c r="B137" s="325"/>
      <c r="C137" s="325"/>
      <c r="D137" s="325"/>
      <c r="E137" s="116"/>
      <c r="F137" s="117"/>
      <c r="G137" s="118"/>
      <c r="H137" s="119"/>
    </row>
    <row r="138" spans="1:8" ht="14.25" customHeight="1" x14ac:dyDescent="0.25">
      <c r="A138" s="1472"/>
      <c r="B138" s="325"/>
      <c r="C138" s="325"/>
      <c r="D138" s="325"/>
      <c r="E138" s="116"/>
      <c r="F138" s="117"/>
      <c r="G138" s="118"/>
      <c r="H138" s="119"/>
    </row>
    <row r="139" spans="1:8" ht="14.25" customHeight="1" x14ac:dyDescent="0.25">
      <c r="A139" s="1472"/>
      <c r="B139" s="325"/>
      <c r="C139" s="325"/>
      <c r="D139" s="325"/>
      <c r="E139" s="116"/>
      <c r="F139" s="117"/>
      <c r="G139" s="118"/>
      <c r="H139" s="119"/>
    </row>
    <row r="140" spans="1:8" ht="14.25" customHeight="1" x14ac:dyDescent="0.25">
      <c r="A140" s="1472"/>
      <c r="B140" s="325"/>
      <c r="C140" s="325"/>
      <c r="D140" s="325"/>
      <c r="E140" s="116"/>
      <c r="F140" s="117"/>
      <c r="G140" s="118"/>
      <c r="H140" s="119"/>
    </row>
    <row r="141" spans="1:8" ht="14.25" customHeight="1" x14ac:dyDescent="0.25">
      <c r="A141" s="1472"/>
      <c r="B141" s="325"/>
      <c r="C141" s="325"/>
      <c r="D141" s="325"/>
      <c r="E141" s="116"/>
      <c r="F141" s="117"/>
      <c r="G141" s="118"/>
      <c r="H141" s="119"/>
    </row>
    <row r="142" spans="1:8" ht="14.25" customHeight="1" x14ac:dyDescent="0.25">
      <c r="A142" s="1472"/>
      <c r="B142" s="325"/>
      <c r="C142" s="325"/>
      <c r="D142" s="325"/>
      <c r="E142" s="116"/>
      <c r="F142" s="117"/>
      <c r="G142" s="118"/>
      <c r="H142" s="119"/>
    </row>
    <row r="143" spans="1:8" ht="14.25" customHeight="1" x14ac:dyDescent="0.25">
      <c r="A143" s="1472"/>
      <c r="B143" s="325"/>
      <c r="C143" s="325"/>
      <c r="D143" s="325"/>
      <c r="E143" s="116"/>
      <c r="F143" s="117"/>
      <c r="G143" s="118"/>
      <c r="H143" s="119"/>
    </row>
    <row r="144" spans="1:8" ht="20.25" customHeight="1" x14ac:dyDescent="0.3">
      <c r="A144" s="1472"/>
      <c r="B144" s="184"/>
      <c r="C144" s="450"/>
      <c r="D144" s="451"/>
      <c r="E144" s="452"/>
      <c r="F144" s="451"/>
      <c r="G144" s="453"/>
      <c r="H144" s="183"/>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2">
    <mergeCell ref="B128:H128"/>
    <mergeCell ref="B107:H107"/>
    <mergeCell ref="B85:H85"/>
    <mergeCell ref="AE2:AG3"/>
    <mergeCell ref="B127:H127"/>
    <mergeCell ref="B65:H65"/>
    <mergeCell ref="B106:H106"/>
    <mergeCell ref="R26:U26"/>
    <mergeCell ref="R25:U25"/>
    <mergeCell ref="B64:H64"/>
    <mergeCell ref="B86:H86"/>
    <mergeCell ref="B2:H3"/>
  </mergeCells>
  <printOptions horizontalCentered="1"/>
  <pageMargins left="0.5" right="0.5" top="1" bottom="0.5" header="0.3" footer="0.511811023622047"/>
  <pageSetup paperSize="9" scale="32" orientation="portrait"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0B8C2-F8E0-4E06-A510-6DF56A345C92}">
  <sheetPr codeName="Sheet93">
    <tabColor theme="5" tint="-0.249977111117893"/>
    <pageSetUpPr fitToPage="1"/>
  </sheetPr>
  <dimension ref="A1:AT972"/>
  <sheetViews>
    <sheetView tabSelected="1" topLeftCell="F17" zoomScale="130" zoomScaleNormal="130" workbookViewId="0">
      <selection activeCell="A5" sqref="A5:A174"/>
    </sheetView>
  </sheetViews>
  <sheetFormatPr defaultColWidth="12.5" defaultRowHeight="12.75" x14ac:dyDescent="0.2"/>
  <cols>
    <col min="1" max="1" width="12.5" style="14" customWidth="1"/>
    <col min="2" max="2" width="38.375" style="14"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75" style="14" customWidth="1"/>
    <col min="15" max="15" width="16.75" style="14" customWidth="1"/>
    <col min="16" max="18" width="12.5" style="14" customWidth="1"/>
    <col min="19" max="19" width="15.875" style="14" customWidth="1"/>
    <col min="20" max="26" width="12.5" style="14" customWidth="1"/>
    <col min="27" max="27" width="11.125" style="14" bestFit="1" customWidth="1"/>
    <col min="28" max="28" width="11.875" style="14" bestFit="1" customWidth="1"/>
    <col min="29" max="29" width="13.375" style="14" bestFit="1" customWidth="1"/>
    <col min="30" max="30" width="12.375" style="14" bestFit="1" customWidth="1"/>
    <col min="31" max="31" width="8.375" style="14" customWidth="1"/>
    <col min="32" max="32" width="7.625" style="14" customWidth="1"/>
    <col min="33" max="35" width="2.875" style="14" customWidth="1"/>
    <col min="36" max="36" width="38.375" style="14" customWidth="1"/>
    <col min="37" max="37" width="12.5" style="14" customWidth="1"/>
    <col min="38" max="41" width="12.5" style="14"/>
    <col min="42" max="42" width="18.375" style="14" customWidth="1"/>
    <col min="43" max="16384" width="12.5" style="14"/>
  </cols>
  <sheetData>
    <row r="1" spans="1:46" ht="28.5" customHeight="1" x14ac:dyDescent="0.2">
      <c r="B1" s="64" t="s">
        <v>331</v>
      </c>
      <c r="C1" s="65">
        <v>1</v>
      </c>
      <c r="D1" s="66" t="s">
        <v>232</v>
      </c>
      <c r="E1" s="99">
        <f>U32</f>
        <v>177</v>
      </c>
      <c r="F1" s="64" t="s">
        <v>233</v>
      </c>
      <c r="G1" s="99">
        <f>E1/C1</f>
        <v>177</v>
      </c>
      <c r="H1" s="64" t="s">
        <v>234</v>
      </c>
      <c r="I1" s="99"/>
      <c r="J1" s="302" t="s">
        <v>235</v>
      </c>
      <c r="K1" s="303">
        <v>1</v>
      </c>
      <c r="L1" s="84"/>
      <c r="M1" s="84"/>
      <c r="N1" s="84"/>
      <c r="O1" s="75" t="s">
        <v>236</v>
      </c>
      <c r="P1" s="76" t="s">
        <v>237</v>
      </c>
      <c r="Q1" s="77" t="s">
        <v>238</v>
      </c>
      <c r="R1" s="76">
        <v>0.89</v>
      </c>
      <c r="S1" s="77" t="s">
        <v>333</v>
      </c>
      <c r="T1" s="304">
        <v>100</v>
      </c>
      <c r="U1" s="84"/>
      <c r="V1" s="84"/>
      <c r="Y1" s="75" t="s">
        <v>453</v>
      </c>
      <c r="Z1" s="766">
        <v>172</v>
      </c>
      <c r="AA1" s="75" t="s">
        <v>556</v>
      </c>
      <c r="AB1" s="766">
        <v>5</v>
      </c>
      <c r="AC1" s="75" t="s">
        <v>546</v>
      </c>
      <c r="AD1" s="766">
        <v>172</v>
      </c>
      <c r="AE1" s="75" t="s">
        <v>538</v>
      </c>
      <c r="AF1" s="766">
        <f>Z1+AB1</f>
        <v>177</v>
      </c>
      <c r="AJ1" s="78" t="s">
        <v>250</v>
      </c>
      <c r="AK1" s="78">
        <v>10000</v>
      </c>
      <c r="AL1" s="561" t="s">
        <v>848</v>
      </c>
      <c r="AM1" s="562">
        <f>$S$32*100</f>
        <v>17700</v>
      </c>
      <c r="AN1" s="78" t="s">
        <v>239</v>
      </c>
      <c r="AO1" s="305">
        <f>((S32*T1)/$R$1)/$AK$1</f>
        <v>1.98876404494382</v>
      </c>
      <c r="AP1" s="79"/>
    </row>
    <row r="2" spans="1:46" ht="12.75" customHeight="1" x14ac:dyDescent="0.2">
      <c r="A2" s="306"/>
      <c r="B2" s="1644" t="s">
        <v>857</v>
      </c>
      <c r="C2" s="1644"/>
      <c r="D2" s="1644"/>
      <c r="E2" s="1644"/>
      <c r="F2" s="1644"/>
      <c r="G2" s="1644"/>
      <c r="H2" s="1644"/>
      <c r="I2" s="580"/>
      <c r="J2" s="580"/>
      <c r="K2" s="580"/>
      <c r="L2" s="270"/>
      <c r="M2" s="84"/>
      <c r="N2" s="84"/>
      <c r="O2" s="84"/>
      <c r="P2" s="84"/>
      <c r="Q2" s="84"/>
      <c r="R2" s="84"/>
      <c r="S2" s="84"/>
      <c r="T2" s="84"/>
      <c r="U2" s="84"/>
      <c r="AJ2" s="85"/>
      <c r="AK2" s="1631" t="s">
        <v>849</v>
      </c>
      <c r="AL2" s="1631"/>
      <c r="AM2" s="1631"/>
      <c r="AN2" s="1631"/>
      <c r="AO2" s="85"/>
      <c r="AP2" s="85"/>
    </row>
    <row r="3" spans="1:46" ht="12.75" customHeight="1" x14ac:dyDescent="0.2">
      <c r="A3" s="306"/>
      <c r="B3" s="1645"/>
      <c r="C3" s="1645"/>
      <c r="D3" s="1645"/>
      <c r="E3" s="1645"/>
      <c r="F3" s="1645"/>
      <c r="G3" s="1645"/>
      <c r="H3" s="1645"/>
      <c r="I3" s="581"/>
      <c r="J3" s="581"/>
      <c r="K3" s="581"/>
      <c r="L3" s="270"/>
      <c r="M3" s="84"/>
      <c r="N3" s="84"/>
      <c r="O3" s="84"/>
      <c r="P3" s="84"/>
      <c r="Q3" s="84"/>
      <c r="R3" s="84"/>
      <c r="S3" s="84"/>
      <c r="T3" s="84"/>
      <c r="U3" s="84"/>
      <c r="AJ3" s="88"/>
      <c r="AK3" s="88"/>
      <c r="AL3" s="1670"/>
      <c r="AM3" s="1670"/>
      <c r="AN3" s="89"/>
      <c r="AO3" s="88"/>
      <c r="AP3" s="88"/>
    </row>
    <row r="4" spans="1:46" ht="69"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347"/>
      <c r="N4" s="84"/>
      <c r="O4" s="84"/>
      <c r="P4" s="84"/>
      <c r="Q4" s="84"/>
      <c r="R4" s="84"/>
      <c r="S4" s="84"/>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260"/>
      <c r="B5" s="299" t="s">
        <v>860</v>
      </c>
      <c r="C5" s="1261" t="s">
        <v>14</v>
      </c>
      <c r="D5" s="1262">
        <f>T1/R1</f>
        <v>112.35955056179775</v>
      </c>
      <c r="E5" s="98">
        <f>$G$1</f>
        <v>177</v>
      </c>
      <c r="F5" s="109">
        <v>1</v>
      </c>
      <c r="G5" s="101">
        <f>D5*E5</f>
        <v>19887.6404494382</v>
      </c>
      <c r="H5" s="102">
        <f>G5*F5</f>
        <v>19887.6404494382</v>
      </c>
      <c r="I5" s="65">
        <f>VLOOKUP(B5,All_Ingredients!$A$1:$F$156,6,FALSE())</f>
        <v>0.95</v>
      </c>
      <c r="J5" s="101">
        <f>VLOOKUP(B5,All_Ingredients!$A$1:$J$156,10,FALSE())</f>
        <v>17.100000000000001</v>
      </c>
      <c r="K5" s="104">
        <f t="shared" ref="K5" si="0">(H5/I5)/1000</f>
        <v>20.934358367829685</v>
      </c>
      <c r="L5" s="104">
        <f t="shared" ref="L5" si="1">K5*J5</f>
        <v>357.97752808988764</v>
      </c>
      <c r="M5" s="112"/>
      <c r="AJ5" s="299" t="s">
        <v>220</v>
      </c>
      <c r="AK5" s="106" t="s">
        <v>227</v>
      </c>
      <c r="AL5" s="1262">
        <v>10</v>
      </c>
      <c r="AM5" s="1263">
        <f t="shared" ref="AM5:AM14" si="2">$AO$1</f>
        <v>1.98876404494382</v>
      </c>
      <c r="AN5" s="109">
        <v>1</v>
      </c>
      <c r="AO5" s="103">
        <f t="shared" ref="AO5:AO15" si="3">AL5*AM5</f>
        <v>19.887640449438202</v>
      </c>
      <c r="AP5" s="102">
        <f t="shared" ref="AP5:AP15" si="4">AO5*AN5</f>
        <v>19.887640449438202</v>
      </c>
      <c r="AQ5" s="272"/>
      <c r="AR5" s="1017"/>
      <c r="AS5" s="156"/>
      <c r="AT5" s="1018"/>
    </row>
    <row r="6" spans="1:46" ht="14.25" customHeight="1" x14ac:dyDescent="0.2">
      <c r="A6" s="1469"/>
      <c r="B6" s="106" t="s">
        <v>805</v>
      </c>
      <c r="C6" s="106" t="s">
        <v>230</v>
      </c>
      <c r="D6" s="1262">
        <v>1</v>
      </c>
      <c r="E6" s="98">
        <f>$G$1</f>
        <v>177</v>
      </c>
      <c r="F6" s="109">
        <v>1</v>
      </c>
      <c r="G6" s="101">
        <f>D6*E6</f>
        <v>177</v>
      </c>
      <c r="H6" s="102">
        <f>G6*F6</f>
        <v>177</v>
      </c>
      <c r="I6" s="65">
        <f>VLOOKUP(B6,All_Ingredients!$A$1:$F$156,6,FALSE())</f>
        <v>1</v>
      </c>
      <c r="J6" s="101">
        <f>VLOOKUP(B6,All_Ingredients!$A$1:$J$156,10,FALSE())</f>
        <v>0.6</v>
      </c>
      <c r="K6" s="104">
        <f t="shared" ref="K6:K7" si="5">(H6/I6)/1000</f>
        <v>0.17699999999999999</v>
      </c>
      <c r="L6" s="104">
        <f t="shared" ref="L6:L7" si="6">K6*J6</f>
        <v>0.10619999999999999</v>
      </c>
      <c r="M6" s="112"/>
      <c r="AJ6" s="299" t="s">
        <v>93</v>
      </c>
      <c r="AK6" s="106" t="s">
        <v>14</v>
      </c>
      <c r="AL6" s="1262">
        <v>30</v>
      </c>
      <c r="AM6" s="1263">
        <f t="shared" si="2"/>
        <v>1.98876404494382</v>
      </c>
      <c r="AN6" s="109">
        <v>1</v>
      </c>
      <c r="AO6" s="103">
        <f t="shared" si="3"/>
        <v>59.662921348314597</v>
      </c>
      <c r="AP6" s="102">
        <f t="shared" si="4"/>
        <v>59.662921348314597</v>
      </c>
      <c r="AQ6" s="1018">
        <f>VLOOKUP(AJ6,Marination_Ordering!$A:$J,6,FALSE)</f>
        <v>1</v>
      </c>
      <c r="AR6" s="1018">
        <f>VLOOKUP(AJ6,Marination_Ordering!$A:$J,10,FALSE)</f>
        <v>0.74</v>
      </c>
      <c r="AS6" s="156">
        <f>AP6/AQ6</f>
        <v>59.662921348314597</v>
      </c>
      <c r="AT6" s="1018">
        <f>AR6*(AS6/1000)</f>
        <v>4.4150561797752806E-2</v>
      </c>
    </row>
    <row r="7" spans="1:46" ht="14.25" customHeight="1" x14ac:dyDescent="0.2">
      <c r="A7" s="1603" t="s">
        <v>927</v>
      </c>
      <c r="B7" s="106" t="s">
        <v>992</v>
      </c>
      <c r="C7" s="1261" t="s">
        <v>14</v>
      </c>
      <c r="D7" s="1262">
        <v>10</v>
      </c>
      <c r="E7" s="98">
        <f t="shared" ref="E7:E8" si="7">$G$1</f>
        <v>177</v>
      </c>
      <c r="F7" s="109">
        <v>1</v>
      </c>
      <c r="G7" s="103">
        <f>D7*($Z$1+$AB$1)</f>
        <v>1770</v>
      </c>
      <c r="H7" s="102">
        <f>G7*F7</f>
        <v>1770</v>
      </c>
      <c r="I7" s="65">
        <f>VLOOKUP(B7,All_Ingredients!$A$1:$F$156,6,FALSE())</f>
        <v>0.5</v>
      </c>
      <c r="J7" s="101">
        <f>VLOOKUP(B7,All_Ingredients!$A$1:$J$156,10,FALSE())</f>
        <v>8.5</v>
      </c>
      <c r="K7" s="104">
        <f t="shared" si="5"/>
        <v>3.54</v>
      </c>
      <c r="L7" s="104">
        <f t="shared" si="6"/>
        <v>30.09</v>
      </c>
      <c r="M7" s="112"/>
      <c r="AJ7" s="299" t="s">
        <v>99</v>
      </c>
      <c r="AK7" s="106" t="s">
        <v>14</v>
      </c>
      <c r="AL7" s="1262">
        <v>30</v>
      </c>
      <c r="AM7" s="1263">
        <f t="shared" si="2"/>
        <v>1.98876404494382</v>
      </c>
      <c r="AN7" s="109">
        <v>1</v>
      </c>
      <c r="AO7" s="103">
        <f t="shared" si="3"/>
        <v>59.662921348314597</v>
      </c>
      <c r="AP7" s="102">
        <f t="shared" si="4"/>
        <v>59.662921348314597</v>
      </c>
      <c r="AQ7" s="1018">
        <f>VLOOKUP(AJ7,Marination_Ordering!$A:$J,6,FALSE)</f>
        <v>1</v>
      </c>
      <c r="AR7" s="1018">
        <f>VLOOKUP(AJ7,Marination_Ordering!$A:$J,10,FALSE)</f>
        <v>31</v>
      </c>
      <c r="AS7" s="156">
        <f t="shared" ref="AS7:AS15" si="8">AP7/AQ7</f>
        <v>59.662921348314597</v>
      </c>
      <c r="AT7" s="1018">
        <f t="shared" ref="AT7:AT15" si="9">AR7*(AS7/1000)</f>
        <v>1.8495505617977526</v>
      </c>
    </row>
    <row r="8" spans="1:46" ht="14.25" customHeight="1" x14ac:dyDescent="0.2">
      <c r="A8" s="1461"/>
      <c r="B8" s="106" t="s">
        <v>836</v>
      </c>
      <c r="C8" s="106" t="s">
        <v>230</v>
      </c>
      <c r="D8" s="1262">
        <v>1</v>
      </c>
      <c r="E8" s="98">
        <f t="shared" si="7"/>
        <v>177</v>
      </c>
      <c r="F8" s="109">
        <v>1</v>
      </c>
      <c r="G8" s="103">
        <f t="shared" ref="G8" si="10">D8*($Z$1+$AB$1)</f>
        <v>177</v>
      </c>
      <c r="H8" s="102">
        <f>G8*F8</f>
        <v>177</v>
      </c>
      <c r="I8" s="65">
        <f>VLOOKUP(B8,All_Ingredients!$A$1:$F$156,6,FALSE())</f>
        <v>1</v>
      </c>
      <c r="J8" s="101">
        <f>VLOOKUP(B8,All_Ingredients!$A$1:$J$156,10,FALSE())</f>
        <v>0.58333333333333337</v>
      </c>
      <c r="K8" s="104">
        <f>(H8/I8)/1000</f>
        <v>0.17699999999999999</v>
      </c>
      <c r="L8" s="104">
        <f>K8*J8</f>
        <v>0.10324999999999999</v>
      </c>
      <c r="M8" s="112"/>
      <c r="AJ8" s="299" t="s">
        <v>850</v>
      </c>
      <c r="AK8" s="106" t="s">
        <v>14</v>
      </c>
      <c r="AL8" s="1262">
        <v>150</v>
      </c>
      <c r="AM8" s="1263">
        <f t="shared" si="2"/>
        <v>1.98876404494382</v>
      </c>
      <c r="AN8" s="109">
        <v>1</v>
      </c>
      <c r="AO8" s="103">
        <f t="shared" si="3"/>
        <v>298.31460674157302</v>
      </c>
      <c r="AP8" s="102">
        <f t="shared" si="4"/>
        <v>298.31460674157302</v>
      </c>
      <c r="AQ8" s="1018">
        <f>VLOOKUP(AJ8,Marination_Ordering!$A:$J,6,FALSE)</f>
        <v>1</v>
      </c>
      <c r="AR8" s="1018">
        <f>VLOOKUP(AJ8,Marination_Ordering!$A:$J,10,FALSE)</f>
        <v>96.916299559471369</v>
      </c>
      <c r="AS8" s="156">
        <f t="shared" si="8"/>
        <v>298.31460674157302</v>
      </c>
      <c r="AT8" s="1018">
        <f t="shared" si="9"/>
        <v>28.911547789932186</v>
      </c>
    </row>
    <row r="9" spans="1:46" ht="14.25" customHeight="1" x14ac:dyDescent="0.2">
      <c r="A9" s="1461"/>
      <c r="M9" s="112"/>
      <c r="AJ9" s="299" t="s">
        <v>149</v>
      </c>
      <c r="AK9" s="106" t="s">
        <v>14</v>
      </c>
      <c r="AL9" s="1262">
        <v>150</v>
      </c>
      <c r="AM9" s="1263">
        <f t="shared" si="2"/>
        <v>1.98876404494382</v>
      </c>
      <c r="AN9" s="109">
        <v>1</v>
      </c>
      <c r="AO9" s="103">
        <f t="shared" si="3"/>
        <v>298.31460674157302</v>
      </c>
      <c r="AP9" s="102">
        <f t="shared" si="4"/>
        <v>298.31460674157302</v>
      </c>
      <c r="AQ9" s="1018">
        <f>VLOOKUP(AJ9,Marination_Ordering!$A:$J,6,FALSE)</f>
        <v>1</v>
      </c>
      <c r="AR9" s="1018">
        <f>VLOOKUP(AJ9,Marination_Ordering!$A:$J,10,FALSE)</f>
        <v>10</v>
      </c>
      <c r="AS9" s="156">
        <f t="shared" si="8"/>
        <v>298.31460674157302</v>
      </c>
      <c r="AT9" s="1018">
        <f t="shared" si="9"/>
        <v>2.98314606741573</v>
      </c>
    </row>
    <row r="10" spans="1:46" ht="14.25" customHeight="1" x14ac:dyDescent="0.2">
      <c r="A10" s="1461"/>
      <c r="B10" s="332"/>
      <c r="C10" s="1264"/>
      <c r="D10" s="1265"/>
      <c r="E10" s="335"/>
      <c r="F10" s="336"/>
      <c r="G10" s="438"/>
      <c r="H10" s="338"/>
      <c r="I10" s="392"/>
      <c r="J10" s="438"/>
      <c r="K10" s="439"/>
      <c r="L10" s="439"/>
      <c r="M10" s="112"/>
      <c r="AJ10" s="299" t="s">
        <v>146</v>
      </c>
      <c r="AK10" s="106" t="s">
        <v>14</v>
      </c>
      <c r="AL10" s="1262">
        <v>150</v>
      </c>
      <c r="AM10" s="1263">
        <f t="shared" si="2"/>
        <v>1.98876404494382</v>
      </c>
      <c r="AN10" s="109">
        <v>1</v>
      </c>
      <c r="AO10" s="103">
        <f t="shared" si="3"/>
        <v>298.31460674157302</v>
      </c>
      <c r="AP10" s="102">
        <f t="shared" si="4"/>
        <v>298.31460674157302</v>
      </c>
      <c r="AQ10" s="1018">
        <f>VLOOKUP(AJ10,Marination_Ordering!$A:$J,6,FALSE)</f>
        <v>1</v>
      </c>
      <c r="AR10" s="1018">
        <f>VLOOKUP(AJ10,Marination_Ordering!$A:$J,10,FALSE)</f>
        <v>12</v>
      </c>
      <c r="AS10" s="156">
        <f t="shared" si="8"/>
        <v>298.31460674157302</v>
      </c>
      <c r="AT10" s="1018">
        <f t="shared" si="9"/>
        <v>3.5797752808988763</v>
      </c>
    </row>
    <row r="11" spans="1:46" ht="14.25" customHeight="1" x14ac:dyDescent="0.2">
      <c r="A11" s="1461"/>
      <c r="B11" s="325"/>
      <c r="C11" s="325"/>
      <c r="D11" s="309"/>
      <c r="E11" s="309"/>
      <c r="F11" s="117"/>
      <c r="G11" s="118"/>
      <c r="H11" s="119"/>
      <c r="I11" s="76"/>
      <c r="J11" s="118"/>
      <c r="K11" s="112"/>
      <c r="L11" s="112"/>
      <c r="M11" s="112"/>
      <c r="AJ11" s="299" t="s">
        <v>181</v>
      </c>
      <c r="AK11" s="106" t="s">
        <v>14</v>
      </c>
      <c r="AL11" s="1262">
        <v>200</v>
      </c>
      <c r="AM11" s="1263">
        <f t="shared" si="2"/>
        <v>1.98876404494382</v>
      </c>
      <c r="AN11" s="109">
        <v>1</v>
      </c>
      <c r="AO11" s="103">
        <f t="shared" si="3"/>
        <v>397.752808988764</v>
      </c>
      <c r="AP11" s="102">
        <f t="shared" si="4"/>
        <v>397.752808988764</v>
      </c>
      <c r="AQ11" s="1018">
        <f>VLOOKUP(AJ11,Marination_Ordering!$A:$J,6,FALSE)</f>
        <v>1</v>
      </c>
      <c r="AR11" s="1018">
        <f>VLOOKUP(AJ11,Marination_Ordering!$A:$J,10,FALSE)</f>
        <v>6.5</v>
      </c>
      <c r="AS11" s="156">
        <f t="shared" si="8"/>
        <v>397.752808988764</v>
      </c>
      <c r="AT11" s="1018">
        <f t="shared" si="9"/>
        <v>2.5853932584269663</v>
      </c>
    </row>
    <row r="12" spans="1:46" ht="14.25" customHeight="1" x14ac:dyDescent="0.2">
      <c r="A12" s="1461"/>
      <c r="B12" s="325"/>
      <c r="C12" s="325"/>
      <c r="D12" s="309"/>
      <c r="E12" s="309"/>
      <c r="F12" s="117"/>
      <c r="G12" s="118"/>
      <c r="H12" s="119"/>
      <c r="I12" s="76"/>
      <c r="J12" s="118"/>
      <c r="K12" s="112"/>
      <c r="L12" s="112"/>
      <c r="M12" s="112"/>
      <c r="AJ12" s="299" t="s">
        <v>486</v>
      </c>
      <c r="AK12" s="106" t="s">
        <v>14</v>
      </c>
      <c r="AL12" s="1262">
        <v>200</v>
      </c>
      <c r="AM12" s="1263">
        <f t="shared" si="2"/>
        <v>1.98876404494382</v>
      </c>
      <c r="AN12" s="109">
        <v>1</v>
      </c>
      <c r="AO12" s="103">
        <f t="shared" si="3"/>
        <v>397.752808988764</v>
      </c>
      <c r="AP12" s="102">
        <f t="shared" si="4"/>
        <v>397.752808988764</v>
      </c>
      <c r="AQ12" s="1018">
        <f>VLOOKUP(AJ12,Marination_Ordering!$A:$J,6,FALSE)</f>
        <v>1</v>
      </c>
      <c r="AR12" s="1018">
        <f>VLOOKUP(AJ12,Marination_Ordering!$A:$J,10,FALSE)</f>
        <v>35.310734463276837</v>
      </c>
      <c r="AS12" s="156">
        <f t="shared" si="8"/>
        <v>397.752808988764</v>
      </c>
      <c r="AT12" s="1018">
        <f t="shared" si="9"/>
        <v>14.044943820224718</v>
      </c>
    </row>
    <row r="13" spans="1:46" ht="14.25" customHeight="1" x14ac:dyDescent="0.2">
      <c r="A13" s="1461"/>
      <c r="B13" s="325"/>
      <c r="C13" s="325"/>
      <c r="D13" s="309"/>
      <c r="E13" s="309"/>
      <c r="F13" s="117"/>
      <c r="G13" s="118"/>
      <c r="H13" s="119"/>
      <c r="I13" s="76"/>
      <c r="J13" s="118"/>
      <c r="K13" s="112"/>
      <c r="L13" s="112"/>
      <c r="M13" s="112"/>
      <c r="AJ13" s="299" t="s">
        <v>188</v>
      </c>
      <c r="AK13" s="106" t="s">
        <v>14</v>
      </c>
      <c r="AL13" s="1262">
        <v>1000</v>
      </c>
      <c r="AM13" s="1263">
        <f t="shared" si="2"/>
        <v>1.98876404494382</v>
      </c>
      <c r="AN13" s="109">
        <v>1</v>
      </c>
      <c r="AO13" s="103">
        <f t="shared" si="3"/>
        <v>1988.76404494382</v>
      </c>
      <c r="AP13" s="102">
        <f t="shared" si="4"/>
        <v>1988.76404494382</v>
      </c>
      <c r="AQ13" s="1018">
        <f>VLOOKUP(AJ13,Marination_Ordering!$A:$J,6,FALSE)</f>
        <v>1</v>
      </c>
      <c r="AR13" s="1018">
        <f>VLOOKUP(AJ13,Marination_Ordering!$A:$J,10,FALSE)</f>
        <v>8.5</v>
      </c>
      <c r="AS13" s="156">
        <f t="shared" si="8"/>
        <v>1988.76404494382</v>
      </c>
      <c r="AT13" s="1018">
        <f t="shared" si="9"/>
        <v>16.90449438202247</v>
      </c>
    </row>
    <row r="14" spans="1:46" ht="14.25" customHeight="1" x14ac:dyDescent="0.2">
      <c r="A14" s="1461"/>
      <c r="B14" s="325"/>
      <c r="C14" s="325"/>
      <c r="D14" s="309"/>
      <c r="E14" s="309"/>
      <c r="F14" s="117"/>
      <c r="G14" s="118"/>
      <c r="H14" s="119"/>
      <c r="I14" s="76"/>
      <c r="J14" s="118"/>
      <c r="K14" s="112"/>
      <c r="L14" s="112"/>
      <c r="M14" s="112"/>
      <c r="AJ14" s="299" t="s">
        <v>229</v>
      </c>
      <c r="AK14" s="106" t="s">
        <v>230</v>
      </c>
      <c r="AL14" s="1262">
        <v>20</v>
      </c>
      <c r="AM14" s="1263">
        <f t="shared" si="2"/>
        <v>1.98876404494382</v>
      </c>
      <c r="AN14" s="109">
        <v>1</v>
      </c>
      <c r="AO14" s="103">
        <f t="shared" si="3"/>
        <v>39.775280898876403</v>
      </c>
      <c r="AP14" s="102">
        <f t="shared" si="4"/>
        <v>39.775280898876403</v>
      </c>
      <c r="AQ14" s="1018">
        <f>VLOOKUP(AJ14,Marination_Ordering!$A:$J,6,FALSE)</f>
        <v>1</v>
      </c>
      <c r="AR14" s="1018">
        <f>VLOOKUP(AJ14,Marination_Ordering!$A:$J,10,FALSE)</f>
        <v>0.43333333333333335</v>
      </c>
      <c r="AS14" s="156">
        <f t="shared" si="8"/>
        <v>39.775280898876403</v>
      </c>
      <c r="AT14" s="1018">
        <f t="shared" si="9"/>
        <v>1.7235955056179773E-2</v>
      </c>
    </row>
    <row r="15" spans="1:46" ht="14.25" customHeight="1" x14ac:dyDescent="0.2">
      <c r="A15" s="1461"/>
      <c r="B15" s="325"/>
      <c r="C15" s="325"/>
      <c r="D15" s="309"/>
      <c r="E15" s="309"/>
      <c r="F15" s="117"/>
      <c r="G15" s="118"/>
      <c r="H15" s="119"/>
      <c r="I15" s="76"/>
      <c r="J15" s="118"/>
      <c r="K15" s="112"/>
      <c r="L15" s="112"/>
      <c r="M15" s="112"/>
      <c r="AJ15" s="299" t="s">
        <v>222</v>
      </c>
      <c r="AK15" s="106" t="s">
        <v>14</v>
      </c>
      <c r="AL15" s="1262">
        <v>500</v>
      </c>
      <c r="AM15" s="1263">
        <f>$AO$1</f>
        <v>1.98876404494382</v>
      </c>
      <c r="AN15" s="109">
        <v>1</v>
      </c>
      <c r="AO15" s="103">
        <f t="shared" si="3"/>
        <v>994.38202247190998</v>
      </c>
      <c r="AP15" s="102">
        <f t="shared" si="4"/>
        <v>994.38202247190998</v>
      </c>
      <c r="AQ15" s="1018">
        <f>VLOOKUP(AJ15,Marination_Ordering!$A:$J,6,FALSE)</f>
        <v>1</v>
      </c>
      <c r="AR15" s="1018">
        <f>VLOOKUP(AJ15,Marination_Ordering!$A:$J,10,FALSE)</f>
        <v>30</v>
      </c>
      <c r="AS15" s="156">
        <f t="shared" si="8"/>
        <v>994.38202247190998</v>
      </c>
      <c r="AT15" s="1018">
        <f t="shared" si="9"/>
        <v>29.831460674157299</v>
      </c>
    </row>
    <row r="16" spans="1:46" ht="14.25" customHeight="1" x14ac:dyDescent="0.2">
      <c r="A16" s="1461"/>
      <c r="B16" s="325"/>
      <c r="C16" s="325"/>
      <c r="D16" s="309"/>
      <c r="E16" s="309"/>
      <c r="F16" s="117"/>
      <c r="G16" s="118"/>
      <c r="H16" s="119"/>
      <c r="I16" s="76"/>
      <c r="J16" s="118"/>
      <c r="K16" s="112"/>
      <c r="L16" s="112"/>
      <c r="M16" s="112"/>
    </row>
    <row r="17" spans="1:31" ht="14.25" customHeight="1" x14ac:dyDescent="0.2">
      <c r="A17" s="1461"/>
      <c r="B17" s="376"/>
      <c r="C17" s="376"/>
      <c r="D17" s="309"/>
      <c r="E17" s="309"/>
      <c r="F17" s="117"/>
      <c r="G17" s="118"/>
      <c r="H17" s="119"/>
      <c r="I17" s="76"/>
      <c r="J17" s="118"/>
      <c r="K17" s="112"/>
      <c r="L17" s="112"/>
      <c r="M17" s="112"/>
    </row>
    <row r="18" spans="1:31" ht="14.25" customHeight="1" x14ac:dyDescent="0.2">
      <c r="A18" s="1461"/>
      <c r="B18" s="325"/>
      <c r="C18" s="325"/>
      <c r="D18" s="309"/>
      <c r="E18" s="309"/>
      <c r="F18" s="117"/>
      <c r="G18" s="118"/>
      <c r="H18" s="119"/>
      <c r="I18" s="76"/>
      <c r="J18" s="118"/>
      <c r="K18" s="112"/>
      <c r="L18" s="112"/>
      <c r="M18" s="118"/>
      <c r="N18" s="112"/>
      <c r="O18" s="112"/>
    </row>
    <row r="19" spans="1:31" ht="14.25" customHeight="1" x14ac:dyDescent="0.2">
      <c r="A19" s="1461"/>
      <c r="B19" s="11"/>
      <c r="C19" s="11"/>
      <c r="D19" s="313"/>
      <c r="E19" s="84"/>
      <c r="F19" s="84"/>
      <c r="K19" s="120"/>
      <c r="L19" s="76"/>
      <c r="M19" s="118"/>
      <c r="N19" s="112"/>
      <c r="O19" s="112"/>
    </row>
    <row r="20" spans="1:31" ht="14.25" customHeight="1" x14ac:dyDescent="0.2">
      <c r="A20" s="1461"/>
      <c r="B20" s="11"/>
      <c r="C20" s="312"/>
      <c r="D20" s="313"/>
      <c r="E20" s="84"/>
      <c r="F20" s="84"/>
      <c r="K20" s="120"/>
      <c r="L20" s="76"/>
      <c r="M20" s="118"/>
      <c r="N20" s="112"/>
      <c r="O20" s="112"/>
    </row>
    <row r="21" spans="1:31" ht="12.75" customHeight="1" x14ac:dyDescent="0.2">
      <c r="A21" s="1461"/>
      <c r="B21" s="11"/>
      <c r="C21" s="312"/>
      <c r="D21" s="313"/>
      <c r="E21" s="84"/>
      <c r="F21" s="84"/>
      <c r="K21" s="120"/>
      <c r="L21" s="76"/>
      <c r="M21" s="118"/>
      <c r="N21" s="112"/>
      <c r="O21" s="112"/>
    </row>
    <row r="22" spans="1:31" ht="12.75" customHeight="1" x14ac:dyDescent="0.2">
      <c r="A22" s="1461"/>
      <c r="B22" s="84"/>
      <c r="E22" s="84"/>
      <c r="F22" s="84"/>
      <c r="K22" s="120"/>
      <c r="L22" s="76"/>
      <c r="M22" s="118"/>
      <c r="N22" s="112"/>
      <c r="O22" s="112"/>
    </row>
    <row r="23" spans="1:31" ht="12.75" customHeight="1" x14ac:dyDescent="0.2">
      <c r="A23" s="1461"/>
      <c r="B23" s="84"/>
      <c r="E23" s="84"/>
      <c r="F23" s="84"/>
      <c r="K23" s="120"/>
      <c r="L23" s="76"/>
    </row>
    <row r="24" spans="1:31" ht="12.75" customHeight="1" x14ac:dyDescent="0.2">
      <c r="A24" s="1461"/>
      <c r="Z24" s="1073"/>
    </row>
    <row r="25" spans="1:31" ht="12.75" customHeight="1" x14ac:dyDescent="0.2">
      <c r="A25" s="1461"/>
      <c r="R25" s="1662" t="s">
        <v>849</v>
      </c>
      <c r="S25" s="1633"/>
      <c r="T25" s="1633"/>
      <c r="U25" s="1633"/>
      <c r="V25" s="997"/>
      <c r="Z25" s="122" t="s">
        <v>252</v>
      </c>
      <c r="AA25" s="123">
        <v>1</v>
      </c>
      <c r="AB25" s="122" t="s">
        <v>249</v>
      </c>
      <c r="AC25" s="124">
        <f>AE30*AA25</f>
        <v>2.5936538407480456</v>
      </c>
    </row>
    <row r="26" spans="1:31" ht="12.75" customHeight="1" x14ac:dyDescent="0.2">
      <c r="A26" s="1461"/>
      <c r="R26" s="1646" t="s">
        <v>291</v>
      </c>
      <c r="S26" s="1655"/>
      <c r="T26" s="1655"/>
      <c r="U26" s="1655"/>
      <c r="V26" s="997"/>
    </row>
    <row r="27" spans="1:31" ht="14.25" customHeight="1" thickBot="1" x14ac:dyDescent="0.25">
      <c r="A27" s="1461"/>
      <c r="R27" s="126" t="s">
        <v>254</v>
      </c>
      <c r="S27" s="126" t="s">
        <v>358</v>
      </c>
      <c r="T27" s="126" t="s">
        <v>256</v>
      </c>
      <c r="U27" s="126" t="s">
        <v>262</v>
      </c>
      <c r="V27" s="127" t="s">
        <v>772</v>
      </c>
      <c r="W27" s="127" t="s">
        <v>795</v>
      </c>
      <c r="X27" s="127" t="s">
        <v>794</v>
      </c>
      <c r="Z27" s="122" t="s">
        <v>258</v>
      </c>
      <c r="AA27" s="128" t="s">
        <v>772</v>
      </c>
      <c r="AB27" s="128" t="s">
        <v>259</v>
      </c>
      <c r="AC27" s="128" t="s">
        <v>783</v>
      </c>
      <c r="AD27" s="128" t="s">
        <v>780</v>
      </c>
      <c r="AE27" s="128" t="s">
        <v>262</v>
      </c>
    </row>
    <row r="28" spans="1:31" ht="14.25" customHeight="1" thickBot="1" x14ac:dyDescent="0.25">
      <c r="A28" s="1461"/>
      <c r="M28" s="314"/>
      <c r="R28" s="126" t="s">
        <v>263</v>
      </c>
      <c r="S28" s="1206">
        <f>$Z$1</f>
        <v>172</v>
      </c>
      <c r="T28" s="1216"/>
      <c r="U28" s="1216">
        <f>S28</f>
        <v>172</v>
      </c>
      <c r="V28" s="130">
        <f>SUM(AP5:AP13)</f>
        <v>3818.4269662921342</v>
      </c>
      <c r="W28" s="130">
        <f>SUM(L6)</f>
        <v>0.10619999999999999</v>
      </c>
      <c r="X28" s="130">
        <f>K13</f>
        <v>0</v>
      </c>
      <c r="Z28" s="132"/>
      <c r="AA28" s="1051"/>
      <c r="AB28" s="133">
        <f>AA25*$S$40</f>
        <v>1</v>
      </c>
      <c r="AC28" s="1051"/>
      <c r="AD28" s="1051"/>
      <c r="AE28" s="135">
        <f>SUM(AB28:AB28)</f>
        <v>1</v>
      </c>
    </row>
    <row r="29" spans="1:31" ht="14.25" customHeight="1" thickBot="1" x14ac:dyDescent="0.25">
      <c r="A29" s="1461"/>
      <c r="R29" s="126" t="s">
        <v>264</v>
      </c>
      <c r="S29" s="1224"/>
      <c r="T29" s="315"/>
      <c r="U29" s="1216">
        <f>T29</f>
        <v>0</v>
      </c>
      <c r="V29" s="130"/>
      <c r="W29" s="130"/>
      <c r="X29" s="130"/>
      <c r="Z29" s="132"/>
      <c r="AA29" s="1051"/>
      <c r="AB29" s="137">
        <f>AB28/$AE$28</f>
        <v>1</v>
      </c>
      <c r="AC29" s="1051"/>
      <c r="AD29" s="1051"/>
      <c r="AE29" s="137">
        <f>AE28/$AE$28</f>
        <v>1</v>
      </c>
    </row>
    <row r="30" spans="1:31" ht="14.25" customHeight="1" thickBot="1" x14ac:dyDescent="0.25">
      <c r="A30" s="1461"/>
      <c r="R30" s="126" t="s">
        <v>265</v>
      </c>
      <c r="S30" s="1207">
        <f>$AB$1</f>
        <v>5</v>
      </c>
      <c r="T30" s="1216"/>
      <c r="U30" s="1216"/>
      <c r="V30" s="989"/>
      <c r="W30" s="989"/>
      <c r="X30" s="989"/>
      <c r="Z30" s="122" t="s">
        <v>266</v>
      </c>
      <c r="AA30" s="991">
        <f>V35/$AF$1</f>
        <v>0.40058193063568615</v>
      </c>
      <c r="AB30" s="138">
        <f>S35/(AF1)</f>
        <v>2.0224719101123596</v>
      </c>
      <c r="AC30" s="991">
        <f>W35/AF1</f>
        <v>5.9999999999999995E-4</v>
      </c>
      <c r="AD30" s="991">
        <f>X35/$AF$1</f>
        <v>0.17</v>
      </c>
      <c r="AE30" s="1048">
        <f>AB30+AD30+AC30+AA30</f>
        <v>2.5936538407480456</v>
      </c>
    </row>
    <row r="31" spans="1:31" ht="14.25" customHeight="1" thickBot="1" x14ac:dyDescent="0.25">
      <c r="A31" s="1461"/>
      <c r="R31" s="126" t="s">
        <v>267</v>
      </c>
      <c r="S31" s="271" t="s">
        <v>310</v>
      </c>
      <c r="T31" s="315"/>
      <c r="U31" s="315"/>
      <c r="V31" s="130"/>
      <c r="W31" s="130"/>
      <c r="X31" s="130"/>
    </row>
    <row r="32" spans="1:31" ht="14.25" customHeight="1" thickBot="1" x14ac:dyDescent="0.3">
      <c r="A32" s="1461"/>
      <c r="R32" s="127" t="s">
        <v>257</v>
      </c>
      <c r="S32" s="1116">
        <f>S28+S30</f>
        <v>177</v>
      </c>
      <c r="T32" s="316">
        <f>SUM(T28:T30)</f>
        <v>0</v>
      </c>
      <c r="U32" s="316">
        <f>T32+S32</f>
        <v>177</v>
      </c>
      <c r="V32" s="130"/>
      <c r="W32" s="130"/>
      <c r="X32" s="130"/>
    </row>
    <row r="33" spans="1:24" ht="14.25" customHeight="1" thickBot="1" x14ac:dyDescent="0.3">
      <c r="A33" s="1461"/>
      <c r="R33" s="317" t="s">
        <v>254</v>
      </c>
      <c r="S33" s="318"/>
      <c r="T33" s="318">
        <f>F40+F59</f>
        <v>0</v>
      </c>
      <c r="U33" s="319"/>
      <c r="V33" s="136"/>
      <c r="W33" s="136"/>
      <c r="X33" s="136"/>
    </row>
    <row r="34" spans="1:24" ht="14.25" customHeight="1" thickBot="1" x14ac:dyDescent="0.25">
      <c r="A34" s="1461"/>
      <c r="R34" s="159" t="s">
        <v>269</v>
      </c>
      <c r="S34" s="320"/>
      <c r="T34" s="321">
        <f>T33-(T28+T29)</f>
        <v>0</v>
      </c>
      <c r="U34" s="320"/>
      <c r="V34" s="136"/>
      <c r="W34" s="136"/>
      <c r="X34" s="136"/>
    </row>
    <row r="35" spans="1:24" ht="12.75" customHeight="1" thickBot="1" x14ac:dyDescent="0.25">
      <c r="A35" s="1461"/>
      <c r="R35" s="144" t="s">
        <v>249</v>
      </c>
      <c r="S35" s="990">
        <f>L5</f>
        <v>357.97752808988764</v>
      </c>
      <c r="T35" s="990">
        <f>SUM(O6:O19)</f>
        <v>0</v>
      </c>
      <c r="U35" s="1049">
        <f>S35+T35+V35+W35+X35</f>
        <v>459.0767298124041</v>
      </c>
      <c r="V35" s="990">
        <f>SUM(AT6:AT13)</f>
        <v>70.90300172251645</v>
      </c>
      <c r="W35" s="990">
        <f>L6</f>
        <v>0.10619999999999999</v>
      </c>
      <c r="X35" s="990">
        <f>L7</f>
        <v>30.09</v>
      </c>
    </row>
    <row r="36" spans="1:24" ht="12.75" customHeight="1" x14ac:dyDescent="0.2">
      <c r="A36" s="1461"/>
    </row>
    <row r="37" spans="1:24" ht="12.75" customHeight="1" x14ac:dyDescent="0.2">
      <c r="A37" s="1461"/>
    </row>
    <row r="38" spans="1:24" ht="12.75" customHeight="1" x14ac:dyDescent="0.2">
      <c r="A38" s="1461"/>
    </row>
    <row r="39" spans="1:24" ht="12.75" customHeight="1" x14ac:dyDescent="0.2">
      <c r="A39" s="1461"/>
      <c r="B39" s="84"/>
      <c r="E39" s="84"/>
      <c r="F39" s="84"/>
    </row>
    <row r="40" spans="1:24" ht="46.5" customHeight="1" x14ac:dyDescent="0.2">
      <c r="A40" s="1461"/>
      <c r="B40" s="84"/>
      <c r="C40" s="84"/>
      <c r="D40" s="322"/>
      <c r="E40" s="84"/>
      <c r="F40" s="84"/>
      <c r="G40" s="84"/>
      <c r="H40" s="84"/>
      <c r="I40" s="84"/>
      <c r="J40" s="84"/>
      <c r="R40" s="146" t="s">
        <v>270</v>
      </c>
      <c r="S40" s="147">
        <v>1</v>
      </c>
      <c r="T40" s="146" t="s">
        <v>271</v>
      </c>
      <c r="U40" s="148">
        <v>0</v>
      </c>
      <c r="V40" s="149">
        <f>S40+U40</f>
        <v>1</v>
      </c>
    </row>
    <row r="41" spans="1:24" ht="18" customHeight="1" x14ac:dyDescent="0.2">
      <c r="A41" s="1461"/>
      <c r="B41" s="84"/>
      <c r="C41" s="84"/>
      <c r="D41" s="84"/>
      <c r="E41" s="84"/>
      <c r="F41" s="84"/>
      <c r="G41" s="84"/>
      <c r="H41" s="84"/>
      <c r="I41" s="84"/>
      <c r="J41" s="84"/>
      <c r="U41" s="150"/>
    </row>
    <row r="42" spans="1:24" ht="18" customHeight="1" x14ac:dyDescent="0.2">
      <c r="A42" s="1461"/>
      <c r="B42" s="1671"/>
      <c r="C42" s="1655"/>
      <c r="D42" s="1655"/>
      <c r="E42" s="1655"/>
      <c r="F42" s="1655"/>
      <c r="G42" s="1655"/>
      <c r="H42" s="1655"/>
      <c r="I42" s="1655"/>
      <c r="J42" s="1655"/>
    </row>
    <row r="43" spans="1:24" ht="12.75" customHeight="1" x14ac:dyDescent="0.2">
      <c r="A43" s="1461"/>
      <c r="B43" s="1660"/>
      <c r="C43" s="1655"/>
      <c r="D43" s="1655"/>
      <c r="E43" s="1655"/>
      <c r="F43" s="1655"/>
      <c r="G43" s="1655"/>
      <c r="H43" s="1655"/>
      <c r="I43" s="1655"/>
      <c r="J43" s="1655"/>
      <c r="Q43" s="151" t="s">
        <v>272</v>
      </c>
      <c r="R43" s="151" t="s">
        <v>273</v>
      </c>
      <c r="S43" s="151" t="s">
        <v>274</v>
      </c>
      <c r="T43" s="151" t="s">
        <v>275</v>
      </c>
      <c r="U43" s="151" t="s">
        <v>276</v>
      </c>
      <c r="V43" s="151" t="s">
        <v>277</v>
      </c>
      <c r="W43" s="151" t="s">
        <v>278</v>
      </c>
    </row>
    <row r="44" spans="1:24" ht="14.25" customHeight="1" x14ac:dyDescent="0.2">
      <c r="A44" s="1461"/>
      <c r="B44" s="323"/>
      <c r="C44" s="324"/>
      <c r="D44" s="323"/>
      <c r="E44" s="323"/>
      <c r="F44" s="323"/>
      <c r="G44" s="323"/>
      <c r="H44" s="323"/>
      <c r="I44" s="323"/>
      <c r="J44" s="323"/>
      <c r="Q44" s="153">
        <v>18841</v>
      </c>
      <c r="R44" s="154">
        <f>E51</f>
        <v>0</v>
      </c>
      <c r="S44" s="155">
        <v>0</v>
      </c>
      <c r="T44" s="155">
        <v>0</v>
      </c>
      <c r="U44" s="220">
        <f>R44*S44</f>
        <v>0</v>
      </c>
      <c r="V44" s="157">
        <f>R44*T44</f>
        <v>0</v>
      </c>
      <c r="W44" s="157">
        <f>Q44-U44</f>
        <v>18841</v>
      </c>
    </row>
    <row r="45" spans="1:24" ht="14.25" customHeight="1" x14ac:dyDescent="0.2">
      <c r="A45" s="1461"/>
      <c r="B45" s="325"/>
      <c r="C45" s="325"/>
      <c r="D45" s="309"/>
      <c r="E45" s="309"/>
      <c r="F45" s="117"/>
      <c r="G45" s="118"/>
      <c r="H45" s="119"/>
      <c r="I45" s="76"/>
      <c r="J45" s="120"/>
    </row>
    <row r="46" spans="1:24" ht="14.25" customHeight="1" x14ac:dyDescent="0.2">
      <c r="A46" s="1461"/>
      <c r="B46" s="325"/>
      <c r="C46" s="325"/>
      <c r="D46" s="309"/>
      <c r="E46" s="309"/>
      <c r="F46" s="117"/>
      <c r="G46" s="118"/>
      <c r="H46" s="119"/>
      <c r="I46" s="76"/>
      <c r="J46" s="120"/>
    </row>
    <row r="47" spans="1:24" ht="14.25" customHeight="1" x14ac:dyDescent="0.2">
      <c r="A47" s="1461"/>
      <c r="B47" s="325"/>
      <c r="C47" s="325"/>
      <c r="D47" s="309"/>
      <c r="E47" s="309"/>
      <c r="F47" s="117"/>
      <c r="G47" s="118"/>
      <c r="H47" s="119"/>
      <c r="I47" s="76"/>
      <c r="J47" s="120"/>
    </row>
    <row r="48" spans="1:24" ht="14.25" customHeight="1" x14ac:dyDescent="0.2">
      <c r="A48" s="1461"/>
      <c r="B48" s="325"/>
      <c r="C48" s="325"/>
      <c r="D48" s="309"/>
      <c r="E48" s="309"/>
      <c r="F48" s="117"/>
      <c r="G48" s="118"/>
      <c r="H48" s="119"/>
      <c r="I48" s="76"/>
      <c r="J48" s="120"/>
    </row>
    <row r="49" spans="1:14" ht="14.25" customHeight="1" x14ac:dyDescent="0.2">
      <c r="A49" s="1461"/>
      <c r="B49" s="325"/>
      <c r="C49" s="325"/>
      <c r="D49" s="309"/>
      <c r="E49" s="309"/>
      <c r="F49" s="117"/>
      <c r="G49" s="118"/>
      <c r="H49" s="119"/>
      <c r="I49" s="76"/>
      <c r="J49" s="120"/>
    </row>
    <row r="50" spans="1:14" ht="14.25" customHeight="1" x14ac:dyDescent="0.2">
      <c r="A50" s="1461"/>
      <c r="B50" s="326"/>
      <c r="C50" s="159" t="s">
        <v>233</v>
      </c>
      <c r="D50" s="159" t="s">
        <v>279</v>
      </c>
      <c r="E50" s="84"/>
      <c r="F50" s="84"/>
      <c r="G50" s="126" t="s">
        <v>280</v>
      </c>
      <c r="H50" s="126" t="s">
        <v>233</v>
      </c>
      <c r="I50" s="159" t="s">
        <v>281</v>
      </c>
      <c r="J50" s="159" t="s">
        <v>282</v>
      </c>
    </row>
    <row r="51" spans="1:14" ht="14.25" customHeight="1" x14ac:dyDescent="0.2">
      <c r="A51" s="1461"/>
      <c r="B51" s="161" t="s">
        <v>283</v>
      </c>
      <c r="C51" s="162">
        <f>10/$K$1</f>
        <v>10</v>
      </c>
      <c r="D51" s="163">
        <f>$C$1*10</f>
        <v>10</v>
      </c>
      <c r="E51" s="164"/>
      <c r="F51" s="84"/>
      <c r="G51" s="161" t="s">
        <v>283</v>
      </c>
      <c r="H51" s="254">
        <f>I51/$D$5</f>
        <v>188.41</v>
      </c>
      <c r="I51" s="162">
        <f>J51/$R$1</f>
        <v>21169.662921348314</v>
      </c>
      <c r="J51" s="162">
        <f>$W$44</f>
        <v>18841</v>
      </c>
    </row>
    <row r="52" spans="1:14" ht="14.25" customHeight="1" x14ac:dyDescent="0.2">
      <c r="A52" s="1461"/>
      <c r="B52" s="209" t="s">
        <v>262</v>
      </c>
      <c r="C52" s="210">
        <f>$I$1</f>
        <v>0</v>
      </c>
      <c r="D52" s="211">
        <f>$E$1</f>
        <v>177</v>
      </c>
      <c r="E52" s="84"/>
      <c r="F52" s="84"/>
      <c r="G52" s="129" t="s">
        <v>262</v>
      </c>
      <c r="H52" s="97">
        <f>I52/$D$5</f>
        <v>141.6</v>
      </c>
      <c r="I52" s="157">
        <f>J52/$R$1</f>
        <v>15910.112359550561</v>
      </c>
      <c r="J52" s="165">
        <f>$U$32*$T$1*0.8</f>
        <v>14160</v>
      </c>
    </row>
    <row r="53" spans="1:14" ht="14.25" customHeight="1" x14ac:dyDescent="0.2">
      <c r="A53" s="1461"/>
      <c r="B53" s="209" t="s">
        <v>284</v>
      </c>
      <c r="C53" s="212">
        <f>MIN(C52, C51)</f>
        <v>0</v>
      </c>
      <c r="D53" s="211">
        <f>(C53*$K$1)*$C$1</f>
        <v>0</v>
      </c>
      <c r="E53" s="84"/>
      <c r="F53" s="84"/>
      <c r="G53" s="129" t="s">
        <v>284</v>
      </c>
      <c r="H53" s="168">
        <f>MIN(H52,H51)</f>
        <v>141.6</v>
      </c>
      <c r="I53" s="157">
        <f>J53/$R$1</f>
        <v>15910.112359550561</v>
      </c>
      <c r="J53" s="157">
        <f>MIN(J52,J51)</f>
        <v>14160</v>
      </c>
    </row>
    <row r="54" spans="1:14" ht="14.25" customHeight="1" x14ac:dyDescent="0.2">
      <c r="A54" s="1461"/>
      <c r="B54" s="209" t="s">
        <v>285</v>
      </c>
      <c r="C54" s="212">
        <f>MIN(MAX(C52-C53,0),C51)</f>
        <v>0</v>
      </c>
      <c r="D54" s="211">
        <f>(C54*$K$1)*$C$1</f>
        <v>0</v>
      </c>
      <c r="E54" s="84"/>
      <c r="F54" s="84"/>
      <c r="G54" s="129" t="s">
        <v>285</v>
      </c>
      <c r="H54" s="168">
        <f>MIN(MAX(H52-H53),H51)</f>
        <v>0</v>
      </c>
      <c r="I54" s="157">
        <f>J54/$R$1</f>
        <v>0</v>
      </c>
      <c r="J54" s="157">
        <f>MIN(MAX(J52-J53),J51)</f>
        <v>0</v>
      </c>
    </row>
    <row r="55" spans="1:14" ht="14.25" customHeight="1" x14ac:dyDescent="0.2">
      <c r="A55" s="1461"/>
      <c r="B55" s="209" t="s">
        <v>286</v>
      </c>
      <c r="C55" s="212">
        <f>MIN(MAX(C52-C53-C54,0),C51)</f>
        <v>0</v>
      </c>
      <c r="D55" s="211">
        <f>(C55*$K$1)*$C$1</f>
        <v>0</v>
      </c>
      <c r="E55" s="84"/>
      <c r="F55" s="84"/>
      <c r="G55" s="126" t="s">
        <v>286</v>
      </c>
      <c r="H55" s="168">
        <f>MIN(MAX(H52-H53-H54),H51)</f>
        <v>0</v>
      </c>
      <c r="I55" s="157">
        <f>J55/$R$1</f>
        <v>0</v>
      </c>
      <c r="J55" s="157">
        <f>MIN(MAX(J52-J53-J54),J51)</f>
        <v>0</v>
      </c>
    </row>
    <row r="56" spans="1:14" ht="14.25" customHeight="1" x14ac:dyDescent="0.2">
      <c r="A56" s="1461"/>
    </row>
    <row r="57" spans="1:14" ht="18" customHeight="1" x14ac:dyDescent="0.2">
      <c r="A57" s="1461"/>
    </row>
    <row r="58" spans="1:14" ht="12.75" customHeight="1" x14ac:dyDescent="0.2">
      <c r="A58" s="1461"/>
      <c r="B58" s="1660"/>
      <c r="C58" s="1655"/>
      <c r="D58" s="1655"/>
      <c r="E58" s="1655"/>
      <c r="F58" s="1655"/>
      <c r="G58" s="1655"/>
      <c r="H58" s="1655"/>
      <c r="I58" s="1655"/>
      <c r="J58" s="1655"/>
    </row>
    <row r="59" spans="1:14" ht="14.25" customHeight="1" x14ac:dyDescent="0.2">
      <c r="A59" s="1461"/>
      <c r="B59" s="323"/>
      <c r="C59" s="324"/>
      <c r="D59" s="323"/>
      <c r="E59" s="323"/>
      <c r="F59" s="323"/>
      <c r="G59" s="323"/>
      <c r="H59" s="323"/>
      <c r="I59" s="323"/>
      <c r="J59" s="323"/>
    </row>
    <row r="60" spans="1:14" ht="14.25" customHeight="1" x14ac:dyDescent="0.2">
      <c r="A60" s="1461"/>
      <c r="B60" s="325"/>
      <c r="C60" s="325"/>
      <c r="D60" s="325"/>
      <c r="E60" s="309"/>
      <c r="F60" s="117"/>
      <c r="G60" s="118"/>
      <c r="H60" s="119"/>
      <c r="I60" s="76"/>
      <c r="J60" s="120"/>
    </row>
    <row r="61" spans="1:14" ht="14.25" customHeight="1" x14ac:dyDescent="0.2">
      <c r="A61" s="1461"/>
      <c r="B61" s="325"/>
      <c r="C61" s="325"/>
      <c r="D61" s="325"/>
      <c r="E61" s="309"/>
      <c r="F61" s="117"/>
      <c r="G61" s="118"/>
      <c r="H61" s="119"/>
      <c r="I61" s="76"/>
      <c r="J61" s="120"/>
    </row>
    <row r="62" spans="1:14" ht="18" customHeight="1" x14ac:dyDescent="0.2">
      <c r="A62" s="1464"/>
      <c r="B62" s="1642"/>
      <c r="C62" s="1656"/>
      <c r="D62" s="1656"/>
      <c r="E62" s="1656"/>
      <c r="F62" s="1656"/>
      <c r="G62" s="1656"/>
      <c r="H62" s="1656"/>
    </row>
    <row r="63" spans="1:14" ht="14.25" x14ac:dyDescent="0.2">
      <c r="A63" s="1464"/>
      <c r="B63" s="1636" t="s">
        <v>849</v>
      </c>
      <c r="C63" s="1637"/>
      <c r="D63" s="1637"/>
      <c r="E63" s="1637"/>
      <c r="F63" s="1637"/>
      <c r="G63" s="1637"/>
      <c r="H63" s="1637"/>
    </row>
    <row r="64" spans="1:14" ht="39" customHeight="1" x14ac:dyDescent="0.2">
      <c r="A64" s="1457"/>
      <c r="B64" s="221" t="s">
        <v>241</v>
      </c>
      <c r="C64" s="222" t="s">
        <v>242</v>
      </c>
      <c r="D64" s="223" t="s">
        <v>231</v>
      </c>
      <c r="E64" s="197" t="s">
        <v>234</v>
      </c>
      <c r="F64" s="197" t="s">
        <v>243</v>
      </c>
      <c r="G64" s="223" t="s">
        <v>244</v>
      </c>
      <c r="H64" s="197" t="s">
        <v>245</v>
      </c>
      <c r="M64" s="112"/>
      <c r="N64" s="112"/>
    </row>
    <row r="65" spans="1:12" ht="14.25" customHeight="1" x14ac:dyDescent="0.2">
      <c r="A65" s="1460"/>
      <c r="B65" s="299" t="str">
        <f t="shared" ref="B65:D67" si="11">B5</f>
        <v>Chicken Minced - دجاج مفروم</v>
      </c>
      <c r="C65" s="20" t="str">
        <f t="shared" si="11"/>
        <v>gm</v>
      </c>
      <c r="D65" s="717">
        <f t="shared" si="11"/>
        <v>112.35955056179775</v>
      </c>
      <c r="E65" s="98">
        <f>$D$52</f>
        <v>177</v>
      </c>
      <c r="F65" s="109">
        <f>F5</f>
        <v>1</v>
      </c>
      <c r="G65" s="103">
        <f>D65*E65</f>
        <v>19887.6404494382</v>
      </c>
      <c r="H65" s="102">
        <f>G65*F65</f>
        <v>19887.6404494382</v>
      </c>
      <c r="I65" s="76"/>
      <c r="J65" s="118"/>
      <c r="K65" s="76"/>
      <c r="L65" s="118"/>
    </row>
    <row r="66" spans="1:12" ht="14.25" customHeight="1" x14ac:dyDescent="0.2">
      <c r="A66" s="1460"/>
      <c r="B66" s="299" t="str">
        <f t="shared" si="11"/>
        <v>Whole Wheat Burger Buns 70gm - خبز برجر بني</v>
      </c>
      <c r="C66" s="20" t="str">
        <f t="shared" si="11"/>
        <v>Piece</v>
      </c>
      <c r="D66" s="717">
        <f t="shared" si="11"/>
        <v>1</v>
      </c>
      <c r="E66" s="98">
        <f t="shared" ref="E66:E68" si="12">$D$52</f>
        <v>177</v>
      </c>
      <c r="F66" s="109">
        <f t="shared" ref="F66:F68" si="13">F6</f>
        <v>1</v>
      </c>
      <c r="G66" s="103">
        <f t="shared" ref="G66:G67" si="14">D66*E66</f>
        <v>177</v>
      </c>
      <c r="H66" s="102">
        <f t="shared" ref="H66:H67" si="15">G66*F66</f>
        <v>177</v>
      </c>
    </row>
    <row r="67" spans="1:12" ht="14.25" customHeight="1" x14ac:dyDescent="0.2">
      <c r="A67" s="1461"/>
      <c r="B67" s="299" t="str">
        <f t="shared" si="11"/>
        <v>Iceberg Lettuce - خس مدور أمريكى</v>
      </c>
      <c r="C67" s="20" t="str">
        <f t="shared" si="11"/>
        <v>gm</v>
      </c>
      <c r="D67" s="717">
        <f t="shared" si="11"/>
        <v>10</v>
      </c>
      <c r="E67" s="98">
        <f t="shared" si="12"/>
        <v>177</v>
      </c>
      <c r="F67" s="109">
        <f t="shared" si="13"/>
        <v>1</v>
      </c>
      <c r="G67" s="103">
        <f t="shared" si="14"/>
        <v>1770</v>
      </c>
      <c r="H67" s="102">
        <f t="shared" si="15"/>
        <v>1770</v>
      </c>
    </row>
    <row r="68" spans="1:12" ht="15" x14ac:dyDescent="0.25">
      <c r="A68" s="1458"/>
      <c r="B68" s="299" t="str">
        <f t="shared" ref="B68:D68" si="16">B8</f>
        <v>Sliced cheese - جبنة شرائح</v>
      </c>
      <c r="C68" s="20" t="str">
        <f t="shared" si="16"/>
        <v>Piece</v>
      </c>
      <c r="D68" s="717">
        <f t="shared" si="16"/>
        <v>1</v>
      </c>
      <c r="E68" s="98">
        <f t="shared" si="12"/>
        <v>177</v>
      </c>
      <c r="F68" s="109">
        <f t="shared" si="13"/>
        <v>1</v>
      </c>
      <c r="G68" s="103">
        <f t="shared" ref="G68" si="17">D68*E68</f>
        <v>177</v>
      </c>
      <c r="H68" s="102">
        <f t="shared" ref="H68" si="18">G68*F68</f>
        <v>177</v>
      </c>
    </row>
    <row r="69" spans="1:12" ht="21" customHeight="1" x14ac:dyDescent="0.2">
      <c r="A69" s="1461"/>
      <c r="B69" s="178" t="s">
        <v>287</v>
      </c>
      <c r="C69" s="851" t="s">
        <v>273</v>
      </c>
      <c r="D69" s="850"/>
      <c r="E69" s="851" t="s">
        <v>288</v>
      </c>
      <c r="F69" s="850"/>
      <c r="G69" s="852" t="s">
        <v>264</v>
      </c>
      <c r="H69" s="852" t="s">
        <v>673</v>
      </c>
    </row>
    <row r="70" spans="1:12" ht="20.25" customHeight="1" x14ac:dyDescent="0.3">
      <c r="A70" s="1461"/>
      <c r="B70" s="179">
        <f>$J$53</f>
        <v>14160</v>
      </c>
      <c r="C70" s="179">
        <f>E70+G70</f>
        <v>0</v>
      </c>
      <c r="D70" s="839"/>
      <c r="E70" s="179">
        <f>$C$53*$S$44</f>
        <v>0</v>
      </c>
      <c r="F70" s="843"/>
      <c r="G70" s="179">
        <f>$D$53*$T$44</f>
        <v>0</v>
      </c>
      <c r="H70" s="179">
        <f>B70+E70</f>
        <v>14160</v>
      </c>
    </row>
    <row r="71" spans="1:12" ht="23.25" customHeight="1" x14ac:dyDescent="0.2">
      <c r="A71" s="1461"/>
      <c r="E71" s="84"/>
      <c r="F71" s="84"/>
    </row>
    <row r="72" spans="1:12" ht="24.75" customHeight="1" x14ac:dyDescent="0.2">
      <c r="A72" s="1461"/>
      <c r="B72" s="84"/>
      <c r="E72" s="84"/>
      <c r="F72" s="84"/>
    </row>
    <row r="73" spans="1:12" ht="14.25" customHeight="1" x14ac:dyDescent="0.2">
      <c r="A73" s="1461"/>
      <c r="B73" s="84"/>
      <c r="E73" s="84"/>
      <c r="F73" s="84"/>
    </row>
    <row r="74" spans="1:12" ht="12.75" customHeight="1" x14ac:dyDescent="0.2">
      <c r="A74" s="1461"/>
      <c r="B74" s="84"/>
      <c r="E74" s="84"/>
      <c r="F74" s="84"/>
    </row>
    <row r="75" spans="1:12" x14ac:dyDescent="0.2">
      <c r="A75" s="1461"/>
      <c r="B75" s="84"/>
    </row>
    <row r="76" spans="1:12" ht="12.75" customHeight="1" x14ac:dyDescent="0.2">
      <c r="A76" s="1461"/>
    </row>
    <row r="77" spans="1:12" ht="12.75" customHeight="1" x14ac:dyDescent="0.2">
      <c r="A77" s="1461"/>
      <c r="E77" s="84"/>
      <c r="F77" s="84"/>
    </row>
    <row r="78" spans="1:12" ht="12.75" customHeight="1" x14ac:dyDescent="0.2">
      <c r="A78" s="1461"/>
      <c r="E78" s="84"/>
      <c r="F78" s="84"/>
    </row>
    <row r="79" spans="1:12" ht="12.75" customHeight="1" x14ac:dyDescent="0.2">
      <c r="A79" s="1461"/>
      <c r="B79" s="84"/>
      <c r="E79" s="84"/>
      <c r="F79" s="84"/>
    </row>
    <row r="80" spans="1:12" ht="12.75" customHeight="1" x14ac:dyDescent="0.2">
      <c r="A80" s="1461"/>
      <c r="B80" s="84"/>
      <c r="E80" s="84"/>
      <c r="F80" s="84"/>
    </row>
    <row r="81" spans="1:6" ht="12.75" customHeight="1" x14ac:dyDescent="0.2">
      <c r="A81" s="1461"/>
      <c r="B81" s="84"/>
      <c r="E81" s="84"/>
      <c r="F81" s="84"/>
    </row>
    <row r="82" spans="1:6" ht="12.75" customHeight="1" x14ac:dyDescent="0.2">
      <c r="A82" s="1461"/>
      <c r="B82" s="84"/>
      <c r="E82" s="84"/>
      <c r="F82" s="84"/>
    </row>
    <row r="83" spans="1:6" ht="12.75" customHeight="1" x14ac:dyDescent="0.2">
      <c r="A83" s="1461"/>
      <c r="B83" s="84"/>
      <c r="E83" s="84"/>
      <c r="F83" s="84"/>
    </row>
    <row r="84" spans="1:6" ht="12.75" customHeight="1" x14ac:dyDescent="0.2">
      <c r="A84" s="1461"/>
      <c r="B84" s="84"/>
      <c r="E84" s="84"/>
      <c r="F84" s="84"/>
    </row>
    <row r="85" spans="1:6" ht="12.75" customHeight="1" x14ac:dyDescent="0.2">
      <c r="A85" s="1461"/>
      <c r="B85" s="84"/>
      <c r="E85" s="84"/>
      <c r="F85" s="84"/>
    </row>
    <row r="86" spans="1:6" ht="12.75" customHeight="1" x14ac:dyDescent="0.2">
      <c r="A86" s="1461"/>
      <c r="B86" s="84"/>
      <c r="E86" s="84"/>
      <c r="F86" s="84"/>
    </row>
    <row r="87" spans="1:6" ht="12.75" customHeight="1" x14ac:dyDescent="0.2">
      <c r="A87" s="1461"/>
      <c r="B87" s="84"/>
      <c r="E87" s="84"/>
      <c r="F87" s="84"/>
    </row>
    <row r="88" spans="1:6" ht="12.75" customHeight="1" x14ac:dyDescent="0.2">
      <c r="A88" s="1461"/>
      <c r="B88" s="84"/>
      <c r="E88" s="84"/>
      <c r="F88" s="84"/>
    </row>
    <row r="89" spans="1:6" ht="12.75" customHeight="1" x14ac:dyDescent="0.2">
      <c r="A89" s="1461"/>
      <c r="B89" s="84"/>
      <c r="E89" s="84"/>
      <c r="F89" s="84"/>
    </row>
    <row r="90" spans="1:6" ht="12.75" customHeight="1" x14ac:dyDescent="0.2">
      <c r="A90" s="1461"/>
      <c r="B90" s="84"/>
      <c r="E90" s="84"/>
      <c r="F90" s="84"/>
    </row>
    <row r="91" spans="1:6" ht="12.75" customHeight="1" x14ac:dyDescent="0.2">
      <c r="A91" s="1461"/>
      <c r="B91" s="84"/>
      <c r="E91" s="84"/>
      <c r="F91" s="84"/>
    </row>
    <row r="92" spans="1:6" ht="12.75" customHeight="1" x14ac:dyDescent="0.2">
      <c r="A92" s="1461"/>
      <c r="B92" s="84"/>
      <c r="E92" s="84"/>
      <c r="F92" s="84"/>
    </row>
    <row r="93" spans="1:6" ht="12.75" customHeight="1" x14ac:dyDescent="0.2">
      <c r="A93" s="1461"/>
      <c r="B93" s="84"/>
      <c r="E93" s="84"/>
      <c r="F93" s="84"/>
    </row>
    <row r="94" spans="1:6" ht="12.75" customHeight="1" x14ac:dyDescent="0.2">
      <c r="A94" s="1461"/>
      <c r="B94" s="84"/>
      <c r="E94" s="84"/>
      <c r="F94" s="84"/>
    </row>
    <row r="95" spans="1:6" ht="12.75" customHeight="1" x14ac:dyDescent="0.2">
      <c r="A95" s="1461"/>
      <c r="B95" s="84"/>
      <c r="E95" s="84"/>
      <c r="F95" s="84"/>
    </row>
    <row r="96" spans="1:6" ht="12.75" customHeight="1" x14ac:dyDescent="0.2">
      <c r="A96" s="1461"/>
      <c r="B96" s="84"/>
      <c r="E96" s="84"/>
      <c r="F96" s="84"/>
    </row>
    <row r="97" spans="1:6" ht="12.75" customHeight="1" x14ac:dyDescent="0.2">
      <c r="A97" s="1461"/>
      <c r="B97" s="84"/>
      <c r="E97" s="84"/>
      <c r="F97" s="84"/>
    </row>
    <row r="98" spans="1:6" ht="12.75" customHeight="1" x14ac:dyDescent="0.2">
      <c r="A98" s="1461"/>
      <c r="B98" s="84"/>
      <c r="E98" s="84"/>
      <c r="F98" s="84"/>
    </row>
    <row r="99" spans="1:6" ht="12.75" customHeight="1" x14ac:dyDescent="0.2">
      <c r="A99" s="1461"/>
      <c r="B99" s="84"/>
      <c r="E99" s="84"/>
      <c r="F99" s="84"/>
    </row>
    <row r="100" spans="1:6" ht="12.75" customHeight="1" x14ac:dyDescent="0.2">
      <c r="A100" s="1461"/>
      <c r="B100" s="84"/>
      <c r="E100" s="84"/>
      <c r="F100" s="84"/>
    </row>
    <row r="101" spans="1:6" ht="12.75" customHeight="1" x14ac:dyDescent="0.2">
      <c r="A101" s="1461"/>
      <c r="B101" s="84"/>
      <c r="E101" s="84"/>
      <c r="F101" s="84"/>
    </row>
    <row r="102" spans="1:6" ht="12.75" customHeight="1" x14ac:dyDescent="0.2">
      <c r="A102" s="1461"/>
      <c r="B102" s="84"/>
      <c r="E102" s="84"/>
      <c r="F102" s="84"/>
    </row>
    <row r="103" spans="1:6" ht="12.75" customHeight="1" x14ac:dyDescent="0.2">
      <c r="A103" s="1461"/>
      <c r="B103" s="84"/>
      <c r="E103" s="84"/>
      <c r="F103" s="84"/>
    </row>
    <row r="104" spans="1:6" ht="12.75" customHeight="1" x14ac:dyDescent="0.2">
      <c r="A104" s="1461"/>
      <c r="B104" s="84"/>
      <c r="E104" s="84"/>
      <c r="F104" s="84"/>
    </row>
    <row r="105" spans="1:6" ht="12.75" customHeight="1" x14ac:dyDescent="0.2">
      <c r="A105" s="1461"/>
      <c r="B105" s="84"/>
      <c r="E105" s="84"/>
      <c r="F105" s="84"/>
    </row>
    <row r="106" spans="1:6" ht="12.75" customHeight="1" x14ac:dyDescent="0.2">
      <c r="A106" s="1461"/>
      <c r="B106" s="84"/>
      <c r="E106" s="84"/>
      <c r="F106" s="84"/>
    </row>
    <row r="107" spans="1:6" ht="12.75" customHeight="1" x14ac:dyDescent="0.2">
      <c r="A107" s="1461"/>
      <c r="B107" s="84"/>
      <c r="E107" s="84"/>
      <c r="F107" s="84"/>
    </row>
    <row r="108" spans="1:6" ht="12.75" customHeight="1" x14ac:dyDescent="0.2">
      <c r="A108" s="1461"/>
      <c r="B108" s="84"/>
      <c r="E108" s="84"/>
      <c r="F108" s="84"/>
    </row>
    <row r="109" spans="1:6" ht="12.75" customHeight="1" x14ac:dyDescent="0.2">
      <c r="A109" s="1461"/>
      <c r="B109" s="84"/>
      <c r="E109" s="84"/>
      <c r="F109" s="84"/>
    </row>
    <row r="110" spans="1:6" ht="12.75" customHeight="1" x14ac:dyDescent="0.2">
      <c r="A110" s="1461"/>
      <c r="B110" s="84"/>
      <c r="E110" s="84"/>
      <c r="F110" s="84"/>
    </row>
    <row r="111" spans="1:6" ht="12.75" customHeight="1" x14ac:dyDescent="0.2">
      <c r="A111" s="1461"/>
      <c r="B111" s="84"/>
      <c r="E111" s="84"/>
      <c r="F111" s="84"/>
    </row>
    <row r="112" spans="1:6" ht="12.75" customHeight="1" x14ac:dyDescent="0.2">
      <c r="A112" s="1461"/>
      <c r="B112" s="84"/>
      <c r="E112" s="84"/>
      <c r="F112" s="84"/>
    </row>
    <row r="113" spans="1:6" ht="12.75" customHeight="1" x14ac:dyDescent="0.2">
      <c r="A113" s="1461"/>
      <c r="B113" s="84"/>
      <c r="E113" s="84"/>
      <c r="F113" s="84"/>
    </row>
    <row r="114" spans="1:6" ht="12.75" customHeight="1" x14ac:dyDescent="0.2">
      <c r="A114" s="1461"/>
      <c r="B114" s="84"/>
      <c r="E114" s="84"/>
      <c r="F114" s="84"/>
    </row>
    <row r="115" spans="1:6" ht="12.75" customHeight="1" x14ac:dyDescent="0.2">
      <c r="A115" s="1461"/>
      <c r="B115" s="84"/>
      <c r="E115" s="84"/>
      <c r="F115" s="84"/>
    </row>
    <row r="116" spans="1:6" ht="12.75" customHeight="1" x14ac:dyDescent="0.2">
      <c r="A116" s="1461"/>
      <c r="B116" s="84"/>
      <c r="E116" s="84"/>
      <c r="F116" s="84"/>
    </row>
    <row r="117" spans="1:6" ht="12.75" customHeight="1" x14ac:dyDescent="0.2">
      <c r="A117" s="1461"/>
      <c r="B117" s="84"/>
      <c r="E117" s="84"/>
      <c r="F117" s="84"/>
    </row>
    <row r="118" spans="1:6" ht="12.75" customHeight="1" x14ac:dyDescent="0.2">
      <c r="A118" s="1461"/>
      <c r="B118" s="84"/>
      <c r="E118" s="84"/>
      <c r="F118" s="84"/>
    </row>
    <row r="119" spans="1:6" ht="12.75" customHeight="1" x14ac:dyDescent="0.2">
      <c r="A119" s="1461"/>
      <c r="B119" s="84"/>
      <c r="E119" s="84"/>
      <c r="F119" s="84"/>
    </row>
    <row r="120" spans="1:6" ht="12.75" customHeight="1" x14ac:dyDescent="0.2">
      <c r="A120" s="1461"/>
      <c r="B120" s="84"/>
      <c r="E120" s="84"/>
      <c r="F120" s="84"/>
    </row>
    <row r="121" spans="1:6" ht="12.75" customHeight="1" x14ac:dyDescent="0.2">
      <c r="A121" s="1461"/>
      <c r="B121" s="84"/>
      <c r="E121" s="84"/>
      <c r="F121" s="84"/>
    </row>
    <row r="122" spans="1:6" ht="12.75" customHeight="1" x14ac:dyDescent="0.2">
      <c r="A122" s="1461"/>
      <c r="B122" s="84"/>
      <c r="E122" s="84"/>
      <c r="F122" s="84"/>
    </row>
    <row r="123" spans="1:6" ht="12.75" customHeight="1" x14ac:dyDescent="0.2">
      <c r="A123" s="1461"/>
      <c r="B123" s="84"/>
      <c r="E123" s="84"/>
      <c r="F123" s="84"/>
    </row>
    <row r="124" spans="1:6" ht="12.75" customHeight="1" x14ac:dyDescent="0.2">
      <c r="A124" s="1461"/>
      <c r="B124" s="84"/>
      <c r="E124" s="84"/>
      <c r="F124" s="84"/>
    </row>
    <row r="125" spans="1:6" ht="12.75" customHeight="1" x14ac:dyDescent="0.2">
      <c r="A125" s="1461"/>
      <c r="B125" s="84"/>
      <c r="E125" s="84"/>
      <c r="F125" s="84"/>
    </row>
    <row r="126" spans="1:6" ht="12.75" customHeight="1" x14ac:dyDescent="0.2">
      <c r="A126" s="1461"/>
      <c r="B126" s="84"/>
      <c r="E126" s="84"/>
      <c r="F126" s="84"/>
    </row>
    <row r="127" spans="1:6" ht="12.75" customHeight="1" x14ac:dyDescent="0.2">
      <c r="A127" s="1461"/>
      <c r="B127" s="84"/>
      <c r="E127" s="84"/>
      <c r="F127" s="84"/>
    </row>
    <row r="128" spans="1:6" ht="12.75" customHeight="1" x14ac:dyDescent="0.2">
      <c r="A128" s="1461"/>
      <c r="B128" s="84"/>
      <c r="E128" s="84"/>
      <c r="F128" s="84"/>
    </row>
    <row r="129" spans="1:6" ht="12.75" customHeight="1" x14ac:dyDescent="0.2">
      <c r="A129" s="1461"/>
      <c r="B129" s="84"/>
      <c r="E129" s="84"/>
      <c r="F129" s="84"/>
    </row>
    <row r="130" spans="1:6" ht="12.75" customHeight="1" x14ac:dyDescent="0.2">
      <c r="A130" s="1461"/>
      <c r="B130" s="84"/>
      <c r="E130" s="84"/>
      <c r="F130" s="84"/>
    </row>
    <row r="131" spans="1:6" ht="12.75" customHeight="1" x14ac:dyDescent="0.2">
      <c r="A131" s="1461"/>
      <c r="B131" s="84"/>
      <c r="E131" s="84"/>
      <c r="F131" s="84"/>
    </row>
    <row r="132" spans="1:6" ht="12.75" customHeight="1" x14ac:dyDescent="0.2">
      <c r="A132" s="1461"/>
      <c r="B132" s="84"/>
      <c r="E132" s="84"/>
      <c r="F132" s="84"/>
    </row>
    <row r="133" spans="1:6" ht="12.75" customHeight="1" x14ac:dyDescent="0.2">
      <c r="A133" s="1461"/>
      <c r="B133" s="84"/>
      <c r="E133" s="84"/>
      <c r="F133" s="84"/>
    </row>
    <row r="134" spans="1:6" ht="12.75" customHeight="1" x14ac:dyDescent="0.2">
      <c r="A134" s="1461"/>
      <c r="B134" s="84"/>
      <c r="E134" s="84"/>
      <c r="F134" s="84"/>
    </row>
    <row r="135" spans="1:6" ht="12.75" customHeight="1" x14ac:dyDescent="0.2">
      <c r="A135" s="1461"/>
      <c r="B135" s="84"/>
      <c r="E135" s="84"/>
      <c r="F135" s="84"/>
    </row>
    <row r="136" spans="1:6" ht="12.75" customHeight="1" x14ac:dyDescent="0.2">
      <c r="A136" s="1461"/>
      <c r="B136" s="84"/>
      <c r="E136" s="84"/>
      <c r="F136" s="84"/>
    </row>
    <row r="137" spans="1:6" ht="12.75" customHeight="1" x14ac:dyDescent="0.2">
      <c r="A137" s="1461"/>
      <c r="B137" s="84"/>
      <c r="E137" s="84"/>
      <c r="F137" s="84"/>
    </row>
    <row r="138" spans="1:6" ht="12.75" customHeight="1" x14ac:dyDescent="0.2">
      <c r="A138" s="1461"/>
      <c r="B138" s="84"/>
      <c r="E138" s="84"/>
      <c r="F138" s="84"/>
    </row>
    <row r="139" spans="1:6" ht="12.75" customHeight="1" x14ac:dyDescent="0.2">
      <c r="A139" s="1461"/>
      <c r="B139" s="84"/>
      <c r="E139" s="84"/>
      <c r="F139" s="84"/>
    </row>
    <row r="140" spans="1:6" ht="12.75" customHeight="1" x14ac:dyDescent="0.2">
      <c r="A140" s="1461"/>
      <c r="B140" s="84"/>
      <c r="E140" s="84"/>
      <c r="F140" s="84"/>
    </row>
    <row r="141" spans="1:6" ht="12.75" customHeight="1" x14ac:dyDescent="0.2">
      <c r="A141" s="1461"/>
      <c r="B141" s="84"/>
      <c r="E141" s="84"/>
      <c r="F141" s="84"/>
    </row>
    <row r="142" spans="1:6" ht="12.75" customHeight="1" x14ac:dyDescent="0.2">
      <c r="A142" s="1461"/>
      <c r="B142" s="84"/>
      <c r="E142" s="84"/>
      <c r="F142" s="84"/>
    </row>
    <row r="143" spans="1:6" ht="12.75" customHeight="1" x14ac:dyDescent="0.2">
      <c r="A143" s="1461"/>
      <c r="B143" s="84"/>
      <c r="E143" s="84"/>
      <c r="F143" s="84"/>
    </row>
    <row r="144" spans="1:6" ht="12.75" customHeight="1" x14ac:dyDescent="0.2">
      <c r="A144" s="1461"/>
      <c r="B144" s="84"/>
      <c r="E144" s="84"/>
      <c r="F144" s="84"/>
    </row>
    <row r="145" spans="1:6" ht="12.75" customHeight="1" x14ac:dyDescent="0.2">
      <c r="A145" s="1461"/>
      <c r="B145" s="84"/>
      <c r="E145" s="84"/>
      <c r="F145" s="84"/>
    </row>
    <row r="146" spans="1:6" ht="12.75" customHeight="1" x14ac:dyDescent="0.2">
      <c r="A146" s="1461"/>
      <c r="B146" s="84"/>
      <c r="E146" s="84"/>
      <c r="F146" s="84"/>
    </row>
    <row r="147" spans="1:6" ht="12.75" customHeight="1" x14ac:dyDescent="0.2">
      <c r="A147" s="1461"/>
      <c r="B147" s="84"/>
      <c r="E147" s="84"/>
      <c r="F147" s="84"/>
    </row>
    <row r="148" spans="1:6" ht="12.75" customHeight="1" x14ac:dyDescent="0.2">
      <c r="A148" s="1461"/>
      <c r="B148" s="84"/>
      <c r="E148" s="84"/>
      <c r="F148" s="84"/>
    </row>
    <row r="149" spans="1:6" ht="12.75" customHeight="1" x14ac:dyDescent="0.2">
      <c r="A149" s="1461"/>
      <c r="B149" s="84"/>
      <c r="E149" s="84"/>
      <c r="F149" s="84"/>
    </row>
    <row r="150" spans="1:6" ht="12.75" customHeight="1" x14ac:dyDescent="0.2">
      <c r="A150" s="1461"/>
      <c r="B150" s="84"/>
      <c r="E150" s="84"/>
      <c r="F150" s="84"/>
    </row>
    <row r="151" spans="1:6" ht="12.75" customHeight="1" x14ac:dyDescent="0.2">
      <c r="A151" s="1461"/>
      <c r="B151" s="84"/>
      <c r="E151" s="84"/>
      <c r="F151" s="84"/>
    </row>
    <row r="152" spans="1:6" ht="12.75" customHeight="1" x14ac:dyDescent="0.2">
      <c r="A152" s="1461"/>
      <c r="B152" s="84"/>
      <c r="E152" s="84"/>
      <c r="F152" s="84"/>
    </row>
    <row r="153" spans="1:6" ht="12.75" customHeight="1" x14ac:dyDescent="0.2">
      <c r="A153" s="1461"/>
      <c r="B153" s="84"/>
      <c r="E153" s="84"/>
      <c r="F153" s="84"/>
    </row>
    <row r="154" spans="1:6" ht="12.75" customHeight="1" x14ac:dyDescent="0.2">
      <c r="A154" s="1461"/>
      <c r="B154" s="84"/>
      <c r="E154" s="84"/>
      <c r="F154" s="84"/>
    </row>
    <row r="155" spans="1:6" ht="12.75" customHeight="1" x14ac:dyDescent="0.2">
      <c r="A155" s="1461"/>
      <c r="B155" s="84"/>
      <c r="E155" s="84"/>
      <c r="F155" s="84"/>
    </row>
    <row r="156" spans="1:6" ht="12.75" customHeight="1" x14ac:dyDescent="0.2">
      <c r="A156" s="1461"/>
      <c r="B156" s="84"/>
      <c r="E156" s="84"/>
      <c r="F156" s="84"/>
    </row>
    <row r="157" spans="1:6" ht="12.75" customHeight="1" x14ac:dyDescent="0.2">
      <c r="A157" s="1461"/>
      <c r="B157" s="84"/>
      <c r="E157" s="84"/>
      <c r="F157" s="84"/>
    </row>
    <row r="158" spans="1:6" ht="12.75" customHeight="1" x14ac:dyDescent="0.2">
      <c r="A158" s="1461"/>
      <c r="B158" s="84"/>
      <c r="E158" s="84"/>
      <c r="F158" s="84"/>
    </row>
    <row r="159" spans="1:6" ht="12.75" customHeight="1" x14ac:dyDescent="0.2">
      <c r="A159" s="1461"/>
      <c r="B159" s="84"/>
      <c r="E159" s="84"/>
      <c r="F159" s="84"/>
    </row>
    <row r="160" spans="1:6" ht="12.75" customHeight="1" x14ac:dyDescent="0.2">
      <c r="A160" s="1461"/>
      <c r="B160" s="84"/>
      <c r="E160" s="84"/>
      <c r="F160" s="84"/>
    </row>
    <row r="161" spans="1:6" ht="12.75" customHeight="1" x14ac:dyDescent="0.2">
      <c r="A161" s="1461"/>
      <c r="B161" s="84"/>
      <c r="E161" s="84"/>
      <c r="F161" s="84"/>
    </row>
    <row r="162" spans="1:6" ht="12.75" customHeight="1" x14ac:dyDescent="0.2">
      <c r="A162" s="1461"/>
      <c r="B162" s="84"/>
      <c r="E162" s="84"/>
      <c r="F162" s="84"/>
    </row>
    <row r="163" spans="1:6" ht="12.75" customHeight="1" x14ac:dyDescent="0.2">
      <c r="A163" s="1461"/>
      <c r="B163" s="84"/>
      <c r="E163" s="84"/>
      <c r="F163" s="84"/>
    </row>
    <row r="164" spans="1:6" ht="12.75" customHeight="1" x14ac:dyDescent="0.2">
      <c r="A164" s="1461"/>
      <c r="B164" s="84"/>
      <c r="E164" s="84"/>
      <c r="F164" s="84"/>
    </row>
    <row r="165" spans="1:6" ht="12.75" customHeight="1" x14ac:dyDescent="0.2">
      <c r="A165" s="1461"/>
      <c r="B165" s="84"/>
      <c r="E165" s="84"/>
      <c r="F165" s="84"/>
    </row>
    <row r="166" spans="1:6" ht="12.75" customHeight="1" x14ac:dyDescent="0.2">
      <c r="A166" s="1461"/>
      <c r="B166" s="84"/>
      <c r="E166" s="84"/>
      <c r="F166" s="84"/>
    </row>
    <row r="167" spans="1:6" ht="12.75" customHeight="1" x14ac:dyDescent="0.2">
      <c r="A167" s="1461"/>
      <c r="B167" s="84"/>
      <c r="E167" s="84"/>
      <c r="F167" s="84"/>
    </row>
    <row r="168" spans="1:6" ht="12.75" customHeight="1" x14ac:dyDescent="0.2">
      <c r="A168" s="1461"/>
      <c r="B168" s="84"/>
      <c r="E168" s="84"/>
      <c r="F168" s="84"/>
    </row>
    <row r="169" spans="1:6" ht="12.75" customHeight="1" x14ac:dyDescent="0.2">
      <c r="A169" s="1461"/>
      <c r="B169" s="84"/>
      <c r="E169" s="84"/>
      <c r="F169" s="84"/>
    </row>
    <row r="170" spans="1:6" ht="12.75" customHeight="1" x14ac:dyDescent="0.2">
      <c r="A170" s="1461"/>
      <c r="B170" s="84"/>
      <c r="E170" s="84"/>
      <c r="F170" s="84"/>
    </row>
    <row r="171" spans="1:6" ht="12.75" customHeight="1" x14ac:dyDescent="0.2">
      <c r="A171" s="1461"/>
      <c r="B171" s="84"/>
      <c r="E171" s="84"/>
      <c r="F171" s="84"/>
    </row>
    <row r="172" spans="1:6" ht="12.75" customHeight="1" x14ac:dyDescent="0.2">
      <c r="A172" s="1461"/>
      <c r="B172" s="84"/>
      <c r="E172" s="84"/>
      <c r="F172" s="84"/>
    </row>
    <row r="173" spans="1:6" ht="12.75" customHeight="1" x14ac:dyDescent="0.2">
      <c r="A173" s="1461"/>
      <c r="B173" s="84"/>
      <c r="E173" s="84"/>
      <c r="F173" s="84"/>
    </row>
    <row r="174" spans="1:6" ht="12.75" customHeight="1" x14ac:dyDescent="0.2">
      <c r="A174" s="1461"/>
      <c r="B174" s="84"/>
      <c r="E174" s="84"/>
      <c r="F174" s="84"/>
    </row>
    <row r="175" spans="1:6" ht="12.75" customHeight="1" x14ac:dyDescent="0.2">
      <c r="B175" s="84"/>
      <c r="E175" s="84"/>
      <c r="F175" s="84"/>
    </row>
    <row r="176" spans="1: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row r="972" spans="2:6" x14ac:dyDescent="0.2">
      <c r="B972" s="84"/>
      <c r="E972" s="84"/>
      <c r="F972" s="84"/>
    </row>
  </sheetData>
  <mergeCells count="10">
    <mergeCell ref="B43:J43"/>
    <mergeCell ref="B58:J58"/>
    <mergeCell ref="B62:H62"/>
    <mergeCell ref="B63:H63"/>
    <mergeCell ref="B2:H3"/>
    <mergeCell ref="AK2:AN2"/>
    <mergeCell ref="AL3:AM3"/>
    <mergeCell ref="R25:U25"/>
    <mergeCell ref="R26:U26"/>
    <mergeCell ref="B42:J42"/>
  </mergeCells>
  <printOptions horizontalCentered="1"/>
  <pageMargins left="0.4" right="0.4" top="1" bottom="0.5" header="0.3" footer="0.511811023622047"/>
  <pageSetup paperSize="9" scale="46" orientation="landscape"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56DF9-A64C-45ED-B968-582A2388F5C0}">
  <sheetPr codeName="Sheet99">
    <tabColor theme="5" tint="-0.249977111117893"/>
    <pageSetUpPr fitToPage="1"/>
  </sheetPr>
  <dimension ref="A1:AT174"/>
  <sheetViews>
    <sheetView topLeftCell="I1" zoomScale="85" zoomScaleNormal="85" workbookViewId="0">
      <selection activeCell="A5" sqref="A5:A174"/>
    </sheetView>
  </sheetViews>
  <sheetFormatPr defaultColWidth="12.5" defaultRowHeight="15" x14ac:dyDescent="0.25"/>
  <cols>
    <col min="1" max="1" width="12.5" style="63" customWidth="1"/>
    <col min="2" max="2" width="32" style="27"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75" style="14" customWidth="1"/>
    <col min="15" max="17" width="12.5" style="14" customWidth="1"/>
    <col min="18" max="18" width="32.875" style="14" customWidth="1"/>
    <col min="19" max="27" width="12.5" style="14" customWidth="1"/>
    <col min="28" max="28" width="13.125" style="14" bestFit="1" customWidth="1"/>
    <col min="29" max="29" width="9.875" style="14" bestFit="1" customWidth="1"/>
    <col min="30" max="30" width="10.125" style="14" bestFit="1" customWidth="1"/>
    <col min="31" max="31" width="9.875" style="14" bestFit="1" customWidth="1"/>
    <col min="32" max="32" width="8.875" style="14" bestFit="1" customWidth="1"/>
    <col min="33" max="35" width="4.125" style="14" customWidth="1"/>
    <col min="36" max="36" width="41.375" style="14" customWidth="1"/>
    <col min="37" max="37" width="12.5" style="14" customWidth="1"/>
    <col min="38" max="38" width="16.125" style="14" customWidth="1"/>
    <col min="39" max="41" width="12.5" style="14"/>
    <col min="42" max="42" width="24.25" style="14" customWidth="1"/>
    <col min="43" max="16384" width="12.5" style="14"/>
  </cols>
  <sheetData>
    <row r="1" spans="1:46" s="228" customFormat="1" ht="53.25" customHeight="1" x14ac:dyDescent="0.2">
      <c r="A1" s="226"/>
      <c r="B1" s="277" t="s">
        <v>231</v>
      </c>
      <c r="C1" s="65">
        <v>1000</v>
      </c>
      <c r="D1" s="66" t="s">
        <v>232</v>
      </c>
      <c r="E1" s="99">
        <f>U32</f>
        <v>16930</v>
      </c>
      <c r="F1" s="64" t="s">
        <v>233</v>
      </c>
      <c r="G1" s="99">
        <f>E1/C1</f>
        <v>16.93</v>
      </c>
      <c r="H1" s="64" t="s">
        <v>234</v>
      </c>
      <c r="I1" s="227">
        <f>(G1/K1)</f>
        <v>17.18781725888325</v>
      </c>
      <c r="J1" s="70" t="s">
        <v>235</v>
      </c>
      <c r="K1" s="65">
        <v>0.98499999999999999</v>
      </c>
      <c r="L1" s="76"/>
      <c r="M1" s="73"/>
      <c r="N1" s="74"/>
      <c r="O1" s="75" t="s">
        <v>236</v>
      </c>
      <c r="P1" s="1266" t="s">
        <v>299</v>
      </c>
      <c r="Q1" s="880" t="s">
        <v>238</v>
      </c>
      <c r="R1" s="1267">
        <v>0.59</v>
      </c>
      <c r="Y1" s="75" t="s">
        <v>453</v>
      </c>
      <c r="Z1" s="766">
        <v>15930</v>
      </c>
      <c r="AA1" s="75" t="s">
        <v>556</v>
      </c>
      <c r="AB1" s="766">
        <v>1000</v>
      </c>
      <c r="AC1" s="75" t="s">
        <v>546</v>
      </c>
      <c r="AD1" s="766">
        <v>108</v>
      </c>
      <c r="AF1" s="230"/>
      <c r="AG1" s="76"/>
      <c r="AJ1" s="78" t="s">
        <v>250</v>
      </c>
      <c r="AK1" s="78">
        <v>10000</v>
      </c>
      <c r="AL1" s="561" t="s">
        <v>483</v>
      </c>
      <c r="AM1" s="562">
        <f>$S$32</f>
        <v>16930</v>
      </c>
      <c r="AN1" s="78" t="s">
        <v>239</v>
      </c>
      <c r="AO1" s="305">
        <f>(($S$32)/$R$1)/$AK$1</f>
        <v>2.869491525423729</v>
      </c>
      <c r="AP1" s="79"/>
    </row>
    <row r="2" spans="1:46" ht="12.75" customHeight="1" x14ac:dyDescent="0.25">
      <c r="A2" s="81"/>
      <c r="B2" s="1632" t="s">
        <v>851</v>
      </c>
      <c r="C2" s="1661"/>
      <c r="D2" s="1661"/>
      <c r="E2" s="1661"/>
      <c r="F2" s="1661"/>
      <c r="G2" s="1661"/>
      <c r="H2" s="1661"/>
      <c r="I2" s="82"/>
      <c r="J2" s="82"/>
      <c r="K2" s="82"/>
      <c r="L2" s="82"/>
      <c r="P2" s="84"/>
      <c r="Q2" s="84"/>
      <c r="R2" s="84"/>
      <c r="AC2" s="83"/>
      <c r="AD2" s="83"/>
      <c r="AE2" s="1652"/>
      <c r="AF2" s="1655"/>
      <c r="AG2" s="1655"/>
      <c r="AJ2" s="85"/>
      <c r="AK2" s="85"/>
      <c r="AL2" s="1631" t="s">
        <v>851</v>
      </c>
      <c r="AM2" s="1631"/>
      <c r="AN2" s="86"/>
      <c r="AO2" s="85"/>
      <c r="AP2" s="85"/>
    </row>
    <row r="3" spans="1:46" ht="12.75" customHeight="1" x14ac:dyDescent="0.25">
      <c r="A3" s="81"/>
      <c r="B3" s="1633"/>
      <c r="C3" s="1633"/>
      <c r="D3" s="1633"/>
      <c r="E3" s="1633"/>
      <c r="F3" s="1633"/>
      <c r="G3" s="1633"/>
      <c r="H3" s="1633"/>
      <c r="I3" s="87"/>
      <c r="J3" s="87"/>
      <c r="K3" s="87"/>
      <c r="L3" s="87"/>
      <c r="P3" s="84"/>
      <c r="Q3" s="84"/>
      <c r="R3" s="84"/>
      <c r="AC3" s="83"/>
      <c r="AD3" s="83"/>
      <c r="AE3" s="1655"/>
      <c r="AF3" s="1655"/>
      <c r="AG3" s="1655"/>
      <c r="AJ3" s="88"/>
      <c r="AK3" s="88"/>
      <c r="AL3" s="89"/>
      <c r="AM3" s="89"/>
      <c r="AN3" s="89"/>
      <c r="AO3" s="88"/>
      <c r="AP3" s="88"/>
    </row>
    <row r="4" spans="1:46" ht="69" customHeight="1" x14ac:dyDescent="0.2">
      <c r="A4" s="75" t="s">
        <v>903</v>
      </c>
      <c r="B4" s="75" t="s">
        <v>241</v>
      </c>
      <c r="C4" s="90" t="s">
        <v>242</v>
      </c>
      <c r="D4" s="75" t="s">
        <v>231</v>
      </c>
      <c r="E4" s="91" t="s">
        <v>234</v>
      </c>
      <c r="F4" s="91" t="s">
        <v>243</v>
      </c>
      <c r="G4" s="75" t="s">
        <v>244</v>
      </c>
      <c r="H4" s="92" t="s">
        <v>245</v>
      </c>
      <c r="I4" s="75" t="s">
        <v>246</v>
      </c>
      <c r="J4" s="75" t="s">
        <v>247</v>
      </c>
      <c r="K4" s="75" t="s">
        <v>248</v>
      </c>
      <c r="L4" s="75" t="s">
        <v>249</v>
      </c>
      <c r="P4" s="84"/>
      <c r="AA4" s="229"/>
      <c r="AB4" s="231"/>
      <c r="AC4" s="229"/>
      <c r="AD4" s="229"/>
      <c r="AE4" s="229"/>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454"/>
      <c r="B5" s="96" t="s">
        <v>220</v>
      </c>
      <c r="C5" s="106" t="s">
        <v>14</v>
      </c>
      <c r="D5" s="1268">
        <f>1000/R1</f>
        <v>1694.9152542372883</v>
      </c>
      <c r="E5" s="69">
        <f>H52</f>
        <v>16.93</v>
      </c>
      <c r="F5" s="109">
        <v>1</v>
      </c>
      <c r="G5" s="103">
        <f>D5*E5</f>
        <v>28694.91525423729</v>
      </c>
      <c r="H5" s="102">
        <f>G5*F5</f>
        <v>28694.91525423729</v>
      </c>
      <c r="I5" s="65">
        <f>VLOOKUP(B5,All_Ingredients!$A$1:$F$156,6,FALSE())</f>
        <v>0.86</v>
      </c>
      <c r="J5" s="101">
        <f>VLOOKUP(B5,All_Ingredients!$A$1:$J$156,10,FALSE())</f>
        <v>17.100000000000001</v>
      </c>
      <c r="K5" s="104">
        <f t="shared" ref="K5" si="0">(H5/I5)/1000</f>
        <v>33.366180528182895</v>
      </c>
      <c r="L5" s="104">
        <f t="shared" ref="L5" si="1">K5*J5</f>
        <v>570.56168703192759</v>
      </c>
      <c r="P5" s="84"/>
      <c r="AA5" s="76"/>
      <c r="AB5" s="114"/>
      <c r="AC5" s="232"/>
      <c r="AD5" s="116"/>
      <c r="AE5" s="117"/>
      <c r="AJ5" s="105" t="s">
        <v>220</v>
      </c>
      <c r="AK5" s="106" t="s">
        <v>227</v>
      </c>
      <c r="AL5" s="107">
        <v>10</v>
      </c>
      <c r="AM5" s="177">
        <f>$AO$1</f>
        <v>2.869491525423729</v>
      </c>
      <c r="AN5" s="109">
        <v>1</v>
      </c>
      <c r="AO5" s="101">
        <f>AL5*AM5</f>
        <v>28.694915254237291</v>
      </c>
      <c r="AP5" s="102">
        <f>AN5*AO5</f>
        <v>28.694915254237291</v>
      </c>
      <c r="AQ5" s="272"/>
      <c r="AR5" s="1017"/>
      <c r="AS5" s="156"/>
      <c r="AT5" s="1018"/>
    </row>
    <row r="6" spans="1:46" ht="14.25" customHeight="1" x14ac:dyDescent="0.25">
      <c r="A6" s="1472"/>
      <c r="B6" s="278"/>
      <c r="E6" s="84"/>
      <c r="F6" s="84"/>
      <c r="I6" s="63"/>
      <c r="J6" s="278"/>
      <c r="M6" s="84"/>
      <c r="N6" s="84"/>
      <c r="AJ6" s="1269" t="s">
        <v>698</v>
      </c>
      <c r="AK6" s="1270" t="s">
        <v>14</v>
      </c>
      <c r="AL6" s="1271">
        <v>1000</v>
      </c>
      <c r="AM6" s="177">
        <f t="shared" ref="AM6:AM12" si="2">$AO$1</f>
        <v>2.869491525423729</v>
      </c>
      <c r="AN6" s="642">
        <v>1</v>
      </c>
      <c r="AO6" s="101">
        <f t="shared" ref="AO6:AO12" si="3">AL6*AM6</f>
        <v>2869.4915254237289</v>
      </c>
      <c r="AP6" s="102">
        <f t="shared" ref="AP6:AP12" si="4">AN6*AO6</f>
        <v>2869.4915254237289</v>
      </c>
      <c r="AQ6" s="1018">
        <f>VLOOKUP(AJ6,Marination_Ordering!$A:$J,6,FALSE)</f>
        <v>1</v>
      </c>
      <c r="AR6" s="1018">
        <f>VLOOKUP(AJ6,Marination_Ordering!$A:$J,10,FALSE)</f>
        <v>8.1520833333333336</v>
      </c>
      <c r="AS6" s="156">
        <f>AP6/AQ6</f>
        <v>2869.4915254237289</v>
      </c>
      <c r="AT6" s="1018">
        <f>AR6*(AS6/1000)</f>
        <v>23.392334039548025</v>
      </c>
    </row>
    <row r="7" spans="1:46" ht="14.25" customHeight="1" x14ac:dyDescent="0.25">
      <c r="A7" s="1472"/>
      <c r="B7" s="278"/>
      <c r="E7" s="84"/>
      <c r="F7" s="63"/>
      <c r="G7" s="278"/>
      <c r="I7" s="63"/>
      <c r="J7" s="278"/>
      <c r="M7" s="84"/>
      <c r="N7" s="84"/>
      <c r="AJ7" s="1269" t="s">
        <v>152</v>
      </c>
      <c r="AK7" s="1270" t="s">
        <v>14</v>
      </c>
      <c r="AL7" s="1271">
        <v>200</v>
      </c>
      <c r="AM7" s="177">
        <f t="shared" si="2"/>
        <v>2.869491525423729</v>
      </c>
      <c r="AN7" s="642">
        <v>1</v>
      </c>
      <c r="AO7" s="101">
        <f t="shared" si="3"/>
        <v>573.89830508474574</v>
      </c>
      <c r="AP7" s="102">
        <f t="shared" si="4"/>
        <v>573.89830508474574</v>
      </c>
      <c r="AQ7" s="1018">
        <f>VLOOKUP(AJ7,Marination_Ordering!$A:$J,6,FALSE)</f>
        <v>1</v>
      </c>
      <c r="AR7" s="1018">
        <f>VLOOKUP(AJ7,Marination_Ordering!$A:$J,10,FALSE)</f>
        <v>30</v>
      </c>
      <c r="AS7" s="156">
        <f t="shared" ref="AS7:AS12" si="5">AP7/AQ7</f>
        <v>573.89830508474574</v>
      </c>
      <c r="AT7" s="1018">
        <f t="shared" ref="AT7:AT12" si="6">AR7*(AS7/1000)</f>
        <v>17.216949152542369</v>
      </c>
    </row>
    <row r="8" spans="1:46" ht="14.25" customHeight="1" x14ac:dyDescent="0.25">
      <c r="A8" s="1472"/>
      <c r="B8" s="278"/>
      <c r="E8" s="84"/>
      <c r="F8" s="63"/>
      <c r="G8" s="278"/>
      <c r="I8" s="63"/>
      <c r="J8" s="278"/>
      <c r="M8" s="84"/>
      <c r="N8" s="84"/>
      <c r="AJ8" s="1269" t="s">
        <v>93</v>
      </c>
      <c r="AK8" s="1270" t="s">
        <v>14</v>
      </c>
      <c r="AL8" s="1271">
        <v>150</v>
      </c>
      <c r="AM8" s="177">
        <f t="shared" si="2"/>
        <v>2.869491525423729</v>
      </c>
      <c r="AN8" s="642">
        <v>1</v>
      </c>
      <c r="AO8" s="101">
        <f t="shared" si="3"/>
        <v>430.42372881355936</v>
      </c>
      <c r="AP8" s="102">
        <f t="shared" si="4"/>
        <v>430.42372881355936</v>
      </c>
      <c r="AQ8" s="1018">
        <f>VLOOKUP(AJ8,Marination_Ordering!$A:$J,6,FALSE)</f>
        <v>1</v>
      </c>
      <c r="AR8" s="1018">
        <f>VLOOKUP(AJ8,Marination_Ordering!$A:$J,10,FALSE)</f>
        <v>0.74</v>
      </c>
      <c r="AS8" s="156">
        <f t="shared" si="5"/>
        <v>430.42372881355936</v>
      </c>
      <c r="AT8" s="1018">
        <f t="shared" si="6"/>
        <v>0.31851355932203396</v>
      </c>
    </row>
    <row r="9" spans="1:46" ht="14.25" customHeight="1" x14ac:dyDescent="0.25">
      <c r="A9" s="1472"/>
      <c r="B9" s="278"/>
      <c r="E9" s="84"/>
      <c r="F9" s="63"/>
      <c r="G9" s="27"/>
      <c r="I9" s="63"/>
      <c r="J9" s="27"/>
      <c r="AJ9" s="1269" t="s">
        <v>105</v>
      </c>
      <c r="AK9" s="1270" t="s">
        <v>14</v>
      </c>
      <c r="AL9" s="1271">
        <v>200</v>
      </c>
      <c r="AM9" s="177">
        <f t="shared" si="2"/>
        <v>2.869491525423729</v>
      </c>
      <c r="AN9" s="642">
        <v>1</v>
      </c>
      <c r="AO9" s="101">
        <f t="shared" si="3"/>
        <v>573.89830508474574</v>
      </c>
      <c r="AP9" s="102">
        <f t="shared" si="4"/>
        <v>573.89830508474574</v>
      </c>
      <c r="AQ9" s="1018">
        <f>VLOOKUP(AJ9,Marination_Ordering!$A:$J,6,FALSE)</f>
        <v>1</v>
      </c>
      <c r="AR9" s="1018">
        <f>VLOOKUP(AJ9,Marination_Ordering!$A:$J,10,FALSE)</f>
        <v>15</v>
      </c>
      <c r="AS9" s="156">
        <f t="shared" si="5"/>
        <v>573.89830508474574</v>
      </c>
      <c r="AT9" s="1018">
        <f t="shared" si="6"/>
        <v>8.6084745762711847</v>
      </c>
    </row>
    <row r="10" spans="1:46" ht="14.25" customHeight="1" x14ac:dyDescent="0.25">
      <c r="A10" s="1472"/>
      <c r="I10" s="63"/>
      <c r="J10" s="27"/>
      <c r="AJ10" s="1269" t="s">
        <v>107</v>
      </c>
      <c r="AK10" s="1270" t="s">
        <v>14</v>
      </c>
      <c r="AL10" s="1271">
        <v>150</v>
      </c>
      <c r="AM10" s="177">
        <f t="shared" si="2"/>
        <v>2.869491525423729</v>
      </c>
      <c r="AN10" s="642">
        <v>1</v>
      </c>
      <c r="AO10" s="101">
        <f t="shared" si="3"/>
        <v>430.42372881355936</v>
      </c>
      <c r="AP10" s="102">
        <f t="shared" si="4"/>
        <v>430.42372881355936</v>
      </c>
      <c r="AQ10" s="1018">
        <f>VLOOKUP(AJ10,Marination_Ordering!$A:$J,6,FALSE)</f>
        <v>1</v>
      </c>
      <c r="AR10" s="1018">
        <f>VLOOKUP(AJ10,Marination_Ordering!$A:$J,10,FALSE)</f>
        <v>8</v>
      </c>
      <c r="AS10" s="156">
        <f t="shared" si="5"/>
        <v>430.42372881355936</v>
      </c>
      <c r="AT10" s="1018">
        <f t="shared" si="6"/>
        <v>3.4433898305084751</v>
      </c>
    </row>
    <row r="11" spans="1:46" x14ac:dyDescent="0.25">
      <c r="A11" s="1472"/>
      <c r="I11" s="63"/>
      <c r="J11" s="27"/>
      <c r="AJ11" s="1269" t="s">
        <v>163</v>
      </c>
      <c r="AK11" s="1270" t="s">
        <v>14</v>
      </c>
      <c r="AL11" s="1271">
        <v>500</v>
      </c>
      <c r="AM11" s="177">
        <f t="shared" si="2"/>
        <v>2.869491525423729</v>
      </c>
      <c r="AN11" s="642">
        <v>1</v>
      </c>
      <c r="AO11" s="101">
        <f t="shared" si="3"/>
        <v>1434.7457627118645</v>
      </c>
      <c r="AP11" s="102">
        <f t="shared" si="4"/>
        <v>1434.7457627118645</v>
      </c>
      <c r="AQ11" s="1018">
        <f>VLOOKUP(AJ11,Marination_Ordering!$A:$J,6,FALSE)</f>
        <v>1</v>
      </c>
      <c r="AR11" s="1018">
        <f>VLOOKUP(AJ11,Marination_Ordering!$A:$J,10,FALSE)</f>
        <v>6.6959999999999997</v>
      </c>
      <c r="AS11" s="156">
        <f t="shared" si="5"/>
        <v>1434.7457627118645</v>
      </c>
      <c r="AT11" s="1018">
        <f t="shared" si="6"/>
        <v>9.6070576271186443</v>
      </c>
    </row>
    <row r="12" spans="1:46" ht="14.25" customHeight="1" x14ac:dyDescent="0.25">
      <c r="A12" s="1472"/>
      <c r="I12" s="63"/>
      <c r="J12" s="27"/>
      <c r="AJ12" s="1269" t="s">
        <v>110</v>
      </c>
      <c r="AK12" s="1270" t="s">
        <v>14</v>
      </c>
      <c r="AL12" s="1271">
        <v>50</v>
      </c>
      <c r="AM12" s="177">
        <f t="shared" si="2"/>
        <v>2.869491525423729</v>
      </c>
      <c r="AN12" s="642">
        <v>1</v>
      </c>
      <c r="AO12" s="422">
        <f t="shared" si="3"/>
        <v>143.47457627118644</v>
      </c>
      <c r="AP12" s="417">
        <f t="shared" si="4"/>
        <v>143.47457627118644</v>
      </c>
      <c r="AQ12" s="1018">
        <f>VLOOKUP(AJ12,Marination_Ordering!$A:$J,6,FALSE)</f>
        <v>1</v>
      </c>
      <c r="AR12" s="1018">
        <f>VLOOKUP(AJ12,Marination_Ordering!$A:$J,10,FALSE)</f>
        <v>64.243759177679877</v>
      </c>
      <c r="AS12" s="156">
        <f t="shared" si="5"/>
        <v>143.47457627118644</v>
      </c>
      <c r="AT12" s="1018">
        <f t="shared" si="6"/>
        <v>9.217346126085765</v>
      </c>
    </row>
    <row r="13" spans="1:46" ht="14.25" customHeight="1" x14ac:dyDescent="0.25">
      <c r="A13" s="1472"/>
      <c r="AK13" s="333"/>
      <c r="AL13" s="334"/>
      <c r="AM13" s="1272"/>
      <c r="AN13" s="336"/>
      <c r="AO13" s="438"/>
      <c r="AP13" s="338"/>
      <c r="AQ13" s="1273"/>
      <c r="AR13" s="1273"/>
      <c r="AS13" s="1274"/>
      <c r="AT13" s="1273"/>
    </row>
    <row r="14" spans="1:46" ht="14.25" customHeight="1" x14ac:dyDescent="0.25">
      <c r="A14" s="1472"/>
      <c r="B14" s="278"/>
      <c r="E14" s="84"/>
      <c r="F14" s="63"/>
      <c r="G14" s="278"/>
      <c r="J14" s="84"/>
      <c r="K14" s="84"/>
      <c r="AK14" s="114"/>
      <c r="AL14" s="232"/>
      <c r="AM14" s="273"/>
      <c r="AN14" s="117"/>
      <c r="AO14" s="118"/>
      <c r="AP14" s="119"/>
      <c r="AQ14" s="991"/>
      <c r="AR14" s="991"/>
      <c r="AS14" s="514"/>
      <c r="AT14" s="991"/>
    </row>
    <row r="15" spans="1:46" ht="14.25" customHeight="1" x14ac:dyDescent="0.25">
      <c r="A15" s="1472"/>
      <c r="B15" s="278"/>
      <c r="E15" s="84"/>
      <c r="F15" s="63"/>
      <c r="G15" s="278"/>
      <c r="J15" s="84"/>
      <c r="K15" s="84"/>
      <c r="AK15" s="114"/>
      <c r="AL15" s="232"/>
      <c r="AM15" s="273"/>
      <c r="AN15" s="117"/>
      <c r="AO15" s="118"/>
      <c r="AP15" s="119"/>
      <c r="AQ15" s="991"/>
      <c r="AR15" s="991"/>
      <c r="AS15" s="514"/>
      <c r="AT15" s="991"/>
    </row>
    <row r="16" spans="1:46" ht="14.25" customHeight="1" x14ac:dyDescent="0.25">
      <c r="A16" s="1472"/>
      <c r="B16" s="278"/>
      <c r="E16" s="84"/>
      <c r="F16" s="63"/>
      <c r="G16" s="278"/>
      <c r="J16" s="84"/>
      <c r="K16" s="84"/>
      <c r="AK16" s="114"/>
      <c r="AL16" s="232"/>
      <c r="AM16" s="273"/>
      <c r="AN16" s="117"/>
      <c r="AO16" s="118"/>
      <c r="AP16" s="119"/>
      <c r="AQ16" s="991"/>
      <c r="AR16" s="991"/>
      <c r="AS16" s="514"/>
      <c r="AT16" s="991"/>
    </row>
    <row r="17" spans="1:46" ht="14.25" customHeight="1" x14ac:dyDescent="0.25">
      <c r="A17" s="1472"/>
      <c r="B17" s="278"/>
      <c r="E17" s="84"/>
      <c r="F17" s="63"/>
      <c r="G17" s="27"/>
      <c r="AK17" s="114"/>
      <c r="AL17" s="232"/>
      <c r="AM17" s="273"/>
      <c r="AN17" s="117"/>
      <c r="AO17" s="118"/>
      <c r="AP17" s="119"/>
      <c r="AQ17" s="991"/>
      <c r="AR17" s="991"/>
      <c r="AS17" s="514"/>
      <c r="AT17" s="991"/>
    </row>
    <row r="18" spans="1:46" ht="14.25" customHeight="1" x14ac:dyDescent="0.25">
      <c r="A18" s="1472"/>
      <c r="F18" s="63"/>
      <c r="G18" s="27"/>
      <c r="AK18" s="114"/>
      <c r="AL18" s="232"/>
      <c r="AM18" s="273"/>
      <c r="AN18" s="117"/>
      <c r="AO18" s="118"/>
      <c r="AP18" s="119"/>
      <c r="AQ18" s="991"/>
      <c r="AR18" s="991"/>
      <c r="AS18" s="514"/>
      <c r="AT18" s="991"/>
    </row>
    <row r="19" spans="1:46" ht="14.25" customHeight="1" x14ac:dyDescent="0.25">
      <c r="A19" s="1472"/>
      <c r="F19" s="63"/>
      <c r="G19" s="27"/>
      <c r="AK19" s="114"/>
      <c r="AL19" s="232"/>
      <c r="AM19" s="273"/>
      <c r="AN19" s="117"/>
      <c r="AO19" s="118"/>
      <c r="AP19" s="119"/>
      <c r="AQ19" s="991"/>
      <c r="AR19" s="991"/>
      <c r="AS19" s="514"/>
      <c r="AT19" s="991"/>
    </row>
    <row r="20" spans="1:46" ht="14.25" customHeight="1" x14ac:dyDescent="0.25">
      <c r="A20" s="1472"/>
      <c r="F20" s="63"/>
      <c r="G20" s="27"/>
      <c r="AK20" s="114"/>
      <c r="AL20" s="232"/>
      <c r="AM20" s="273"/>
      <c r="AN20" s="117"/>
      <c r="AO20" s="118"/>
      <c r="AP20" s="119"/>
      <c r="AQ20" s="991"/>
      <c r="AR20" s="991"/>
      <c r="AS20" s="514"/>
      <c r="AT20" s="991"/>
    </row>
    <row r="21" spans="1:46" ht="14.25" customHeight="1" x14ac:dyDescent="0.25">
      <c r="A21" s="1472"/>
      <c r="L21" s="274"/>
    </row>
    <row r="22" spans="1:46" ht="14.25" customHeight="1" x14ac:dyDescent="0.25">
      <c r="A22" s="1472"/>
      <c r="L22" s="274"/>
      <c r="S22" s="280"/>
    </row>
    <row r="23" spans="1:46" ht="14.25" customHeight="1" x14ac:dyDescent="0.25">
      <c r="A23" s="1472"/>
      <c r="L23" s="274"/>
    </row>
    <row r="24" spans="1:46" ht="14.25" customHeight="1" x14ac:dyDescent="0.25">
      <c r="A24" s="1472"/>
      <c r="L24" s="274"/>
      <c r="Z24" s="1073"/>
    </row>
    <row r="25" spans="1:46" ht="14.25" customHeight="1" x14ac:dyDescent="0.25">
      <c r="A25" s="1472"/>
      <c r="L25" s="274"/>
      <c r="R25" s="1640" t="s">
        <v>851</v>
      </c>
      <c r="S25" s="1633"/>
      <c r="T25" s="1633"/>
      <c r="U25" s="1633"/>
      <c r="V25" s="997"/>
      <c r="Z25" s="122" t="s">
        <v>252</v>
      </c>
      <c r="AA25" s="123">
        <v>1</v>
      </c>
      <c r="AB25" s="122" t="s">
        <v>249</v>
      </c>
      <c r="AC25" s="124">
        <f>(AA25*AF30)+(AA30*(AB28/R1))</f>
        <v>3.8191243469776967E-2</v>
      </c>
    </row>
    <row r="26" spans="1:46" ht="15.75" customHeight="1" x14ac:dyDescent="0.25">
      <c r="A26" s="1472"/>
      <c r="R26" s="1659" t="s">
        <v>291</v>
      </c>
      <c r="S26" s="1639"/>
      <c r="T26" s="1639"/>
      <c r="U26" s="1639"/>
      <c r="V26" s="997"/>
    </row>
    <row r="27" spans="1:46" ht="14.25" customHeight="1" thickBot="1" x14ac:dyDescent="0.3">
      <c r="A27" s="1472"/>
      <c r="R27" s="126" t="s">
        <v>254</v>
      </c>
      <c r="S27" s="127" t="s">
        <v>255</v>
      </c>
      <c r="T27" s="127" t="s">
        <v>312</v>
      </c>
      <c r="U27" s="127" t="s">
        <v>257</v>
      </c>
      <c r="V27" s="127" t="s">
        <v>772</v>
      </c>
      <c r="W27" s="127" t="s">
        <v>779</v>
      </c>
      <c r="Z27" s="122" t="s">
        <v>258</v>
      </c>
      <c r="AA27" s="1031" t="s">
        <v>312</v>
      </c>
      <c r="AB27" s="128" t="s">
        <v>259</v>
      </c>
      <c r="AC27" s="128" t="s">
        <v>260</v>
      </c>
      <c r="AD27" s="128" t="s">
        <v>261</v>
      </c>
      <c r="AE27" s="1032" t="s">
        <v>779</v>
      </c>
      <c r="AF27" s="128" t="s">
        <v>262</v>
      </c>
    </row>
    <row r="28" spans="1:46" ht="14.25" customHeight="1" thickBot="1" x14ac:dyDescent="0.3">
      <c r="A28" s="1472"/>
      <c r="B28" s="278"/>
      <c r="E28" s="84"/>
      <c r="F28" s="84"/>
      <c r="R28" s="129" t="s">
        <v>263</v>
      </c>
      <c r="S28" s="1186">
        <f>$Z$1</f>
        <v>15930</v>
      </c>
      <c r="T28" s="1215"/>
      <c r="U28" s="1174">
        <f>S28</f>
        <v>15930</v>
      </c>
      <c r="V28" s="130">
        <f>SUM(AP5:AP13)</f>
        <v>6485.0508474576272</v>
      </c>
      <c r="W28" s="130">
        <f>SUM(H37:H38)</f>
        <v>108</v>
      </c>
      <c r="Z28" s="132"/>
      <c r="AA28" s="1034"/>
      <c r="AB28" s="1046">
        <f>AA25*$S$40</f>
        <v>1</v>
      </c>
      <c r="AC28" s="133"/>
      <c r="AD28" s="134"/>
      <c r="AE28" s="1034"/>
      <c r="AF28" s="135">
        <f>SUM(AB28:AD28)</f>
        <v>1</v>
      </c>
    </row>
    <row r="29" spans="1:46" ht="14.25" customHeight="1" thickBot="1" x14ac:dyDescent="0.25">
      <c r="A29" s="1461"/>
      <c r="B29" s="14"/>
      <c r="R29" s="129" t="s">
        <v>264</v>
      </c>
      <c r="S29" s="1218"/>
      <c r="T29" s="130"/>
      <c r="U29" s="1215">
        <f>T29</f>
        <v>0</v>
      </c>
      <c r="V29" s="130"/>
      <c r="W29" s="130"/>
      <c r="Z29" s="132"/>
      <c r="AA29" s="1038"/>
      <c r="AB29" s="137">
        <f>AB28/$AF$28</f>
        <v>1</v>
      </c>
      <c r="AC29" s="137">
        <v>0</v>
      </c>
      <c r="AD29" s="137">
        <v>0</v>
      </c>
      <c r="AE29" s="1038"/>
      <c r="AF29" s="137">
        <f>AF28/$AF$28</f>
        <v>1</v>
      </c>
    </row>
    <row r="30" spans="1:46" ht="21.75" customHeight="1" thickBot="1" x14ac:dyDescent="0.3">
      <c r="A30" s="1472"/>
      <c r="B30" s="278"/>
      <c r="E30" s="84"/>
      <c r="F30" s="84"/>
      <c r="R30" s="129" t="s">
        <v>265</v>
      </c>
      <c r="T30" s="1218">
        <f>$AB$1</f>
        <v>1000</v>
      </c>
      <c r="U30" s="1218">
        <f>T30</f>
        <v>1000</v>
      </c>
      <c r="V30" s="989"/>
      <c r="W30" s="989"/>
      <c r="Z30" s="122" t="s">
        <v>266</v>
      </c>
      <c r="AA30" s="1042">
        <f>V35/(S32/R1)</f>
        <v>2.5023271292217322E-3</v>
      </c>
      <c r="AB30" s="138">
        <f>S35/(S32)</f>
        <v>3.3701221915648408E-2</v>
      </c>
      <c r="AC30" s="139"/>
      <c r="AD30" s="139"/>
      <c r="AE30" s="1045">
        <f>W35/U32</f>
        <v>2.4878913171884229E-4</v>
      </c>
      <c r="AF30" s="1047">
        <f>SUMPRODUCT(AB30:AD30,AB29:AD29)+AE30</f>
        <v>3.3950011047367251E-2</v>
      </c>
    </row>
    <row r="31" spans="1:46" ht="26.25" customHeight="1" thickBot="1" x14ac:dyDescent="0.3">
      <c r="A31" s="1472"/>
      <c r="B31" s="278"/>
      <c r="E31" s="84"/>
      <c r="F31" s="84"/>
      <c r="R31" s="129" t="s">
        <v>267</v>
      </c>
      <c r="S31" s="136"/>
      <c r="T31" s="130"/>
      <c r="U31" s="130">
        <f>T31</f>
        <v>0</v>
      </c>
      <c r="V31" s="130"/>
      <c r="W31" s="130"/>
    </row>
    <row r="32" spans="1:46" ht="14.25" customHeight="1" thickBot="1" x14ac:dyDescent="0.3">
      <c r="A32" s="1472"/>
      <c r="B32" s="278"/>
      <c r="E32" s="84"/>
      <c r="F32" s="84"/>
      <c r="R32" s="141" t="s">
        <v>257</v>
      </c>
      <c r="S32" s="130">
        <f>S28+T30</f>
        <v>16930</v>
      </c>
      <c r="T32" s="130"/>
      <c r="U32" s="130">
        <f>S32</f>
        <v>16930</v>
      </c>
      <c r="V32" s="130"/>
      <c r="W32" s="130">
        <f>SUM(W28:W30)</f>
        <v>108</v>
      </c>
    </row>
    <row r="33" spans="1:23" ht="14.25" customHeight="1" thickBot="1" x14ac:dyDescent="0.3">
      <c r="A33" s="1472"/>
      <c r="R33" s="142" t="s">
        <v>268</v>
      </c>
      <c r="S33" s="136"/>
      <c r="T33" s="136"/>
      <c r="U33" s="136"/>
      <c r="V33" s="136"/>
      <c r="W33" s="136"/>
    </row>
    <row r="34" spans="1:23" ht="14.25" customHeight="1" thickBot="1" x14ac:dyDescent="0.3">
      <c r="A34" s="1472"/>
      <c r="R34" s="143" t="s">
        <v>269</v>
      </c>
      <c r="S34" s="136"/>
      <c r="T34" s="130"/>
      <c r="U34" s="136"/>
      <c r="V34" s="136"/>
      <c r="W34" s="136"/>
    </row>
    <row r="35" spans="1:23" ht="14.25" customHeight="1" thickBot="1" x14ac:dyDescent="0.3">
      <c r="A35" s="1472"/>
      <c r="B35" s="1641" t="s">
        <v>852</v>
      </c>
      <c r="C35" s="1641"/>
      <c r="D35" s="1641"/>
      <c r="E35" s="1641"/>
      <c r="F35" s="1641"/>
      <c r="G35" s="803"/>
      <c r="H35" s="803"/>
      <c r="I35" s="803"/>
      <c r="J35" s="803"/>
      <c r="K35" s="803"/>
      <c r="L35" s="803"/>
      <c r="R35" s="144" t="s">
        <v>249</v>
      </c>
      <c r="S35" s="990">
        <f>$L$5</f>
        <v>570.56168703192759</v>
      </c>
      <c r="T35" s="990"/>
      <c r="U35" s="990">
        <f>S35+T35+V35+W35</f>
        <v>646.57775194332407</v>
      </c>
      <c r="V35" s="990">
        <f>SUM(AT6:AT20)</f>
        <v>71.804064911396495</v>
      </c>
      <c r="W35" s="1049">
        <f>SUM(L37:L38)</f>
        <v>4.2119999999999997</v>
      </c>
    </row>
    <row r="36" spans="1:23" ht="61.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1472"/>
      <c r="B37" s="773" t="s">
        <v>176</v>
      </c>
      <c r="C37" s="773" t="s">
        <v>14</v>
      </c>
      <c r="D37" s="774">
        <v>1</v>
      </c>
      <c r="E37" s="772">
        <f>$AD$1</f>
        <v>108</v>
      </c>
      <c r="F37" s="772">
        <f>D37*E37</f>
        <v>108</v>
      </c>
      <c r="G37"/>
      <c r="H37" s="772">
        <f>F37</f>
        <v>108</v>
      </c>
      <c r="I37" s="772">
        <f>VLOOKUP(B37,All_Ingredients!$A$1:$F$156,6,FALSE())</f>
        <v>1</v>
      </c>
      <c r="J37" s="772">
        <f>VLOOKUP(B37,All_Ingredients!$A$1:$J$156,10,FALSE())</f>
        <v>39</v>
      </c>
      <c r="K37" s="772">
        <f t="shared" ref="K37" si="7">(H37/I37)/1000</f>
        <v>0.108</v>
      </c>
      <c r="L37" s="772">
        <f t="shared" ref="L37" si="8">K37*J37</f>
        <v>4.2119999999999997</v>
      </c>
    </row>
    <row r="38" spans="1:23" x14ac:dyDescent="0.25">
      <c r="A38" s="1472"/>
    </row>
    <row r="39" spans="1:23" x14ac:dyDescent="0.25">
      <c r="A39" s="1472"/>
    </row>
    <row r="40" spans="1:23" ht="19.5" customHeight="1" x14ac:dyDescent="0.25">
      <c r="A40" s="1472"/>
      <c r="R40" s="146" t="s">
        <v>270</v>
      </c>
      <c r="S40" s="217">
        <v>1</v>
      </c>
      <c r="T40" s="146" t="s">
        <v>271</v>
      </c>
      <c r="U40" s="217">
        <v>0</v>
      </c>
      <c r="V40" s="149">
        <f>S40+U40</f>
        <v>1</v>
      </c>
    </row>
    <row r="41" spans="1:23" ht="14.25" customHeight="1" x14ac:dyDescent="0.25">
      <c r="A41" s="1472"/>
      <c r="U41" s="150"/>
    </row>
    <row r="42" spans="1:23" ht="14.25" customHeight="1" x14ac:dyDescent="0.25">
      <c r="A42" s="1472"/>
    </row>
    <row r="43" spans="1:23" ht="14.25" customHeight="1" x14ac:dyDescent="0.25">
      <c r="A43" s="1472"/>
      <c r="Q43" s="151" t="s">
        <v>272</v>
      </c>
      <c r="R43" s="151" t="s">
        <v>273</v>
      </c>
      <c r="S43" s="151" t="s">
        <v>274</v>
      </c>
      <c r="T43" s="151" t="s">
        <v>275</v>
      </c>
      <c r="U43" s="151" t="s">
        <v>276</v>
      </c>
      <c r="V43" s="151" t="s">
        <v>277</v>
      </c>
      <c r="W43" s="235" t="s">
        <v>278</v>
      </c>
    </row>
    <row r="44" spans="1:23" ht="14.25" customHeight="1" x14ac:dyDescent="0.25">
      <c r="A44" s="1472"/>
      <c r="Q44" s="153">
        <v>10000</v>
      </c>
      <c r="R44" s="154">
        <f>D51</f>
        <v>10000</v>
      </c>
      <c r="S44" s="155">
        <v>0</v>
      </c>
      <c r="T44" s="155">
        <v>0</v>
      </c>
      <c r="U44" s="220">
        <f>R44*S44</f>
        <v>0</v>
      </c>
      <c r="V44" s="157">
        <f>R44*T44</f>
        <v>0</v>
      </c>
      <c r="W44" s="237">
        <f>Q44-U44</f>
        <v>10000</v>
      </c>
    </row>
    <row r="45" spans="1:23" x14ac:dyDescent="0.25">
      <c r="A45" s="1472"/>
    </row>
    <row r="46" spans="1:23" x14ac:dyDescent="0.25">
      <c r="A46" s="1472"/>
    </row>
    <row r="47" spans="1:23" x14ac:dyDescent="0.25">
      <c r="A47" s="1472"/>
    </row>
    <row r="48" spans="1:23" x14ac:dyDescent="0.25">
      <c r="A48" s="1472"/>
    </row>
    <row r="49" spans="1:10" x14ac:dyDescent="0.25">
      <c r="A49" s="1472"/>
    </row>
    <row r="50" spans="1:10" x14ac:dyDescent="0.25">
      <c r="A50" s="1472"/>
      <c r="B50" s="279"/>
      <c r="C50" s="126" t="s">
        <v>233</v>
      </c>
      <c r="D50" s="126" t="s">
        <v>279</v>
      </c>
      <c r="E50" s="164"/>
      <c r="F50" s="84"/>
      <c r="G50" s="126" t="s">
        <v>280</v>
      </c>
      <c r="H50" s="126" t="s">
        <v>233</v>
      </c>
      <c r="I50" s="126" t="s">
        <v>281</v>
      </c>
      <c r="J50" s="126" t="s">
        <v>282</v>
      </c>
    </row>
    <row r="51" spans="1:10" ht="14.25" customHeight="1" x14ac:dyDescent="0.25">
      <c r="A51" s="1472"/>
      <c r="B51" s="161" t="s">
        <v>283</v>
      </c>
      <c r="C51" s="162">
        <f>10/$K$1</f>
        <v>10.152284263959391</v>
      </c>
      <c r="D51" s="163">
        <f>$C$1*10</f>
        <v>10000</v>
      </c>
      <c r="E51" s="164"/>
      <c r="F51" s="84"/>
      <c r="G51" s="161" t="s">
        <v>283</v>
      </c>
      <c r="H51" s="254">
        <v>10</v>
      </c>
      <c r="I51" s="162">
        <f>J51/$R$1</f>
        <v>16949.152542372882</v>
      </c>
      <c r="J51" s="162">
        <f>$W$44</f>
        <v>10000</v>
      </c>
    </row>
    <row r="52" spans="1:10" ht="14.25" customHeight="1" x14ac:dyDescent="0.25">
      <c r="A52" s="1472"/>
      <c r="B52" s="209" t="s">
        <v>262</v>
      </c>
      <c r="C52" s="210">
        <f>$I$1</f>
        <v>17.18781725888325</v>
      </c>
      <c r="D52" s="211">
        <f>$E$1</f>
        <v>16930</v>
      </c>
      <c r="E52" s="84"/>
      <c r="F52" s="84"/>
      <c r="G52" s="129" t="s">
        <v>262</v>
      </c>
      <c r="H52" s="190">
        <f>I52/$D$5</f>
        <v>16.93</v>
      </c>
      <c r="I52" s="157">
        <f>J52/$R$1</f>
        <v>28694.91525423729</v>
      </c>
      <c r="J52" s="165">
        <f>$S$32</f>
        <v>16930</v>
      </c>
    </row>
    <row r="53" spans="1:10" x14ac:dyDescent="0.25">
      <c r="A53" s="1472"/>
      <c r="B53" s="209" t="s">
        <v>284</v>
      </c>
      <c r="C53" s="212">
        <f>MIN(C52, C51)</f>
        <v>10.152284263959391</v>
      </c>
      <c r="D53" s="211">
        <f>(C53*$K$1)*$C$1</f>
        <v>10000</v>
      </c>
      <c r="E53" s="84"/>
      <c r="F53" s="84"/>
      <c r="G53" s="129" t="s">
        <v>284</v>
      </c>
      <c r="H53" s="168">
        <f>MIN(H52,H51)</f>
        <v>10</v>
      </c>
      <c r="I53" s="157">
        <f>J53/$R$1</f>
        <v>16949.152542372882</v>
      </c>
      <c r="J53" s="157">
        <f>MIN(J52,J51)</f>
        <v>10000</v>
      </c>
    </row>
    <row r="54" spans="1:10" x14ac:dyDescent="0.25">
      <c r="A54" s="1472"/>
      <c r="B54" s="209" t="s">
        <v>285</v>
      </c>
      <c r="C54" s="212">
        <f>MIN(MAX(C52-C53,0),C51)</f>
        <v>7.0355329949238588</v>
      </c>
      <c r="D54" s="211">
        <f>(C54*$K$1)*$C$1</f>
        <v>6930.0000000000009</v>
      </c>
      <c r="E54" s="84"/>
      <c r="F54" s="84"/>
      <c r="G54" s="129" t="s">
        <v>285</v>
      </c>
      <c r="H54" s="168">
        <f>MIN(MAX(H52-H53),H51)</f>
        <v>6.93</v>
      </c>
      <c r="I54" s="157">
        <f>J54/$R$1</f>
        <v>11745.762711864407</v>
      </c>
      <c r="J54" s="157">
        <f>MIN(MAX(J52-J53),J51)</f>
        <v>6930</v>
      </c>
    </row>
    <row r="55" spans="1:10"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ht="14.25" customHeight="1" x14ac:dyDescent="0.25">
      <c r="A56" s="1472"/>
    </row>
    <row r="57" spans="1:10" ht="14.25" customHeight="1" x14ac:dyDescent="0.25">
      <c r="A57" s="1472"/>
    </row>
    <row r="58" spans="1:10" ht="14.25" customHeight="1" x14ac:dyDescent="0.25">
      <c r="A58" s="1472"/>
    </row>
    <row r="59" spans="1:10" x14ac:dyDescent="0.25">
      <c r="A59" s="1472"/>
    </row>
    <row r="60" spans="1:10" ht="48.75" customHeight="1" x14ac:dyDescent="0.25">
      <c r="A60" s="1472"/>
    </row>
    <row r="61" spans="1:10" x14ac:dyDescent="0.25">
      <c r="A61" s="1472"/>
    </row>
    <row r="62" spans="1:10" ht="18" customHeight="1" x14ac:dyDescent="0.25">
      <c r="A62" s="1473"/>
      <c r="B62" s="1642" t="s">
        <v>851</v>
      </c>
      <c r="C62" s="1642"/>
      <c r="D62" s="1642"/>
      <c r="E62" s="1642"/>
      <c r="F62" s="1642"/>
      <c r="G62" s="1642"/>
      <c r="H62" s="1642"/>
    </row>
    <row r="63" spans="1:10" ht="14.25" customHeight="1" x14ac:dyDescent="0.25">
      <c r="A63" s="1473"/>
      <c r="B63" s="1636"/>
      <c r="C63" s="1636"/>
      <c r="D63" s="1636"/>
      <c r="E63" s="1636"/>
      <c r="F63" s="1636"/>
      <c r="G63" s="1636"/>
      <c r="H63" s="1636"/>
    </row>
    <row r="64" spans="1:10" ht="42" customHeight="1" x14ac:dyDescent="0.2">
      <c r="A64" s="1457"/>
      <c r="B64" s="75" t="s">
        <v>241</v>
      </c>
      <c r="C64" s="90" t="s">
        <v>242</v>
      </c>
      <c r="D64" s="75" t="s">
        <v>231</v>
      </c>
      <c r="E64" s="91" t="s">
        <v>234</v>
      </c>
      <c r="F64" s="91" t="s">
        <v>243</v>
      </c>
      <c r="G64" s="75" t="s">
        <v>244</v>
      </c>
      <c r="H64" s="92" t="s">
        <v>245</v>
      </c>
    </row>
    <row r="65" spans="1:10" ht="14.25" customHeight="1" x14ac:dyDescent="0.25">
      <c r="A65" s="1471"/>
      <c r="B65" s="246" t="str">
        <f>B5</f>
        <v>Chicken - دجاج</v>
      </c>
      <c r="C65" s="106" t="str">
        <f>C5</f>
        <v>gm</v>
      </c>
      <c r="D65" s="98">
        <f>D5</f>
        <v>1694.9152542372883</v>
      </c>
      <c r="E65" s="108">
        <f>H52</f>
        <v>16.93</v>
      </c>
      <c r="F65" s="109">
        <f>F5</f>
        <v>1</v>
      </c>
      <c r="G65" s="101">
        <f>D65*E65</f>
        <v>28694.91525423729</v>
      </c>
      <c r="H65" s="102">
        <f>G65*F65</f>
        <v>28694.91525423729</v>
      </c>
    </row>
    <row r="66" spans="1:10" ht="14.25" customHeight="1" x14ac:dyDescent="0.25">
      <c r="A66" s="1471"/>
      <c r="B66" s="246"/>
      <c r="C66" s="106"/>
      <c r="D66" s="107"/>
      <c r="E66" s="108"/>
      <c r="F66" s="109"/>
      <c r="G66" s="101"/>
      <c r="H66" s="102"/>
    </row>
    <row r="67" spans="1:10" ht="31.5" customHeight="1" x14ac:dyDescent="0.3">
      <c r="A67" s="1480"/>
      <c r="B67" s="450"/>
      <c r="C67" s="451"/>
      <c r="D67" s="452"/>
      <c r="E67" s="451"/>
      <c r="F67" s="452"/>
      <c r="G67" s="451"/>
      <c r="H67" s="453"/>
    </row>
    <row r="68" spans="1:10" ht="14.25" customHeight="1" x14ac:dyDescent="0.25">
      <c r="A68" s="1472"/>
      <c r="B68" s="811"/>
      <c r="C68" s="114"/>
      <c r="D68" s="232"/>
      <c r="E68" s="116"/>
      <c r="F68" s="117"/>
      <c r="G68" s="118"/>
      <c r="H68" s="119"/>
    </row>
    <row r="69" spans="1:10" ht="14.25" customHeight="1" x14ac:dyDescent="0.25">
      <c r="A69" s="1472"/>
      <c r="B69" s="811"/>
      <c r="C69" s="114"/>
      <c r="D69" s="232"/>
      <c r="E69" s="116"/>
      <c r="F69" s="117"/>
      <c r="G69" s="118"/>
      <c r="H69" s="119"/>
    </row>
    <row r="70" spans="1:10" ht="14.25" customHeight="1" x14ac:dyDescent="0.25">
      <c r="A70" s="1472"/>
      <c r="B70" s="811"/>
      <c r="C70" s="114"/>
      <c r="D70" s="232"/>
      <c r="E70" s="116"/>
      <c r="F70" s="117"/>
      <c r="G70" s="118"/>
      <c r="H70" s="119"/>
    </row>
    <row r="71" spans="1:10" ht="14.25" customHeight="1" x14ac:dyDescent="0.25">
      <c r="A71" s="1472"/>
      <c r="B71" s="811"/>
      <c r="C71" s="114"/>
      <c r="D71" s="232"/>
      <c r="E71" s="116"/>
      <c r="F71" s="117"/>
      <c r="G71" s="118"/>
      <c r="H71" s="119"/>
    </row>
    <row r="72" spans="1:10" ht="14.25" customHeight="1" x14ac:dyDescent="0.25">
      <c r="A72" s="1472"/>
      <c r="B72" s="811"/>
      <c r="C72" s="114"/>
      <c r="D72" s="232"/>
      <c r="E72" s="116"/>
      <c r="F72" s="117"/>
      <c r="G72" s="118"/>
      <c r="H72" s="119"/>
    </row>
    <row r="73" spans="1:10" ht="14.25" customHeight="1" x14ac:dyDescent="0.25">
      <c r="A73" s="1472"/>
      <c r="B73" s="811"/>
      <c r="C73" s="114"/>
      <c r="D73" s="232"/>
      <c r="E73" s="116"/>
      <c r="F73" s="117"/>
      <c r="G73" s="118"/>
      <c r="H73" s="119"/>
    </row>
    <row r="74" spans="1:10" ht="14.25" customHeight="1" x14ac:dyDescent="0.25">
      <c r="A74" s="1472"/>
      <c r="B74" s="811"/>
      <c r="C74" s="114"/>
      <c r="D74" s="232"/>
      <c r="E74" s="116"/>
      <c r="F74" s="117"/>
      <c r="G74" s="118"/>
      <c r="H74" s="119"/>
    </row>
    <row r="75" spans="1:10" ht="14.25" customHeight="1" x14ac:dyDescent="0.25">
      <c r="A75" s="1472"/>
      <c r="B75" s="811"/>
      <c r="C75" s="114"/>
      <c r="D75" s="232"/>
      <c r="E75" s="116"/>
      <c r="F75" s="117"/>
      <c r="G75" s="118"/>
      <c r="H75" s="119"/>
    </row>
    <row r="76" spans="1:10" ht="20.25" customHeight="1" x14ac:dyDescent="0.3">
      <c r="A76" s="1472"/>
      <c r="B76" s="811"/>
      <c r="C76" s="114"/>
      <c r="D76" s="232"/>
      <c r="E76" s="116"/>
      <c r="F76" s="117"/>
      <c r="G76" s="118"/>
      <c r="H76" s="119"/>
      <c r="I76" s="184"/>
      <c r="J76" s="183"/>
    </row>
    <row r="77" spans="1:10" ht="14.25" customHeight="1" x14ac:dyDescent="0.25">
      <c r="A77" s="1472"/>
      <c r="B77" s="811"/>
      <c r="C77" s="114"/>
      <c r="D77" s="232"/>
      <c r="E77" s="116"/>
      <c r="F77" s="117"/>
      <c r="G77" s="118"/>
      <c r="H77" s="119"/>
    </row>
    <row r="78" spans="1:10" ht="14.25" customHeight="1" x14ac:dyDescent="0.25">
      <c r="A78" s="1472"/>
      <c r="B78" s="811"/>
      <c r="C78" s="114"/>
      <c r="D78" s="232"/>
      <c r="E78" s="116"/>
      <c r="F78" s="117"/>
      <c r="G78" s="118"/>
      <c r="H78" s="119"/>
    </row>
    <row r="79" spans="1:10" ht="14.25" customHeight="1" x14ac:dyDescent="0.25">
      <c r="A79" s="1472"/>
      <c r="B79" s="811"/>
      <c r="C79" s="114"/>
      <c r="D79" s="232"/>
      <c r="E79" s="116"/>
      <c r="F79" s="117"/>
      <c r="G79" s="118"/>
      <c r="H79" s="119"/>
    </row>
    <row r="80" spans="1:10" ht="14.25" customHeight="1" x14ac:dyDescent="0.25">
      <c r="A80" s="1472"/>
      <c r="B80" s="811"/>
      <c r="C80" s="114"/>
      <c r="D80" s="232"/>
      <c r="E80" s="116"/>
      <c r="F80" s="117"/>
      <c r="G80" s="118"/>
      <c r="H80" s="119"/>
    </row>
    <row r="81" spans="1:8" ht="20.25" customHeight="1" x14ac:dyDescent="0.3">
      <c r="A81" s="1472"/>
      <c r="H81" s="183"/>
    </row>
    <row r="82" spans="1:8" ht="14.25" customHeight="1" x14ac:dyDescent="0.25">
      <c r="A82" s="1472"/>
      <c r="B82" s="84"/>
      <c r="C82" s="188"/>
      <c r="D82" s="189"/>
      <c r="E82" s="84"/>
      <c r="F82" s="84"/>
    </row>
    <row r="83" spans="1:8" ht="14.25" customHeight="1" x14ac:dyDescent="0.25">
      <c r="A83" s="1472"/>
      <c r="B83" s="278"/>
      <c r="E83" s="84"/>
      <c r="F83" s="84"/>
    </row>
    <row r="84" spans="1:8" ht="14.25" customHeight="1" x14ac:dyDescent="0.25">
      <c r="A84" s="1472"/>
      <c r="B84" s="278"/>
      <c r="C84" s="84"/>
      <c r="D84" s="84"/>
      <c r="E84" s="84"/>
      <c r="F84" s="84"/>
      <c r="G84" s="84"/>
      <c r="H84" s="84"/>
    </row>
    <row r="85" spans="1:8" ht="14.25" customHeight="1" x14ac:dyDescent="0.25">
      <c r="A85" s="1472"/>
      <c r="B85" s="278"/>
      <c r="C85" s="84"/>
      <c r="D85" s="84"/>
      <c r="E85" s="84"/>
      <c r="F85" s="84"/>
      <c r="G85" s="84"/>
      <c r="H85" s="84"/>
    </row>
    <row r="86" spans="1:8" ht="18" customHeight="1" x14ac:dyDescent="0.25">
      <c r="A86" s="1472"/>
      <c r="B86" s="1660"/>
      <c r="C86" s="1655"/>
      <c r="D86" s="1655"/>
      <c r="E86" s="1655"/>
      <c r="F86" s="1655"/>
      <c r="G86" s="1655"/>
      <c r="H86" s="1655"/>
    </row>
    <row r="87" spans="1:8" ht="18" customHeight="1" x14ac:dyDescent="0.25">
      <c r="A87" s="1472"/>
      <c r="B87" s="1660"/>
      <c r="C87" s="1653"/>
      <c r="D87" s="1653"/>
      <c r="E87" s="1653"/>
      <c r="F87" s="1653"/>
      <c r="G87" s="1653"/>
      <c r="H87" s="1653"/>
    </row>
    <row r="88" spans="1:8" ht="25.5" customHeight="1" x14ac:dyDescent="0.2">
      <c r="A88" s="1470"/>
      <c r="B88" s="347"/>
      <c r="C88" s="324"/>
      <c r="D88" s="347"/>
      <c r="E88" s="347"/>
      <c r="F88" s="347"/>
      <c r="G88" s="347"/>
      <c r="H88" s="323"/>
    </row>
    <row r="89" spans="1:8" ht="14.25" customHeight="1" x14ac:dyDescent="0.25">
      <c r="A89" s="1472"/>
      <c r="B89" s="811"/>
      <c r="C89" s="76"/>
      <c r="D89" s="118"/>
      <c r="E89" s="116"/>
      <c r="F89" s="117"/>
      <c r="G89" s="118"/>
      <c r="H89" s="119"/>
    </row>
    <row r="90" spans="1:8" ht="14.25" customHeight="1" x14ac:dyDescent="0.25">
      <c r="A90" s="1472"/>
      <c r="B90" s="811"/>
      <c r="C90" s="76"/>
      <c r="D90" s="76"/>
      <c r="E90" s="116"/>
      <c r="F90" s="117"/>
      <c r="G90" s="118"/>
      <c r="H90" s="119"/>
    </row>
    <row r="91" spans="1:8" ht="14.25" customHeight="1" x14ac:dyDescent="0.25">
      <c r="A91" s="1472"/>
      <c r="B91" s="811"/>
      <c r="C91" s="76"/>
      <c r="D91" s="76"/>
      <c r="E91" s="116"/>
      <c r="F91" s="117"/>
      <c r="G91" s="118"/>
      <c r="H91" s="119"/>
    </row>
    <row r="92" spans="1:8" ht="14.25" customHeight="1" x14ac:dyDescent="0.25">
      <c r="A92" s="1472"/>
      <c r="B92" s="811"/>
      <c r="C92" s="76"/>
      <c r="D92" s="76"/>
      <c r="E92" s="116"/>
      <c r="F92" s="117"/>
      <c r="G92" s="118"/>
      <c r="H92" s="119"/>
    </row>
    <row r="93" spans="1:8" ht="14.25" customHeight="1" x14ac:dyDescent="0.25">
      <c r="A93" s="1472"/>
      <c r="B93" s="811"/>
      <c r="C93" s="76"/>
      <c r="D93" s="76"/>
      <c r="E93" s="116"/>
      <c r="F93" s="117"/>
      <c r="G93" s="118"/>
      <c r="H93" s="119"/>
    </row>
    <row r="94" spans="1:8" ht="14.25" customHeight="1" x14ac:dyDescent="0.25">
      <c r="A94" s="1472"/>
      <c r="B94" s="811"/>
      <c r="C94" s="76"/>
      <c r="D94" s="76"/>
      <c r="E94" s="116"/>
      <c r="F94" s="117"/>
      <c r="G94" s="118"/>
      <c r="H94" s="119"/>
    </row>
    <row r="95" spans="1:8" ht="14.25" customHeight="1" x14ac:dyDescent="0.25">
      <c r="A95" s="1472"/>
      <c r="B95" s="811"/>
      <c r="C95" s="76"/>
      <c r="D95" s="76"/>
      <c r="E95" s="116"/>
      <c r="F95" s="117"/>
      <c r="G95" s="118"/>
      <c r="H95" s="119"/>
    </row>
    <row r="96" spans="1:8" ht="14.25" customHeight="1" x14ac:dyDescent="0.25">
      <c r="A96" s="1472"/>
      <c r="B96" s="811"/>
      <c r="C96" s="76"/>
      <c r="D96" s="76"/>
      <c r="E96" s="116"/>
      <c r="F96" s="117"/>
      <c r="G96" s="118"/>
      <c r="H96" s="119"/>
    </row>
    <row r="97" spans="1:8" ht="14.25" customHeight="1" x14ac:dyDescent="0.25">
      <c r="A97" s="1472"/>
      <c r="B97" s="811"/>
      <c r="C97" s="76"/>
      <c r="D97" s="76"/>
      <c r="E97" s="116"/>
      <c r="F97" s="117"/>
      <c r="G97" s="118"/>
      <c r="H97" s="119"/>
    </row>
    <row r="98" spans="1:8" ht="14.25" customHeight="1" x14ac:dyDescent="0.25">
      <c r="A98" s="1472"/>
      <c r="B98" s="811"/>
      <c r="C98" s="76"/>
      <c r="D98" s="76"/>
      <c r="E98" s="116"/>
      <c r="F98" s="117"/>
      <c r="G98" s="118"/>
      <c r="H98" s="119"/>
    </row>
    <row r="99" spans="1:8" ht="14.25" customHeight="1" x14ac:dyDescent="0.25">
      <c r="A99" s="1472"/>
      <c r="B99" s="811"/>
      <c r="C99" s="76"/>
      <c r="D99" s="76"/>
      <c r="E99" s="116"/>
      <c r="F99" s="117"/>
      <c r="G99" s="118"/>
      <c r="H99" s="119"/>
    </row>
    <row r="100" spans="1:8" ht="14.25" customHeight="1" x14ac:dyDescent="0.25">
      <c r="A100" s="1472"/>
      <c r="B100" s="811"/>
      <c r="C100" s="76"/>
      <c r="D100" s="76"/>
      <c r="E100" s="116"/>
      <c r="F100" s="117"/>
      <c r="G100" s="118"/>
      <c r="H100" s="119"/>
    </row>
    <row r="101" spans="1:8" ht="14.25" customHeight="1" x14ac:dyDescent="0.25">
      <c r="A101" s="1472"/>
      <c r="B101" s="811"/>
      <c r="C101" s="76"/>
      <c r="D101" s="76"/>
      <c r="E101" s="116"/>
      <c r="F101" s="117"/>
      <c r="G101" s="118"/>
      <c r="H101" s="119"/>
    </row>
    <row r="102" spans="1:8" ht="14.25" customHeight="1" x14ac:dyDescent="0.25">
      <c r="A102" s="1472"/>
      <c r="B102" s="811"/>
      <c r="C102" s="76"/>
      <c r="D102" s="76"/>
      <c r="E102" s="116"/>
      <c r="F102" s="117"/>
      <c r="G102" s="118"/>
      <c r="H102" s="119"/>
    </row>
    <row r="103" spans="1:8" ht="14.25" customHeight="1" x14ac:dyDescent="0.25">
      <c r="A103" s="1472"/>
      <c r="B103" s="811"/>
      <c r="C103" s="76"/>
      <c r="D103" s="76"/>
      <c r="E103" s="116"/>
      <c r="F103" s="117"/>
      <c r="G103" s="118"/>
      <c r="H103" s="119"/>
    </row>
    <row r="104" spans="1:8" ht="14.25" customHeight="1" x14ac:dyDescent="0.25">
      <c r="A104" s="1472"/>
      <c r="B104" s="811"/>
      <c r="C104" s="76"/>
      <c r="D104" s="76"/>
      <c r="E104" s="116"/>
      <c r="F104" s="117"/>
      <c r="G104" s="118"/>
      <c r="H104" s="119"/>
    </row>
    <row r="105" spans="1:8" ht="20.25" customHeight="1" x14ac:dyDescent="0.3">
      <c r="A105" s="1472"/>
      <c r="B105" s="184"/>
      <c r="C105" s="450"/>
      <c r="D105" s="451"/>
      <c r="E105" s="452"/>
      <c r="F105" s="451"/>
      <c r="G105" s="453"/>
      <c r="H105" s="183"/>
    </row>
    <row r="106" spans="1:8" x14ac:dyDescent="0.25">
      <c r="A106" s="1472"/>
    </row>
    <row r="107" spans="1:8" x14ac:dyDescent="0.25">
      <c r="A107" s="1472"/>
    </row>
    <row r="108" spans="1:8" x14ac:dyDescent="0.25">
      <c r="A108" s="1472"/>
    </row>
    <row r="109" spans="1:8" x14ac:dyDescent="0.25">
      <c r="A109" s="1472"/>
    </row>
    <row r="110" spans="1:8" x14ac:dyDescent="0.25">
      <c r="A110" s="1472"/>
    </row>
    <row r="111" spans="1:8" x14ac:dyDescent="0.25">
      <c r="A111" s="1472"/>
    </row>
    <row r="112" spans="1:8"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9">
    <mergeCell ref="B86:H86"/>
    <mergeCell ref="B87:H87"/>
    <mergeCell ref="B2:H3"/>
    <mergeCell ref="AE2:AG3"/>
    <mergeCell ref="AL2:AM2"/>
    <mergeCell ref="R25:U25"/>
    <mergeCell ref="R26:U26"/>
    <mergeCell ref="B35:F35"/>
    <mergeCell ref="B62:H63"/>
  </mergeCells>
  <printOptions horizontalCentered="1"/>
  <pageMargins left="0.4" right="0.4" top="1" bottom="0.5" header="0.3" footer="0.511811023622047"/>
  <pageSetup paperSize="9" scale="48" orientation="landscape" r:id="rId1"/>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6">
    <tabColor rgb="FFC55A11"/>
    <pageSetUpPr fitToPage="1"/>
  </sheetPr>
  <dimension ref="A1:AG174"/>
  <sheetViews>
    <sheetView topLeftCell="A2" zoomScaleNormal="100" workbookViewId="0">
      <selection activeCell="A3" sqref="A2:K13"/>
    </sheetView>
  </sheetViews>
  <sheetFormatPr defaultColWidth="12.5" defaultRowHeight="15" x14ac:dyDescent="0.25"/>
  <cols>
    <col min="1" max="1" width="16.375" style="1" customWidth="1"/>
    <col min="2" max="2" width="38.25" customWidth="1"/>
    <col min="3" max="3" width="16.875" customWidth="1"/>
    <col min="4" max="4" width="19" customWidth="1"/>
    <col min="5" max="5" width="16.125" customWidth="1"/>
    <col min="6" max="6" width="23.125" customWidth="1"/>
    <col min="7" max="7" width="25.125" customWidth="1"/>
    <col min="8" max="8" width="19.875" customWidth="1"/>
    <col min="9" max="9" width="18" customWidth="1"/>
    <col min="12" max="12" width="8.375" customWidth="1"/>
    <col min="13" max="17" width="7.125" customWidth="1"/>
    <col min="18" max="18" width="32.625" bestFit="1" customWidth="1"/>
    <col min="23" max="23" width="29.375" customWidth="1"/>
    <col min="24" max="24" width="31.625" customWidth="1"/>
  </cols>
  <sheetData>
    <row r="1" spans="1:33" ht="24" customHeight="1" x14ac:dyDescent="0.2">
      <c r="A1" s="64" t="s">
        <v>231</v>
      </c>
      <c r="B1" s="65">
        <v>1000</v>
      </c>
      <c r="C1" s="73" t="s">
        <v>313</v>
      </c>
      <c r="D1" s="74">
        <f>$S$30/J1</f>
        <v>25906.25</v>
      </c>
      <c r="E1" s="75" t="s">
        <v>236</v>
      </c>
      <c r="F1" s="76" t="s">
        <v>457</v>
      </c>
      <c r="G1" s="75" t="s">
        <v>315</v>
      </c>
      <c r="H1" s="282">
        <f>H52</f>
        <v>16.579999999999998</v>
      </c>
      <c r="I1" s="77" t="s">
        <v>238</v>
      </c>
      <c r="J1" s="283">
        <v>0.64</v>
      </c>
      <c r="K1" s="84"/>
      <c r="Y1" s="75" t="s">
        <v>453</v>
      </c>
      <c r="Z1" s="766">
        <v>16080</v>
      </c>
      <c r="AA1" s="75" t="s">
        <v>556</v>
      </c>
      <c r="AB1" s="766">
        <v>500</v>
      </c>
      <c r="AC1" s="75" t="s">
        <v>546</v>
      </c>
      <c r="AD1" s="766">
        <v>110</v>
      </c>
    </row>
    <row r="2" spans="1:33" ht="12.75" customHeight="1" x14ac:dyDescent="0.25">
      <c r="A2" s="242"/>
      <c r="B2" s="1645" t="s">
        <v>957</v>
      </c>
      <c r="C2" s="1653"/>
      <c r="D2" s="1653"/>
      <c r="E2" s="1653"/>
      <c r="F2" s="1653"/>
      <c r="G2" s="1653"/>
      <c r="H2" s="1653"/>
      <c r="I2" s="1653"/>
      <c r="J2" s="1653"/>
      <c r="K2" s="1653"/>
      <c r="L2" s="270"/>
      <c r="M2" s="84"/>
      <c r="N2" s="84"/>
      <c r="AE2" s="1616"/>
      <c r="AF2" s="1653"/>
      <c r="AG2" s="1653"/>
    </row>
    <row r="3" spans="1:33" ht="12.75" customHeight="1" x14ac:dyDescent="0.25">
      <c r="A3" s="242"/>
      <c r="B3" s="1633"/>
      <c r="C3" s="1633"/>
      <c r="D3" s="1633"/>
      <c r="E3" s="1633"/>
      <c r="F3" s="1633"/>
      <c r="G3" s="1633"/>
      <c r="H3" s="1633"/>
      <c r="I3" s="1633"/>
      <c r="J3" s="1633"/>
      <c r="K3" s="1633"/>
      <c r="L3" s="270"/>
      <c r="M3" s="84"/>
      <c r="N3" s="84"/>
      <c r="AE3" s="1653"/>
      <c r="AF3" s="1653"/>
      <c r="AG3" s="1653"/>
    </row>
    <row r="4" spans="1:33" ht="46.5" customHeight="1" x14ac:dyDescent="0.2">
      <c r="A4" s="75" t="s">
        <v>903</v>
      </c>
      <c r="B4" s="75" t="s">
        <v>241</v>
      </c>
      <c r="C4" s="284" t="s">
        <v>317</v>
      </c>
      <c r="D4" s="75" t="s">
        <v>318</v>
      </c>
      <c r="E4" s="91" t="s">
        <v>319</v>
      </c>
      <c r="F4" s="91" t="s">
        <v>320</v>
      </c>
      <c r="G4" s="285" t="s">
        <v>321</v>
      </c>
      <c r="H4" s="92" t="s">
        <v>322</v>
      </c>
      <c r="I4" s="75" t="s">
        <v>246</v>
      </c>
      <c r="J4" s="75" t="s">
        <v>247</v>
      </c>
      <c r="K4" s="75" t="s">
        <v>248</v>
      </c>
      <c r="L4" s="75" t="s">
        <v>249</v>
      </c>
    </row>
    <row r="5" spans="1:33" ht="14.25" customHeight="1" x14ac:dyDescent="0.2">
      <c r="A5" s="1454"/>
      <c r="B5" s="20" t="s">
        <v>223</v>
      </c>
      <c r="C5" s="106" t="s">
        <v>14</v>
      </c>
      <c r="D5" s="245">
        <f>I51/H51</f>
        <v>1562.5</v>
      </c>
      <c r="E5" s="101">
        <f>I52/D5</f>
        <v>16.579999999999998</v>
      </c>
      <c r="F5" s="109">
        <v>1</v>
      </c>
      <c r="G5" s="99">
        <f>D1</f>
        <v>25906.25</v>
      </c>
      <c r="H5" s="377">
        <f>D1</f>
        <v>25906.25</v>
      </c>
      <c r="I5" s="65">
        <f>VLOOKUP(B5,All_Ingredients!$A$1:$F$156,6,FALSE())</f>
        <v>0.55000000000000004</v>
      </c>
      <c r="J5" s="101">
        <f>VLOOKUP(B5,All_Ingredients!$A$1:$J$156,10,FALSE())</f>
        <v>14.361111111111111</v>
      </c>
      <c r="K5" s="104">
        <f t="shared" ref="K5" si="0">(H5/I5)/1000</f>
        <v>47.10227272727272</v>
      </c>
      <c r="L5" s="104">
        <f t="shared" ref="L5" si="1">K5*J5</f>
        <v>676.44097222222206</v>
      </c>
    </row>
    <row r="6" spans="1:33" ht="14.25" customHeight="1" x14ac:dyDescent="0.25">
      <c r="A6" s="1455"/>
      <c r="B6" s="20" t="s">
        <v>105</v>
      </c>
      <c r="C6" s="106" t="s">
        <v>14</v>
      </c>
      <c r="D6" s="107">
        <f>15*1.2</f>
        <v>18</v>
      </c>
      <c r="E6" s="177">
        <f t="shared" ref="E6:E13" si="2">$H$52</f>
        <v>16.579999999999998</v>
      </c>
      <c r="F6" s="109">
        <v>0.7</v>
      </c>
      <c r="G6" s="101">
        <f t="shared" ref="G6:G13" si="3">D6*E6</f>
        <v>298.43999999999994</v>
      </c>
      <c r="H6" s="102">
        <f t="shared" ref="H6:H13" si="4">G6*F6</f>
        <v>208.90799999999996</v>
      </c>
      <c r="I6" s="65">
        <f>VLOOKUP(B6,All_Ingredients!$A$1:$F$156,6,FALSE())</f>
        <v>1</v>
      </c>
      <c r="J6" s="101">
        <f>VLOOKUP(B6,All_Ingredients!$A$1:$J$156,10,FALSE())</f>
        <v>15</v>
      </c>
      <c r="K6" s="104">
        <f t="shared" ref="K6:K13" si="5">(H6/I6)/1000</f>
        <v>0.20890799999999995</v>
      </c>
      <c r="L6" s="104">
        <f t="shared" ref="L6:L13" si="6">K6*J6</f>
        <v>3.1336199999999992</v>
      </c>
    </row>
    <row r="7" spans="1:33" ht="14.25" customHeight="1" x14ac:dyDescent="0.25">
      <c r="A7" s="1455"/>
      <c r="B7" s="299" t="s">
        <v>203</v>
      </c>
      <c r="C7" s="106" t="s">
        <v>160</v>
      </c>
      <c r="D7" s="107">
        <f>600*1.2</f>
        <v>720</v>
      </c>
      <c r="E7" s="177">
        <f t="shared" si="2"/>
        <v>16.579999999999998</v>
      </c>
      <c r="F7" s="109">
        <v>1</v>
      </c>
      <c r="G7" s="101">
        <f t="shared" si="3"/>
        <v>11937.599999999999</v>
      </c>
      <c r="H7" s="102">
        <f t="shared" si="4"/>
        <v>11937.599999999999</v>
      </c>
      <c r="I7" s="65">
        <f>VLOOKUP(B7,All_Ingredients!$A$1:$F$156,6,FALSE())</f>
        <v>1</v>
      </c>
      <c r="J7" s="101">
        <f>VLOOKUP(B7,All_Ingredients!$A$1:$J$156,10,FALSE())</f>
        <v>0</v>
      </c>
      <c r="K7" s="104">
        <f t="shared" si="5"/>
        <v>11.937599999999998</v>
      </c>
      <c r="L7" s="104">
        <f t="shared" si="6"/>
        <v>0</v>
      </c>
    </row>
    <row r="8" spans="1:33" ht="14.25" customHeight="1" x14ac:dyDescent="0.25">
      <c r="A8" s="1455"/>
      <c r="B8" s="271" t="s">
        <v>126</v>
      </c>
      <c r="C8" s="106" t="s">
        <v>14</v>
      </c>
      <c r="D8" s="107">
        <f>10*1.2</f>
        <v>12</v>
      </c>
      <c r="E8" s="177">
        <f t="shared" si="2"/>
        <v>16.579999999999998</v>
      </c>
      <c r="F8" s="109">
        <v>0.25</v>
      </c>
      <c r="G8" s="101">
        <f t="shared" si="3"/>
        <v>198.95999999999998</v>
      </c>
      <c r="H8" s="102">
        <f t="shared" si="4"/>
        <v>49.739999999999995</v>
      </c>
      <c r="I8" s="65">
        <f>VLOOKUP(B8,All_Ingredients!$A$1:$F$156,6,FALSE())</f>
        <v>1</v>
      </c>
      <c r="J8" s="101">
        <f>VLOOKUP(B8,All_Ingredients!$A$1:$J$156,10,FALSE())</f>
        <v>125</v>
      </c>
      <c r="K8" s="104">
        <f t="shared" si="5"/>
        <v>4.9739999999999993E-2</v>
      </c>
      <c r="L8" s="104">
        <f t="shared" si="6"/>
        <v>6.2174999999999994</v>
      </c>
    </row>
    <row r="9" spans="1:33" ht="14.25" customHeight="1" x14ac:dyDescent="0.25">
      <c r="A9" s="1455"/>
      <c r="B9" s="271" t="s">
        <v>698</v>
      </c>
      <c r="C9" s="106" t="s">
        <v>14</v>
      </c>
      <c r="D9" s="107">
        <f>50*1.2</f>
        <v>60</v>
      </c>
      <c r="E9" s="177">
        <f t="shared" si="2"/>
        <v>16.579999999999998</v>
      </c>
      <c r="F9" s="109">
        <v>0.75</v>
      </c>
      <c r="G9" s="101">
        <f t="shared" si="3"/>
        <v>994.8</v>
      </c>
      <c r="H9" s="102">
        <f t="shared" si="4"/>
        <v>746.09999999999991</v>
      </c>
      <c r="I9" s="65">
        <f>VLOOKUP(B9,All_Ingredients!$A$1:$F$156,6,FALSE())</f>
        <v>1</v>
      </c>
      <c r="J9" s="101">
        <f>VLOOKUP(B9,All_Ingredients!$A$1:$J$156,10,FALSE())</f>
        <v>8.1520833333333336</v>
      </c>
      <c r="K9" s="104">
        <f t="shared" si="5"/>
        <v>0.74609999999999987</v>
      </c>
      <c r="L9" s="104">
        <f t="shared" si="6"/>
        <v>6.0822693749999992</v>
      </c>
    </row>
    <row r="10" spans="1:33" ht="14.25" customHeight="1" x14ac:dyDescent="0.25">
      <c r="A10" s="1455" t="s">
        <v>919</v>
      </c>
      <c r="B10" s="299" t="s">
        <v>32</v>
      </c>
      <c r="C10" s="106" t="s">
        <v>14</v>
      </c>
      <c r="D10" s="523">
        <f>17*1.2</f>
        <v>20.399999999999999</v>
      </c>
      <c r="E10" s="177">
        <f t="shared" si="2"/>
        <v>16.579999999999998</v>
      </c>
      <c r="F10" s="109">
        <v>0.75</v>
      </c>
      <c r="G10" s="101">
        <f t="shared" si="3"/>
        <v>338.23199999999991</v>
      </c>
      <c r="H10" s="102">
        <f t="shared" si="4"/>
        <v>253.67399999999992</v>
      </c>
      <c r="I10" s="65">
        <f>VLOOKUP(B10,All_Ingredients!$A$1:$F$156,6,FALSE())</f>
        <v>0.69</v>
      </c>
      <c r="J10" s="101">
        <f>VLOOKUP(B10,All_Ingredients!$A$1:$J$156,10,FALSE())</f>
        <v>4</v>
      </c>
      <c r="K10" s="104">
        <f t="shared" si="5"/>
        <v>0.36764347826086946</v>
      </c>
      <c r="L10" s="104">
        <f t="shared" si="6"/>
        <v>1.4705739130434778</v>
      </c>
    </row>
    <row r="11" spans="1:33" ht="14.25" customHeight="1" x14ac:dyDescent="0.25">
      <c r="A11" s="1455"/>
      <c r="B11" s="20" t="s">
        <v>136</v>
      </c>
      <c r="C11" s="106" t="s">
        <v>14</v>
      </c>
      <c r="D11" s="107">
        <f>20*1.2</f>
        <v>24</v>
      </c>
      <c r="E11" s="177">
        <f t="shared" si="2"/>
        <v>16.579999999999998</v>
      </c>
      <c r="F11" s="109">
        <v>0.5</v>
      </c>
      <c r="G11" s="101">
        <f t="shared" si="3"/>
        <v>397.91999999999996</v>
      </c>
      <c r="H11" s="102">
        <f t="shared" si="4"/>
        <v>198.95999999999998</v>
      </c>
      <c r="I11" s="65">
        <f>VLOOKUP(B11,All_Ingredients!$A$1:$F$156,6,FALSE())</f>
        <v>1</v>
      </c>
      <c r="J11" s="101">
        <f>VLOOKUP(B11,All_Ingredients!$A$1:$J$156,10,FALSE())</f>
        <v>43.75</v>
      </c>
      <c r="K11" s="104">
        <f t="shared" si="5"/>
        <v>0.19895999999999997</v>
      </c>
      <c r="L11" s="104">
        <f t="shared" si="6"/>
        <v>8.7044999999999995</v>
      </c>
    </row>
    <row r="12" spans="1:33" ht="14.25" customHeight="1" x14ac:dyDescent="0.25">
      <c r="A12" s="1455"/>
      <c r="B12" s="20" t="s">
        <v>107</v>
      </c>
      <c r="C12" s="106" t="s">
        <v>14</v>
      </c>
      <c r="D12" s="107">
        <f>15*1.2</f>
        <v>18</v>
      </c>
      <c r="E12" s="177">
        <f t="shared" si="2"/>
        <v>16.579999999999998</v>
      </c>
      <c r="F12" s="109">
        <v>0.7</v>
      </c>
      <c r="G12" s="101">
        <f t="shared" si="3"/>
        <v>298.43999999999994</v>
      </c>
      <c r="H12" s="102">
        <f t="shared" si="4"/>
        <v>208.90799999999996</v>
      </c>
      <c r="I12" s="65">
        <f>VLOOKUP(B12,All_Ingredients!$A$1:$F$156,6,FALSE())</f>
        <v>1</v>
      </c>
      <c r="J12" s="101">
        <f>VLOOKUP(B12,All_Ingredients!$A$1:$J$156,10,FALSE())</f>
        <v>8</v>
      </c>
      <c r="K12" s="104">
        <f t="shared" si="5"/>
        <v>0.20890799999999995</v>
      </c>
      <c r="L12" s="104">
        <f t="shared" si="6"/>
        <v>1.6712639999999996</v>
      </c>
    </row>
    <row r="13" spans="1:33" ht="14.25" customHeight="1" x14ac:dyDescent="0.25">
      <c r="A13" s="1455"/>
      <c r="B13" s="20" t="s">
        <v>93</v>
      </c>
      <c r="C13" s="106" t="s">
        <v>14</v>
      </c>
      <c r="D13" s="107">
        <f>15*1.2</f>
        <v>18</v>
      </c>
      <c r="E13" s="177">
        <f t="shared" si="2"/>
        <v>16.579999999999998</v>
      </c>
      <c r="F13" s="109">
        <v>0.75</v>
      </c>
      <c r="G13" s="101">
        <f t="shared" si="3"/>
        <v>298.43999999999994</v>
      </c>
      <c r="H13" s="102">
        <f t="shared" si="4"/>
        <v>223.82999999999996</v>
      </c>
      <c r="I13" s="65">
        <f>VLOOKUP(B13,All_Ingredients!$A$1:$F$156,6,FALSE())</f>
        <v>1</v>
      </c>
      <c r="J13" s="101">
        <f>VLOOKUP(B13,All_Ingredients!$A$1:$J$156,10,FALSE())</f>
        <v>0.74</v>
      </c>
      <c r="K13" s="104">
        <f t="shared" si="5"/>
        <v>0.22382999999999995</v>
      </c>
      <c r="L13" s="104">
        <f t="shared" si="6"/>
        <v>0.16563419999999995</v>
      </c>
    </row>
    <row r="14" spans="1:33" x14ac:dyDescent="0.25">
      <c r="A14" s="62"/>
    </row>
    <row r="15" spans="1:33" x14ac:dyDescent="0.25">
      <c r="A15" s="62"/>
    </row>
    <row r="16" spans="1:33" x14ac:dyDescent="0.25">
      <c r="A16" s="62"/>
    </row>
    <row r="17" spans="1:29" x14ac:dyDescent="0.25">
      <c r="A17" s="62"/>
    </row>
    <row r="18" spans="1:29" x14ac:dyDescent="0.25">
      <c r="A18" s="62"/>
    </row>
    <row r="19" spans="1:29" x14ac:dyDescent="0.25">
      <c r="A19" s="62"/>
    </row>
    <row r="20" spans="1:29" x14ac:dyDescent="0.25">
      <c r="A20" s="62"/>
    </row>
    <row r="21" spans="1:29" x14ac:dyDescent="0.25">
      <c r="A21" s="62"/>
    </row>
    <row r="22" spans="1:29" x14ac:dyDescent="0.25">
      <c r="A22" s="62"/>
    </row>
    <row r="23" spans="1:29" x14ac:dyDescent="0.25">
      <c r="A23" s="62"/>
    </row>
    <row r="24" spans="1:29" x14ac:dyDescent="0.25">
      <c r="A24" s="62"/>
      <c r="Z24" s="1124"/>
    </row>
    <row r="25" spans="1:29" ht="15.75" customHeight="1" x14ac:dyDescent="0.25">
      <c r="A25" s="62"/>
      <c r="R25" s="1726" t="str">
        <f>B2</f>
        <v>Beef Boukhary - لحم بخاري</v>
      </c>
      <c r="S25" s="1731"/>
      <c r="T25" s="1731"/>
      <c r="U25" s="1143"/>
      <c r="Z25" s="122" t="s">
        <v>252</v>
      </c>
      <c r="AA25" s="123">
        <v>1</v>
      </c>
      <c r="AB25" s="122" t="s">
        <v>249</v>
      </c>
      <c r="AC25" s="124">
        <f>AC30*AA25</f>
        <v>4.3891638816308247E-2</v>
      </c>
    </row>
    <row r="26" spans="1:29" ht="14.25" customHeight="1" x14ac:dyDescent="0.25">
      <c r="A26" s="62"/>
      <c r="R26" s="1638" t="s">
        <v>324</v>
      </c>
      <c r="S26" s="1730"/>
      <c r="T26" s="1730"/>
      <c r="U26" s="1143"/>
      <c r="AB26" s="14"/>
      <c r="AC26" s="14"/>
    </row>
    <row r="27" spans="1:29" ht="14.25" customHeight="1" thickBot="1" x14ac:dyDescent="0.3">
      <c r="A27" s="62"/>
      <c r="R27" s="209" t="s">
        <v>254</v>
      </c>
      <c r="S27" s="423" t="s">
        <v>379</v>
      </c>
      <c r="T27" s="423" t="s">
        <v>257</v>
      </c>
      <c r="U27" s="423" t="s">
        <v>779</v>
      </c>
      <c r="Z27" s="122" t="s">
        <v>258</v>
      </c>
      <c r="AA27" s="128" t="s">
        <v>259</v>
      </c>
      <c r="AB27" s="1032" t="s">
        <v>779</v>
      </c>
      <c r="AC27" s="128" t="s">
        <v>262</v>
      </c>
    </row>
    <row r="28" spans="1:29" ht="14.25" customHeight="1" thickBot="1" x14ac:dyDescent="0.3">
      <c r="A28" s="62"/>
      <c r="R28" s="125" t="s">
        <v>325</v>
      </c>
      <c r="S28" s="1178">
        <f>$Z$1</f>
        <v>16080</v>
      </c>
      <c r="T28" s="1175">
        <f>S28</f>
        <v>16080</v>
      </c>
      <c r="U28" s="206">
        <f>SUM(H37:H38)</f>
        <v>117.7</v>
      </c>
      <c r="Z28" s="132"/>
      <c r="AA28" s="133">
        <f>AA25</f>
        <v>1</v>
      </c>
      <c r="AB28" s="1034"/>
      <c r="AC28" s="135">
        <f>SUM(AA28:AB28)</f>
        <v>1</v>
      </c>
    </row>
    <row r="29" spans="1:29" ht="14.25" customHeight="1" thickBot="1" x14ac:dyDescent="0.3">
      <c r="A29" s="62"/>
      <c r="R29" s="125" t="s">
        <v>326</v>
      </c>
      <c r="S29" s="1176">
        <f>$AB$1</f>
        <v>500</v>
      </c>
      <c r="T29" s="1176">
        <f>S29</f>
        <v>500</v>
      </c>
      <c r="U29" s="208"/>
      <c r="Z29" s="132"/>
      <c r="AA29" s="137">
        <v>1</v>
      </c>
      <c r="AB29" s="1038"/>
      <c r="AC29" s="137">
        <f>AC28/$AC$28</f>
        <v>1</v>
      </c>
    </row>
    <row r="30" spans="1:29" ht="14.25" customHeight="1" thickBot="1" x14ac:dyDescent="0.3">
      <c r="A30" s="62"/>
      <c r="R30" s="214" t="s">
        <v>327</v>
      </c>
      <c r="S30" s="206">
        <f>S28+S29</f>
        <v>16580</v>
      </c>
      <c r="T30" s="206">
        <f>T28+T29</f>
        <v>16580</v>
      </c>
      <c r="U30" s="206">
        <f>U28+U29</f>
        <v>117.7</v>
      </c>
      <c r="Z30" s="122" t="s">
        <v>266</v>
      </c>
      <c r="AA30" s="138">
        <f>S33/(S28)</f>
        <v>4.3774025728250343E-2</v>
      </c>
      <c r="AB30" s="1045">
        <f>U33/T30</f>
        <v>1.1761308805790109E-4</v>
      </c>
      <c r="AC30" s="1047">
        <f>SUMPRODUCT(AA30,AA29)+AB30</f>
        <v>4.3891638816308247E-2</v>
      </c>
    </row>
    <row r="31" spans="1:29" ht="14.25" customHeight="1" thickBot="1" x14ac:dyDescent="0.3">
      <c r="A31" s="62"/>
      <c r="R31" s="215" t="s">
        <v>268</v>
      </c>
      <c r="S31" s="208"/>
      <c r="T31" s="208"/>
      <c r="U31" s="208"/>
    </row>
    <row r="32" spans="1:29" ht="14.25" customHeight="1" thickBot="1" x14ac:dyDescent="0.3">
      <c r="A32" s="62"/>
      <c r="R32" s="216" t="s">
        <v>269</v>
      </c>
      <c r="S32" s="208"/>
      <c r="T32" s="208"/>
      <c r="U32" s="208"/>
    </row>
    <row r="33" spans="1:23" ht="18.75" customHeight="1" thickBot="1" x14ac:dyDescent="0.3">
      <c r="A33" s="62"/>
      <c r="R33" s="1144" t="s">
        <v>249</v>
      </c>
      <c r="S33" s="990">
        <f>SUM(L5:L13)</f>
        <v>703.88633371026549</v>
      </c>
      <c r="T33" s="1122">
        <f>S33+U33</f>
        <v>705.83635871026547</v>
      </c>
      <c r="U33" s="1122">
        <f>SUM(L37:L38)</f>
        <v>1.9500250000000001</v>
      </c>
    </row>
    <row r="34" spans="1:23" x14ac:dyDescent="0.25">
      <c r="A34" s="62"/>
    </row>
    <row r="35" spans="1:23" ht="15.75" x14ac:dyDescent="0.25">
      <c r="A35" s="62"/>
      <c r="B35" s="1681" t="s">
        <v>668</v>
      </c>
      <c r="C35" s="1681"/>
      <c r="D35" s="1681"/>
      <c r="E35" s="1681"/>
      <c r="F35" s="1681"/>
      <c r="G35" s="797"/>
      <c r="H35" s="797"/>
      <c r="I35" s="803"/>
      <c r="J35" s="803"/>
      <c r="K35" s="803"/>
      <c r="L35" s="803"/>
    </row>
    <row r="36" spans="1:23" ht="47.25" x14ac:dyDescent="0.25">
      <c r="A36" s="6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62"/>
      <c r="B37" s="772" t="s">
        <v>184</v>
      </c>
      <c r="C37" s="773" t="s">
        <v>14</v>
      </c>
      <c r="D37" s="774">
        <v>1</v>
      </c>
      <c r="E37" s="772">
        <f>$AD$1</f>
        <v>110</v>
      </c>
      <c r="F37" s="772">
        <f>D37*E37</f>
        <v>110</v>
      </c>
      <c r="G37" s="796"/>
      <c r="H37" s="772">
        <f>F37</f>
        <v>110</v>
      </c>
      <c r="I37" s="772">
        <f>VLOOKUP(B37,All_Ingredients!$A$1:$F$156,6,FALSE())</f>
        <v>1</v>
      </c>
      <c r="J37" s="772">
        <f>VLOOKUP(B37,All_Ingredients!$A$1:$J$156,10,FALSE())</f>
        <v>17.5</v>
      </c>
      <c r="K37" s="772">
        <f>(H37/I37)/1000</f>
        <v>0.11</v>
      </c>
      <c r="L37" s="772">
        <f>K37*J37</f>
        <v>1.925</v>
      </c>
    </row>
    <row r="38" spans="1:23" x14ac:dyDescent="0.25">
      <c r="A38" s="62"/>
      <c r="B38" s="772" t="s">
        <v>19</v>
      </c>
      <c r="C38" s="773" t="s">
        <v>14</v>
      </c>
      <c r="D38" s="774">
        <v>7.0000000000000007E-2</v>
      </c>
      <c r="E38" s="772">
        <f>$AD$1</f>
        <v>110</v>
      </c>
      <c r="F38" s="772">
        <f>D38*E38</f>
        <v>7.7000000000000011</v>
      </c>
      <c r="G38" s="796"/>
      <c r="H38" s="772">
        <f>F38</f>
        <v>7.7000000000000011</v>
      </c>
      <c r="I38" s="772">
        <f>VLOOKUP(B38,All_Ingredients!$A$1:$F$156,6,FALSE())</f>
        <v>0.8</v>
      </c>
      <c r="J38" s="772">
        <f>VLOOKUP(B38,All_Ingredients!$A$1:$J$156,10,FALSE())</f>
        <v>2.6</v>
      </c>
      <c r="K38" s="772">
        <f>(H38/I38)/1000</f>
        <v>9.6249999999999999E-3</v>
      </c>
      <c r="L38" s="772">
        <f>K38*J38</f>
        <v>2.5025000000000002E-2</v>
      </c>
    </row>
    <row r="39" spans="1:23" x14ac:dyDescent="0.25">
      <c r="A39" s="62"/>
      <c r="B39" s="4"/>
    </row>
    <row r="40" spans="1:23" ht="14.25" customHeight="1" x14ac:dyDescent="0.25">
      <c r="A40" s="62"/>
      <c r="Q40" s="14"/>
      <c r="R40" s="146" t="s">
        <v>328</v>
      </c>
      <c r="S40" s="217">
        <f>S28/T28</f>
        <v>1</v>
      </c>
    </row>
    <row r="41" spans="1:23" ht="14.25" customHeight="1" x14ac:dyDescent="0.25">
      <c r="A41" s="62"/>
      <c r="Q41" s="14"/>
      <c r="R41" s="14"/>
      <c r="S41" s="14"/>
      <c r="T41" s="14"/>
      <c r="U41" s="150"/>
      <c r="V41" s="14"/>
      <c r="W41" s="14"/>
    </row>
    <row r="42" spans="1:23" ht="14.25" customHeight="1" x14ac:dyDescent="0.25">
      <c r="A42" s="62"/>
      <c r="Q42" s="14"/>
      <c r="R42" s="14"/>
      <c r="S42" s="14"/>
      <c r="T42" s="14"/>
      <c r="U42" s="14"/>
      <c r="V42" s="14"/>
      <c r="W42" s="14"/>
    </row>
    <row r="43" spans="1:23" ht="14.25" customHeight="1" x14ac:dyDescent="0.25">
      <c r="A43" s="62"/>
      <c r="Q43" s="151" t="s">
        <v>272</v>
      </c>
      <c r="R43" s="151" t="s">
        <v>273</v>
      </c>
      <c r="S43" s="151" t="s">
        <v>274</v>
      </c>
      <c r="T43" s="151" t="s">
        <v>275</v>
      </c>
      <c r="U43" s="151" t="s">
        <v>276</v>
      </c>
      <c r="V43" s="151" t="s">
        <v>277</v>
      </c>
      <c r="W43" s="235" t="s">
        <v>329</v>
      </c>
    </row>
    <row r="44" spans="1:23" ht="14.25" customHeight="1" x14ac:dyDescent="0.25">
      <c r="A44" s="62"/>
      <c r="Q44" s="153">
        <v>10000</v>
      </c>
      <c r="R44" s="154">
        <v>0</v>
      </c>
      <c r="S44" s="219">
        <v>0</v>
      </c>
      <c r="T44" s="219">
        <v>0</v>
      </c>
      <c r="U44" s="220">
        <f>R44*S44</f>
        <v>0</v>
      </c>
      <c r="V44" s="157">
        <f>R44*T44</f>
        <v>0</v>
      </c>
      <c r="W44" s="237">
        <f>Q44-U44</f>
        <v>10000</v>
      </c>
    </row>
    <row r="45" spans="1:23" x14ac:dyDescent="0.25">
      <c r="A45" s="62"/>
    </row>
    <row r="46" spans="1:23" x14ac:dyDescent="0.25">
      <c r="A46" s="62"/>
    </row>
    <row r="47" spans="1:23" x14ac:dyDescent="0.25">
      <c r="A47" s="62"/>
    </row>
    <row r="48" spans="1:23" x14ac:dyDescent="0.25">
      <c r="A48" s="62"/>
    </row>
    <row r="49" spans="1:12" x14ac:dyDescent="0.25">
      <c r="A49" s="62"/>
    </row>
    <row r="50" spans="1:12" ht="15.75" thickBot="1" x14ac:dyDescent="0.3">
      <c r="A50" s="62"/>
      <c r="G50" s="127" t="s">
        <v>280</v>
      </c>
      <c r="H50" s="127" t="s">
        <v>233</v>
      </c>
      <c r="I50" s="127" t="s">
        <v>281</v>
      </c>
      <c r="J50" s="127" t="s">
        <v>282</v>
      </c>
    </row>
    <row r="51" spans="1:12" ht="15.75" thickBot="1" x14ac:dyDescent="0.3">
      <c r="A51" s="62"/>
      <c r="G51" s="287" t="s">
        <v>458</v>
      </c>
      <c r="H51" s="288">
        <v>10</v>
      </c>
      <c r="I51" s="288">
        <f t="shared" ref="I51:I58" si="7">J51/$J$1</f>
        <v>15625</v>
      </c>
      <c r="J51" s="289">
        <f>$W$44</f>
        <v>10000</v>
      </c>
    </row>
    <row r="52" spans="1:12" x14ac:dyDescent="0.25">
      <c r="A52" s="62"/>
      <c r="G52" s="143" t="s">
        <v>262</v>
      </c>
      <c r="H52" s="290">
        <f>$E$5</f>
        <v>16.579999999999998</v>
      </c>
      <c r="I52" s="291">
        <f t="shared" si="7"/>
        <v>25906.25</v>
      </c>
      <c r="J52" s="292">
        <f>$S$30</f>
        <v>16580</v>
      </c>
    </row>
    <row r="53" spans="1:12" x14ac:dyDescent="0.25">
      <c r="A53" s="62"/>
      <c r="D53" s="458"/>
      <c r="G53" s="129" t="s">
        <v>284</v>
      </c>
      <c r="H53" s="293">
        <f>MIN($H$52, $H$51)</f>
        <v>10</v>
      </c>
      <c r="I53" s="157">
        <f t="shared" si="7"/>
        <v>15625</v>
      </c>
      <c r="J53" s="294">
        <f>MIN(MAX($J$52,0),$J$51)</f>
        <v>10000</v>
      </c>
    </row>
    <row r="54" spans="1:12" x14ac:dyDescent="0.25">
      <c r="A54" s="62"/>
      <c r="D54" s="458"/>
      <c r="G54" s="129" t="s">
        <v>285</v>
      </c>
      <c r="H54" s="293">
        <f>MIN(MAX($H$52-H53,0),$H$51)</f>
        <v>6.5799999999999983</v>
      </c>
      <c r="I54" s="157">
        <f t="shared" si="7"/>
        <v>10281.25</v>
      </c>
      <c r="J54" s="165">
        <f>MIN(MAX($J$52-J53,0),$J$51)</f>
        <v>6580</v>
      </c>
    </row>
    <row r="55" spans="1:12" x14ac:dyDescent="0.25">
      <c r="A55" s="62"/>
      <c r="D55" s="458"/>
      <c r="G55" s="126" t="s">
        <v>286</v>
      </c>
      <c r="H55" s="293">
        <f>MIN(MAX($H$52-H53-H54,0),$H$51)</f>
        <v>0</v>
      </c>
      <c r="I55" s="157">
        <f t="shared" si="7"/>
        <v>0</v>
      </c>
      <c r="J55" s="294">
        <f>MIN(MAX($J$52-J53-J54,0),$J$51)</f>
        <v>0</v>
      </c>
    </row>
    <row r="56" spans="1:12" x14ac:dyDescent="0.25">
      <c r="A56" s="62"/>
      <c r="G56" s="126" t="s">
        <v>293</v>
      </c>
      <c r="H56" s="293">
        <f>MIN(MAX($H$52-H53-H54-H55,0),$H$51)</f>
        <v>0</v>
      </c>
      <c r="I56" s="157">
        <f t="shared" si="7"/>
        <v>0</v>
      </c>
      <c r="J56" s="294">
        <f>MIN(MAX($J$52-J53-J54-J55,0),$J$51)</f>
        <v>0</v>
      </c>
    </row>
    <row r="57" spans="1:12" ht="14.25" customHeight="1" x14ac:dyDescent="0.2">
      <c r="A57" s="1466"/>
      <c r="F57" s="84"/>
      <c r="G57" s="126" t="s">
        <v>344</v>
      </c>
      <c r="H57" s="293">
        <f>MIN(MAX($H$52-H53-H54-H55-H56,0),$H$51)</f>
        <v>0</v>
      </c>
      <c r="I57" s="157">
        <f t="shared" si="7"/>
        <v>0</v>
      </c>
      <c r="J57" s="294">
        <f>MIN(MAX($J$52-J53-J54-J55-J56,0),$J$51)</f>
        <v>0</v>
      </c>
      <c r="L57" s="189"/>
    </row>
    <row r="58" spans="1:12" ht="14.25" customHeight="1" x14ac:dyDescent="0.2">
      <c r="A58" s="1466"/>
      <c r="F58" s="84"/>
      <c r="G58" s="126" t="s">
        <v>451</v>
      </c>
      <c r="H58" s="293">
        <f>MIN(MAX($H$52-H53-H54-H55-H56-H57,0),$H$51)</f>
        <v>0</v>
      </c>
      <c r="I58" s="157">
        <f t="shared" si="7"/>
        <v>0</v>
      </c>
      <c r="J58" s="294">
        <f>MIN(MAX($J$52-J53-J54-J55-J56-J57,0),$J$51)</f>
        <v>0</v>
      </c>
      <c r="L58" s="189"/>
    </row>
    <row r="59" spans="1:12" ht="14.25" customHeight="1" x14ac:dyDescent="0.2">
      <c r="A59" s="1466"/>
      <c r="F59" s="84"/>
    </row>
    <row r="60" spans="1:12" ht="14.25" customHeight="1" x14ac:dyDescent="0.2">
      <c r="A60" s="1466"/>
      <c r="F60" s="84"/>
    </row>
    <row r="61" spans="1:12" ht="14.25" customHeight="1" x14ac:dyDescent="0.2">
      <c r="A61" s="1466"/>
      <c r="F61" s="84"/>
    </row>
    <row r="62" spans="1:12" ht="14.25" customHeight="1" x14ac:dyDescent="0.2">
      <c r="A62" s="1467"/>
      <c r="B62" s="1636" t="str">
        <f>"لحم بخارى  1 / " &amp; COUNTIF($H$53:$H$58, "&gt;0")</f>
        <v>لحم بخارى  1 / 2</v>
      </c>
      <c r="C62" s="1637"/>
      <c r="D62" s="1637"/>
      <c r="E62" s="1637"/>
      <c r="F62" s="1637"/>
      <c r="G62" s="1637"/>
      <c r="H62" s="1637"/>
    </row>
    <row r="63" spans="1:12" ht="14.25" customHeight="1" x14ac:dyDescent="0.2">
      <c r="A63" s="1468"/>
      <c r="B63" s="1634" t="str">
        <f>"Beef Boukhary 1 / " &amp; COUNTIF($H$53:$H$58, "&gt;0")</f>
        <v>Beef Boukhary 1 / 2</v>
      </c>
      <c r="C63" s="1635"/>
      <c r="D63" s="1635"/>
      <c r="E63" s="1635"/>
      <c r="F63" s="1635"/>
      <c r="G63" s="1635"/>
      <c r="H63" s="1635"/>
    </row>
    <row r="64" spans="1:12" ht="56.25" customHeight="1" x14ac:dyDescent="0.2">
      <c r="A64" s="1457"/>
      <c r="B64" s="75" t="s">
        <v>241</v>
      </c>
      <c r="C64" s="284" t="s">
        <v>317</v>
      </c>
      <c r="D64" s="75" t="s">
        <v>318</v>
      </c>
      <c r="E64" s="91" t="s">
        <v>319</v>
      </c>
      <c r="F64" s="91" t="s">
        <v>320</v>
      </c>
      <c r="G64" s="285" t="s">
        <v>321</v>
      </c>
      <c r="H64" s="92" t="s">
        <v>322</v>
      </c>
    </row>
    <row r="65" spans="1:8" ht="14.25" customHeight="1" x14ac:dyDescent="0.2">
      <c r="A65" s="1459"/>
      <c r="B65" s="299" t="str">
        <f t="shared" ref="B65:D73" si="8">B5</f>
        <v>Indian Meat Alana  - لحم هندى ألانا</v>
      </c>
      <c r="C65" s="299" t="str">
        <f t="shared" si="8"/>
        <v>gm</v>
      </c>
      <c r="D65" s="300">
        <f t="shared" si="8"/>
        <v>1562.5</v>
      </c>
      <c r="E65" s="177">
        <f t="shared" ref="E65:E73" si="9">$H$53</f>
        <v>10</v>
      </c>
      <c r="F65" s="109">
        <f t="shared" ref="F65:F73" si="10">F5</f>
        <v>1</v>
      </c>
      <c r="G65" s="101">
        <f t="shared" ref="G65:G73" si="11">D65*E65</f>
        <v>15625</v>
      </c>
      <c r="H65" s="102">
        <f t="shared" ref="H65:H73" si="12">G65*F65</f>
        <v>15625</v>
      </c>
    </row>
    <row r="66" spans="1:8" ht="14.25" customHeight="1" x14ac:dyDescent="0.25">
      <c r="A66" s="1455"/>
      <c r="B66" s="299" t="str">
        <f t="shared" si="8"/>
        <v>Cumin Powder - كمون مطحون</v>
      </c>
      <c r="C66" s="299" t="str">
        <f t="shared" si="8"/>
        <v>gm</v>
      </c>
      <c r="D66" s="299">
        <f t="shared" si="8"/>
        <v>18</v>
      </c>
      <c r="E66" s="177">
        <f t="shared" si="9"/>
        <v>10</v>
      </c>
      <c r="F66" s="109">
        <f t="shared" si="10"/>
        <v>0.7</v>
      </c>
      <c r="G66" s="65">
        <f t="shared" si="11"/>
        <v>180</v>
      </c>
      <c r="H66" s="102">
        <f t="shared" si="12"/>
        <v>125.99999999999999</v>
      </c>
    </row>
    <row r="67" spans="1:8" ht="18" customHeight="1" x14ac:dyDescent="0.25">
      <c r="A67" s="1455"/>
      <c r="B67" s="299" t="str">
        <f t="shared" si="8"/>
        <v>Water - ماء</v>
      </c>
      <c r="C67" s="299" t="str">
        <f t="shared" si="8"/>
        <v>ml</v>
      </c>
      <c r="D67" s="299">
        <f t="shared" si="8"/>
        <v>720</v>
      </c>
      <c r="E67" s="177">
        <f t="shared" si="9"/>
        <v>10</v>
      </c>
      <c r="F67" s="109">
        <f t="shared" si="10"/>
        <v>1</v>
      </c>
      <c r="G67" s="65">
        <f t="shared" si="11"/>
        <v>7200</v>
      </c>
      <c r="H67" s="102">
        <f t="shared" si="12"/>
        <v>7200</v>
      </c>
    </row>
    <row r="68" spans="1:8" ht="18" customHeight="1" x14ac:dyDescent="0.25">
      <c r="A68" s="1455"/>
      <c r="B68" s="299" t="str">
        <f t="shared" si="8"/>
        <v>Cardamom Whole - هيل حب</v>
      </c>
      <c r="C68" s="299" t="str">
        <f t="shared" si="8"/>
        <v>gm</v>
      </c>
      <c r="D68" s="299">
        <f t="shared" si="8"/>
        <v>12</v>
      </c>
      <c r="E68" s="177">
        <f t="shared" si="9"/>
        <v>10</v>
      </c>
      <c r="F68" s="109">
        <f t="shared" si="10"/>
        <v>0.25</v>
      </c>
      <c r="G68" s="65">
        <f t="shared" si="11"/>
        <v>120</v>
      </c>
      <c r="H68" s="102">
        <f t="shared" si="12"/>
        <v>30</v>
      </c>
    </row>
    <row r="69" spans="1:8" x14ac:dyDescent="0.25">
      <c r="A69" s="1455"/>
      <c r="B69" s="299" t="str">
        <f t="shared" si="8"/>
        <v>Tomato Paste - صلصة طماطم</v>
      </c>
      <c r="C69" s="299" t="str">
        <f t="shared" si="8"/>
        <v>gm</v>
      </c>
      <c r="D69" s="299">
        <f t="shared" si="8"/>
        <v>60</v>
      </c>
      <c r="E69" s="177">
        <f t="shared" si="9"/>
        <v>10</v>
      </c>
      <c r="F69" s="109">
        <f t="shared" si="10"/>
        <v>0.75</v>
      </c>
      <c r="G69" s="65">
        <f t="shared" si="11"/>
        <v>600</v>
      </c>
      <c r="H69" s="102">
        <f t="shared" si="12"/>
        <v>450</v>
      </c>
    </row>
    <row r="70" spans="1:8" ht="14.25" customHeight="1" x14ac:dyDescent="0.25">
      <c r="A70" s="1455" t="s">
        <v>919</v>
      </c>
      <c r="B70" s="299" t="str">
        <f t="shared" si="8"/>
        <v>Green Bell Pepper - فلفل أخضر رومى</v>
      </c>
      <c r="C70" s="299" t="str">
        <f t="shared" si="8"/>
        <v>gm</v>
      </c>
      <c r="D70" s="299">
        <f t="shared" si="8"/>
        <v>20.399999999999999</v>
      </c>
      <c r="E70" s="177">
        <f t="shared" si="9"/>
        <v>10</v>
      </c>
      <c r="F70" s="109">
        <f t="shared" si="10"/>
        <v>0.75</v>
      </c>
      <c r="G70" s="65">
        <f t="shared" si="11"/>
        <v>204</v>
      </c>
      <c r="H70" s="102">
        <f t="shared" si="12"/>
        <v>153</v>
      </c>
    </row>
    <row r="71" spans="1:8" ht="14.25" customHeight="1" x14ac:dyDescent="0.25">
      <c r="A71" s="1455"/>
      <c r="B71" s="299" t="str">
        <f t="shared" si="8"/>
        <v>Kabsa Spices Powder - توابل كبسة بودر</v>
      </c>
      <c r="C71" s="299" t="str">
        <f t="shared" si="8"/>
        <v>gm</v>
      </c>
      <c r="D71" s="299">
        <f t="shared" si="8"/>
        <v>24</v>
      </c>
      <c r="E71" s="177">
        <f t="shared" si="9"/>
        <v>10</v>
      </c>
      <c r="F71" s="109">
        <f t="shared" si="10"/>
        <v>0.5</v>
      </c>
      <c r="G71" s="65">
        <f t="shared" si="11"/>
        <v>240</v>
      </c>
      <c r="H71" s="102">
        <f t="shared" si="12"/>
        <v>120</v>
      </c>
    </row>
    <row r="72" spans="1:8" ht="14.25" customHeight="1" x14ac:dyDescent="0.25">
      <c r="A72" s="1455"/>
      <c r="B72" s="299" t="str">
        <f t="shared" si="8"/>
        <v>Coriander Powder - كزبرة مطحونة</v>
      </c>
      <c r="C72" s="299" t="str">
        <f t="shared" si="8"/>
        <v>gm</v>
      </c>
      <c r="D72" s="299">
        <f t="shared" si="8"/>
        <v>18</v>
      </c>
      <c r="E72" s="177">
        <f t="shared" si="9"/>
        <v>10</v>
      </c>
      <c r="F72" s="109">
        <f t="shared" si="10"/>
        <v>0.7</v>
      </c>
      <c r="G72" s="65">
        <f t="shared" si="11"/>
        <v>180</v>
      </c>
      <c r="H72" s="102">
        <f t="shared" si="12"/>
        <v>125.99999999999999</v>
      </c>
    </row>
    <row r="73" spans="1:8" ht="14.25" customHeight="1" x14ac:dyDescent="0.25">
      <c r="A73" s="1455"/>
      <c r="B73" s="299" t="str">
        <f t="shared" si="8"/>
        <v>Salt - ملح</v>
      </c>
      <c r="C73" s="299" t="str">
        <f t="shared" si="8"/>
        <v>gm</v>
      </c>
      <c r="D73" s="299">
        <f t="shared" si="8"/>
        <v>18</v>
      </c>
      <c r="E73" s="177">
        <f t="shared" si="9"/>
        <v>10</v>
      </c>
      <c r="F73" s="109">
        <f t="shared" si="10"/>
        <v>0.75</v>
      </c>
      <c r="G73" s="65">
        <f t="shared" si="11"/>
        <v>180</v>
      </c>
      <c r="H73" s="102">
        <f t="shared" si="12"/>
        <v>135</v>
      </c>
    </row>
    <row r="74" spans="1:8" ht="14.25" customHeight="1" x14ac:dyDescent="0.25">
      <c r="A74" s="1458"/>
      <c r="B74" s="178" t="s">
        <v>287</v>
      </c>
      <c r="C74" s="180" t="s">
        <v>273</v>
      </c>
      <c r="D74" s="14"/>
      <c r="E74" s="180" t="s">
        <v>288</v>
      </c>
      <c r="F74" s="14"/>
      <c r="G74" s="804" t="s">
        <v>264</v>
      </c>
      <c r="H74" s="804" t="s">
        <v>673</v>
      </c>
    </row>
    <row r="75" spans="1:8" ht="21" customHeight="1" x14ac:dyDescent="0.3">
      <c r="A75" s="1458"/>
      <c r="B75" s="179">
        <f>$J$53</f>
        <v>10000</v>
      </c>
      <c r="C75" s="179">
        <f>E75+G75</f>
        <v>0</v>
      </c>
      <c r="D75" s="839"/>
      <c r="E75" s="179">
        <f>$C$53*$S$44</f>
        <v>0</v>
      </c>
      <c r="F75" s="843"/>
      <c r="G75" s="179">
        <f>$C$53*$T$44</f>
        <v>0</v>
      </c>
      <c r="H75" s="179">
        <f>B75+E75</f>
        <v>10000</v>
      </c>
    </row>
    <row r="76" spans="1:8" ht="14.25" customHeight="1" x14ac:dyDescent="0.25">
      <c r="A76" s="62"/>
      <c r="B76" s="84"/>
      <c r="E76" s="84"/>
      <c r="F76" s="84"/>
    </row>
    <row r="77" spans="1:8" ht="14.25" customHeight="1" x14ac:dyDescent="0.25">
      <c r="A77" s="1456"/>
      <c r="B77" s="1636" t="str">
        <f>"لحم بخاري  2 / " &amp; COUNTIF($H$53:$H$58, "&gt;0")</f>
        <v>لحم بخاري  2 / 2</v>
      </c>
      <c r="C77" s="1637"/>
      <c r="D77" s="1637"/>
      <c r="E77" s="1637"/>
      <c r="F77" s="1637"/>
      <c r="G77" s="1637"/>
      <c r="H77" s="1637"/>
    </row>
    <row r="78" spans="1:8" ht="14.25" customHeight="1" x14ac:dyDescent="0.25">
      <c r="A78" s="1456"/>
      <c r="B78" s="1634" t="str">
        <f>"Beef Boukhary 2 / " &amp; COUNTIF($H$53:$H$58, "&gt;0")</f>
        <v>Beef Boukhary 2 / 2</v>
      </c>
      <c r="C78" s="1635"/>
      <c r="D78" s="1635"/>
      <c r="E78" s="1635"/>
      <c r="F78" s="1635"/>
      <c r="G78" s="1635"/>
      <c r="H78" s="1635"/>
    </row>
    <row r="79" spans="1:8" ht="50.25" customHeight="1" x14ac:dyDescent="0.2">
      <c r="A79" s="1457"/>
      <c r="B79" s="75" t="s">
        <v>241</v>
      </c>
      <c r="C79" s="284" t="s">
        <v>317</v>
      </c>
      <c r="D79" s="75" t="s">
        <v>318</v>
      </c>
      <c r="E79" s="91" t="s">
        <v>319</v>
      </c>
      <c r="F79" s="91" t="s">
        <v>320</v>
      </c>
      <c r="G79" s="285" t="s">
        <v>321</v>
      </c>
      <c r="H79" s="92" t="s">
        <v>322</v>
      </c>
    </row>
    <row r="80" spans="1:8" ht="19.5" customHeight="1" x14ac:dyDescent="0.2">
      <c r="A80" s="1459"/>
      <c r="B80" s="299" t="str">
        <f t="shared" ref="B80:D88" si="13">B5</f>
        <v>Indian Meat Alana  - لحم هندى ألانا</v>
      </c>
      <c r="C80" s="299" t="str">
        <f t="shared" si="13"/>
        <v>gm</v>
      </c>
      <c r="D80" s="101">
        <f t="shared" si="13"/>
        <v>1562.5</v>
      </c>
      <c r="E80" s="177">
        <f t="shared" ref="E80:E88" si="14">$H$54</f>
        <v>6.5799999999999983</v>
      </c>
      <c r="F80" s="109">
        <f t="shared" ref="F80:F88" si="15">F5</f>
        <v>1</v>
      </c>
      <c r="G80" s="101">
        <f t="shared" ref="G80:G88" si="16">D80*E80</f>
        <v>10281.249999999998</v>
      </c>
      <c r="H80" s="102">
        <f t="shared" ref="H80:H88" si="17">G80*F80</f>
        <v>10281.249999999998</v>
      </c>
    </row>
    <row r="81" spans="1:8" ht="14.25" customHeight="1" x14ac:dyDescent="0.25">
      <c r="A81" s="1455"/>
      <c r="B81" s="299" t="str">
        <f t="shared" si="13"/>
        <v>Cumin Powder - كمون مطحون</v>
      </c>
      <c r="C81" s="299" t="str">
        <f t="shared" si="13"/>
        <v>gm</v>
      </c>
      <c r="D81" s="299">
        <f t="shared" si="13"/>
        <v>18</v>
      </c>
      <c r="E81" s="177">
        <f t="shared" si="14"/>
        <v>6.5799999999999983</v>
      </c>
      <c r="F81" s="109">
        <f t="shared" si="15"/>
        <v>0.7</v>
      </c>
      <c r="G81" s="101">
        <f t="shared" si="16"/>
        <v>118.43999999999997</v>
      </c>
      <c r="H81" s="102">
        <f t="shared" si="17"/>
        <v>82.907999999999973</v>
      </c>
    </row>
    <row r="82" spans="1:8" ht="18" customHeight="1" x14ac:dyDescent="0.25">
      <c r="A82" s="1455"/>
      <c r="B82" s="299" t="str">
        <f t="shared" si="13"/>
        <v>Water - ماء</v>
      </c>
      <c r="C82" s="299" t="str">
        <f t="shared" si="13"/>
        <v>ml</v>
      </c>
      <c r="D82" s="299">
        <f t="shared" si="13"/>
        <v>720</v>
      </c>
      <c r="E82" s="177">
        <f t="shared" si="14"/>
        <v>6.5799999999999983</v>
      </c>
      <c r="F82" s="109">
        <f t="shared" si="15"/>
        <v>1</v>
      </c>
      <c r="G82" s="101">
        <f t="shared" si="16"/>
        <v>4737.5999999999985</v>
      </c>
      <c r="H82" s="102">
        <f t="shared" si="17"/>
        <v>4737.5999999999985</v>
      </c>
    </row>
    <row r="83" spans="1:8" ht="18" customHeight="1" x14ac:dyDescent="0.25">
      <c r="A83" s="1455"/>
      <c r="B83" s="299" t="str">
        <f t="shared" si="13"/>
        <v>Cardamom Whole - هيل حب</v>
      </c>
      <c r="C83" s="299" t="str">
        <f t="shared" si="13"/>
        <v>gm</v>
      </c>
      <c r="D83" s="299">
        <f t="shared" si="13"/>
        <v>12</v>
      </c>
      <c r="E83" s="177">
        <f t="shared" si="14"/>
        <v>6.5799999999999983</v>
      </c>
      <c r="F83" s="109">
        <f t="shared" si="15"/>
        <v>0.25</v>
      </c>
      <c r="G83" s="101">
        <f t="shared" si="16"/>
        <v>78.95999999999998</v>
      </c>
      <c r="H83" s="102">
        <f t="shared" si="17"/>
        <v>19.739999999999995</v>
      </c>
    </row>
    <row r="84" spans="1:8" x14ac:dyDescent="0.25">
      <c r="A84" s="1455"/>
      <c r="B84" s="299" t="str">
        <f t="shared" si="13"/>
        <v>Tomato Paste - صلصة طماطم</v>
      </c>
      <c r="C84" s="299" t="str">
        <f t="shared" si="13"/>
        <v>gm</v>
      </c>
      <c r="D84" s="299">
        <f t="shared" si="13"/>
        <v>60</v>
      </c>
      <c r="E84" s="177">
        <f t="shared" si="14"/>
        <v>6.5799999999999983</v>
      </c>
      <c r="F84" s="109">
        <f t="shared" si="15"/>
        <v>0.75</v>
      </c>
      <c r="G84" s="101">
        <f t="shared" si="16"/>
        <v>394.7999999999999</v>
      </c>
      <c r="H84" s="102">
        <f t="shared" si="17"/>
        <v>296.09999999999991</v>
      </c>
    </row>
    <row r="85" spans="1:8" ht="14.25" customHeight="1" x14ac:dyDescent="0.25">
      <c r="A85" s="1455" t="s">
        <v>919</v>
      </c>
      <c r="B85" s="299" t="str">
        <f t="shared" si="13"/>
        <v>Green Bell Pepper - فلفل أخضر رومى</v>
      </c>
      <c r="C85" s="299" t="str">
        <f t="shared" si="13"/>
        <v>gm</v>
      </c>
      <c r="D85" s="299">
        <f t="shared" si="13"/>
        <v>20.399999999999999</v>
      </c>
      <c r="E85" s="177">
        <f t="shared" si="14"/>
        <v>6.5799999999999983</v>
      </c>
      <c r="F85" s="109">
        <f t="shared" si="15"/>
        <v>0.75</v>
      </c>
      <c r="G85" s="101">
        <f t="shared" si="16"/>
        <v>134.23199999999994</v>
      </c>
      <c r="H85" s="102">
        <f t="shared" si="17"/>
        <v>100.67399999999995</v>
      </c>
    </row>
    <row r="86" spans="1:8" ht="14.25" customHeight="1" x14ac:dyDescent="0.25">
      <c r="A86" s="1455"/>
      <c r="B86" s="299" t="str">
        <f t="shared" si="13"/>
        <v>Kabsa Spices Powder - توابل كبسة بودر</v>
      </c>
      <c r="C86" s="299" t="str">
        <f t="shared" si="13"/>
        <v>gm</v>
      </c>
      <c r="D86" s="299">
        <f t="shared" si="13"/>
        <v>24</v>
      </c>
      <c r="E86" s="177">
        <f t="shared" si="14"/>
        <v>6.5799999999999983</v>
      </c>
      <c r="F86" s="109">
        <f t="shared" si="15"/>
        <v>0.5</v>
      </c>
      <c r="G86" s="101">
        <f t="shared" si="16"/>
        <v>157.91999999999996</v>
      </c>
      <c r="H86" s="102">
        <f t="shared" si="17"/>
        <v>78.95999999999998</v>
      </c>
    </row>
    <row r="87" spans="1:8" ht="14.25" customHeight="1" x14ac:dyDescent="0.25">
      <c r="A87" s="1455"/>
      <c r="B87" s="299" t="str">
        <f t="shared" si="13"/>
        <v>Coriander Powder - كزبرة مطحونة</v>
      </c>
      <c r="C87" s="299" t="str">
        <f t="shared" si="13"/>
        <v>gm</v>
      </c>
      <c r="D87" s="299">
        <f t="shared" si="13"/>
        <v>18</v>
      </c>
      <c r="E87" s="177">
        <f t="shared" si="14"/>
        <v>6.5799999999999983</v>
      </c>
      <c r="F87" s="109">
        <f t="shared" si="15"/>
        <v>0.7</v>
      </c>
      <c r="G87" s="101">
        <f t="shared" si="16"/>
        <v>118.43999999999997</v>
      </c>
      <c r="H87" s="102">
        <f t="shared" si="17"/>
        <v>82.907999999999973</v>
      </c>
    </row>
    <row r="88" spans="1:8" ht="14.25" customHeight="1" x14ac:dyDescent="0.25">
      <c r="A88" s="1455"/>
      <c r="B88" s="299" t="str">
        <f t="shared" si="13"/>
        <v>Salt - ملح</v>
      </c>
      <c r="C88" s="299" t="str">
        <f t="shared" si="13"/>
        <v>gm</v>
      </c>
      <c r="D88" s="299">
        <f t="shared" si="13"/>
        <v>18</v>
      </c>
      <c r="E88" s="177">
        <f t="shared" si="14"/>
        <v>6.5799999999999983</v>
      </c>
      <c r="F88" s="109">
        <f t="shared" si="15"/>
        <v>0.75</v>
      </c>
      <c r="G88" s="101">
        <f t="shared" si="16"/>
        <v>118.43999999999997</v>
      </c>
      <c r="H88" s="102">
        <f t="shared" si="17"/>
        <v>88.829999999999984</v>
      </c>
    </row>
    <row r="89" spans="1:8" ht="14.25" customHeight="1" x14ac:dyDescent="0.25">
      <c r="A89" s="1458"/>
      <c r="B89" s="178" t="s">
        <v>287</v>
      </c>
      <c r="C89" s="180" t="s">
        <v>273</v>
      </c>
      <c r="D89" s="14"/>
      <c r="E89" s="180" t="s">
        <v>288</v>
      </c>
      <c r="F89" s="14"/>
      <c r="G89" s="804" t="s">
        <v>264</v>
      </c>
      <c r="H89" s="804" t="s">
        <v>673</v>
      </c>
    </row>
    <row r="90" spans="1:8" ht="24" customHeight="1" x14ac:dyDescent="0.3">
      <c r="A90" s="1458"/>
      <c r="B90" s="179">
        <f>$J$54</f>
        <v>6580</v>
      </c>
      <c r="C90" s="179">
        <f>E90+G90</f>
        <v>0</v>
      </c>
      <c r="D90" s="839"/>
      <c r="E90" s="179">
        <f>$D$54*$S$44</f>
        <v>0</v>
      </c>
      <c r="F90" s="843"/>
      <c r="G90" s="179">
        <f>$D$54*$T$44</f>
        <v>0</v>
      </c>
      <c r="H90" s="179">
        <f>B90+E90</f>
        <v>6580</v>
      </c>
    </row>
    <row r="91" spans="1:8" ht="14.25" customHeight="1" x14ac:dyDescent="0.25">
      <c r="A91" s="62"/>
      <c r="B91" s="84"/>
      <c r="E91" s="84"/>
      <c r="F91" s="84"/>
    </row>
    <row r="92" spans="1:8" ht="14.25" customHeight="1" x14ac:dyDescent="0.25">
      <c r="A92" s="62"/>
      <c r="B92" s="84"/>
      <c r="E92" s="84"/>
      <c r="F92" s="84"/>
    </row>
    <row r="93" spans="1:8" ht="14.25" customHeight="1" x14ac:dyDescent="0.25">
      <c r="A93" s="62"/>
      <c r="B93" s="84"/>
      <c r="E93" s="84"/>
      <c r="F93" s="84"/>
    </row>
    <row r="94" spans="1:8" ht="20.25" customHeight="1" x14ac:dyDescent="0.25">
      <c r="A94" s="1456"/>
      <c r="B94" s="1636" t="str">
        <f>"لحم بخاري  3 / " &amp; COUNTIF($H$53:$H$58, "&gt;0")</f>
        <v>لحم بخاري  3 / 2</v>
      </c>
      <c r="C94" s="1637"/>
      <c r="D94" s="1637"/>
      <c r="E94" s="1637"/>
      <c r="F94" s="1637"/>
      <c r="G94" s="1637"/>
      <c r="H94" s="1637"/>
    </row>
    <row r="95" spans="1:8" ht="22.5" customHeight="1" x14ac:dyDescent="0.25">
      <c r="A95" s="1456"/>
      <c r="B95" s="1634" t="str">
        <f>"Beef Boukhary  3 / " &amp; COUNTIF($H$53:$H$58, "&gt;0")</f>
        <v>Beef Boukhary  3 / 2</v>
      </c>
      <c r="C95" s="1635"/>
      <c r="D95" s="1635"/>
      <c r="E95" s="1635"/>
      <c r="F95" s="1635"/>
      <c r="G95" s="1635"/>
      <c r="H95" s="1635"/>
    </row>
    <row r="96" spans="1:8" ht="44.25" customHeight="1" x14ac:dyDescent="0.2">
      <c r="A96" s="1457"/>
      <c r="B96" s="75" t="s">
        <v>241</v>
      </c>
      <c r="C96" s="90" t="s">
        <v>242</v>
      </c>
      <c r="D96" s="75" t="s">
        <v>231</v>
      </c>
      <c r="E96" s="197" t="s">
        <v>234</v>
      </c>
      <c r="F96" s="91" t="s">
        <v>330</v>
      </c>
      <c r="G96" s="75" t="s">
        <v>244</v>
      </c>
      <c r="H96" s="197" t="s">
        <v>245</v>
      </c>
    </row>
    <row r="97" spans="1:8" ht="14.25" customHeight="1" x14ac:dyDescent="0.2">
      <c r="A97" s="1459"/>
      <c r="B97" s="198" t="str">
        <f t="shared" ref="B97:D105" si="18">B5</f>
        <v>Indian Meat Alana  - لحم هندى ألانا</v>
      </c>
      <c r="C97" s="198" t="str">
        <f t="shared" si="18"/>
        <v>gm</v>
      </c>
      <c r="D97" s="101">
        <f t="shared" si="18"/>
        <v>1562.5</v>
      </c>
      <c r="E97" s="177">
        <f t="shared" ref="E97:E105" si="19">$H$55</f>
        <v>0</v>
      </c>
      <c r="F97" s="301">
        <f t="shared" ref="F97:F105" si="20">F5</f>
        <v>1</v>
      </c>
      <c r="G97" s="101">
        <f t="shared" ref="G97:G105" si="21">D97*E97</f>
        <v>0</v>
      </c>
      <c r="H97" s="102">
        <f t="shared" ref="H97:H105" si="22">G97*F97</f>
        <v>0</v>
      </c>
    </row>
    <row r="98" spans="1:8" ht="14.25" customHeight="1" x14ac:dyDescent="0.2">
      <c r="A98" s="1459"/>
      <c r="B98" s="198" t="str">
        <f t="shared" si="18"/>
        <v>Cumin Powder - كمون مطحون</v>
      </c>
      <c r="C98" s="198" t="str">
        <f t="shared" si="18"/>
        <v>gm</v>
      </c>
      <c r="D98" s="198">
        <f t="shared" si="18"/>
        <v>18</v>
      </c>
      <c r="E98" s="177">
        <f t="shared" si="19"/>
        <v>0</v>
      </c>
      <c r="F98" s="301">
        <f t="shared" si="20"/>
        <v>0.7</v>
      </c>
      <c r="G98" s="101">
        <f t="shared" si="21"/>
        <v>0</v>
      </c>
      <c r="H98" s="102">
        <f t="shared" si="22"/>
        <v>0</v>
      </c>
    </row>
    <row r="99" spans="1:8" ht="16.5" customHeight="1" x14ac:dyDescent="0.2">
      <c r="A99" s="1459"/>
      <c r="B99" s="198" t="str">
        <f t="shared" si="18"/>
        <v>Water - ماء</v>
      </c>
      <c r="C99" s="198" t="str">
        <f t="shared" si="18"/>
        <v>ml</v>
      </c>
      <c r="D99" s="198">
        <f t="shared" si="18"/>
        <v>720</v>
      </c>
      <c r="E99" s="177">
        <f t="shared" si="19"/>
        <v>0</v>
      </c>
      <c r="F99" s="301">
        <f t="shared" si="20"/>
        <v>1</v>
      </c>
      <c r="G99" s="101">
        <f t="shared" si="21"/>
        <v>0</v>
      </c>
      <c r="H99" s="102">
        <f t="shared" si="22"/>
        <v>0</v>
      </c>
    </row>
    <row r="100" spans="1:8" ht="18" customHeight="1" x14ac:dyDescent="0.2">
      <c r="A100" s="1459"/>
      <c r="B100" s="198" t="str">
        <f t="shared" si="18"/>
        <v>Cardamom Whole - هيل حب</v>
      </c>
      <c r="C100" s="198" t="str">
        <f t="shared" si="18"/>
        <v>gm</v>
      </c>
      <c r="D100" s="198">
        <f t="shared" si="18"/>
        <v>12</v>
      </c>
      <c r="E100" s="177">
        <f t="shared" si="19"/>
        <v>0</v>
      </c>
      <c r="F100" s="301">
        <f t="shared" si="20"/>
        <v>0.25</v>
      </c>
      <c r="G100" s="101">
        <f t="shared" si="21"/>
        <v>0</v>
      </c>
      <c r="H100" s="102">
        <f t="shared" si="22"/>
        <v>0</v>
      </c>
    </row>
    <row r="101" spans="1:8" ht="49.5" customHeight="1" x14ac:dyDescent="0.2">
      <c r="A101" s="1459"/>
      <c r="B101" s="198" t="str">
        <f t="shared" si="18"/>
        <v>Tomato Paste - صلصة طماطم</v>
      </c>
      <c r="C101" s="198" t="str">
        <f t="shared" si="18"/>
        <v>gm</v>
      </c>
      <c r="D101" s="198">
        <f t="shared" si="18"/>
        <v>60</v>
      </c>
      <c r="E101" s="177">
        <f t="shared" si="19"/>
        <v>0</v>
      </c>
      <c r="F101" s="301">
        <f t="shared" si="20"/>
        <v>0.75</v>
      </c>
      <c r="G101" s="101">
        <f t="shared" si="21"/>
        <v>0</v>
      </c>
      <c r="H101" s="102">
        <f t="shared" si="22"/>
        <v>0</v>
      </c>
    </row>
    <row r="102" spans="1:8" ht="14.25" customHeight="1" x14ac:dyDescent="0.2">
      <c r="A102" s="1459" t="s">
        <v>919</v>
      </c>
      <c r="B102" s="198" t="str">
        <f t="shared" si="18"/>
        <v>Green Bell Pepper - فلفل أخضر رومى</v>
      </c>
      <c r="C102" s="198" t="str">
        <f t="shared" si="18"/>
        <v>gm</v>
      </c>
      <c r="D102" s="198">
        <f t="shared" si="18"/>
        <v>20.399999999999999</v>
      </c>
      <c r="E102" s="177">
        <f t="shared" si="19"/>
        <v>0</v>
      </c>
      <c r="F102" s="301">
        <f t="shared" si="20"/>
        <v>0.75</v>
      </c>
      <c r="G102" s="101">
        <f t="shared" si="21"/>
        <v>0</v>
      </c>
      <c r="H102" s="102">
        <f t="shared" si="22"/>
        <v>0</v>
      </c>
    </row>
    <row r="103" spans="1:8" ht="14.25" customHeight="1" x14ac:dyDescent="0.2">
      <c r="A103" s="1459"/>
      <c r="B103" s="198" t="str">
        <f t="shared" si="18"/>
        <v>Kabsa Spices Powder - توابل كبسة بودر</v>
      </c>
      <c r="C103" s="198" t="str">
        <f t="shared" si="18"/>
        <v>gm</v>
      </c>
      <c r="D103" s="198">
        <f t="shared" si="18"/>
        <v>24</v>
      </c>
      <c r="E103" s="177">
        <f t="shared" si="19"/>
        <v>0</v>
      </c>
      <c r="F103" s="301">
        <f t="shared" si="20"/>
        <v>0.5</v>
      </c>
      <c r="G103" s="101">
        <f t="shared" si="21"/>
        <v>0</v>
      </c>
      <c r="H103" s="102">
        <f t="shared" si="22"/>
        <v>0</v>
      </c>
    </row>
    <row r="104" spans="1:8" ht="14.25" customHeight="1" x14ac:dyDescent="0.2">
      <c r="A104" s="1459"/>
      <c r="B104" s="198" t="str">
        <f t="shared" si="18"/>
        <v>Coriander Powder - كزبرة مطحونة</v>
      </c>
      <c r="C104" s="198" t="str">
        <f t="shared" si="18"/>
        <v>gm</v>
      </c>
      <c r="D104" s="198">
        <f t="shared" si="18"/>
        <v>18</v>
      </c>
      <c r="E104" s="177">
        <f t="shared" si="19"/>
        <v>0</v>
      </c>
      <c r="F104" s="301">
        <f t="shared" si="20"/>
        <v>0.7</v>
      </c>
      <c r="G104" s="101">
        <f t="shared" si="21"/>
        <v>0</v>
      </c>
      <c r="H104" s="102">
        <f t="shared" si="22"/>
        <v>0</v>
      </c>
    </row>
    <row r="105" spans="1:8" ht="14.25" customHeight="1" x14ac:dyDescent="0.2">
      <c r="A105" s="1459"/>
      <c r="B105" s="198" t="str">
        <f t="shared" si="18"/>
        <v>Salt - ملح</v>
      </c>
      <c r="C105" s="198" t="str">
        <f t="shared" si="18"/>
        <v>gm</v>
      </c>
      <c r="D105" s="198">
        <f t="shared" si="18"/>
        <v>18</v>
      </c>
      <c r="E105" s="177">
        <f t="shared" si="19"/>
        <v>0</v>
      </c>
      <c r="F105" s="301">
        <f t="shared" si="20"/>
        <v>0.75</v>
      </c>
      <c r="G105" s="101">
        <f t="shared" si="21"/>
        <v>0</v>
      </c>
      <c r="H105" s="102">
        <f t="shared" si="22"/>
        <v>0</v>
      </c>
    </row>
    <row r="106" spans="1:8" ht="14.25" customHeight="1" x14ac:dyDescent="0.25">
      <c r="A106" s="1458"/>
      <c r="B106" s="178" t="s">
        <v>287</v>
      </c>
      <c r="C106" s="180" t="s">
        <v>273</v>
      </c>
      <c r="D106" s="14"/>
      <c r="E106" s="180" t="s">
        <v>288</v>
      </c>
      <c r="F106" s="14"/>
      <c r="G106" s="804" t="s">
        <v>264</v>
      </c>
      <c r="H106" s="804" t="s">
        <v>673</v>
      </c>
    </row>
    <row r="107" spans="1:8" ht="26.25" customHeight="1" x14ac:dyDescent="0.3">
      <c r="A107" s="1458"/>
      <c r="B107" s="179">
        <f>$J$55</f>
        <v>0</v>
      </c>
      <c r="C107" s="179">
        <f>E107+G107</f>
        <v>0</v>
      </c>
      <c r="D107" s="839"/>
      <c r="E107" s="179">
        <f>$D$55*$S$44</f>
        <v>0</v>
      </c>
      <c r="F107" s="843"/>
      <c r="G107" s="179">
        <f>$D$55*$T$44</f>
        <v>0</v>
      </c>
      <c r="H107" s="179">
        <f>B107+E107</f>
        <v>0</v>
      </c>
    </row>
    <row r="108" spans="1:8" ht="14.25" customHeight="1" x14ac:dyDescent="0.25">
      <c r="A108" s="62"/>
    </row>
    <row r="109" spans="1:8" ht="14.25" customHeight="1" x14ac:dyDescent="0.25">
      <c r="A109" s="62"/>
    </row>
    <row r="110" spans="1:8" ht="14.25" customHeight="1" x14ac:dyDescent="0.25">
      <c r="A110" s="1456"/>
      <c r="B110" s="1636" t="str">
        <f>"لحم بخاري  4 / " &amp; COUNTIF($H$53:$H$58, "&gt;0")</f>
        <v>لحم بخاري  4 / 2</v>
      </c>
      <c r="C110" s="1637"/>
      <c r="D110" s="1637"/>
      <c r="E110" s="1637"/>
      <c r="F110" s="1637"/>
      <c r="G110" s="1637"/>
      <c r="H110" s="1637"/>
    </row>
    <row r="111" spans="1:8" ht="20.25" customHeight="1" x14ac:dyDescent="0.25">
      <c r="A111" s="1456"/>
      <c r="B111" s="1634" t="str">
        <f>"Beef Boukhary  4 / " &amp; COUNTIF($H$53:$H$58, "&gt;0")</f>
        <v>Beef Boukhary  4 / 2</v>
      </c>
      <c r="C111" s="1635"/>
      <c r="D111" s="1635"/>
      <c r="E111" s="1635"/>
      <c r="F111" s="1635"/>
      <c r="G111" s="1635"/>
      <c r="H111" s="1635"/>
    </row>
    <row r="112" spans="1:8" ht="49.5" customHeight="1" x14ac:dyDescent="0.2">
      <c r="A112" s="1457"/>
      <c r="B112" s="75" t="s">
        <v>241</v>
      </c>
      <c r="C112" s="90" t="s">
        <v>242</v>
      </c>
      <c r="D112" s="75" t="s">
        <v>231</v>
      </c>
      <c r="E112" s="197" t="s">
        <v>234</v>
      </c>
      <c r="F112" s="91" t="s">
        <v>330</v>
      </c>
      <c r="G112" s="75" t="s">
        <v>244</v>
      </c>
      <c r="H112" s="197" t="s">
        <v>245</v>
      </c>
    </row>
    <row r="113" spans="1:8" ht="14.25" x14ac:dyDescent="0.2">
      <c r="A113" s="1459"/>
      <c r="B113" s="198" t="str">
        <f t="shared" ref="B113:D121" si="23">B5</f>
        <v>Indian Meat Alana  - لحم هندى ألانا</v>
      </c>
      <c r="C113" s="198" t="str">
        <f t="shared" si="23"/>
        <v>gm</v>
      </c>
      <c r="D113" s="524">
        <f t="shared" si="23"/>
        <v>1562.5</v>
      </c>
      <c r="E113" s="177">
        <f t="shared" ref="E113:E121" si="24">$H$56</f>
        <v>0</v>
      </c>
      <c r="F113" s="301">
        <f t="shared" ref="F113:F121" si="25">F5</f>
        <v>1</v>
      </c>
      <c r="G113" s="101">
        <f t="shared" ref="G113:G121" si="26">D113*E113</f>
        <v>0</v>
      </c>
      <c r="H113" s="102">
        <f t="shared" ref="H113:H121" si="27">G113*F113</f>
        <v>0</v>
      </c>
    </row>
    <row r="114" spans="1:8" ht="14.25" x14ac:dyDescent="0.2">
      <c r="A114" s="1459"/>
      <c r="B114" s="198" t="str">
        <f t="shared" si="23"/>
        <v>Cumin Powder - كمون مطحون</v>
      </c>
      <c r="C114" s="198" t="str">
        <f t="shared" si="23"/>
        <v>gm</v>
      </c>
      <c r="D114" s="198">
        <f t="shared" si="23"/>
        <v>18</v>
      </c>
      <c r="E114" s="177">
        <f t="shared" si="24"/>
        <v>0</v>
      </c>
      <c r="F114" s="301">
        <f t="shared" si="25"/>
        <v>0.7</v>
      </c>
      <c r="G114" s="101">
        <f t="shared" si="26"/>
        <v>0</v>
      </c>
      <c r="H114" s="102">
        <f t="shared" si="27"/>
        <v>0</v>
      </c>
    </row>
    <row r="115" spans="1:8" ht="18" customHeight="1" x14ac:dyDescent="0.2">
      <c r="A115" s="1459"/>
      <c r="B115" s="198" t="str">
        <f t="shared" si="23"/>
        <v>Water - ماء</v>
      </c>
      <c r="C115" s="198" t="str">
        <f t="shared" si="23"/>
        <v>ml</v>
      </c>
      <c r="D115" s="198">
        <f t="shared" si="23"/>
        <v>720</v>
      </c>
      <c r="E115" s="177">
        <f t="shared" si="24"/>
        <v>0</v>
      </c>
      <c r="F115" s="301">
        <f t="shared" si="25"/>
        <v>1</v>
      </c>
      <c r="G115" s="101">
        <f t="shared" si="26"/>
        <v>0</v>
      </c>
      <c r="H115" s="102">
        <f t="shared" si="27"/>
        <v>0</v>
      </c>
    </row>
    <row r="116" spans="1:8" ht="18" customHeight="1" x14ac:dyDescent="0.2">
      <c r="A116" s="1459"/>
      <c r="B116" s="198" t="str">
        <f t="shared" si="23"/>
        <v>Cardamom Whole - هيل حب</v>
      </c>
      <c r="C116" s="198" t="str">
        <f t="shared" si="23"/>
        <v>gm</v>
      </c>
      <c r="D116" s="198">
        <f t="shared" si="23"/>
        <v>12</v>
      </c>
      <c r="E116" s="177">
        <f t="shared" si="24"/>
        <v>0</v>
      </c>
      <c r="F116" s="301">
        <f t="shared" si="25"/>
        <v>0.25</v>
      </c>
      <c r="G116" s="101">
        <f t="shared" si="26"/>
        <v>0</v>
      </c>
      <c r="H116" s="102">
        <f t="shared" si="27"/>
        <v>0</v>
      </c>
    </row>
    <row r="117" spans="1:8" ht="14.25" x14ac:dyDescent="0.2">
      <c r="A117" s="1459"/>
      <c r="B117" s="198" t="str">
        <f t="shared" si="23"/>
        <v>Tomato Paste - صلصة طماطم</v>
      </c>
      <c r="C117" s="198" t="str">
        <f t="shared" si="23"/>
        <v>gm</v>
      </c>
      <c r="D117" s="198">
        <f t="shared" si="23"/>
        <v>60</v>
      </c>
      <c r="E117" s="177">
        <f t="shared" si="24"/>
        <v>0</v>
      </c>
      <c r="F117" s="301">
        <f t="shared" si="25"/>
        <v>0.75</v>
      </c>
      <c r="G117" s="101">
        <f t="shared" si="26"/>
        <v>0</v>
      </c>
      <c r="H117" s="102">
        <f t="shared" si="27"/>
        <v>0</v>
      </c>
    </row>
    <row r="118" spans="1:8" ht="14.25" customHeight="1" x14ac:dyDescent="0.2">
      <c r="A118" s="1459" t="s">
        <v>919</v>
      </c>
      <c r="B118" s="198" t="str">
        <f t="shared" si="23"/>
        <v>Green Bell Pepper - فلفل أخضر رومى</v>
      </c>
      <c r="C118" s="198" t="str">
        <f t="shared" si="23"/>
        <v>gm</v>
      </c>
      <c r="D118" s="198">
        <f t="shared" si="23"/>
        <v>20.399999999999999</v>
      </c>
      <c r="E118" s="177">
        <f t="shared" si="24"/>
        <v>0</v>
      </c>
      <c r="F118" s="301">
        <f t="shared" si="25"/>
        <v>0.75</v>
      </c>
      <c r="G118" s="101">
        <f t="shared" si="26"/>
        <v>0</v>
      </c>
      <c r="H118" s="102">
        <f t="shared" si="27"/>
        <v>0</v>
      </c>
    </row>
    <row r="119" spans="1:8" ht="14.25" customHeight="1" x14ac:dyDescent="0.2">
      <c r="A119" s="1459"/>
      <c r="B119" s="198" t="str">
        <f t="shared" si="23"/>
        <v>Kabsa Spices Powder - توابل كبسة بودر</v>
      </c>
      <c r="C119" s="198" t="str">
        <f t="shared" si="23"/>
        <v>gm</v>
      </c>
      <c r="D119" s="198">
        <f t="shared" si="23"/>
        <v>24</v>
      </c>
      <c r="E119" s="177">
        <f t="shared" si="24"/>
        <v>0</v>
      </c>
      <c r="F119" s="301">
        <f t="shared" si="25"/>
        <v>0.5</v>
      </c>
      <c r="G119" s="101">
        <f t="shared" si="26"/>
        <v>0</v>
      </c>
      <c r="H119" s="102">
        <f t="shared" si="27"/>
        <v>0</v>
      </c>
    </row>
    <row r="120" spans="1:8" ht="14.25" customHeight="1" x14ac:dyDescent="0.2">
      <c r="A120" s="1459"/>
      <c r="B120" s="198" t="str">
        <f t="shared" si="23"/>
        <v>Coriander Powder - كزبرة مطحونة</v>
      </c>
      <c r="C120" s="198" t="str">
        <f t="shared" si="23"/>
        <v>gm</v>
      </c>
      <c r="D120" s="198">
        <f t="shared" si="23"/>
        <v>18</v>
      </c>
      <c r="E120" s="177">
        <f t="shared" si="24"/>
        <v>0</v>
      </c>
      <c r="F120" s="301">
        <f t="shared" si="25"/>
        <v>0.7</v>
      </c>
      <c r="G120" s="101">
        <f t="shared" si="26"/>
        <v>0</v>
      </c>
      <c r="H120" s="102">
        <f t="shared" si="27"/>
        <v>0</v>
      </c>
    </row>
    <row r="121" spans="1:8" ht="14.25" customHeight="1" x14ac:dyDescent="0.2">
      <c r="A121" s="1459"/>
      <c r="B121" s="198" t="str">
        <f t="shared" si="23"/>
        <v>Salt - ملح</v>
      </c>
      <c r="C121" s="198" t="str">
        <f t="shared" si="23"/>
        <v>gm</v>
      </c>
      <c r="D121" s="198">
        <f t="shared" si="23"/>
        <v>18</v>
      </c>
      <c r="E121" s="177">
        <f t="shared" si="24"/>
        <v>0</v>
      </c>
      <c r="F121" s="301">
        <f t="shared" si="25"/>
        <v>0.75</v>
      </c>
      <c r="G121" s="101">
        <f t="shared" si="26"/>
        <v>0</v>
      </c>
      <c r="H121" s="102">
        <f t="shared" si="27"/>
        <v>0</v>
      </c>
    </row>
    <row r="122" spans="1:8" ht="14.25" customHeight="1" x14ac:dyDescent="0.25">
      <c r="A122" s="1458"/>
      <c r="B122" s="178" t="s">
        <v>287</v>
      </c>
      <c r="C122" s="180" t="s">
        <v>273</v>
      </c>
      <c r="D122" s="14"/>
      <c r="E122" s="180" t="s">
        <v>288</v>
      </c>
      <c r="F122" s="14"/>
      <c r="G122" s="804" t="s">
        <v>264</v>
      </c>
      <c r="H122" s="804" t="s">
        <v>673</v>
      </c>
    </row>
    <row r="123" spans="1:8" ht="14.25" customHeight="1" x14ac:dyDescent="0.3">
      <c r="A123" s="1458"/>
      <c r="B123" s="179">
        <f>$J$56</f>
        <v>0</v>
      </c>
      <c r="C123" s="179">
        <f>E123+G123</f>
        <v>0</v>
      </c>
      <c r="D123" s="839"/>
      <c r="E123" s="179">
        <f>$D$56*$S$44</f>
        <v>0</v>
      </c>
      <c r="F123" s="843"/>
      <c r="G123" s="179">
        <f>$D$56*$T$44</f>
        <v>0</v>
      </c>
      <c r="H123" s="179">
        <f>B123+E123</f>
        <v>0</v>
      </c>
    </row>
    <row r="124" spans="1:8" ht="14.25" customHeight="1" x14ac:dyDescent="0.25">
      <c r="A124" s="62"/>
    </row>
    <row r="125" spans="1:8" ht="14.25" customHeight="1" x14ac:dyDescent="0.25">
      <c r="A125" s="62"/>
    </row>
    <row r="126" spans="1:8" ht="14.25" customHeight="1" x14ac:dyDescent="0.25">
      <c r="A126" s="1479"/>
      <c r="B126" s="1636" t="str">
        <f>"لحم بخاري  5 / " &amp; COUNTIF($H$53:$H$58, "&gt;0")</f>
        <v>لحم بخاري  5 / 2</v>
      </c>
      <c r="C126" s="1633"/>
      <c r="D126" s="1633"/>
      <c r="E126" s="1633"/>
      <c r="F126" s="1633"/>
      <c r="G126" s="1633"/>
      <c r="H126" s="1633"/>
    </row>
    <row r="127" spans="1:8" ht="20.25" customHeight="1" x14ac:dyDescent="0.25">
      <c r="A127" s="1479"/>
      <c r="B127" s="1634" t="str">
        <f>"Beef Boukhary  5 / " &amp; COUNTIF($H$53:$H$58, "&gt;0")</f>
        <v>Beef Boukhary  5 / 2</v>
      </c>
      <c r="C127" s="1639"/>
      <c r="D127" s="1639"/>
      <c r="E127" s="1639"/>
      <c r="F127" s="1639"/>
      <c r="G127" s="1639"/>
      <c r="H127" s="1639"/>
    </row>
    <row r="128" spans="1:8" ht="45.75" customHeight="1" x14ac:dyDescent="0.2">
      <c r="A128" s="1457"/>
      <c r="B128" s="75" t="s">
        <v>241</v>
      </c>
      <c r="C128" s="90" t="s">
        <v>242</v>
      </c>
      <c r="D128" s="75" t="s">
        <v>231</v>
      </c>
      <c r="E128" s="197" t="s">
        <v>234</v>
      </c>
      <c r="F128" s="91" t="s">
        <v>330</v>
      </c>
      <c r="G128" s="75" t="s">
        <v>244</v>
      </c>
      <c r="H128" s="197" t="s">
        <v>245</v>
      </c>
    </row>
    <row r="129" spans="1:8" ht="14.25" x14ac:dyDescent="0.2">
      <c r="A129" s="1459"/>
      <c r="B129" s="198" t="str">
        <f t="shared" ref="B129:D137" si="28">B5</f>
        <v>Indian Meat Alana  - لحم هندى ألانا</v>
      </c>
      <c r="C129" s="198" t="str">
        <f t="shared" si="28"/>
        <v>gm</v>
      </c>
      <c r="D129" s="198">
        <f t="shared" si="28"/>
        <v>1562.5</v>
      </c>
      <c r="E129" s="177">
        <f t="shared" ref="E129:E137" si="29">$H$57</f>
        <v>0</v>
      </c>
      <c r="F129" s="301">
        <f t="shared" ref="F129:F137" si="30">F5</f>
        <v>1</v>
      </c>
      <c r="G129" s="101">
        <f t="shared" ref="G129:G137" si="31">D129*E129</f>
        <v>0</v>
      </c>
      <c r="H129" s="102">
        <f t="shared" ref="H129:H137" si="32">G129*F129</f>
        <v>0</v>
      </c>
    </row>
    <row r="130" spans="1:8" ht="14.25" x14ac:dyDescent="0.2">
      <c r="A130" s="1459"/>
      <c r="B130" s="198" t="str">
        <f t="shared" si="28"/>
        <v>Cumin Powder - كمون مطحون</v>
      </c>
      <c r="C130" s="198" t="str">
        <f t="shared" si="28"/>
        <v>gm</v>
      </c>
      <c r="D130" s="198">
        <f t="shared" si="28"/>
        <v>18</v>
      </c>
      <c r="E130" s="177">
        <f t="shared" si="29"/>
        <v>0</v>
      </c>
      <c r="F130" s="301">
        <f t="shared" si="30"/>
        <v>0.7</v>
      </c>
      <c r="G130" s="101">
        <f t="shared" si="31"/>
        <v>0</v>
      </c>
      <c r="H130" s="102">
        <f t="shared" si="32"/>
        <v>0</v>
      </c>
    </row>
    <row r="131" spans="1:8" ht="18" customHeight="1" x14ac:dyDescent="0.2">
      <c r="A131" s="1459"/>
      <c r="B131" s="198" t="str">
        <f t="shared" si="28"/>
        <v>Water - ماء</v>
      </c>
      <c r="C131" s="198" t="str">
        <f t="shared" si="28"/>
        <v>ml</v>
      </c>
      <c r="D131" s="198">
        <f t="shared" si="28"/>
        <v>720</v>
      </c>
      <c r="E131" s="177">
        <f t="shared" si="29"/>
        <v>0</v>
      </c>
      <c r="F131" s="301">
        <f t="shared" si="30"/>
        <v>1</v>
      </c>
      <c r="G131" s="101">
        <f t="shared" si="31"/>
        <v>0</v>
      </c>
      <c r="H131" s="102">
        <f t="shared" si="32"/>
        <v>0</v>
      </c>
    </row>
    <row r="132" spans="1:8" ht="18" customHeight="1" x14ac:dyDescent="0.2">
      <c r="A132" s="1459"/>
      <c r="B132" s="198" t="str">
        <f t="shared" si="28"/>
        <v>Cardamom Whole - هيل حب</v>
      </c>
      <c r="C132" s="198" t="str">
        <f t="shared" si="28"/>
        <v>gm</v>
      </c>
      <c r="D132" s="198">
        <f t="shared" si="28"/>
        <v>12</v>
      </c>
      <c r="E132" s="177">
        <f t="shared" si="29"/>
        <v>0</v>
      </c>
      <c r="F132" s="301">
        <f t="shared" si="30"/>
        <v>0.25</v>
      </c>
      <c r="G132" s="101">
        <f t="shared" si="31"/>
        <v>0</v>
      </c>
      <c r="H132" s="102">
        <f t="shared" si="32"/>
        <v>0</v>
      </c>
    </row>
    <row r="133" spans="1:8" ht="14.25" x14ac:dyDescent="0.2">
      <c r="A133" s="1459"/>
      <c r="B133" s="198" t="str">
        <f t="shared" si="28"/>
        <v>Tomato Paste - صلصة طماطم</v>
      </c>
      <c r="C133" s="198" t="str">
        <f t="shared" si="28"/>
        <v>gm</v>
      </c>
      <c r="D133" s="198">
        <f t="shared" si="28"/>
        <v>60</v>
      </c>
      <c r="E133" s="177">
        <f t="shared" si="29"/>
        <v>0</v>
      </c>
      <c r="F133" s="301">
        <f t="shared" si="30"/>
        <v>0.75</v>
      </c>
      <c r="G133" s="101">
        <f t="shared" si="31"/>
        <v>0</v>
      </c>
      <c r="H133" s="102">
        <f t="shared" si="32"/>
        <v>0</v>
      </c>
    </row>
    <row r="134" spans="1:8" ht="14.25" customHeight="1" x14ac:dyDescent="0.2">
      <c r="A134" s="1459" t="s">
        <v>919</v>
      </c>
      <c r="B134" s="198" t="str">
        <f t="shared" si="28"/>
        <v>Green Bell Pepper - فلفل أخضر رومى</v>
      </c>
      <c r="C134" s="198" t="str">
        <f t="shared" si="28"/>
        <v>gm</v>
      </c>
      <c r="D134" s="198">
        <f t="shared" si="28"/>
        <v>20.399999999999999</v>
      </c>
      <c r="E134" s="177">
        <f t="shared" si="29"/>
        <v>0</v>
      </c>
      <c r="F134" s="301">
        <f t="shared" si="30"/>
        <v>0.75</v>
      </c>
      <c r="G134" s="101">
        <f t="shared" si="31"/>
        <v>0</v>
      </c>
      <c r="H134" s="102">
        <f t="shared" si="32"/>
        <v>0</v>
      </c>
    </row>
    <row r="135" spans="1:8" ht="14.25" customHeight="1" x14ac:dyDescent="0.2">
      <c r="A135" s="1459"/>
      <c r="B135" s="198" t="str">
        <f t="shared" si="28"/>
        <v>Kabsa Spices Powder - توابل كبسة بودر</v>
      </c>
      <c r="C135" s="198" t="str">
        <f t="shared" si="28"/>
        <v>gm</v>
      </c>
      <c r="D135" s="198">
        <f t="shared" si="28"/>
        <v>24</v>
      </c>
      <c r="E135" s="177">
        <f t="shared" si="29"/>
        <v>0</v>
      </c>
      <c r="F135" s="301">
        <f t="shared" si="30"/>
        <v>0.5</v>
      </c>
      <c r="G135" s="101">
        <f t="shared" si="31"/>
        <v>0</v>
      </c>
      <c r="H135" s="102">
        <f t="shared" si="32"/>
        <v>0</v>
      </c>
    </row>
    <row r="136" spans="1:8" ht="14.25" customHeight="1" x14ac:dyDescent="0.2">
      <c r="A136" s="1459"/>
      <c r="B136" s="198" t="str">
        <f t="shared" si="28"/>
        <v>Coriander Powder - كزبرة مطحونة</v>
      </c>
      <c r="C136" s="198" t="str">
        <f t="shared" si="28"/>
        <v>gm</v>
      </c>
      <c r="D136" s="198">
        <f t="shared" si="28"/>
        <v>18</v>
      </c>
      <c r="E136" s="177">
        <f t="shared" si="29"/>
        <v>0</v>
      </c>
      <c r="F136" s="301">
        <f t="shared" si="30"/>
        <v>0.7</v>
      </c>
      <c r="G136" s="101">
        <f t="shared" si="31"/>
        <v>0</v>
      </c>
      <c r="H136" s="102">
        <f t="shared" si="32"/>
        <v>0</v>
      </c>
    </row>
    <row r="137" spans="1:8" ht="14.25" customHeight="1" x14ac:dyDescent="0.2">
      <c r="A137" s="1459"/>
      <c r="B137" s="198" t="str">
        <f t="shared" si="28"/>
        <v>Salt - ملح</v>
      </c>
      <c r="C137" s="198" t="str">
        <f t="shared" si="28"/>
        <v>gm</v>
      </c>
      <c r="D137" s="198">
        <f t="shared" si="28"/>
        <v>18</v>
      </c>
      <c r="E137" s="177">
        <f t="shared" si="29"/>
        <v>0</v>
      </c>
      <c r="F137" s="301">
        <f t="shared" si="30"/>
        <v>0.75</v>
      </c>
      <c r="G137" s="101">
        <f t="shared" si="31"/>
        <v>0</v>
      </c>
      <c r="H137" s="102">
        <f t="shared" si="32"/>
        <v>0</v>
      </c>
    </row>
    <row r="138" spans="1:8" ht="14.25" customHeight="1" x14ac:dyDescent="0.25">
      <c r="A138" s="1458"/>
      <c r="B138" s="178" t="s">
        <v>287</v>
      </c>
      <c r="C138" s="180" t="s">
        <v>273</v>
      </c>
      <c r="D138" s="14"/>
      <c r="E138" s="180" t="s">
        <v>288</v>
      </c>
      <c r="F138" s="14"/>
      <c r="G138" s="804" t="s">
        <v>264</v>
      </c>
      <c r="H138" s="804" t="s">
        <v>673</v>
      </c>
    </row>
    <row r="139" spans="1:8" ht="14.25" customHeight="1" x14ac:dyDescent="0.3">
      <c r="A139" s="1458"/>
      <c r="B139" s="179">
        <f>$J$57</f>
        <v>0</v>
      </c>
      <c r="C139" s="179">
        <f>E139+G139</f>
        <v>0</v>
      </c>
      <c r="D139" s="839"/>
      <c r="E139" s="179">
        <f>$D$57*$S$44</f>
        <v>0</v>
      </c>
      <c r="F139" s="843"/>
      <c r="G139" s="179">
        <f>$D$57*$T$44</f>
        <v>0</v>
      </c>
      <c r="H139" s="179">
        <f>B139+E139</f>
        <v>0</v>
      </c>
    </row>
    <row r="140" spans="1:8" ht="14.25" customHeight="1" x14ac:dyDescent="0.25">
      <c r="A140" s="62"/>
      <c r="B140" s="839"/>
      <c r="C140" s="839"/>
      <c r="D140" s="839"/>
      <c r="E140" s="839"/>
      <c r="F140" s="839"/>
      <c r="G140" s="839"/>
      <c r="H140" s="839"/>
    </row>
    <row r="141" spans="1:8" ht="14.25" customHeight="1" x14ac:dyDescent="0.25">
      <c r="A141" s="62"/>
    </row>
    <row r="142" spans="1:8" ht="14.25" customHeight="1" x14ac:dyDescent="0.25">
      <c r="A142" s="1479"/>
      <c r="B142" s="1636" t="str">
        <f>"لحم بخاري  3 / " &amp; COUNTIF($H$53:$H$58, "&gt;0")</f>
        <v>لحم بخاري  3 / 2</v>
      </c>
      <c r="C142" s="1633"/>
      <c r="D142" s="1633"/>
      <c r="E142" s="1633"/>
      <c r="F142" s="1633"/>
      <c r="G142" s="1633"/>
      <c r="H142" s="1633"/>
    </row>
    <row r="143" spans="1:8" ht="20.25" customHeight="1" x14ac:dyDescent="0.25">
      <c r="A143" s="1479"/>
      <c r="B143" s="1634" t="str">
        <f>"Beef Boukhary  3 / " &amp; COUNTIF($H$53:$H$58, "&gt;0")</f>
        <v>Beef Boukhary  3 / 2</v>
      </c>
      <c r="C143" s="1639"/>
      <c r="D143" s="1639"/>
      <c r="E143" s="1639"/>
      <c r="F143" s="1639"/>
      <c r="G143" s="1639"/>
      <c r="H143" s="1639"/>
    </row>
    <row r="144" spans="1:8" ht="47.25" customHeight="1" x14ac:dyDescent="0.2">
      <c r="A144" s="1457"/>
      <c r="B144" s="75" t="s">
        <v>241</v>
      </c>
      <c r="C144" s="90" t="s">
        <v>242</v>
      </c>
      <c r="D144" s="75" t="s">
        <v>231</v>
      </c>
      <c r="E144" s="197" t="s">
        <v>234</v>
      </c>
      <c r="F144" s="91" t="s">
        <v>330</v>
      </c>
      <c r="G144" s="75" t="s">
        <v>244</v>
      </c>
      <c r="H144" s="197" t="s">
        <v>245</v>
      </c>
    </row>
    <row r="145" spans="1:8" ht="14.25" x14ac:dyDescent="0.2">
      <c r="A145" s="1459"/>
      <c r="B145" s="198" t="str">
        <f t="shared" ref="B145:D153" si="33">B5</f>
        <v>Indian Meat Alana  - لحم هندى ألانا</v>
      </c>
      <c r="C145" s="198" t="str">
        <f t="shared" si="33"/>
        <v>gm</v>
      </c>
      <c r="D145" s="525">
        <f t="shared" si="33"/>
        <v>1562.5</v>
      </c>
      <c r="E145" s="526">
        <f t="shared" ref="E145:E153" si="34">$H$58</f>
        <v>0</v>
      </c>
      <c r="F145" s="301">
        <f t="shared" ref="F145:F153" si="35">F5</f>
        <v>1</v>
      </c>
      <c r="G145" s="101">
        <f t="shared" ref="G145:G153" si="36">D145*E145</f>
        <v>0</v>
      </c>
      <c r="H145" s="102">
        <f t="shared" ref="H145:H153" si="37">G145*F145</f>
        <v>0</v>
      </c>
    </row>
    <row r="146" spans="1:8" ht="14.25" customHeight="1" x14ac:dyDescent="0.2">
      <c r="A146" s="1459"/>
      <c r="B146" s="198" t="str">
        <f t="shared" si="33"/>
        <v>Cumin Powder - كمون مطحون</v>
      </c>
      <c r="C146" s="198" t="str">
        <f t="shared" si="33"/>
        <v>gm</v>
      </c>
      <c r="D146" s="198">
        <f t="shared" si="33"/>
        <v>18</v>
      </c>
      <c r="E146" s="526">
        <f t="shared" si="34"/>
        <v>0</v>
      </c>
      <c r="F146" s="301">
        <f t="shared" si="35"/>
        <v>0.7</v>
      </c>
      <c r="G146" s="101">
        <f t="shared" si="36"/>
        <v>0</v>
      </c>
      <c r="H146" s="102">
        <f t="shared" si="37"/>
        <v>0</v>
      </c>
    </row>
    <row r="147" spans="1:8" ht="18" customHeight="1" x14ac:dyDescent="0.2">
      <c r="A147" s="1459"/>
      <c r="B147" s="198" t="str">
        <f t="shared" si="33"/>
        <v>Water - ماء</v>
      </c>
      <c r="C147" s="198" t="str">
        <f t="shared" si="33"/>
        <v>ml</v>
      </c>
      <c r="D147" s="198">
        <f t="shared" si="33"/>
        <v>720</v>
      </c>
      <c r="E147" s="526">
        <f t="shared" si="34"/>
        <v>0</v>
      </c>
      <c r="F147" s="301">
        <f t="shared" si="35"/>
        <v>1</v>
      </c>
      <c r="G147" s="101">
        <f t="shared" si="36"/>
        <v>0</v>
      </c>
      <c r="H147" s="102">
        <f t="shared" si="37"/>
        <v>0</v>
      </c>
    </row>
    <row r="148" spans="1:8" ht="18" customHeight="1" x14ac:dyDescent="0.2">
      <c r="A148" s="1459"/>
      <c r="B148" s="198" t="str">
        <f t="shared" si="33"/>
        <v>Cardamom Whole - هيل حب</v>
      </c>
      <c r="C148" s="198" t="str">
        <f t="shared" si="33"/>
        <v>gm</v>
      </c>
      <c r="D148" s="198">
        <f t="shared" si="33"/>
        <v>12</v>
      </c>
      <c r="E148" s="526">
        <f t="shared" si="34"/>
        <v>0</v>
      </c>
      <c r="F148" s="301">
        <f t="shared" si="35"/>
        <v>0.25</v>
      </c>
      <c r="G148" s="101">
        <f t="shared" si="36"/>
        <v>0</v>
      </c>
      <c r="H148" s="102">
        <f t="shared" si="37"/>
        <v>0</v>
      </c>
    </row>
    <row r="149" spans="1:8" ht="14.25" x14ac:dyDescent="0.2">
      <c r="A149" s="1459"/>
      <c r="B149" s="198" t="str">
        <f t="shared" si="33"/>
        <v>Tomato Paste - صلصة طماطم</v>
      </c>
      <c r="C149" s="198" t="str">
        <f t="shared" si="33"/>
        <v>gm</v>
      </c>
      <c r="D149" s="198">
        <f t="shared" si="33"/>
        <v>60</v>
      </c>
      <c r="E149" s="526">
        <f t="shared" si="34"/>
        <v>0</v>
      </c>
      <c r="F149" s="301">
        <f t="shared" si="35"/>
        <v>0.75</v>
      </c>
      <c r="G149" s="101">
        <f t="shared" si="36"/>
        <v>0</v>
      </c>
      <c r="H149" s="102">
        <f t="shared" si="37"/>
        <v>0</v>
      </c>
    </row>
    <row r="150" spans="1:8" ht="14.25" customHeight="1" x14ac:dyDescent="0.2">
      <c r="A150" s="1459" t="s">
        <v>919</v>
      </c>
      <c r="B150" s="198" t="str">
        <f t="shared" si="33"/>
        <v>Green Bell Pepper - فلفل أخضر رومى</v>
      </c>
      <c r="C150" s="198" t="str">
        <f t="shared" si="33"/>
        <v>gm</v>
      </c>
      <c r="D150" s="198">
        <f t="shared" si="33"/>
        <v>20.399999999999999</v>
      </c>
      <c r="E150" s="526">
        <f t="shared" si="34"/>
        <v>0</v>
      </c>
      <c r="F150" s="301">
        <f t="shared" si="35"/>
        <v>0.75</v>
      </c>
      <c r="G150" s="101">
        <f t="shared" si="36"/>
        <v>0</v>
      </c>
      <c r="H150" s="102">
        <f t="shared" si="37"/>
        <v>0</v>
      </c>
    </row>
    <row r="151" spans="1:8" ht="14.25" customHeight="1" x14ac:dyDescent="0.2">
      <c r="A151" s="1459"/>
      <c r="B151" s="198" t="str">
        <f t="shared" si="33"/>
        <v>Kabsa Spices Powder - توابل كبسة بودر</v>
      </c>
      <c r="C151" s="198" t="str">
        <f t="shared" si="33"/>
        <v>gm</v>
      </c>
      <c r="D151" s="198">
        <f t="shared" si="33"/>
        <v>24</v>
      </c>
      <c r="E151" s="526">
        <f t="shared" si="34"/>
        <v>0</v>
      </c>
      <c r="F151" s="301">
        <f t="shared" si="35"/>
        <v>0.5</v>
      </c>
      <c r="G151" s="101">
        <f t="shared" si="36"/>
        <v>0</v>
      </c>
      <c r="H151" s="102">
        <f t="shared" si="37"/>
        <v>0</v>
      </c>
    </row>
    <row r="152" spans="1:8" ht="14.25" customHeight="1" x14ac:dyDescent="0.2">
      <c r="A152" s="1459"/>
      <c r="B152" s="198" t="str">
        <f t="shared" si="33"/>
        <v>Coriander Powder - كزبرة مطحونة</v>
      </c>
      <c r="C152" s="198" t="str">
        <f t="shared" si="33"/>
        <v>gm</v>
      </c>
      <c r="D152" s="198">
        <f t="shared" si="33"/>
        <v>18</v>
      </c>
      <c r="E152" s="526">
        <f t="shared" si="34"/>
        <v>0</v>
      </c>
      <c r="F152" s="301">
        <f t="shared" si="35"/>
        <v>0.7</v>
      </c>
      <c r="G152" s="101">
        <f t="shared" si="36"/>
        <v>0</v>
      </c>
      <c r="H152" s="102">
        <f t="shared" si="37"/>
        <v>0</v>
      </c>
    </row>
    <row r="153" spans="1:8" ht="14.25" customHeight="1" x14ac:dyDescent="0.2">
      <c r="A153" s="1459"/>
      <c r="B153" s="198" t="str">
        <f t="shared" si="33"/>
        <v>Salt - ملح</v>
      </c>
      <c r="C153" s="198" t="str">
        <f t="shared" si="33"/>
        <v>gm</v>
      </c>
      <c r="D153" s="198">
        <f t="shared" si="33"/>
        <v>18</v>
      </c>
      <c r="E153" s="526">
        <f t="shared" si="34"/>
        <v>0</v>
      </c>
      <c r="F153" s="301">
        <f t="shared" si="35"/>
        <v>0.75</v>
      </c>
      <c r="G153" s="101">
        <f t="shared" si="36"/>
        <v>0</v>
      </c>
      <c r="H153" s="102">
        <f t="shared" si="37"/>
        <v>0</v>
      </c>
    </row>
    <row r="154" spans="1:8" ht="14.25" customHeight="1" x14ac:dyDescent="0.25">
      <c r="A154" s="1458"/>
      <c r="B154" s="178" t="s">
        <v>287</v>
      </c>
      <c r="C154" s="180" t="s">
        <v>273</v>
      </c>
      <c r="D154" s="14"/>
      <c r="E154" s="180" t="s">
        <v>288</v>
      </c>
      <c r="F154" s="14"/>
      <c r="G154" s="804" t="s">
        <v>264</v>
      </c>
      <c r="H154" s="804" t="s">
        <v>673</v>
      </c>
    </row>
    <row r="155" spans="1:8" ht="14.25" customHeight="1" x14ac:dyDescent="0.3">
      <c r="A155" s="1458"/>
      <c r="B155" s="179">
        <f>$J$58</f>
        <v>0</v>
      </c>
      <c r="C155" s="179">
        <f>E155+G155</f>
        <v>0</v>
      </c>
      <c r="D155" s="839"/>
      <c r="E155" s="179">
        <f>$D$58*$S$44</f>
        <v>0</v>
      </c>
      <c r="F155" s="843"/>
      <c r="G155" s="179">
        <f>$D$58*$T$44</f>
        <v>0</v>
      </c>
      <c r="H155" s="179">
        <f>B155+E155</f>
        <v>0</v>
      </c>
    </row>
    <row r="156" spans="1:8" ht="14.25" customHeight="1" x14ac:dyDescent="0.25">
      <c r="A156" s="62"/>
    </row>
    <row r="157" spans="1:8" ht="14.25" customHeight="1" x14ac:dyDescent="0.25">
      <c r="A157" s="62"/>
    </row>
    <row r="158" spans="1:8" ht="14.25" customHeight="1" x14ac:dyDescent="0.25">
      <c r="A158" s="62"/>
    </row>
    <row r="159" spans="1:8" ht="20.25" customHeight="1" x14ac:dyDescent="0.25">
      <c r="A159" s="62"/>
    </row>
    <row r="160" spans="1:8" x14ac:dyDescent="0.25">
      <c r="A160" s="62"/>
    </row>
    <row r="161" spans="1:1" x14ac:dyDescent="0.25">
      <c r="A161" s="62"/>
    </row>
    <row r="162" spans="1:1" x14ac:dyDescent="0.25">
      <c r="A162" s="62"/>
    </row>
    <row r="163" spans="1:1" x14ac:dyDescent="0.25">
      <c r="A163" s="62"/>
    </row>
    <row r="164" spans="1:1" x14ac:dyDescent="0.25">
      <c r="A164" s="62"/>
    </row>
    <row r="165" spans="1:1" x14ac:dyDescent="0.25">
      <c r="A165" s="62"/>
    </row>
    <row r="166" spans="1:1" x14ac:dyDescent="0.25">
      <c r="A166" s="62"/>
    </row>
    <row r="167" spans="1:1" x14ac:dyDescent="0.25">
      <c r="A167" s="62"/>
    </row>
    <row r="168" spans="1:1" x14ac:dyDescent="0.25">
      <c r="A168" s="62"/>
    </row>
    <row r="169" spans="1:1" x14ac:dyDescent="0.25">
      <c r="A169" s="62"/>
    </row>
    <row r="170" spans="1:1" x14ac:dyDescent="0.25">
      <c r="A170" s="62"/>
    </row>
    <row r="171" spans="1:1" x14ac:dyDescent="0.25">
      <c r="A171" s="62"/>
    </row>
    <row r="172" spans="1:1" x14ac:dyDescent="0.25">
      <c r="A172" s="62"/>
    </row>
    <row r="173" spans="1:1" x14ac:dyDescent="0.25">
      <c r="A173" s="62"/>
    </row>
    <row r="174" spans="1:1" x14ac:dyDescent="0.25">
      <c r="A174" s="62"/>
    </row>
  </sheetData>
  <mergeCells count="17">
    <mergeCell ref="AE2:AG3"/>
    <mergeCell ref="B126:H126"/>
    <mergeCell ref="B127:H127"/>
    <mergeCell ref="R26:T26"/>
    <mergeCell ref="B2:K3"/>
    <mergeCell ref="B62:H62"/>
    <mergeCell ref="R25:T25"/>
    <mergeCell ref="B35:F35"/>
    <mergeCell ref="B143:H143"/>
    <mergeCell ref="B63:H63"/>
    <mergeCell ref="B77:H77"/>
    <mergeCell ref="B78:H78"/>
    <mergeCell ref="B95:H95"/>
    <mergeCell ref="B111:H111"/>
    <mergeCell ref="B142:H142"/>
    <mergeCell ref="B94:H94"/>
    <mergeCell ref="B110:H110"/>
  </mergeCells>
  <printOptions horizontalCentered="1"/>
  <pageMargins left="0.5" right="0.5" top="1" bottom="0.5" header="0.3" footer="0.511811023622047"/>
  <pageSetup paperSize="9" scale="33" orientation="portrait" r:id="rId1"/>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7">
    <tabColor theme="5" tint="-0.249977111117893"/>
    <pageSetUpPr fitToPage="1"/>
  </sheetPr>
  <dimension ref="A1:AF973"/>
  <sheetViews>
    <sheetView topLeftCell="L7" zoomScale="70" zoomScaleNormal="70" workbookViewId="0">
      <selection activeCell="A5" sqref="A5:A174"/>
    </sheetView>
  </sheetViews>
  <sheetFormatPr defaultColWidth="12.5" defaultRowHeight="12.75" x14ac:dyDescent="0.2"/>
  <cols>
    <col min="1" max="1" width="12.5" style="14" customWidth="1"/>
    <col min="2" max="2" width="38.375" style="14"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6.125" style="14" customWidth="1"/>
    <col min="15" max="15" width="16.75" style="14" customWidth="1"/>
    <col min="16" max="18" width="12.5" style="14" customWidth="1"/>
    <col min="19" max="19" width="15.875" style="14" customWidth="1"/>
    <col min="20" max="28" width="12.5" style="14" customWidth="1"/>
    <col min="29" max="29" width="19.75" style="14" customWidth="1"/>
    <col min="30" max="31" width="12.5" style="796" customWidth="1"/>
    <col min="32" max="35" width="12.5" style="14" customWidth="1"/>
    <col min="36" max="36" width="34.625" style="14" customWidth="1"/>
    <col min="37" max="37" width="12.5" style="14" customWidth="1"/>
    <col min="38" max="16384" width="12.5" style="14"/>
  </cols>
  <sheetData>
    <row r="1" spans="1:32" ht="28.5" customHeight="1" x14ac:dyDescent="0.2">
      <c r="B1" s="64" t="s">
        <v>231</v>
      </c>
      <c r="C1" s="65">
        <v>1000</v>
      </c>
      <c r="D1" s="66" t="s">
        <v>232</v>
      </c>
      <c r="E1" s="99">
        <f>U32</f>
        <v>10200</v>
      </c>
      <c r="F1" s="64" t="s">
        <v>233</v>
      </c>
      <c r="G1" s="99">
        <f>E1/C1</f>
        <v>10.199999999999999</v>
      </c>
      <c r="H1" s="64" t="s">
        <v>234</v>
      </c>
      <c r="I1" s="99">
        <f>G1/K1</f>
        <v>11.219999999999999</v>
      </c>
      <c r="J1" s="302" t="s">
        <v>235</v>
      </c>
      <c r="K1" s="303">
        <f>1000/1100</f>
        <v>0.90909090909090906</v>
      </c>
      <c r="L1" s="84"/>
      <c r="M1" s="84"/>
      <c r="N1" s="84"/>
      <c r="O1" s="75" t="s">
        <v>236</v>
      </c>
      <c r="P1" s="76" t="s">
        <v>289</v>
      </c>
      <c r="Q1" s="77" t="s">
        <v>238</v>
      </c>
      <c r="R1" s="76">
        <v>0.7</v>
      </c>
      <c r="S1" s="77" t="s">
        <v>333</v>
      </c>
      <c r="T1" s="304">
        <v>100</v>
      </c>
      <c r="U1" s="84"/>
      <c r="V1" s="84"/>
      <c r="Y1" s="75" t="s">
        <v>453</v>
      </c>
      <c r="Z1" s="766">
        <v>97</v>
      </c>
      <c r="AA1" s="75" t="s">
        <v>556</v>
      </c>
      <c r="AB1" s="766">
        <v>5</v>
      </c>
      <c r="AC1" s="75" t="s">
        <v>546</v>
      </c>
      <c r="AD1" s="766">
        <v>97</v>
      </c>
      <c r="AE1" s="75" t="s">
        <v>538</v>
      </c>
      <c r="AF1" s="766">
        <f>Z1+AB1</f>
        <v>102</v>
      </c>
    </row>
    <row r="2" spans="1:32" ht="12.75" customHeight="1" x14ac:dyDescent="0.2">
      <c r="A2" s="306"/>
      <c r="B2" s="1644" t="s">
        <v>145</v>
      </c>
      <c r="C2" s="1644"/>
      <c r="D2" s="1644"/>
      <c r="E2" s="1644"/>
      <c r="F2" s="1644"/>
      <c r="G2" s="1644"/>
      <c r="H2" s="1644"/>
      <c r="I2" s="580"/>
      <c r="J2" s="580"/>
      <c r="K2" s="580"/>
      <c r="L2" s="270"/>
      <c r="M2" s="84"/>
      <c r="N2" s="84"/>
      <c r="O2" s="84"/>
      <c r="P2" s="84"/>
      <c r="Q2" s="84"/>
      <c r="R2" s="84"/>
      <c r="S2" s="84"/>
      <c r="T2" s="84"/>
      <c r="U2" s="84"/>
    </row>
    <row r="3" spans="1:32" ht="12.75" customHeight="1" x14ac:dyDescent="0.2">
      <c r="A3" s="306"/>
      <c r="B3" s="1645"/>
      <c r="C3" s="1645"/>
      <c r="D3" s="1645"/>
      <c r="E3" s="1645"/>
      <c r="F3" s="1645"/>
      <c r="G3" s="1645"/>
      <c r="H3" s="1645"/>
      <c r="I3" s="581"/>
      <c r="J3" s="581"/>
      <c r="K3" s="581"/>
      <c r="L3" s="270"/>
      <c r="M3" s="84"/>
      <c r="N3" s="84"/>
      <c r="O3" s="84"/>
      <c r="P3" s="84"/>
      <c r="Q3" s="84"/>
      <c r="R3" s="84"/>
      <c r="S3" s="84"/>
      <c r="T3" s="84"/>
      <c r="U3" s="84"/>
    </row>
    <row r="4" spans="1:32" ht="69" customHeight="1" x14ac:dyDescent="0.2">
      <c r="A4" s="75" t="s">
        <v>903</v>
      </c>
      <c r="B4" s="75" t="s">
        <v>241</v>
      </c>
      <c r="C4" s="90" t="s">
        <v>242</v>
      </c>
      <c r="D4" s="75" t="s">
        <v>231</v>
      </c>
      <c r="E4" s="91" t="s">
        <v>234</v>
      </c>
      <c r="F4" s="91" t="s">
        <v>243</v>
      </c>
      <c r="G4" s="75" t="s">
        <v>244</v>
      </c>
      <c r="H4" s="307" t="s">
        <v>335</v>
      </c>
      <c r="I4" s="75" t="s">
        <v>246</v>
      </c>
      <c r="J4" s="75" t="s">
        <v>247</v>
      </c>
      <c r="K4" s="75" t="s">
        <v>248</v>
      </c>
      <c r="L4" s="75" t="s">
        <v>249</v>
      </c>
      <c r="M4" s="347"/>
      <c r="N4" s="84"/>
      <c r="O4" s="84"/>
      <c r="P4" s="84"/>
      <c r="Q4" s="84"/>
      <c r="R4" s="84"/>
      <c r="S4" s="84"/>
      <c r="Z4" s="766">
        <v>164</v>
      </c>
    </row>
    <row r="5" spans="1:32" ht="14.25" customHeight="1" x14ac:dyDescent="0.2">
      <c r="A5" s="1460"/>
      <c r="B5" s="299" t="s">
        <v>226</v>
      </c>
      <c r="C5" s="106" t="s">
        <v>14</v>
      </c>
      <c r="D5" s="103">
        <f>I51/10</f>
        <v>4762</v>
      </c>
      <c r="E5" s="177">
        <f>H52</f>
        <v>2.3537990778645965</v>
      </c>
      <c r="F5" s="109">
        <v>1</v>
      </c>
      <c r="G5" s="103">
        <f t="shared" ref="G5:G15" si="0">D5*E5</f>
        <v>11208.791208791208</v>
      </c>
      <c r="H5" s="578">
        <f t="shared" ref="H5:H15" si="1">G5*F5</f>
        <v>11208.791208791208</v>
      </c>
      <c r="I5" s="65">
        <f>VLOOKUP(B5,All_Ingredients!$A$1:$F$156,6,FALSE())</f>
        <v>0.99</v>
      </c>
      <c r="J5" s="101">
        <f>VLOOKUP(B5,All_Ingredients!$A$1:$J$156,10,FALSE())</f>
        <v>11.75</v>
      </c>
      <c r="K5" s="104">
        <f t="shared" ref="K5" si="2">(H5/I5)/1000</f>
        <v>11.322011322011322</v>
      </c>
      <c r="L5" s="104">
        <f t="shared" ref="L5" si="3">K5*J5</f>
        <v>133.03363303363304</v>
      </c>
      <c r="M5" s="112"/>
    </row>
    <row r="6" spans="1:32" ht="14.25" customHeight="1" x14ac:dyDescent="0.2">
      <c r="A6" s="1460"/>
      <c r="B6" s="299" t="s">
        <v>727</v>
      </c>
      <c r="C6" s="106" t="s">
        <v>14</v>
      </c>
      <c r="D6" s="98">
        <v>53</v>
      </c>
      <c r="E6" s="98">
        <f t="shared" ref="E6:E15" si="4">$I$1</f>
        <v>11.219999999999999</v>
      </c>
      <c r="F6" s="109">
        <v>1</v>
      </c>
      <c r="G6" s="101">
        <f t="shared" si="0"/>
        <v>594.66</v>
      </c>
      <c r="H6" s="102">
        <f t="shared" si="1"/>
        <v>594.66</v>
      </c>
      <c r="I6" s="65">
        <f>VLOOKUP(B6,All_Ingredients!$A$1:$F$156,6,FALSE())</f>
        <v>1</v>
      </c>
      <c r="J6" s="101">
        <f>VLOOKUP(B6,All_Ingredients!$A$1:$J$156,10,FALSE())</f>
        <v>10.5</v>
      </c>
      <c r="K6" s="104">
        <f t="shared" ref="K6:K15" si="5">(H6/I6)/1000</f>
        <v>0.59465999999999997</v>
      </c>
      <c r="L6" s="104">
        <f t="shared" ref="L6:L15" si="6">K6*J6</f>
        <v>6.2439299999999998</v>
      </c>
      <c r="M6" s="112"/>
    </row>
    <row r="7" spans="1:32" ht="14.25" customHeight="1" x14ac:dyDescent="0.2">
      <c r="A7" s="1460"/>
      <c r="B7" s="299" t="s">
        <v>28</v>
      </c>
      <c r="C7" s="106" t="s">
        <v>14</v>
      </c>
      <c r="D7" s="98">
        <v>40</v>
      </c>
      <c r="E7" s="98">
        <f t="shared" si="4"/>
        <v>11.219999999999999</v>
      </c>
      <c r="F7" s="109">
        <v>1</v>
      </c>
      <c r="G7" s="101">
        <f t="shared" si="0"/>
        <v>448.79999999999995</v>
      </c>
      <c r="H7" s="102">
        <f t="shared" si="1"/>
        <v>448.79999999999995</v>
      </c>
      <c r="I7" s="65">
        <f>VLOOKUP(B7,All_Ingredients!$A$1:$F$156,6,FALSE())</f>
        <v>0.73</v>
      </c>
      <c r="J7" s="101">
        <f>VLOOKUP(B7,All_Ingredients!$A$1:$J$156,10,FALSE())</f>
        <v>8.5</v>
      </c>
      <c r="K7" s="104">
        <f t="shared" si="5"/>
        <v>0.61479452054794514</v>
      </c>
      <c r="L7" s="104">
        <f t="shared" si="6"/>
        <v>5.2257534246575341</v>
      </c>
      <c r="M7" s="112"/>
    </row>
    <row r="8" spans="1:32" ht="14.25" customHeight="1" x14ac:dyDescent="0.2">
      <c r="A8" s="1460"/>
      <c r="B8" s="299" t="s">
        <v>30</v>
      </c>
      <c r="C8" s="106" t="s">
        <v>14</v>
      </c>
      <c r="D8" s="98">
        <v>40</v>
      </c>
      <c r="E8" s="98">
        <f t="shared" si="4"/>
        <v>11.219999999999999</v>
      </c>
      <c r="F8" s="109">
        <v>1</v>
      </c>
      <c r="G8" s="101">
        <f t="shared" si="0"/>
        <v>448.79999999999995</v>
      </c>
      <c r="H8" s="102">
        <f t="shared" si="1"/>
        <v>448.79999999999995</v>
      </c>
      <c r="I8" s="65">
        <f>VLOOKUP(B8,All_Ingredients!$A$1:$F$156,6,FALSE())</f>
        <v>0.71</v>
      </c>
      <c r="J8" s="101">
        <f>VLOOKUP(B8,All_Ingredients!$A$1:$J$156,10,FALSE())</f>
        <v>8.5</v>
      </c>
      <c r="K8" s="104">
        <f t="shared" si="5"/>
        <v>0.63211267605633803</v>
      </c>
      <c r="L8" s="104">
        <f t="shared" si="6"/>
        <v>5.3729577464788729</v>
      </c>
      <c r="M8" s="112"/>
    </row>
    <row r="9" spans="1:32" ht="14.25" customHeight="1" x14ac:dyDescent="0.2">
      <c r="A9" s="1460"/>
      <c r="B9" s="299" t="s">
        <v>32</v>
      </c>
      <c r="C9" s="106" t="s">
        <v>14</v>
      </c>
      <c r="D9" s="98">
        <v>40</v>
      </c>
      <c r="E9" s="98">
        <f t="shared" si="4"/>
        <v>11.219999999999999</v>
      </c>
      <c r="F9" s="109">
        <v>1</v>
      </c>
      <c r="G9" s="101">
        <f t="shared" si="0"/>
        <v>448.79999999999995</v>
      </c>
      <c r="H9" s="102">
        <f t="shared" si="1"/>
        <v>448.79999999999995</v>
      </c>
      <c r="I9" s="65">
        <f>VLOOKUP(B9,All_Ingredients!$A$1:$F$156,6,FALSE())</f>
        <v>0.69</v>
      </c>
      <c r="J9" s="101">
        <f>VLOOKUP(B9,All_Ingredients!$A$1:$J$156,10,FALSE())</f>
        <v>4</v>
      </c>
      <c r="K9" s="104">
        <f t="shared" si="5"/>
        <v>0.65043478260869558</v>
      </c>
      <c r="L9" s="104">
        <f t="shared" si="6"/>
        <v>2.6017391304347823</v>
      </c>
      <c r="M9" s="112"/>
    </row>
    <row r="10" spans="1:32" ht="14.25" customHeight="1" x14ac:dyDescent="0.2">
      <c r="A10" s="1460"/>
      <c r="B10" s="299" t="s">
        <v>12</v>
      </c>
      <c r="C10" s="106" t="s">
        <v>14</v>
      </c>
      <c r="D10" s="98">
        <v>80</v>
      </c>
      <c r="E10" s="98">
        <f t="shared" si="4"/>
        <v>11.219999999999999</v>
      </c>
      <c r="F10" s="109">
        <v>1</v>
      </c>
      <c r="G10" s="101">
        <f t="shared" si="0"/>
        <v>897.59999999999991</v>
      </c>
      <c r="H10" s="102">
        <f t="shared" si="1"/>
        <v>897.59999999999991</v>
      </c>
      <c r="I10" s="65">
        <f>VLOOKUP(B10,All_Ingredients!$A$1:$F$156,6,FALSE())</f>
        <v>0.9</v>
      </c>
      <c r="J10" s="101">
        <f>VLOOKUP(B10,All_Ingredients!$A$1:$J$156,10,FALSE())</f>
        <v>3</v>
      </c>
      <c r="K10" s="104">
        <f t="shared" si="5"/>
        <v>0.99733333333333329</v>
      </c>
      <c r="L10" s="104">
        <f t="shared" si="6"/>
        <v>2.992</v>
      </c>
      <c r="M10" s="112"/>
    </row>
    <row r="11" spans="1:32" ht="14.25" customHeight="1" x14ac:dyDescent="0.2">
      <c r="A11" s="1460"/>
      <c r="B11" s="299" t="s">
        <v>172</v>
      </c>
      <c r="C11" s="106" t="s">
        <v>14</v>
      </c>
      <c r="D11" s="98">
        <v>200</v>
      </c>
      <c r="E11" s="98">
        <f t="shared" si="4"/>
        <v>11.219999999999999</v>
      </c>
      <c r="F11" s="109">
        <v>0.75</v>
      </c>
      <c r="G11" s="101">
        <f t="shared" si="0"/>
        <v>2244</v>
      </c>
      <c r="H11" s="102">
        <f t="shared" si="1"/>
        <v>1683</v>
      </c>
      <c r="I11" s="65">
        <f>VLOOKUP(B11,All_Ingredients!$A$1:$F$156,6,FALSE())</f>
        <v>1</v>
      </c>
      <c r="J11" s="101">
        <f>VLOOKUP(B11,All_Ingredients!$A$1:$J$156,10,FALSE())</f>
        <v>17.934782608695652</v>
      </c>
      <c r="K11" s="104">
        <f t="shared" si="5"/>
        <v>1.6830000000000001</v>
      </c>
      <c r="L11" s="104">
        <f t="shared" si="6"/>
        <v>30.184239130434783</v>
      </c>
      <c r="M11" s="112"/>
    </row>
    <row r="12" spans="1:32" ht="14.25" customHeight="1" x14ac:dyDescent="0.2">
      <c r="A12" s="1460"/>
      <c r="B12" s="299" t="s">
        <v>93</v>
      </c>
      <c r="C12" s="106" t="s">
        <v>14</v>
      </c>
      <c r="D12" s="98">
        <v>2</v>
      </c>
      <c r="E12" s="98">
        <f t="shared" si="4"/>
        <v>11.219999999999999</v>
      </c>
      <c r="F12" s="109">
        <v>1</v>
      </c>
      <c r="G12" s="101">
        <f t="shared" si="0"/>
        <v>22.439999999999998</v>
      </c>
      <c r="H12" s="102">
        <f t="shared" si="1"/>
        <v>22.439999999999998</v>
      </c>
      <c r="I12" s="65">
        <f>VLOOKUP(B12,All_Ingredients!$A$1:$F$156,6,FALSE())</f>
        <v>1</v>
      </c>
      <c r="J12" s="101">
        <f>VLOOKUP(B12,All_Ingredients!$A$1:$J$156,10,FALSE())</f>
        <v>0.74</v>
      </c>
      <c r="K12" s="104">
        <f t="shared" si="5"/>
        <v>2.2439999999999998E-2</v>
      </c>
      <c r="L12" s="104">
        <f t="shared" si="6"/>
        <v>1.6605599999999998E-2</v>
      </c>
      <c r="M12" s="112"/>
    </row>
    <row r="13" spans="1:32" ht="14.25" customHeight="1" x14ac:dyDescent="0.2">
      <c r="A13" s="1460"/>
      <c r="B13" s="299" t="s">
        <v>99</v>
      </c>
      <c r="C13" s="106" t="s">
        <v>14</v>
      </c>
      <c r="D13" s="98">
        <v>4</v>
      </c>
      <c r="E13" s="98">
        <f t="shared" si="4"/>
        <v>11.219999999999999</v>
      </c>
      <c r="F13" s="109">
        <v>1</v>
      </c>
      <c r="G13" s="101">
        <f t="shared" si="0"/>
        <v>44.879999999999995</v>
      </c>
      <c r="H13" s="102">
        <f t="shared" si="1"/>
        <v>44.879999999999995</v>
      </c>
      <c r="I13" s="65">
        <f>VLOOKUP(B13,All_Ingredients!$A$1:$F$156,6,FALSE())</f>
        <v>1</v>
      </c>
      <c r="J13" s="101">
        <f>VLOOKUP(B13,All_Ingredients!$A$1:$J$156,10,FALSE())</f>
        <v>31</v>
      </c>
      <c r="K13" s="104">
        <f t="shared" si="5"/>
        <v>4.4879999999999996E-2</v>
      </c>
      <c r="L13" s="104">
        <f t="shared" si="6"/>
        <v>1.3912799999999999</v>
      </c>
      <c r="M13" s="112"/>
    </row>
    <row r="14" spans="1:32" ht="14.25" customHeight="1" x14ac:dyDescent="0.2">
      <c r="A14" s="1460"/>
      <c r="B14" s="299" t="s">
        <v>105</v>
      </c>
      <c r="C14" s="106" t="s">
        <v>14</v>
      </c>
      <c r="D14" s="98">
        <v>6</v>
      </c>
      <c r="E14" s="98">
        <f t="shared" si="4"/>
        <v>11.219999999999999</v>
      </c>
      <c r="F14" s="109">
        <v>1</v>
      </c>
      <c r="G14" s="101">
        <f t="shared" si="0"/>
        <v>67.319999999999993</v>
      </c>
      <c r="H14" s="102">
        <f t="shared" si="1"/>
        <v>67.319999999999993</v>
      </c>
      <c r="I14" s="65">
        <f>VLOOKUP(B14,All_Ingredients!$A$1:$F$156,6,FALSE())</f>
        <v>1</v>
      </c>
      <c r="J14" s="101">
        <f>VLOOKUP(B14,All_Ingredients!$A$1:$J$156,10,FALSE())</f>
        <v>15</v>
      </c>
      <c r="K14" s="104">
        <f t="shared" si="5"/>
        <v>6.7319999999999991E-2</v>
      </c>
      <c r="L14" s="104">
        <f t="shared" si="6"/>
        <v>1.0097999999999998</v>
      </c>
      <c r="M14" s="112"/>
    </row>
    <row r="15" spans="1:32" ht="14.25" customHeight="1" x14ac:dyDescent="0.2">
      <c r="A15" s="1460"/>
      <c r="B15" s="299" t="s">
        <v>152</v>
      </c>
      <c r="C15" s="106" t="s">
        <v>14</v>
      </c>
      <c r="D15" s="98">
        <v>84</v>
      </c>
      <c r="E15" s="98">
        <f t="shared" si="4"/>
        <v>11.219999999999999</v>
      </c>
      <c r="F15" s="109">
        <v>1</v>
      </c>
      <c r="G15" s="101">
        <f t="shared" si="0"/>
        <v>942.4799999999999</v>
      </c>
      <c r="H15" s="102">
        <f t="shared" si="1"/>
        <v>942.4799999999999</v>
      </c>
      <c r="I15" s="65">
        <f>VLOOKUP(B15,All_Ingredients!$A$1:$F$156,6,FALSE())</f>
        <v>1</v>
      </c>
      <c r="J15" s="101">
        <f>VLOOKUP(B15,All_Ingredients!$A$1:$J$156,10,FALSE())</f>
        <v>30</v>
      </c>
      <c r="K15" s="104">
        <f t="shared" si="5"/>
        <v>0.94247999999999987</v>
      </c>
      <c r="L15" s="104">
        <f t="shared" si="6"/>
        <v>28.274399999999996</v>
      </c>
      <c r="M15" s="112"/>
    </row>
    <row r="16" spans="1:32" ht="14.25" customHeight="1" x14ac:dyDescent="0.2">
      <c r="A16" s="1461"/>
      <c r="B16" s="299" t="s">
        <v>838</v>
      </c>
      <c r="C16" s="106" t="s">
        <v>230</v>
      </c>
      <c r="D16" s="98">
        <v>1</v>
      </c>
      <c r="E16" s="98">
        <f>$Z$1+$AB$1</f>
        <v>102</v>
      </c>
      <c r="F16" s="109">
        <v>1</v>
      </c>
      <c r="G16" s="103">
        <f>D16*($Z$1+$AB$1)</f>
        <v>102</v>
      </c>
      <c r="H16" s="102">
        <f>G16*F16</f>
        <v>102</v>
      </c>
      <c r="I16" s="65">
        <f>VLOOKUP(B16,All_Ingredients!$A$1:$F$156,6,FALSE())</f>
        <v>1</v>
      </c>
      <c r="J16" s="101">
        <f>VLOOKUP(B16,All_Ingredients!$A$1:$J$156,10,FALSE())</f>
        <v>0.5</v>
      </c>
      <c r="K16" s="156">
        <f>H16*I16</f>
        <v>102</v>
      </c>
      <c r="L16" s="104">
        <f>K16*J16</f>
        <v>51</v>
      </c>
      <c r="M16" s="118"/>
      <c r="N16" s="112"/>
      <c r="O16" s="112"/>
    </row>
    <row r="17" spans="1:31" ht="14.25" customHeight="1" x14ac:dyDescent="0.2">
      <c r="A17" s="1461"/>
      <c r="B17" s="11"/>
      <c r="C17" s="447"/>
      <c r="D17" s="447"/>
      <c r="E17" s="84"/>
      <c r="F17" s="84"/>
      <c r="K17" s="120"/>
      <c r="L17" s="76"/>
      <c r="M17" s="118"/>
      <c r="N17" s="112"/>
      <c r="O17" s="112"/>
    </row>
    <row r="18" spans="1:31" ht="14.25" customHeight="1" x14ac:dyDescent="0.2">
      <c r="A18" s="1461"/>
      <c r="C18" s="312"/>
      <c r="D18" s="313"/>
      <c r="E18" s="84"/>
      <c r="F18" s="84"/>
      <c r="K18" s="120"/>
      <c r="L18" s="76"/>
      <c r="M18" s="118"/>
      <c r="N18" s="112"/>
      <c r="O18" s="112"/>
    </row>
    <row r="19" spans="1:31" ht="14.25" customHeight="1" x14ac:dyDescent="0.2">
      <c r="A19" s="1461"/>
      <c r="C19" s="312"/>
      <c r="D19" s="313"/>
      <c r="E19" s="84"/>
      <c r="F19" s="84"/>
      <c r="K19" s="120"/>
      <c r="L19" s="76"/>
      <c r="M19" s="118"/>
      <c r="N19" s="112"/>
      <c r="O19" s="112"/>
    </row>
    <row r="20" spans="1:31" ht="14.25" customHeight="1" x14ac:dyDescent="0.2">
      <c r="A20" s="1461"/>
      <c r="B20" s="11"/>
      <c r="C20" s="312"/>
      <c r="D20" s="313"/>
      <c r="E20" s="84"/>
      <c r="F20" s="84"/>
      <c r="K20" s="120"/>
      <c r="L20" s="76"/>
      <c r="M20" s="118"/>
      <c r="N20" s="112"/>
      <c r="O20" s="112"/>
    </row>
    <row r="21" spans="1:31" ht="14.25" customHeight="1" x14ac:dyDescent="0.2">
      <c r="A21" s="1461"/>
      <c r="K21" s="120"/>
      <c r="L21" s="76"/>
      <c r="M21" s="118"/>
      <c r="N21" s="112"/>
      <c r="O21" s="112"/>
    </row>
    <row r="22" spans="1:31" ht="14.25" customHeight="1" x14ac:dyDescent="0.2">
      <c r="A22" s="1461"/>
      <c r="K22" s="120"/>
      <c r="L22" s="76"/>
      <c r="M22" s="118"/>
      <c r="N22" s="112"/>
      <c r="O22" s="112"/>
    </row>
    <row r="23" spans="1:31" ht="14.25" customHeight="1" x14ac:dyDescent="0.2">
      <c r="A23" s="1461"/>
      <c r="B23" s="84"/>
      <c r="E23" s="84"/>
      <c r="F23" s="84"/>
    </row>
    <row r="24" spans="1:31" ht="21.75" customHeight="1" x14ac:dyDescent="0.2">
      <c r="A24" s="1461"/>
      <c r="B24" s="84"/>
      <c r="C24" s="84"/>
      <c r="D24" s="322"/>
      <c r="E24" s="84"/>
      <c r="F24" s="84"/>
      <c r="G24" s="84"/>
      <c r="H24" s="84"/>
      <c r="I24" s="84"/>
      <c r="J24" s="84"/>
      <c r="Z24" s="1073"/>
    </row>
    <row r="25" spans="1:31" ht="14.25" customHeight="1" x14ac:dyDescent="0.2">
      <c r="A25" s="1461"/>
      <c r="B25" s="84"/>
      <c r="C25" s="84"/>
      <c r="D25" s="84"/>
      <c r="E25" s="84"/>
      <c r="F25" s="84"/>
      <c r="G25" s="84"/>
      <c r="H25" s="84"/>
      <c r="I25" s="84"/>
      <c r="J25" s="84"/>
      <c r="R25" s="1662" t="s">
        <v>459</v>
      </c>
      <c r="S25" s="1662"/>
      <c r="T25" s="1662"/>
      <c r="U25" s="1662"/>
      <c r="V25" s="1052"/>
      <c r="W25" s="1052"/>
      <c r="Z25" s="122" t="s">
        <v>252</v>
      </c>
      <c r="AA25" s="123">
        <v>1</v>
      </c>
      <c r="AB25" s="122" t="s">
        <v>249</v>
      </c>
      <c r="AC25" s="1072">
        <f>AE30*AA25</f>
        <v>2.6210425300552842</v>
      </c>
      <c r="AD25" s="14"/>
    </row>
    <row r="26" spans="1:31" ht="14.25" customHeight="1" x14ac:dyDescent="0.2">
      <c r="A26" s="1461"/>
      <c r="R26" s="1672" t="s">
        <v>297</v>
      </c>
      <c r="S26" s="1672"/>
      <c r="T26" s="1672"/>
      <c r="U26" s="1672"/>
      <c r="V26" s="1052"/>
      <c r="W26" s="1052"/>
      <c r="AD26" s="14"/>
    </row>
    <row r="27" spans="1:31" ht="14.25" customHeight="1" thickBot="1" x14ac:dyDescent="0.25">
      <c r="A27" s="1461"/>
      <c r="R27" s="126" t="s">
        <v>254</v>
      </c>
      <c r="S27" s="126" t="s">
        <v>298</v>
      </c>
      <c r="T27" s="126" t="s">
        <v>336</v>
      </c>
      <c r="U27" s="126" t="s">
        <v>257</v>
      </c>
      <c r="V27" s="127" t="s">
        <v>785</v>
      </c>
      <c r="W27" s="127" t="s">
        <v>780</v>
      </c>
      <c r="Z27" s="122" t="s">
        <v>258</v>
      </c>
      <c r="AA27" s="128" t="s">
        <v>259</v>
      </c>
      <c r="AB27" s="128" t="s">
        <v>260</v>
      </c>
      <c r="AC27" s="128" t="s">
        <v>783</v>
      </c>
      <c r="AD27" s="128" t="s">
        <v>780</v>
      </c>
      <c r="AE27" s="128" t="s">
        <v>262</v>
      </c>
    </row>
    <row r="28" spans="1:31" ht="14.25" customHeight="1" thickBot="1" x14ac:dyDescent="0.25">
      <c r="A28" s="1461"/>
      <c r="B28" s="84"/>
      <c r="E28" s="84"/>
      <c r="F28" s="84"/>
      <c r="M28" s="314"/>
      <c r="R28" s="126" t="s">
        <v>263</v>
      </c>
      <c r="S28" s="722">
        <f>U28*S40</f>
        <v>7461.5384615384601</v>
      </c>
      <c r="T28" s="721">
        <f>U28*U40</f>
        <v>2238.4615384615408</v>
      </c>
      <c r="U28" s="720">
        <f>$Z$1*$T$1</f>
        <v>9700</v>
      </c>
      <c r="V28" s="130"/>
      <c r="W28" s="130">
        <f>H16</f>
        <v>102</v>
      </c>
      <c r="Z28" s="132"/>
      <c r="AA28" s="133">
        <f>AA25*$S$40</f>
        <v>0.76923076923076905</v>
      </c>
      <c r="AB28" s="133">
        <f>AA25-AA28</f>
        <v>0.23076923076923095</v>
      </c>
      <c r="AC28" s="1051"/>
      <c r="AD28" s="1051"/>
      <c r="AE28" s="135">
        <f>SUM(AA28:AB28)</f>
        <v>1</v>
      </c>
    </row>
    <row r="29" spans="1:31" ht="14.25" customHeight="1" thickBot="1" x14ac:dyDescent="0.25">
      <c r="A29" s="1461"/>
      <c r="B29" s="84"/>
      <c r="C29" s="84"/>
      <c r="D29" s="322"/>
      <c r="E29" s="84"/>
      <c r="F29" s="84"/>
      <c r="G29" s="84"/>
      <c r="H29" s="84"/>
      <c r="I29" s="84"/>
      <c r="J29" s="84"/>
      <c r="R29" s="126" t="s">
        <v>264</v>
      </c>
      <c r="S29" s="723"/>
      <c r="T29" s="722"/>
      <c r="U29" s="315">
        <f>T29</f>
        <v>0</v>
      </c>
      <c r="V29" s="130"/>
      <c r="W29" s="130"/>
      <c r="Z29" s="132"/>
      <c r="AA29" s="137">
        <f>AA28/$AE$28</f>
        <v>0.76923076923076905</v>
      </c>
      <c r="AB29" s="137">
        <f>AB28/$AE$28</f>
        <v>0.23076923076923095</v>
      </c>
      <c r="AC29" s="1051"/>
      <c r="AD29" s="1051"/>
      <c r="AE29" s="137">
        <f>AE28/$AE$28</f>
        <v>1</v>
      </c>
    </row>
    <row r="30" spans="1:31" ht="14.25" customHeight="1" thickBot="1" x14ac:dyDescent="0.25">
      <c r="A30" s="1461"/>
      <c r="R30" s="126" t="s">
        <v>265</v>
      </c>
      <c r="S30" s="1179">
        <f>U30*S40</f>
        <v>384.61538461538453</v>
      </c>
      <c r="T30" s="1179">
        <f>U30*(1/3)</f>
        <v>166.66666666666666</v>
      </c>
      <c r="U30" s="720">
        <f>$AB$1*$T$1</f>
        <v>500</v>
      </c>
      <c r="V30" s="989"/>
      <c r="W30" s="989"/>
      <c r="Z30" s="122" t="s">
        <v>266</v>
      </c>
      <c r="AA30" s="138">
        <f>S35/(AF1)</f>
        <v>1.3042513042513042</v>
      </c>
      <c r="AB30" s="1050">
        <f>T35/AF1</f>
        <v>0.81679122580398</v>
      </c>
      <c r="AC30" s="275">
        <f>V35/AF1</f>
        <v>0</v>
      </c>
      <c r="AD30" s="991">
        <f>W35/$AF$1</f>
        <v>0.5</v>
      </c>
      <c r="AE30" s="994">
        <f>AA30+AB30+AC30+AD30</f>
        <v>2.6210425300552842</v>
      </c>
    </row>
    <row r="31" spans="1:31" ht="14.25" customHeight="1" thickBot="1" x14ac:dyDescent="0.25">
      <c r="A31" s="1461"/>
      <c r="R31" s="126" t="s">
        <v>267</v>
      </c>
      <c r="S31" s="271"/>
      <c r="T31" s="271"/>
      <c r="U31" s="315">
        <f>T31</f>
        <v>0</v>
      </c>
      <c r="V31" s="130"/>
      <c r="W31" s="130"/>
    </row>
    <row r="32" spans="1:31" ht="14.25" customHeight="1" thickBot="1" x14ac:dyDescent="0.25">
      <c r="A32" s="1461"/>
      <c r="B32" s="84"/>
      <c r="E32" s="84"/>
      <c r="F32" s="84"/>
      <c r="R32" s="127" t="s">
        <v>257</v>
      </c>
      <c r="S32" s="316">
        <f>SUM(S28:S30)</f>
        <v>7846.1538461538448</v>
      </c>
      <c r="T32" s="316">
        <f>SUM(T28:T30)</f>
        <v>2405.1282051282074</v>
      </c>
      <c r="U32" s="316">
        <f>SUM(U28:U30)</f>
        <v>10200</v>
      </c>
      <c r="V32" s="130"/>
      <c r="W32" s="130"/>
    </row>
    <row r="33" spans="1:23" ht="14.25" customHeight="1" thickBot="1" x14ac:dyDescent="0.3">
      <c r="A33" s="1461"/>
      <c r="B33" s="84"/>
      <c r="C33" s="84"/>
      <c r="D33" s="322"/>
      <c r="E33" s="84"/>
      <c r="F33" s="84"/>
      <c r="G33" s="84"/>
      <c r="H33" s="84"/>
      <c r="I33" s="84"/>
      <c r="J33" s="84"/>
      <c r="R33" s="317" t="s">
        <v>254</v>
      </c>
      <c r="S33" s="318"/>
      <c r="T33" s="318"/>
      <c r="U33" s="319"/>
      <c r="V33" s="136"/>
      <c r="W33" s="136"/>
    </row>
    <row r="34" spans="1:23" ht="14.25" customHeight="1" thickBot="1" x14ac:dyDescent="0.25">
      <c r="A34" s="1461"/>
      <c r="B34" s="84"/>
      <c r="C34" s="84"/>
      <c r="D34" s="84"/>
      <c r="E34" s="84"/>
      <c r="F34" s="84"/>
      <c r="G34" s="84"/>
      <c r="H34" s="84"/>
      <c r="I34" s="84"/>
      <c r="J34" s="84"/>
      <c r="R34" s="159" t="s">
        <v>269</v>
      </c>
      <c r="S34" s="320"/>
      <c r="T34" s="321"/>
      <c r="U34" s="320"/>
      <c r="V34" s="136"/>
      <c r="W34" s="136"/>
    </row>
    <row r="35" spans="1:23" ht="12.75" customHeight="1" thickBot="1" x14ac:dyDescent="0.25">
      <c r="A35" s="1461"/>
      <c r="B35" s="1671"/>
      <c r="C35" s="1655"/>
      <c r="D35" s="1655"/>
      <c r="E35" s="1655"/>
      <c r="F35" s="1655"/>
      <c r="G35" s="1655"/>
      <c r="H35" s="1655"/>
      <c r="I35" s="1655"/>
      <c r="J35" s="1655"/>
      <c r="R35" s="144" t="s">
        <v>249</v>
      </c>
      <c r="S35" s="990">
        <f>$L$5</f>
        <v>133.03363303363304</v>
      </c>
      <c r="T35" s="990">
        <f>SUM(L6:L15)</f>
        <v>83.312705032005965</v>
      </c>
      <c r="U35" s="990">
        <f>S35+T35+V35+W35</f>
        <v>267.34633806563897</v>
      </c>
      <c r="V35" s="990"/>
      <c r="W35" s="990">
        <f>L16</f>
        <v>51</v>
      </c>
    </row>
    <row r="36" spans="1:23" ht="12.75" customHeight="1" x14ac:dyDescent="0.2">
      <c r="A36" s="1461"/>
      <c r="B36" s="1660"/>
      <c r="C36" s="1655"/>
      <c r="D36" s="1655"/>
      <c r="E36" s="1655"/>
      <c r="F36" s="1655"/>
      <c r="G36" s="1655"/>
      <c r="H36" s="1655"/>
      <c r="I36" s="1655"/>
      <c r="J36" s="1655"/>
    </row>
    <row r="37" spans="1:23" ht="12.75" customHeight="1" x14ac:dyDescent="0.2">
      <c r="A37" s="1461"/>
    </row>
    <row r="38" spans="1:23" ht="12.75" customHeight="1" x14ac:dyDescent="0.2">
      <c r="A38" s="1461"/>
      <c r="B38" s="84"/>
      <c r="E38" s="84"/>
      <c r="F38" s="84"/>
    </row>
    <row r="39" spans="1:23" ht="12.75" customHeight="1" x14ac:dyDescent="0.2">
      <c r="A39" s="1461"/>
      <c r="B39" s="84"/>
      <c r="C39" s="84"/>
      <c r="D39" s="322"/>
      <c r="E39" s="84"/>
      <c r="F39" s="84"/>
      <c r="G39" s="84"/>
      <c r="H39" s="84"/>
      <c r="I39" s="84"/>
      <c r="J39" s="84"/>
    </row>
    <row r="40" spans="1:23" ht="24" customHeight="1" x14ac:dyDescent="0.2">
      <c r="A40" s="1461"/>
      <c r="B40" s="84"/>
      <c r="C40" s="84"/>
      <c r="D40" s="84"/>
      <c r="E40" s="84"/>
      <c r="F40" s="84"/>
      <c r="G40" s="84"/>
      <c r="H40" s="84"/>
      <c r="I40" s="84"/>
      <c r="J40" s="84"/>
      <c r="R40" s="146" t="s">
        <v>270</v>
      </c>
      <c r="S40" s="147">
        <v>0.76923076923076905</v>
      </c>
      <c r="T40" s="146" t="s">
        <v>271</v>
      </c>
      <c r="U40" s="148">
        <v>0.230769230769231</v>
      </c>
      <c r="V40" s="149">
        <f>S40+U40</f>
        <v>1</v>
      </c>
    </row>
    <row r="41" spans="1:23" ht="18" customHeight="1" x14ac:dyDescent="0.2">
      <c r="A41" s="1461"/>
      <c r="B41" s="1671"/>
      <c r="C41" s="1655"/>
      <c r="D41" s="1655"/>
      <c r="E41" s="1655"/>
      <c r="F41" s="1655"/>
      <c r="G41" s="1655"/>
      <c r="H41" s="1655"/>
      <c r="I41" s="1655"/>
      <c r="J41" s="1655"/>
      <c r="U41" s="150"/>
    </row>
    <row r="42" spans="1:23" ht="18" customHeight="1" x14ac:dyDescent="0.2">
      <c r="A42" s="1461"/>
      <c r="B42" s="1660"/>
      <c r="C42" s="1655"/>
      <c r="D42" s="1655"/>
      <c r="E42" s="1655"/>
      <c r="F42" s="1655"/>
      <c r="G42" s="1655"/>
      <c r="H42" s="1655"/>
      <c r="I42" s="1655"/>
      <c r="J42" s="1655"/>
    </row>
    <row r="43" spans="1:23" ht="12.75" customHeight="1" x14ac:dyDescent="0.2">
      <c r="A43" s="1461"/>
      <c r="B43" s="323"/>
      <c r="C43" s="324"/>
      <c r="D43" s="323"/>
      <c r="E43" s="323"/>
      <c r="F43" s="323"/>
      <c r="G43" s="323"/>
      <c r="H43" s="323"/>
      <c r="I43" s="323"/>
      <c r="J43" s="323"/>
      <c r="Q43" s="151" t="s">
        <v>272</v>
      </c>
      <c r="R43" s="151" t="s">
        <v>273</v>
      </c>
      <c r="S43" s="151" t="s">
        <v>274</v>
      </c>
      <c r="T43" s="151" t="s">
        <v>275</v>
      </c>
      <c r="U43" s="151" t="s">
        <v>276</v>
      </c>
      <c r="V43" s="151" t="s">
        <v>277</v>
      </c>
      <c r="W43" s="235" t="s">
        <v>278</v>
      </c>
    </row>
    <row r="44" spans="1:23" ht="14.25" customHeight="1" x14ac:dyDescent="0.2">
      <c r="A44" s="1461"/>
      <c r="B44" s="325"/>
      <c r="C44" s="325"/>
      <c r="D44" s="309"/>
      <c r="E44" s="309"/>
      <c r="F44" s="117"/>
      <c r="G44" s="118"/>
      <c r="H44" s="119"/>
      <c r="I44" s="76"/>
      <c r="J44" s="120"/>
      <c r="Q44" s="153">
        <v>43334</v>
      </c>
      <c r="R44" s="154">
        <f>D51</f>
        <v>10000</v>
      </c>
      <c r="S44" s="155">
        <v>1</v>
      </c>
      <c r="T44" s="155">
        <v>0</v>
      </c>
      <c r="U44" s="220">
        <f>R44*S44</f>
        <v>10000</v>
      </c>
      <c r="V44" s="157">
        <f>R44*T44</f>
        <v>0</v>
      </c>
      <c r="W44" s="237">
        <f>Q44-U44</f>
        <v>33334</v>
      </c>
    </row>
    <row r="45" spans="1:23" ht="14.25" customHeight="1" x14ac:dyDescent="0.2">
      <c r="A45" s="1461"/>
      <c r="B45" s="325"/>
      <c r="C45" s="325"/>
      <c r="D45" s="309"/>
      <c r="E45" s="309"/>
      <c r="F45" s="117"/>
      <c r="G45" s="118"/>
      <c r="H45" s="119"/>
      <c r="I45" s="76"/>
      <c r="J45" s="120"/>
    </row>
    <row r="46" spans="1:23" ht="14.25" customHeight="1" x14ac:dyDescent="0.2">
      <c r="A46" s="1461"/>
      <c r="B46" s="325"/>
      <c r="C46" s="325"/>
      <c r="D46" s="309"/>
      <c r="E46" s="309"/>
      <c r="F46" s="117"/>
      <c r="G46" s="118"/>
      <c r="H46" s="119"/>
      <c r="I46" s="76"/>
      <c r="J46" s="120"/>
    </row>
    <row r="47" spans="1:23" ht="14.25" customHeight="1" x14ac:dyDescent="0.2">
      <c r="A47" s="1461"/>
      <c r="B47" s="325"/>
      <c r="C47" s="325"/>
      <c r="D47" s="309"/>
      <c r="E47" s="309"/>
      <c r="F47" s="117"/>
      <c r="G47" s="118"/>
      <c r="H47" s="119"/>
      <c r="I47" s="76"/>
      <c r="J47" s="120"/>
    </row>
    <row r="48" spans="1:23" ht="14.25" customHeight="1" x14ac:dyDescent="0.2">
      <c r="A48" s="1461"/>
      <c r="B48" s="325"/>
      <c r="C48" s="325"/>
      <c r="D48" s="309"/>
      <c r="E48" s="309"/>
      <c r="F48" s="117"/>
      <c r="G48" s="118"/>
      <c r="H48" s="119"/>
      <c r="I48" s="76"/>
      <c r="J48" s="120"/>
    </row>
    <row r="49" spans="1:10" ht="14.25" customHeight="1" x14ac:dyDescent="0.2">
      <c r="A49" s="1461"/>
      <c r="B49" s="325"/>
      <c r="C49" s="325"/>
      <c r="D49" s="309"/>
      <c r="E49" s="309"/>
      <c r="F49" s="117"/>
      <c r="G49" s="118"/>
      <c r="H49" s="119"/>
      <c r="I49" s="76"/>
      <c r="J49" s="120"/>
    </row>
    <row r="50" spans="1:10" ht="14.25" customHeight="1" x14ac:dyDescent="0.2">
      <c r="A50" s="1461"/>
      <c r="B50" s="326"/>
      <c r="C50" s="159" t="s">
        <v>233</v>
      </c>
      <c r="D50" s="159" t="s">
        <v>279</v>
      </c>
      <c r="E50" s="84"/>
      <c r="F50" s="84"/>
      <c r="G50" s="126" t="s">
        <v>280</v>
      </c>
      <c r="H50" s="126" t="s">
        <v>233</v>
      </c>
      <c r="I50" s="159" t="s">
        <v>281</v>
      </c>
      <c r="J50" s="159" t="s">
        <v>282</v>
      </c>
    </row>
    <row r="51" spans="1:10" ht="14.25" customHeight="1" x14ac:dyDescent="0.2">
      <c r="A51" s="1461"/>
      <c r="B51" s="161" t="s">
        <v>283</v>
      </c>
      <c r="C51" s="162">
        <f>10/$K$1</f>
        <v>11</v>
      </c>
      <c r="D51" s="163">
        <f>$C$1*10</f>
        <v>10000</v>
      </c>
      <c r="E51" s="164"/>
      <c r="F51" s="84"/>
      <c r="G51" s="161" t="s">
        <v>283</v>
      </c>
      <c r="H51" s="254">
        <f>I51/$D$5</f>
        <v>10</v>
      </c>
      <c r="I51" s="162">
        <f>J51/$R$1</f>
        <v>47620</v>
      </c>
      <c r="J51" s="162">
        <f>$W$44</f>
        <v>33334</v>
      </c>
    </row>
    <row r="52" spans="1:10" ht="14.25" customHeight="1" x14ac:dyDescent="0.2">
      <c r="A52" s="1461"/>
      <c r="B52" s="209" t="s">
        <v>262</v>
      </c>
      <c r="C52" s="210">
        <f>$I$1</f>
        <v>11.219999999999999</v>
      </c>
      <c r="D52" s="211">
        <f>$E$1</f>
        <v>10200</v>
      </c>
      <c r="E52" s="84"/>
      <c r="F52" s="84"/>
      <c r="G52" s="129" t="s">
        <v>262</v>
      </c>
      <c r="H52" s="527">
        <f>I52/$D$5</f>
        <v>2.3537990778645965</v>
      </c>
      <c r="I52" s="157">
        <f>J52/$R$1</f>
        <v>11208.791208791208</v>
      </c>
      <c r="J52" s="165">
        <f>S32</f>
        <v>7846.1538461538448</v>
      </c>
    </row>
    <row r="53" spans="1:10" ht="14.25" customHeight="1" x14ac:dyDescent="0.2">
      <c r="A53" s="1461"/>
      <c r="B53" s="209" t="s">
        <v>284</v>
      </c>
      <c r="C53" s="212">
        <f>MIN(C52, C51)</f>
        <v>11</v>
      </c>
      <c r="D53" s="211">
        <f>(C53*$K$1)*$C$1</f>
        <v>10000</v>
      </c>
      <c r="E53" s="84"/>
      <c r="F53" s="84"/>
      <c r="G53" s="129" t="s">
        <v>284</v>
      </c>
      <c r="H53" s="168">
        <f>MIN(H52,H51)</f>
        <v>2.3537990778645965</v>
      </c>
      <c r="I53" s="157">
        <f>J53/$R$1</f>
        <v>11208.791208791208</v>
      </c>
      <c r="J53" s="157">
        <f>MIN(J52,J51)</f>
        <v>7846.1538461538448</v>
      </c>
    </row>
    <row r="54" spans="1:10" ht="14.25" customHeight="1" x14ac:dyDescent="0.2">
      <c r="A54" s="1461"/>
      <c r="B54" s="209" t="s">
        <v>285</v>
      </c>
      <c r="C54" s="212">
        <f>MIN(MAX(C52-C53,0),C51)</f>
        <v>0.21999999999999886</v>
      </c>
      <c r="D54" s="211">
        <f>(C54*$K$1)*$C$1</f>
        <v>199.99999999999895</v>
      </c>
      <c r="E54" s="84"/>
      <c r="F54" s="84"/>
      <c r="G54" s="129" t="s">
        <v>285</v>
      </c>
      <c r="H54" s="168">
        <f>MIN(MAX(H52-H53),H51)</f>
        <v>0</v>
      </c>
      <c r="I54" s="157">
        <f>J54/$R$1</f>
        <v>0</v>
      </c>
      <c r="J54" s="157">
        <f>MIN(MAX(J52-J53),J51)</f>
        <v>0</v>
      </c>
    </row>
    <row r="55" spans="1:10" ht="14.25" customHeight="1" x14ac:dyDescent="0.2">
      <c r="A55" s="1461"/>
      <c r="B55" s="209" t="s">
        <v>286</v>
      </c>
      <c r="C55" s="212">
        <f>MIN(MAX(C52-C53-C54,0),C51)</f>
        <v>0</v>
      </c>
      <c r="D55" s="211">
        <f>(C55*$K$1)*$C$1</f>
        <v>0</v>
      </c>
      <c r="E55" s="84"/>
      <c r="F55" s="84"/>
      <c r="G55" s="126" t="s">
        <v>286</v>
      </c>
      <c r="H55" s="168">
        <f>MIN(MAX(H52-H53-H54),H51)</f>
        <v>0</v>
      </c>
      <c r="I55" s="157">
        <f>J55/$R$1</f>
        <v>0</v>
      </c>
      <c r="J55" s="157">
        <f>MIN(MAX(J52-J53-J54),J51)</f>
        <v>0</v>
      </c>
    </row>
    <row r="56" spans="1:10" ht="14.25" customHeight="1" x14ac:dyDescent="0.2">
      <c r="A56" s="1461"/>
      <c r="B56" s="1660"/>
      <c r="C56" s="1655"/>
      <c r="D56" s="1655"/>
      <c r="E56" s="1655"/>
      <c r="F56" s="1655"/>
      <c r="G56" s="1655"/>
      <c r="H56" s="1655"/>
      <c r="I56" s="1655"/>
      <c r="J56" s="1655"/>
    </row>
    <row r="57" spans="1:10" ht="18" customHeight="1" x14ac:dyDescent="0.2">
      <c r="A57" s="1461"/>
      <c r="B57" s="323"/>
      <c r="C57" s="324"/>
      <c r="D57" s="323"/>
      <c r="E57" s="323"/>
      <c r="F57" s="323"/>
      <c r="G57" s="323"/>
      <c r="H57" s="323"/>
      <c r="I57" s="323"/>
      <c r="J57" s="323"/>
    </row>
    <row r="58" spans="1:10" ht="12.75" customHeight="1" x14ac:dyDescent="0.2">
      <c r="A58" s="1461"/>
      <c r="B58" s="11"/>
      <c r="C58" s="325"/>
      <c r="D58" s="325"/>
      <c r="E58" s="309"/>
      <c r="F58" s="117"/>
      <c r="G58" s="118"/>
      <c r="H58" s="119"/>
      <c r="I58" s="76"/>
      <c r="J58" s="120"/>
    </row>
    <row r="59" spans="1:10" ht="14.25" customHeight="1" x14ac:dyDescent="0.2">
      <c r="A59" s="1461"/>
      <c r="B59" s="11"/>
      <c r="C59" s="325"/>
      <c r="D59" s="325"/>
      <c r="E59" s="309"/>
      <c r="F59" s="117"/>
      <c r="G59" s="118"/>
      <c r="H59" s="119"/>
      <c r="I59" s="76"/>
      <c r="J59" s="120"/>
    </row>
    <row r="60" spans="1:10" ht="14.25" customHeight="1" x14ac:dyDescent="0.2">
      <c r="A60" s="1461"/>
      <c r="B60" s="325"/>
      <c r="C60" s="325"/>
      <c r="D60" s="325"/>
      <c r="E60" s="309"/>
      <c r="F60" s="117"/>
      <c r="G60" s="118"/>
      <c r="H60" s="119"/>
      <c r="I60" s="76"/>
      <c r="J60" s="120"/>
    </row>
    <row r="61" spans="1:10" ht="14.25" customHeight="1" x14ac:dyDescent="0.2">
      <c r="A61" s="1461"/>
      <c r="B61" s="1660"/>
      <c r="C61" s="1653"/>
      <c r="D61" s="1653"/>
      <c r="E61" s="1653"/>
      <c r="F61" s="1653"/>
      <c r="G61" s="1653"/>
      <c r="H61" s="1653"/>
    </row>
    <row r="62" spans="1:10" ht="18" customHeight="1" x14ac:dyDescent="0.2">
      <c r="A62" s="1461"/>
      <c r="B62" s="1660"/>
      <c r="C62" s="1653"/>
      <c r="D62" s="1653"/>
      <c r="E62" s="1653"/>
      <c r="F62" s="1653"/>
      <c r="G62" s="1653"/>
      <c r="H62" s="1653"/>
    </row>
    <row r="63" spans="1:10" ht="18" customHeight="1" x14ac:dyDescent="0.2">
      <c r="A63" s="1470"/>
      <c r="B63" s="323"/>
      <c r="C63" s="324"/>
      <c r="D63" s="323"/>
      <c r="E63" s="323"/>
      <c r="F63" s="323"/>
      <c r="G63" s="323"/>
      <c r="H63" s="323"/>
    </row>
    <row r="64" spans="1:10" ht="36" customHeight="1" x14ac:dyDescent="0.2">
      <c r="A64" s="1461"/>
      <c r="B64" s="325"/>
      <c r="C64" s="325"/>
      <c r="D64" s="823"/>
      <c r="E64" s="273"/>
      <c r="F64" s="117"/>
      <c r="G64" s="121"/>
      <c r="H64" s="119"/>
    </row>
    <row r="65" spans="1:14" ht="14.25" customHeight="1" x14ac:dyDescent="0.2">
      <c r="A65" s="1461"/>
      <c r="B65" s="325"/>
      <c r="C65" s="325"/>
      <c r="D65" s="325"/>
      <c r="E65" s="449"/>
      <c r="F65" s="117"/>
      <c r="G65" s="118"/>
      <c r="H65" s="119"/>
      <c r="I65" s="76"/>
      <c r="J65" s="118"/>
      <c r="L65" s="118"/>
      <c r="M65" s="112"/>
      <c r="N65" s="112"/>
    </row>
    <row r="66" spans="1:14" ht="14.25" customHeight="1" x14ac:dyDescent="0.2">
      <c r="A66" s="1461"/>
      <c r="B66" s="325"/>
      <c r="C66" s="325"/>
      <c r="D66" s="325"/>
      <c r="E66" s="449"/>
      <c r="F66" s="117"/>
      <c r="G66" s="118"/>
      <c r="H66" s="119"/>
      <c r="K66" s="112"/>
    </row>
    <row r="67" spans="1:14" ht="14.25" customHeight="1" x14ac:dyDescent="0.2">
      <c r="A67" s="1461"/>
      <c r="B67" s="325"/>
      <c r="C67" s="325"/>
      <c r="D67" s="325"/>
      <c r="E67" s="449"/>
      <c r="F67" s="117"/>
      <c r="G67" s="118"/>
      <c r="H67" s="119"/>
    </row>
    <row r="68" spans="1:14" ht="14.25" customHeight="1" x14ac:dyDescent="0.2">
      <c r="A68" s="1461"/>
      <c r="B68" s="325"/>
      <c r="C68" s="325"/>
      <c r="D68" s="325"/>
      <c r="E68" s="449"/>
      <c r="F68" s="117"/>
      <c r="G68" s="118"/>
      <c r="H68" s="119"/>
    </row>
    <row r="69" spans="1:14" ht="14.25" customHeight="1" x14ac:dyDescent="0.2">
      <c r="A69" s="1461"/>
      <c r="B69" s="325"/>
      <c r="C69" s="325"/>
      <c r="D69" s="325"/>
      <c r="E69" s="449"/>
      <c r="F69" s="117"/>
      <c r="G69" s="118"/>
      <c r="H69" s="119"/>
    </row>
    <row r="70" spans="1:14" ht="14.25" customHeight="1" x14ac:dyDescent="0.2">
      <c r="A70" s="1461"/>
      <c r="B70" s="325"/>
      <c r="C70" s="325"/>
      <c r="D70" s="325"/>
      <c r="E70" s="449"/>
      <c r="F70" s="117"/>
      <c r="G70" s="118"/>
      <c r="H70" s="119"/>
    </row>
    <row r="71" spans="1:14" ht="14.25" customHeight="1" x14ac:dyDescent="0.2">
      <c r="A71" s="1461"/>
      <c r="B71" s="325"/>
      <c r="C71" s="325"/>
      <c r="D71" s="325"/>
      <c r="E71" s="449"/>
      <c r="F71" s="117"/>
      <c r="G71" s="118"/>
      <c r="H71" s="119"/>
    </row>
    <row r="72" spans="1:14" ht="14.25" customHeight="1" x14ac:dyDescent="0.2">
      <c r="A72" s="1461"/>
      <c r="B72" s="325"/>
      <c r="C72" s="325"/>
      <c r="D72" s="325"/>
      <c r="E72" s="449"/>
      <c r="F72" s="117"/>
      <c r="G72" s="118"/>
      <c r="H72" s="119"/>
    </row>
    <row r="73" spans="1:14" ht="14.25" customHeight="1" x14ac:dyDescent="0.2">
      <c r="A73" s="1461"/>
      <c r="B73" s="325"/>
      <c r="C73" s="325"/>
      <c r="D73" s="325"/>
      <c r="E73" s="449"/>
      <c r="F73" s="117"/>
      <c r="G73" s="118"/>
      <c r="H73" s="119"/>
    </row>
    <row r="74" spans="1:14" ht="14.25" customHeight="1" x14ac:dyDescent="0.2">
      <c r="A74" s="1461"/>
      <c r="B74" s="325"/>
      <c r="C74" s="325"/>
      <c r="D74" s="325"/>
      <c r="E74" s="449"/>
      <c r="F74" s="117"/>
      <c r="G74" s="118"/>
      <c r="H74" s="119"/>
    </row>
    <row r="75" spans="1:14" ht="14.25" customHeight="1" x14ac:dyDescent="0.2">
      <c r="A75" s="1461"/>
      <c r="B75" s="84"/>
    </row>
    <row r="76" spans="1:14" ht="12.75" customHeight="1" x14ac:dyDescent="0.2">
      <c r="A76" s="1461"/>
    </row>
    <row r="77" spans="1:14" x14ac:dyDescent="0.2">
      <c r="A77" s="1461"/>
      <c r="E77" s="84"/>
      <c r="F77" s="84"/>
    </row>
    <row r="78" spans="1:14" ht="12.75" customHeight="1" x14ac:dyDescent="0.2">
      <c r="A78" s="1461"/>
      <c r="E78" s="84"/>
      <c r="F78" s="84"/>
    </row>
    <row r="79" spans="1:14" ht="12.75" customHeight="1" x14ac:dyDescent="0.2">
      <c r="A79" s="1461"/>
      <c r="B79" s="1660"/>
      <c r="C79" s="1653"/>
      <c r="D79" s="1653"/>
      <c r="E79" s="1653"/>
      <c r="F79" s="1653"/>
      <c r="G79" s="1653"/>
      <c r="H79" s="1653"/>
    </row>
    <row r="80" spans="1:14" ht="18" customHeight="1" x14ac:dyDescent="0.2">
      <c r="A80" s="1461"/>
      <c r="B80" s="1660"/>
      <c r="C80" s="1653"/>
      <c r="D80" s="1653"/>
      <c r="E80" s="1653"/>
      <c r="F80" s="1653"/>
      <c r="G80" s="1653"/>
      <c r="H80" s="1653"/>
    </row>
    <row r="81" spans="1:8" ht="18" customHeight="1" x14ac:dyDescent="0.2">
      <c r="A81" s="1470"/>
      <c r="B81" s="323"/>
      <c r="C81" s="324"/>
      <c r="D81" s="323"/>
      <c r="E81" s="323"/>
      <c r="F81" s="323"/>
      <c r="G81" s="323"/>
      <c r="H81" s="323"/>
    </row>
    <row r="82" spans="1:8" ht="25.5" customHeight="1" x14ac:dyDescent="0.2">
      <c r="A82" s="1461"/>
      <c r="B82" s="325"/>
      <c r="C82" s="325"/>
      <c r="D82" s="823"/>
      <c r="E82" s="273"/>
      <c r="F82" s="117"/>
      <c r="G82" s="121"/>
      <c r="H82" s="119"/>
    </row>
    <row r="83" spans="1:8" ht="14.25" customHeight="1" x14ac:dyDescent="0.2">
      <c r="A83" s="1461"/>
      <c r="B83" s="325"/>
      <c r="C83" s="325"/>
      <c r="D83" s="325"/>
      <c r="E83" s="449"/>
      <c r="F83" s="117"/>
      <c r="G83" s="118"/>
      <c r="H83" s="119"/>
    </row>
    <row r="84" spans="1:8" ht="14.25" customHeight="1" x14ac:dyDescent="0.2">
      <c r="A84" s="1461"/>
      <c r="B84" s="325"/>
      <c r="C84" s="325"/>
      <c r="D84" s="325"/>
      <c r="E84" s="449"/>
      <c r="F84" s="117"/>
      <c r="G84" s="118"/>
      <c r="H84" s="119"/>
    </row>
    <row r="85" spans="1:8" ht="14.25" customHeight="1" x14ac:dyDescent="0.2">
      <c r="A85" s="1461"/>
      <c r="B85" s="325"/>
      <c r="C85" s="325"/>
      <c r="D85" s="325"/>
      <c r="E85" s="449"/>
      <c r="F85" s="117"/>
      <c r="G85" s="118"/>
      <c r="H85" s="119"/>
    </row>
    <row r="86" spans="1:8" ht="14.25" customHeight="1" x14ac:dyDescent="0.2">
      <c r="A86" s="1461"/>
      <c r="B86" s="325"/>
      <c r="C86" s="325"/>
      <c r="D86" s="325"/>
      <c r="E86" s="449"/>
      <c r="F86" s="117"/>
      <c r="G86" s="118"/>
      <c r="H86" s="119"/>
    </row>
    <row r="87" spans="1:8" ht="14.25" customHeight="1" x14ac:dyDescent="0.2">
      <c r="A87" s="1461"/>
      <c r="B87" s="325"/>
      <c r="C87" s="325"/>
      <c r="D87" s="325"/>
      <c r="E87" s="449"/>
      <c r="F87" s="117"/>
      <c r="G87" s="118"/>
      <c r="H87" s="119"/>
    </row>
    <row r="88" spans="1:8" ht="14.25" customHeight="1" x14ac:dyDescent="0.2">
      <c r="A88" s="1461"/>
      <c r="B88" s="325"/>
      <c r="C88" s="325"/>
      <c r="D88" s="325"/>
      <c r="E88" s="449"/>
      <c r="F88" s="117"/>
      <c r="G88" s="118"/>
      <c r="H88" s="119"/>
    </row>
    <row r="89" spans="1:8" ht="14.25" customHeight="1" x14ac:dyDescent="0.2">
      <c r="A89" s="1461"/>
      <c r="B89" s="325"/>
      <c r="C89" s="325"/>
      <c r="D89" s="325"/>
      <c r="E89" s="449"/>
      <c r="F89" s="117"/>
      <c r="G89" s="118"/>
      <c r="H89" s="119"/>
    </row>
    <row r="90" spans="1:8" ht="14.25" customHeight="1" x14ac:dyDescent="0.2">
      <c r="A90" s="1461"/>
      <c r="B90" s="325"/>
      <c r="C90" s="325"/>
      <c r="D90" s="325"/>
      <c r="E90" s="449"/>
      <c r="F90" s="117"/>
      <c r="G90" s="118"/>
      <c r="H90" s="119"/>
    </row>
    <row r="91" spans="1:8" ht="14.25" customHeight="1" x14ac:dyDescent="0.2">
      <c r="A91" s="1461"/>
      <c r="B91" s="325"/>
      <c r="C91" s="325"/>
      <c r="D91" s="325"/>
      <c r="E91" s="449"/>
      <c r="F91" s="117"/>
      <c r="G91" s="118"/>
      <c r="H91" s="119"/>
    </row>
    <row r="92" spans="1:8" ht="14.25" customHeight="1" x14ac:dyDescent="0.2">
      <c r="A92" s="1461"/>
      <c r="B92" s="325"/>
      <c r="C92" s="325"/>
      <c r="D92" s="325"/>
      <c r="E92" s="449"/>
      <c r="F92" s="117"/>
      <c r="G92" s="118"/>
      <c r="H92" s="119"/>
    </row>
    <row r="93" spans="1:8" ht="14.25" customHeight="1" x14ac:dyDescent="0.2">
      <c r="A93" s="1461"/>
      <c r="B93" s="84"/>
      <c r="E93" s="84"/>
      <c r="F93" s="84"/>
    </row>
    <row r="94" spans="1:8" ht="12.75" customHeight="1" x14ac:dyDescent="0.2">
      <c r="A94" s="1461"/>
      <c r="B94" s="84"/>
      <c r="E94" s="84"/>
      <c r="F94" s="84"/>
    </row>
    <row r="95" spans="1:8" ht="12.75" customHeight="1" x14ac:dyDescent="0.2">
      <c r="A95" s="1461"/>
      <c r="B95" s="84"/>
      <c r="E95" s="84"/>
      <c r="F95" s="84"/>
    </row>
    <row r="96" spans="1:8" ht="12.75" customHeight="1" x14ac:dyDescent="0.2">
      <c r="A96" s="1461"/>
      <c r="B96" s="84"/>
      <c r="E96" s="84"/>
      <c r="F96" s="84"/>
    </row>
    <row r="97" spans="1:6" ht="12.75" customHeight="1" x14ac:dyDescent="0.2">
      <c r="A97" s="1461"/>
      <c r="B97" s="84"/>
      <c r="E97" s="84"/>
      <c r="F97" s="84"/>
    </row>
    <row r="98" spans="1:6" ht="12.75" customHeight="1" x14ac:dyDescent="0.2">
      <c r="A98" s="1461"/>
      <c r="B98" s="84"/>
      <c r="E98" s="84"/>
      <c r="F98" s="84"/>
    </row>
    <row r="99" spans="1:6" ht="12.75" customHeight="1" x14ac:dyDescent="0.2">
      <c r="A99" s="1461"/>
      <c r="B99" s="84"/>
      <c r="E99" s="84"/>
      <c r="F99" s="84"/>
    </row>
    <row r="100" spans="1:6" ht="12.75" customHeight="1" x14ac:dyDescent="0.2">
      <c r="A100" s="1461"/>
      <c r="B100" s="84"/>
      <c r="E100" s="84"/>
      <c r="F100" s="84"/>
    </row>
    <row r="101" spans="1:6" ht="12.75" customHeight="1" x14ac:dyDescent="0.2">
      <c r="A101" s="1461"/>
      <c r="B101" s="84"/>
      <c r="E101" s="84"/>
      <c r="F101" s="84"/>
    </row>
    <row r="102" spans="1:6" ht="12.75" customHeight="1" x14ac:dyDescent="0.2">
      <c r="A102" s="1461"/>
      <c r="B102" s="84"/>
      <c r="E102" s="84"/>
      <c r="F102" s="84"/>
    </row>
    <row r="103" spans="1:6" ht="12.75" customHeight="1" x14ac:dyDescent="0.2">
      <c r="A103" s="1461"/>
      <c r="B103" s="84"/>
      <c r="E103" s="84"/>
      <c r="F103" s="84"/>
    </row>
    <row r="104" spans="1:6" ht="12.75" customHeight="1" x14ac:dyDescent="0.2">
      <c r="A104" s="1461"/>
      <c r="B104" s="84"/>
      <c r="E104" s="84"/>
      <c r="F104" s="84"/>
    </row>
    <row r="105" spans="1:6" ht="12.75" customHeight="1" x14ac:dyDescent="0.2">
      <c r="A105" s="1461"/>
      <c r="B105" s="84"/>
      <c r="E105" s="84"/>
      <c r="F105" s="84"/>
    </row>
    <row r="106" spans="1:6" ht="12.75" customHeight="1" x14ac:dyDescent="0.2">
      <c r="A106" s="1461"/>
      <c r="B106" s="84"/>
      <c r="E106" s="84"/>
      <c r="F106" s="84"/>
    </row>
    <row r="107" spans="1:6" ht="12.75" customHeight="1" x14ac:dyDescent="0.2">
      <c r="A107" s="1461"/>
      <c r="B107" s="84"/>
      <c r="E107" s="84"/>
      <c r="F107" s="84"/>
    </row>
    <row r="108" spans="1:6" ht="12.75" customHeight="1" x14ac:dyDescent="0.2">
      <c r="A108" s="1461"/>
      <c r="B108" s="84"/>
      <c r="E108" s="84"/>
      <c r="F108" s="84"/>
    </row>
    <row r="109" spans="1:6" ht="12.75" customHeight="1" x14ac:dyDescent="0.2">
      <c r="A109" s="1461"/>
      <c r="B109" s="84"/>
      <c r="E109" s="84"/>
      <c r="F109" s="84"/>
    </row>
    <row r="110" spans="1:6" ht="12.75" customHeight="1" x14ac:dyDescent="0.2">
      <c r="A110" s="1461"/>
      <c r="B110" s="84"/>
      <c r="E110" s="84"/>
      <c r="F110" s="84"/>
    </row>
    <row r="111" spans="1:6" ht="12.75" customHeight="1" x14ac:dyDescent="0.2">
      <c r="A111" s="1461"/>
      <c r="B111" s="84"/>
      <c r="E111" s="84"/>
      <c r="F111" s="84"/>
    </row>
    <row r="112" spans="1:6" ht="12.75" customHeight="1" x14ac:dyDescent="0.2">
      <c r="A112" s="1461"/>
      <c r="B112" s="84"/>
      <c r="E112" s="84"/>
      <c r="F112" s="84"/>
    </row>
    <row r="113" spans="1:6" ht="12.75" customHeight="1" x14ac:dyDescent="0.2">
      <c r="A113" s="1461"/>
      <c r="B113" s="84"/>
      <c r="E113" s="84"/>
      <c r="F113" s="84"/>
    </row>
    <row r="114" spans="1:6" ht="12.75" customHeight="1" x14ac:dyDescent="0.2">
      <c r="A114" s="1461"/>
      <c r="B114" s="84"/>
      <c r="E114" s="84"/>
      <c r="F114" s="84"/>
    </row>
    <row r="115" spans="1:6" ht="12.75" customHeight="1" x14ac:dyDescent="0.2">
      <c r="A115" s="1461"/>
      <c r="B115" s="84"/>
      <c r="E115" s="84"/>
      <c r="F115" s="84"/>
    </row>
    <row r="116" spans="1:6" ht="12.75" customHeight="1" x14ac:dyDescent="0.2">
      <c r="A116" s="1461"/>
      <c r="B116" s="84"/>
      <c r="E116" s="84"/>
      <c r="F116" s="84"/>
    </row>
    <row r="117" spans="1:6" ht="12.75" customHeight="1" x14ac:dyDescent="0.2">
      <c r="A117" s="1461"/>
      <c r="B117" s="84"/>
      <c r="E117" s="84"/>
      <c r="F117" s="84"/>
    </row>
    <row r="118" spans="1:6" ht="12.75" customHeight="1" x14ac:dyDescent="0.2">
      <c r="A118" s="1461"/>
      <c r="B118" s="84"/>
      <c r="E118" s="84"/>
      <c r="F118" s="84"/>
    </row>
    <row r="119" spans="1:6" ht="12.75" customHeight="1" x14ac:dyDescent="0.2">
      <c r="A119" s="1461"/>
      <c r="B119" s="84"/>
      <c r="E119" s="84"/>
      <c r="F119" s="84"/>
    </row>
    <row r="120" spans="1:6" ht="12.75" customHeight="1" x14ac:dyDescent="0.2">
      <c r="A120" s="1461"/>
      <c r="B120" s="84"/>
      <c r="E120" s="84"/>
      <c r="F120" s="84"/>
    </row>
    <row r="121" spans="1:6" ht="12.75" customHeight="1" x14ac:dyDescent="0.2">
      <c r="A121" s="1461"/>
      <c r="B121" s="84"/>
      <c r="E121" s="84"/>
      <c r="F121" s="84"/>
    </row>
    <row r="122" spans="1:6" ht="12.75" customHeight="1" x14ac:dyDescent="0.2">
      <c r="A122" s="1461"/>
      <c r="B122" s="84"/>
      <c r="E122" s="84"/>
      <c r="F122" s="84"/>
    </row>
    <row r="123" spans="1:6" ht="12.75" customHeight="1" x14ac:dyDescent="0.2">
      <c r="A123" s="1461"/>
      <c r="B123" s="84"/>
      <c r="E123" s="84"/>
      <c r="F123" s="84"/>
    </row>
    <row r="124" spans="1:6" ht="12.75" customHeight="1" x14ac:dyDescent="0.2">
      <c r="A124" s="1461"/>
      <c r="B124" s="84"/>
      <c r="E124" s="84"/>
      <c r="F124" s="84"/>
    </row>
    <row r="125" spans="1:6" ht="12.75" customHeight="1" x14ac:dyDescent="0.2">
      <c r="A125" s="1461"/>
      <c r="B125" s="84"/>
      <c r="E125" s="84"/>
      <c r="F125" s="84"/>
    </row>
    <row r="126" spans="1:6" ht="12.75" customHeight="1" x14ac:dyDescent="0.2">
      <c r="A126" s="1461"/>
      <c r="B126" s="84"/>
      <c r="E126" s="84"/>
      <c r="F126" s="84"/>
    </row>
    <row r="127" spans="1:6" ht="12.75" customHeight="1" x14ac:dyDescent="0.2">
      <c r="A127" s="1461"/>
      <c r="B127" s="84"/>
      <c r="E127" s="84"/>
      <c r="F127" s="84"/>
    </row>
    <row r="128" spans="1:6" ht="12.75" customHeight="1" x14ac:dyDescent="0.2">
      <c r="A128" s="1461"/>
      <c r="B128" s="84"/>
      <c r="E128" s="84"/>
      <c r="F128" s="84"/>
    </row>
    <row r="129" spans="1:6" ht="12.75" customHeight="1" x14ac:dyDescent="0.2">
      <c r="A129" s="1461"/>
      <c r="B129" s="84"/>
      <c r="E129" s="84"/>
      <c r="F129" s="84"/>
    </row>
    <row r="130" spans="1:6" ht="12.75" customHeight="1" x14ac:dyDescent="0.2">
      <c r="A130" s="1461"/>
      <c r="B130" s="84"/>
      <c r="E130" s="84"/>
      <c r="F130" s="84"/>
    </row>
    <row r="131" spans="1:6" ht="12.75" customHeight="1" x14ac:dyDescent="0.2">
      <c r="A131" s="1461"/>
      <c r="B131" s="84"/>
      <c r="E131" s="84"/>
      <c r="F131" s="84"/>
    </row>
    <row r="132" spans="1:6" ht="12.75" customHeight="1" x14ac:dyDescent="0.2">
      <c r="A132" s="1461"/>
      <c r="B132" s="84"/>
      <c r="E132" s="84"/>
      <c r="F132" s="84"/>
    </row>
    <row r="133" spans="1:6" ht="12.75" customHeight="1" x14ac:dyDescent="0.2">
      <c r="A133" s="1461"/>
      <c r="B133" s="84"/>
      <c r="E133" s="84"/>
      <c r="F133" s="84"/>
    </row>
    <row r="134" spans="1:6" ht="12.75" customHeight="1" x14ac:dyDescent="0.2">
      <c r="A134" s="1461"/>
      <c r="B134" s="84"/>
      <c r="E134" s="84"/>
      <c r="F134" s="84"/>
    </row>
    <row r="135" spans="1:6" ht="12.75" customHeight="1" x14ac:dyDescent="0.2">
      <c r="A135" s="1461"/>
      <c r="B135" s="84"/>
      <c r="E135" s="84"/>
      <c r="F135" s="84"/>
    </row>
    <row r="136" spans="1:6" ht="12.75" customHeight="1" x14ac:dyDescent="0.2">
      <c r="A136" s="1461"/>
      <c r="B136" s="84"/>
      <c r="E136" s="84"/>
      <c r="F136" s="84"/>
    </row>
    <row r="137" spans="1:6" ht="12.75" customHeight="1" x14ac:dyDescent="0.2">
      <c r="A137" s="1461"/>
      <c r="B137" s="84"/>
      <c r="E137" s="84"/>
      <c r="F137" s="84"/>
    </row>
    <row r="138" spans="1:6" ht="12.75" customHeight="1" x14ac:dyDescent="0.2">
      <c r="A138" s="1461"/>
      <c r="B138" s="84"/>
      <c r="E138" s="84"/>
      <c r="F138" s="84"/>
    </row>
    <row r="139" spans="1:6" ht="12.75" customHeight="1" x14ac:dyDescent="0.2">
      <c r="A139" s="1461"/>
      <c r="B139" s="84"/>
      <c r="E139" s="84"/>
      <c r="F139" s="84"/>
    </row>
    <row r="140" spans="1:6" ht="12.75" customHeight="1" x14ac:dyDescent="0.2">
      <c r="A140" s="1461"/>
      <c r="B140" s="84"/>
      <c r="E140" s="84"/>
      <c r="F140" s="84"/>
    </row>
    <row r="141" spans="1:6" ht="12.75" customHeight="1" x14ac:dyDescent="0.2">
      <c r="A141" s="1461"/>
      <c r="B141" s="84"/>
      <c r="E141" s="84"/>
      <c r="F141" s="84"/>
    </row>
    <row r="142" spans="1:6" ht="12.75" customHeight="1" x14ac:dyDescent="0.2">
      <c r="A142" s="1461"/>
      <c r="B142" s="84"/>
      <c r="E142" s="84"/>
      <c r="F142" s="84"/>
    </row>
    <row r="143" spans="1:6" ht="12.75" customHeight="1" x14ac:dyDescent="0.2">
      <c r="A143" s="1461"/>
      <c r="B143" s="84"/>
      <c r="E143" s="84"/>
      <c r="F143" s="84"/>
    </row>
    <row r="144" spans="1:6" ht="12.75" customHeight="1" x14ac:dyDescent="0.2">
      <c r="A144" s="1461"/>
      <c r="B144" s="84"/>
      <c r="E144" s="84"/>
      <c r="F144" s="84"/>
    </row>
    <row r="145" spans="1:6" ht="12.75" customHeight="1" x14ac:dyDescent="0.2">
      <c r="A145" s="1461"/>
      <c r="B145" s="84"/>
      <c r="E145" s="84"/>
      <c r="F145" s="84"/>
    </row>
    <row r="146" spans="1:6" ht="12.75" customHeight="1" x14ac:dyDescent="0.2">
      <c r="A146" s="1461"/>
      <c r="B146" s="84"/>
      <c r="E146" s="84"/>
      <c r="F146" s="84"/>
    </row>
    <row r="147" spans="1:6" ht="12.75" customHeight="1" x14ac:dyDescent="0.2">
      <c r="A147" s="1461"/>
      <c r="B147" s="84"/>
      <c r="E147" s="84"/>
      <c r="F147" s="84"/>
    </row>
    <row r="148" spans="1:6" ht="12.75" customHeight="1" x14ac:dyDescent="0.2">
      <c r="A148" s="1461"/>
      <c r="B148" s="84"/>
      <c r="E148" s="84"/>
      <c r="F148" s="84"/>
    </row>
    <row r="149" spans="1:6" ht="12.75" customHeight="1" x14ac:dyDescent="0.2">
      <c r="A149" s="1461"/>
      <c r="B149" s="84"/>
      <c r="E149" s="84"/>
      <c r="F149" s="84"/>
    </row>
    <row r="150" spans="1:6" ht="12.75" customHeight="1" x14ac:dyDescent="0.2">
      <c r="A150" s="1461"/>
      <c r="B150" s="84"/>
      <c r="E150" s="84"/>
      <c r="F150" s="84"/>
    </row>
    <row r="151" spans="1:6" ht="12.75" customHeight="1" x14ac:dyDescent="0.2">
      <c r="A151" s="1461"/>
      <c r="B151" s="84"/>
      <c r="E151" s="84"/>
      <c r="F151" s="84"/>
    </row>
    <row r="152" spans="1:6" ht="12.75" customHeight="1" x14ac:dyDescent="0.2">
      <c r="A152" s="1461"/>
      <c r="B152" s="84"/>
      <c r="E152" s="84"/>
      <c r="F152" s="84"/>
    </row>
    <row r="153" spans="1:6" ht="12.75" customHeight="1" x14ac:dyDescent="0.2">
      <c r="A153" s="1461"/>
      <c r="B153" s="84"/>
      <c r="E153" s="84"/>
      <c r="F153" s="84"/>
    </row>
    <row r="154" spans="1:6" ht="12.75" customHeight="1" x14ac:dyDescent="0.2">
      <c r="A154" s="1461"/>
      <c r="B154" s="84"/>
      <c r="E154" s="84"/>
      <c r="F154" s="84"/>
    </row>
    <row r="155" spans="1:6" ht="12.75" customHeight="1" x14ac:dyDescent="0.2">
      <c r="A155" s="1461"/>
      <c r="B155" s="84"/>
      <c r="E155" s="84"/>
      <c r="F155" s="84"/>
    </row>
    <row r="156" spans="1:6" ht="12.75" customHeight="1" x14ac:dyDescent="0.2">
      <c r="A156" s="1461"/>
      <c r="B156" s="84"/>
      <c r="E156" s="84"/>
      <c r="F156" s="84"/>
    </row>
    <row r="157" spans="1:6" ht="12.75" customHeight="1" x14ac:dyDescent="0.2">
      <c r="A157" s="1461"/>
      <c r="B157" s="84"/>
      <c r="E157" s="84"/>
      <c r="F157" s="84"/>
    </row>
    <row r="158" spans="1:6" ht="12.75" customHeight="1" x14ac:dyDescent="0.2">
      <c r="A158" s="1461"/>
      <c r="B158" s="84"/>
      <c r="E158" s="84"/>
      <c r="F158" s="84"/>
    </row>
    <row r="159" spans="1:6" ht="12.75" customHeight="1" x14ac:dyDescent="0.2">
      <c r="A159" s="1461"/>
      <c r="B159" s="84"/>
      <c r="E159" s="84"/>
      <c r="F159" s="84"/>
    </row>
    <row r="160" spans="1:6" ht="12.75" customHeight="1" x14ac:dyDescent="0.2">
      <c r="A160" s="1461"/>
      <c r="B160" s="84"/>
      <c r="E160" s="84"/>
      <c r="F160" s="84"/>
    </row>
    <row r="161" spans="1:6" ht="12.75" customHeight="1" x14ac:dyDescent="0.2">
      <c r="A161" s="1461"/>
      <c r="B161" s="84"/>
      <c r="E161" s="84"/>
      <c r="F161" s="84"/>
    </row>
    <row r="162" spans="1:6" ht="12.75" customHeight="1" x14ac:dyDescent="0.2">
      <c r="A162" s="1461"/>
      <c r="B162" s="84"/>
      <c r="E162" s="84"/>
      <c r="F162" s="84"/>
    </row>
    <row r="163" spans="1:6" ht="12.75" customHeight="1" x14ac:dyDescent="0.2">
      <c r="A163" s="1461"/>
      <c r="B163" s="84"/>
      <c r="E163" s="84"/>
      <c r="F163" s="84"/>
    </row>
    <row r="164" spans="1:6" ht="12.75" customHeight="1" x14ac:dyDescent="0.2">
      <c r="A164" s="1461"/>
      <c r="B164" s="84"/>
      <c r="E164" s="84"/>
      <c r="F164" s="84"/>
    </row>
    <row r="165" spans="1:6" ht="12.75" customHeight="1" x14ac:dyDescent="0.2">
      <c r="A165" s="1461"/>
      <c r="B165" s="84"/>
      <c r="E165" s="84"/>
      <c r="F165" s="84"/>
    </row>
    <row r="166" spans="1:6" ht="12.75" customHeight="1" x14ac:dyDescent="0.2">
      <c r="A166" s="1461"/>
      <c r="B166" s="84"/>
      <c r="E166" s="84"/>
      <c r="F166" s="84"/>
    </row>
    <row r="167" spans="1:6" ht="12.75" customHeight="1" x14ac:dyDescent="0.2">
      <c r="A167" s="1461"/>
      <c r="B167" s="84"/>
      <c r="E167" s="84"/>
      <c r="F167" s="84"/>
    </row>
    <row r="168" spans="1:6" ht="12.75" customHeight="1" x14ac:dyDescent="0.2">
      <c r="A168" s="1461"/>
      <c r="B168" s="84"/>
      <c r="E168" s="84"/>
      <c r="F168" s="84"/>
    </row>
    <row r="169" spans="1:6" ht="12.75" customHeight="1" x14ac:dyDescent="0.2">
      <c r="A169" s="1461"/>
      <c r="B169" s="84"/>
      <c r="E169" s="84"/>
      <c r="F169" s="84"/>
    </row>
    <row r="170" spans="1:6" ht="12.75" customHeight="1" x14ac:dyDescent="0.2">
      <c r="A170" s="1461"/>
      <c r="B170" s="84"/>
      <c r="E170" s="84"/>
      <c r="F170" s="84"/>
    </row>
    <row r="171" spans="1:6" ht="12.75" customHeight="1" x14ac:dyDescent="0.2">
      <c r="A171" s="1461"/>
      <c r="B171" s="84"/>
      <c r="E171" s="84"/>
      <c r="F171" s="84"/>
    </row>
    <row r="172" spans="1:6" ht="12.75" customHeight="1" x14ac:dyDescent="0.2">
      <c r="A172" s="1461"/>
      <c r="B172" s="84"/>
      <c r="E172" s="84"/>
      <c r="F172" s="84"/>
    </row>
    <row r="173" spans="1:6" ht="12.75" customHeight="1" x14ac:dyDescent="0.2">
      <c r="A173" s="1461"/>
      <c r="B173" s="84"/>
      <c r="E173" s="84"/>
      <c r="F173" s="84"/>
    </row>
    <row r="174" spans="1:6" ht="12.75" customHeight="1" x14ac:dyDescent="0.2">
      <c r="A174" s="1461"/>
      <c r="B174" s="84"/>
      <c r="E174" s="84"/>
      <c r="F174" s="84"/>
    </row>
    <row r="175" spans="1:6" ht="12.75" customHeight="1" x14ac:dyDescent="0.2">
      <c r="B175" s="84"/>
      <c r="E175" s="84"/>
      <c r="F175" s="84"/>
    </row>
    <row r="176" spans="1: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row r="972" spans="2:6" ht="12.75" customHeight="1" x14ac:dyDescent="0.2">
      <c r="B972" s="84"/>
      <c r="E972" s="84"/>
      <c r="F972" s="84"/>
    </row>
    <row r="973" spans="2:6" ht="12.75" customHeight="1" x14ac:dyDescent="0.2"/>
  </sheetData>
  <mergeCells count="12">
    <mergeCell ref="B35:J35"/>
    <mergeCell ref="B36:J36"/>
    <mergeCell ref="B2:H3"/>
    <mergeCell ref="B41:J41"/>
    <mergeCell ref="R25:U25"/>
    <mergeCell ref="R26:U26"/>
    <mergeCell ref="B61:H61"/>
    <mergeCell ref="B80:H80"/>
    <mergeCell ref="B62:H62"/>
    <mergeCell ref="B79:H79"/>
    <mergeCell ref="B42:J42"/>
    <mergeCell ref="B56:J56"/>
  </mergeCells>
  <printOptions horizontalCentered="1"/>
  <pageMargins left="0.5" right="0.5" top="1" bottom="0.5" header="0.3" footer="0.511811023622047"/>
  <pageSetup paperSize="9" scale="30" orientation="portrait" r:id="rId1"/>
  <legacy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B36CA-2F54-4F3A-9110-69D13A526155}">
  <sheetPr codeName="Sheet85">
    <tabColor rgb="FFFFFF00"/>
    <outlinePr summaryBelow="0" summaryRight="0"/>
    <pageSetUpPr fitToPage="1"/>
  </sheetPr>
  <dimension ref="A1:AD962"/>
  <sheetViews>
    <sheetView zoomScale="55" zoomScaleNormal="55" workbookViewId="0">
      <selection activeCell="A3" sqref="A2:H9"/>
    </sheetView>
  </sheetViews>
  <sheetFormatPr defaultColWidth="12.5" defaultRowHeight="12.75" x14ac:dyDescent="0.2"/>
  <cols>
    <col min="1" max="1" width="12.5" style="599"/>
    <col min="2" max="2" width="31.375" style="599" bestFit="1" customWidth="1"/>
    <col min="3" max="3" width="24" style="599" customWidth="1"/>
    <col min="4" max="4" width="19" style="599" customWidth="1"/>
    <col min="5" max="5" width="16.125" style="599" bestFit="1" customWidth="1"/>
    <col min="6" max="6" width="23" style="599" customWidth="1"/>
    <col min="7" max="7" width="25.125" style="599" customWidth="1"/>
    <col min="8" max="8" width="36.125" style="599" bestFit="1" customWidth="1"/>
    <col min="9" max="10" width="12.5" style="599"/>
    <col min="11" max="11" width="10.875" style="599" customWidth="1"/>
    <col min="12" max="12" width="8.375" style="599" customWidth="1"/>
    <col min="13" max="17" width="3.625" style="599" customWidth="1"/>
    <col min="18" max="19" width="12.5" style="599"/>
    <col min="20" max="24" width="4.375" style="599" customWidth="1"/>
    <col min="25" max="16384" width="12.5" style="599"/>
  </cols>
  <sheetData>
    <row r="1" spans="1:30" ht="28.5" customHeight="1" x14ac:dyDescent="0.2">
      <c r="A1" s="14"/>
      <c r="B1" s="590" t="s">
        <v>231</v>
      </c>
      <c r="C1" s="595">
        <v>1000</v>
      </c>
      <c r="D1" s="596" t="s">
        <v>232</v>
      </c>
      <c r="E1" s="597">
        <f>S29</f>
        <v>11650</v>
      </c>
      <c r="F1" s="590" t="s">
        <v>233</v>
      </c>
      <c r="G1" s="597">
        <f>E1/C1</f>
        <v>11.65</v>
      </c>
      <c r="H1" s="590" t="s">
        <v>234</v>
      </c>
      <c r="I1" s="700">
        <f>G1/K1</f>
        <v>11.534653465346535</v>
      </c>
      <c r="J1" s="701" t="s">
        <v>235</v>
      </c>
      <c r="K1" s="702">
        <v>1.01</v>
      </c>
      <c r="L1" s="598"/>
      <c r="M1" s="598"/>
      <c r="N1" s="598"/>
      <c r="O1" s="598"/>
      <c r="P1" s="598"/>
      <c r="Q1" s="598"/>
      <c r="R1" s="598"/>
      <c r="S1" s="598"/>
      <c r="T1" s="598"/>
      <c r="U1" s="598"/>
      <c r="V1" s="598"/>
      <c r="Y1" s="75" t="s">
        <v>453</v>
      </c>
      <c r="Z1" s="766">
        <v>11650</v>
      </c>
      <c r="AA1" s="75" t="s">
        <v>556</v>
      </c>
      <c r="AB1" s="766">
        <v>0</v>
      </c>
      <c r="AC1" s="75" t="s">
        <v>546</v>
      </c>
      <c r="AD1" s="766">
        <v>79</v>
      </c>
    </row>
    <row r="2" spans="1:30" ht="12.75" customHeight="1" x14ac:dyDescent="0.2">
      <c r="A2" s="306"/>
      <c r="B2" s="1675" t="s">
        <v>516</v>
      </c>
      <c r="C2" s="1675"/>
      <c r="D2" s="1675"/>
      <c r="E2" s="1675"/>
      <c r="F2" s="1675"/>
      <c r="G2" s="1675"/>
      <c r="H2" s="1675"/>
      <c r="I2" s="703"/>
      <c r="J2" s="703"/>
      <c r="K2" s="703"/>
      <c r="L2" s="598"/>
      <c r="M2" s="598"/>
      <c r="N2" s="598"/>
      <c r="O2" s="598"/>
      <c r="P2" s="598"/>
      <c r="Q2" s="598"/>
      <c r="R2" s="598"/>
      <c r="S2" s="598"/>
      <c r="T2" s="598"/>
      <c r="U2" s="598"/>
    </row>
    <row r="3" spans="1:30" ht="12.75" customHeight="1" x14ac:dyDescent="0.2">
      <c r="A3" s="306"/>
      <c r="B3" s="1676"/>
      <c r="C3" s="1676"/>
      <c r="D3" s="1676"/>
      <c r="E3" s="1676"/>
      <c r="F3" s="1676"/>
      <c r="G3" s="1676"/>
      <c r="H3" s="1676"/>
      <c r="I3" s="703"/>
      <c r="J3" s="703"/>
      <c r="K3" s="703"/>
      <c r="L3" s="598"/>
      <c r="M3" s="598"/>
      <c r="N3" s="598"/>
      <c r="O3" s="598"/>
      <c r="P3" s="598"/>
      <c r="Q3" s="598"/>
      <c r="R3" s="598"/>
      <c r="S3" s="598"/>
      <c r="T3" s="598"/>
      <c r="U3" s="598"/>
    </row>
    <row r="4" spans="1:30" ht="69" customHeight="1" x14ac:dyDescent="0.2">
      <c r="A4" s="75" t="s">
        <v>903</v>
      </c>
      <c r="B4" s="600" t="s">
        <v>241</v>
      </c>
      <c r="C4" s="601" t="s">
        <v>242</v>
      </c>
      <c r="D4" s="600" t="s">
        <v>231</v>
      </c>
      <c r="E4" s="602" t="s">
        <v>234</v>
      </c>
      <c r="F4" s="603" t="s">
        <v>243</v>
      </c>
      <c r="G4" s="600" t="s">
        <v>244</v>
      </c>
      <c r="H4" s="698" t="s">
        <v>512</v>
      </c>
      <c r="I4" s="75" t="s">
        <v>246</v>
      </c>
      <c r="J4" s="75" t="s">
        <v>247</v>
      </c>
      <c r="K4" s="75" t="s">
        <v>248</v>
      </c>
      <c r="L4" s="75" t="s">
        <v>249</v>
      </c>
      <c r="M4" s="598"/>
      <c r="N4" s="598"/>
      <c r="O4" s="598"/>
      <c r="P4" s="598"/>
      <c r="Q4" s="598"/>
      <c r="R4" s="598"/>
      <c r="S4" s="598"/>
      <c r="T4" s="598"/>
      <c r="U4" s="598"/>
    </row>
    <row r="5" spans="1:30" x14ac:dyDescent="0.2">
      <c r="A5" s="1470"/>
      <c r="B5" s="704"/>
      <c r="C5" s="705"/>
      <c r="D5" s="704"/>
      <c r="E5" s="706"/>
      <c r="F5" s="704"/>
      <c r="G5" s="704"/>
      <c r="H5" s="707"/>
      <c r="I5" s="65"/>
      <c r="J5" s="101"/>
      <c r="K5" s="104"/>
      <c r="L5" s="104"/>
    </row>
    <row r="6" spans="1:30" ht="15" x14ac:dyDescent="0.2">
      <c r="B6" s="604" t="s">
        <v>517</v>
      </c>
      <c r="C6" s="605" t="s">
        <v>14</v>
      </c>
      <c r="D6" s="976">
        <v>330</v>
      </c>
      <c r="E6" s="607">
        <f>$I$1</f>
        <v>11.534653465346535</v>
      </c>
      <c r="F6" s="608">
        <v>1</v>
      </c>
      <c r="G6" s="609">
        <f>D6*E6</f>
        <v>3806.4356435643567</v>
      </c>
      <c r="H6" s="699">
        <f>G6*F6</f>
        <v>3806.4356435643567</v>
      </c>
      <c r="I6" s="65">
        <f>VLOOKUP(B6,All_Ingredients!$A$1:$F$156,6,FALSE())</f>
        <v>1</v>
      </c>
      <c r="J6" s="101">
        <f>VLOOKUP(B6,All_Ingredients!$A$1:$J$156,10,FALSE())</f>
        <v>9.0740740740740726</v>
      </c>
      <c r="K6" s="104">
        <f t="shared" ref="K6" si="0">(H6/I6)/1000</f>
        <v>3.8064356435643569</v>
      </c>
      <c r="L6" s="104">
        <f t="shared" ref="L6" si="1">K6*J6</f>
        <v>34.539878987898788</v>
      </c>
    </row>
    <row r="7" spans="1:30" ht="15" x14ac:dyDescent="0.2">
      <c r="B7" s="604" t="s">
        <v>203</v>
      </c>
      <c r="C7" s="1213" t="s">
        <v>160</v>
      </c>
      <c r="D7" s="606">
        <v>8000</v>
      </c>
      <c r="E7" s="606">
        <f>$I$1</f>
        <v>11.534653465346535</v>
      </c>
      <c r="F7" s="608">
        <v>1</v>
      </c>
      <c r="G7" s="609">
        <f>D7*E7</f>
        <v>92277.227722772281</v>
      </c>
      <c r="H7" s="699">
        <f>G7*F7</f>
        <v>92277.227722772281</v>
      </c>
      <c r="I7" s="65">
        <f>VLOOKUP(B7,All_Ingredients!$A$1:$F$156,6,FALSE())</f>
        <v>1</v>
      </c>
      <c r="J7" s="101">
        <f>VLOOKUP(B7,All_Ingredients!$A$1:$J$156,10,FALSE())</f>
        <v>0</v>
      </c>
      <c r="K7" s="104">
        <f t="shared" ref="K7:K9" si="2">(H7/I7)/1000</f>
        <v>92.277227722772281</v>
      </c>
      <c r="L7" s="104">
        <f t="shared" ref="L7:L9" si="3">K7*J7</f>
        <v>0</v>
      </c>
    </row>
    <row r="8" spans="1:30" ht="15" x14ac:dyDescent="0.2">
      <c r="B8" s="604" t="s">
        <v>93</v>
      </c>
      <c r="C8" s="605" t="s">
        <v>14</v>
      </c>
      <c r="D8" s="606">
        <v>10</v>
      </c>
      <c r="E8" s="606">
        <f>$I$1</f>
        <v>11.534653465346535</v>
      </c>
      <c r="F8" s="608">
        <v>1</v>
      </c>
      <c r="G8" s="609">
        <f>D8*E8</f>
        <v>115.34653465346535</v>
      </c>
      <c r="H8" s="699">
        <f>G8*F8</f>
        <v>115.34653465346535</v>
      </c>
      <c r="I8" s="65">
        <f>VLOOKUP(B8,All_Ingredients!$A$1:$F$156,6,FALSE())</f>
        <v>1</v>
      </c>
      <c r="J8" s="101">
        <f>VLOOKUP(B8,All_Ingredients!$A$1:$J$156,10,FALSE())</f>
        <v>0.74</v>
      </c>
      <c r="K8" s="104">
        <f t="shared" si="2"/>
        <v>0.11534653465346535</v>
      </c>
      <c r="L8" s="104">
        <f t="shared" si="3"/>
        <v>8.5356435643564363E-2</v>
      </c>
    </row>
    <row r="9" spans="1:30" ht="15" x14ac:dyDescent="0.2">
      <c r="B9" s="604" t="s">
        <v>211</v>
      </c>
      <c r="C9" s="605" t="s">
        <v>14</v>
      </c>
      <c r="D9" s="606">
        <v>5</v>
      </c>
      <c r="E9" s="606">
        <f>$I$1</f>
        <v>11.534653465346535</v>
      </c>
      <c r="F9" s="608">
        <v>1</v>
      </c>
      <c r="G9" s="609">
        <f>D9*E9</f>
        <v>57.673267326732677</v>
      </c>
      <c r="H9" s="699">
        <f>G9*F9</f>
        <v>57.673267326732677</v>
      </c>
      <c r="I9" s="65">
        <f>VLOOKUP(B9,All_Ingredients!$A$1:$F$156,6,FALSE())</f>
        <v>1</v>
      </c>
      <c r="J9" s="101">
        <f>VLOOKUP(B9,All_Ingredients!$A$1:$J$156,10,FALSE())</f>
        <v>15.5</v>
      </c>
      <c r="K9" s="104">
        <f t="shared" si="2"/>
        <v>5.7673267326732676E-2</v>
      </c>
      <c r="L9" s="104">
        <f t="shared" si="3"/>
        <v>0.89393564356435651</v>
      </c>
    </row>
    <row r="10" spans="1:30" ht="15" x14ac:dyDescent="0.2">
      <c r="B10" s="611"/>
      <c r="C10" s="612"/>
      <c r="D10" s="613"/>
      <c r="E10" s="614"/>
      <c r="F10" s="615"/>
      <c r="G10" s="616"/>
      <c r="H10" s="617"/>
    </row>
    <row r="11" spans="1:30" x14ac:dyDescent="0.2">
      <c r="E11" s="598"/>
      <c r="F11" s="598"/>
    </row>
    <row r="12" spans="1:30" x14ac:dyDescent="0.2">
      <c r="E12" s="598"/>
      <c r="F12" s="598"/>
    </row>
    <row r="13" spans="1:30" x14ac:dyDescent="0.2">
      <c r="E13" s="598"/>
      <c r="F13" s="598"/>
    </row>
    <row r="14" spans="1:30" x14ac:dyDescent="0.2">
      <c r="E14" s="598"/>
      <c r="F14" s="598"/>
    </row>
    <row r="15" spans="1:30" x14ac:dyDescent="0.2">
      <c r="E15" s="598"/>
      <c r="F15" s="598"/>
    </row>
    <row r="16" spans="1:30" x14ac:dyDescent="0.2">
      <c r="E16" s="598"/>
      <c r="F16" s="598"/>
    </row>
    <row r="17" spans="2:29" x14ac:dyDescent="0.2">
      <c r="E17" s="598"/>
      <c r="F17" s="598"/>
    </row>
    <row r="18" spans="2:29" x14ac:dyDescent="0.2">
      <c r="B18" s="598"/>
      <c r="E18" s="598"/>
      <c r="F18" s="598"/>
    </row>
    <row r="24" spans="2:29" x14ac:dyDescent="0.2">
      <c r="Z24" s="1130"/>
    </row>
    <row r="25" spans="2:29" ht="14.25" x14ac:dyDescent="0.2">
      <c r="R25" s="1677" t="s">
        <v>518</v>
      </c>
      <c r="S25" s="1677"/>
      <c r="Z25" s="122" t="s">
        <v>14</v>
      </c>
      <c r="AA25" s="123">
        <v>1</v>
      </c>
      <c r="AB25" s="122" t="s">
        <v>249</v>
      </c>
      <c r="AC25" s="124">
        <f>(S32/S29)*AA25</f>
        <v>3.0488558855885583E-3</v>
      </c>
    </row>
    <row r="26" spans="2:29" ht="14.25" x14ac:dyDescent="0.2">
      <c r="R26" s="619" t="s">
        <v>254</v>
      </c>
      <c r="S26" s="619" t="s">
        <v>799</v>
      </c>
    </row>
    <row r="27" spans="2:29" ht="14.25" x14ac:dyDescent="0.2">
      <c r="R27" s="619" t="s">
        <v>511</v>
      </c>
      <c r="S27" s="724">
        <f>Z1</f>
        <v>11650</v>
      </c>
    </row>
    <row r="28" spans="2:29" ht="14.25" x14ac:dyDescent="0.2">
      <c r="R28" s="619" t="s">
        <v>265</v>
      </c>
      <c r="S28" s="1257">
        <f>AB1</f>
        <v>0</v>
      </c>
    </row>
    <row r="29" spans="2:29" ht="15" x14ac:dyDescent="0.2">
      <c r="R29" s="619" t="s">
        <v>257</v>
      </c>
      <c r="S29" s="1258">
        <f>S27+S28</f>
        <v>11650</v>
      </c>
    </row>
    <row r="31" spans="2:29" ht="13.5" thickBot="1" x14ac:dyDescent="0.25"/>
    <row r="32" spans="2:29" ht="13.5" thickBot="1" x14ac:dyDescent="0.25">
      <c r="R32" s="144" t="s">
        <v>249</v>
      </c>
      <c r="S32" s="990">
        <f>SUM(L5:L9)</f>
        <v>35.519171067106704</v>
      </c>
    </row>
    <row r="35" ht="14.25" customHeight="1" x14ac:dyDescent="0.2"/>
    <row r="36" ht="14.25" customHeight="1" x14ac:dyDescent="0.2"/>
    <row r="50" spans="1:8" ht="15" x14ac:dyDescent="0.25">
      <c r="B50" s="618"/>
      <c r="C50" s="618" t="s">
        <v>233</v>
      </c>
      <c r="D50" s="618" t="s">
        <v>279</v>
      </c>
    </row>
    <row r="51" spans="1:8" ht="14.25" x14ac:dyDescent="0.2">
      <c r="B51" s="161" t="s">
        <v>283</v>
      </c>
      <c r="C51" s="162">
        <f>10/$K$1</f>
        <v>9.9009900990099009</v>
      </c>
      <c r="D51" s="163">
        <f>$C$1*10</f>
        <v>10000</v>
      </c>
    </row>
    <row r="52" spans="1:8" ht="15" x14ac:dyDescent="0.25">
      <c r="B52" s="620" t="s">
        <v>257</v>
      </c>
      <c r="C52" s="591">
        <f>G1</f>
        <v>11.65</v>
      </c>
      <c r="D52" s="591">
        <f>E1</f>
        <v>11650</v>
      </c>
    </row>
    <row r="53" spans="1:8" ht="15" x14ac:dyDescent="0.25">
      <c r="B53" s="620" t="s">
        <v>284</v>
      </c>
      <c r="C53" s="592">
        <f>MIN($C$52, C51)</f>
        <v>9.9009900990099009</v>
      </c>
      <c r="D53" s="837">
        <f>(C53*$K$1)*$C$1</f>
        <v>10000</v>
      </c>
    </row>
    <row r="54" spans="1:8" ht="15" x14ac:dyDescent="0.25">
      <c r="B54" s="620" t="s">
        <v>285</v>
      </c>
      <c r="C54" s="592">
        <f>MIN(MAX($C$52-C53,0),$C$51)</f>
        <v>1.7490099009900995</v>
      </c>
      <c r="D54" s="837">
        <f>(C54*$K$1)*$C$1</f>
        <v>1766.5000000000005</v>
      </c>
    </row>
    <row r="55" spans="1:8" ht="15" x14ac:dyDescent="0.25">
      <c r="B55" s="620" t="s">
        <v>286</v>
      </c>
      <c r="C55" s="592">
        <f>MIN(MAX($C$52-C53-C54,0),$C$51)</f>
        <v>0</v>
      </c>
      <c r="D55" s="837">
        <f>(C55*$K$1)*$C$1</f>
        <v>0</v>
      </c>
    </row>
    <row r="56" spans="1:8" ht="15" x14ac:dyDescent="0.25">
      <c r="B56" s="620" t="s">
        <v>293</v>
      </c>
      <c r="C56" s="592">
        <f>MIN(MAX($C$52-C53-C54-C55,0),$C$51)</f>
        <v>0</v>
      </c>
      <c r="D56" s="593">
        <f>C56*$K$1</f>
        <v>0</v>
      </c>
    </row>
    <row r="57" spans="1:8" ht="14.25" customHeight="1" x14ac:dyDescent="0.2"/>
    <row r="58" spans="1:8" ht="14.25" customHeight="1" x14ac:dyDescent="0.2"/>
    <row r="62" spans="1:8" ht="14.25" x14ac:dyDescent="0.2">
      <c r="A62" s="1464"/>
      <c r="B62" s="1636" t="s">
        <v>775</v>
      </c>
      <c r="C62" s="1637"/>
      <c r="D62" s="1637"/>
      <c r="E62" s="1637"/>
      <c r="F62" s="1637"/>
      <c r="G62" s="1637"/>
      <c r="H62" s="1637"/>
    </row>
    <row r="63" spans="1:8" ht="14.25" x14ac:dyDescent="0.2">
      <c r="A63" s="1464"/>
      <c r="B63" s="1636" t="s">
        <v>776</v>
      </c>
      <c r="C63" s="1637"/>
      <c r="D63" s="1637"/>
      <c r="E63" s="1637"/>
      <c r="F63" s="1637"/>
      <c r="G63" s="1637"/>
      <c r="H63" s="1637"/>
    </row>
    <row r="64" spans="1:8" ht="46.5" customHeight="1" x14ac:dyDescent="0.2">
      <c r="A64" s="1457"/>
      <c r="B64" s="221" t="s">
        <v>241</v>
      </c>
      <c r="C64" s="222" t="s">
        <v>242</v>
      </c>
      <c r="D64" s="223" t="s">
        <v>231</v>
      </c>
      <c r="E64" s="197" t="s">
        <v>234</v>
      </c>
      <c r="F64" s="197" t="s">
        <v>243</v>
      </c>
      <c r="G64" s="223" t="s">
        <v>244</v>
      </c>
      <c r="H64" s="197" t="s">
        <v>245</v>
      </c>
    </row>
    <row r="65" spans="1:8" ht="15" x14ac:dyDescent="0.2">
      <c r="A65" s="844"/>
      <c r="B65" s="604" t="str">
        <f t="shared" ref="B65:D68" si="4">B6</f>
        <v>Pasta Spaghettini  - مكرونة اسباجيتي</v>
      </c>
      <c r="C65" s="605" t="str">
        <f t="shared" si="4"/>
        <v>gm</v>
      </c>
      <c r="D65" s="621">
        <f t="shared" si="4"/>
        <v>330</v>
      </c>
      <c r="E65" s="606">
        <f>$C$52</f>
        <v>11.65</v>
      </c>
      <c r="F65" s="608">
        <f>F6</f>
        <v>1</v>
      </c>
      <c r="G65" s="609">
        <f>D65*E65</f>
        <v>3844.5</v>
      </c>
      <c r="H65" s="610">
        <f>G65*F65</f>
        <v>3844.5</v>
      </c>
    </row>
    <row r="66" spans="1:8" ht="15" x14ac:dyDescent="0.2">
      <c r="A66" s="844"/>
      <c r="B66" s="604" t="str">
        <f t="shared" si="4"/>
        <v>Water - ماء</v>
      </c>
      <c r="C66" s="605" t="str">
        <f t="shared" si="4"/>
        <v>ml</v>
      </c>
      <c r="D66" s="621">
        <f t="shared" si="4"/>
        <v>8000</v>
      </c>
      <c r="E66" s="606">
        <f t="shared" ref="E66:E68" si="5">$C$52</f>
        <v>11.65</v>
      </c>
      <c r="F66" s="608">
        <f>F7</f>
        <v>1</v>
      </c>
      <c r="G66" s="609">
        <f>D66*E66</f>
        <v>93200</v>
      </c>
      <c r="H66" s="610">
        <f>G66*F66</f>
        <v>93200</v>
      </c>
    </row>
    <row r="67" spans="1:8" ht="15" x14ac:dyDescent="0.2">
      <c r="A67" s="844"/>
      <c r="B67" s="604" t="str">
        <f t="shared" si="4"/>
        <v>Salt - ملح</v>
      </c>
      <c r="C67" s="605" t="str">
        <f t="shared" si="4"/>
        <v>gm</v>
      </c>
      <c r="D67" s="621">
        <f t="shared" si="4"/>
        <v>10</v>
      </c>
      <c r="E67" s="606">
        <f t="shared" si="5"/>
        <v>11.65</v>
      </c>
      <c r="F67" s="608">
        <f>F8</f>
        <v>1</v>
      </c>
      <c r="G67" s="609">
        <f>D67*E67</f>
        <v>116.5</v>
      </c>
      <c r="H67" s="610">
        <f>G67*F67</f>
        <v>116.5</v>
      </c>
    </row>
    <row r="68" spans="1:8" ht="15" x14ac:dyDescent="0.2">
      <c r="A68" s="844"/>
      <c r="B68" s="604" t="str">
        <f t="shared" si="4"/>
        <v>Olive Oil - زيت زيتون</v>
      </c>
      <c r="C68" s="605" t="str">
        <f t="shared" si="4"/>
        <v>gm</v>
      </c>
      <c r="D68" s="621">
        <f t="shared" si="4"/>
        <v>5</v>
      </c>
      <c r="E68" s="606">
        <f t="shared" si="5"/>
        <v>11.65</v>
      </c>
      <c r="F68" s="608">
        <f>F9</f>
        <v>1</v>
      </c>
      <c r="G68" s="609">
        <f>D68*E68</f>
        <v>58.25</v>
      </c>
      <c r="H68" s="610">
        <f>G68*F68</f>
        <v>58.25</v>
      </c>
    </row>
    <row r="69" spans="1:8" ht="15.75" x14ac:dyDescent="0.2">
      <c r="B69" s="178" t="s">
        <v>702</v>
      </c>
      <c r="C69" s="598"/>
      <c r="D69" s="598"/>
      <c r="E69" s="598"/>
      <c r="F69" s="598"/>
    </row>
    <row r="70" spans="1:8" ht="20.25" x14ac:dyDescent="0.3">
      <c r="B70" s="179">
        <f>$D$52</f>
        <v>11650</v>
      </c>
      <c r="F70" s="622"/>
    </row>
    <row r="71" spans="1:8" x14ac:dyDescent="0.2">
      <c r="B71" s="598"/>
      <c r="E71" s="598"/>
      <c r="F71" s="598"/>
    </row>
    <row r="72" spans="1:8" x14ac:dyDescent="0.2">
      <c r="B72" s="598"/>
      <c r="C72" s="598"/>
      <c r="D72" s="598"/>
      <c r="E72" s="598"/>
      <c r="F72" s="598"/>
      <c r="G72" s="598"/>
      <c r="H72" s="598"/>
    </row>
    <row r="73" spans="1:8" ht="18" x14ac:dyDescent="0.2">
      <c r="A73" s="1461"/>
      <c r="B73" s="1660"/>
      <c r="C73" s="1653"/>
      <c r="D73" s="1653"/>
      <c r="E73" s="1653"/>
      <c r="F73" s="1653"/>
      <c r="G73" s="1653"/>
      <c r="H73" s="1653"/>
    </row>
    <row r="74" spans="1:8" ht="18" x14ac:dyDescent="0.2">
      <c r="A74" s="1461"/>
      <c r="B74" s="1660"/>
      <c r="C74" s="1653"/>
      <c r="D74" s="1653"/>
      <c r="E74" s="1653"/>
      <c r="F74" s="1653"/>
      <c r="G74" s="1653"/>
      <c r="H74" s="1653"/>
    </row>
    <row r="75" spans="1:8" x14ac:dyDescent="0.2">
      <c r="A75" s="1470"/>
      <c r="B75" s="1020"/>
      <c r="C75" s="1021"/>
      <c r="D75" s="1020"/>
      <c r="E75" s="1020"/>
      <c r="F75" s="1020"/>
      <c r="G75" s="1020"/>
      <c r="H75" s="1020"/>
    </row>
    <row r="76" spans="1:8" ht="15" x14ac:dyDescent="0.2">
      <c r="B76" s="611"/>
      <c r="C76" s="611"/>
      <c r="D76" s="611"/>
      <c r="E76" s="1022"/>
      <c r="F76" s="615"/>
      <c r="G76" s="1023"/>
      <c r="H76" s="617"/>
    </row>
    <row r="77" spans="1:8" ht="15" x14ac:dyDescent="0.2">
      <c r="B77" s="611"/>
      <c r="C77" s="611"/>
      <c r="D77" s="611"/>
      <c r="E77" s="1022"/>
      <c r="F77" s="615"/>
      <c r="G77" s="1023"/>
      <c r="H77" s="617"/>
    </row>
    <row r="78" spans="1:8" ht="15" x14ac:dyDescent="0.2">
      <c r="B78" s="611"/>
      <c r="C78" s="611"/>
      <c r="D78" s="611"/>
      <c r="E78" s="1022"/>
      <c r="F78" s="615"/>
      <c r="G78" s="1023"/>
      <c r="H78" s="617"/>
    </row>
    <row r="79" spans="1:8" ht="15" x14ac:dyDescent="0.2">
      <c r="B79" s="611"/>
      <c r="C79" s="611"/>
      <c r="D79" s="611"/>
      <c r="E79" s="1022"/>
      <c r="F79" s="615"/>
      <c r="G79" s="1023"/>
      <c r="H79" s="617"/>
    </row>
    <row r="80" spans="1:8" ht="15.75" x14ac:dyDescent="0.2">
      <c r="B80" s="184"/>
      <c r="E80" s="598"/>
      <c r="F80" s="598"/>
    </row>
    <row r="81" spans="1:8" ht="20.25" x14ac:dyDescent="0.3">
      <c r="B81" s="450"/>
      <c r="C81" s="598"/>
      <c r="D81" s="598"/>
      <c r="E81" s="598"/>
      <c r="F81" s="622"/>
    </row>
    <row r="82" spans="1:8" x14ac:dyDescent="0.2">
      <c r="B82" s="598"/>
      <c r="C82" s="598"/>
      <c r="D82" s="598"/>
      <c r="E82" s="598"/>
      <c r="F82" s="598"/>
      <c r="G82" s="598"/>
      <c r="H82" s="598"/>
    </row>
    <row r="83" spans="1:8" x14ac:dyDescent="0.2">
      <c r="B83" s="598"/>
      <c r="C83" s="598"/>
      <c r="D83" s="598"/>
      <c r="E83" s="598"/>
      <c r="F83" s="598"/>
      <c r="G83" s="598"/>
      <c r="H83" s="598"/>
    </row>
    <row r="84" spans="1:8" ht="18" x14ac:dyDescent="0.2">
      <c r="A84" s="1461"/>
      <c r="B84" s="1660"/>
      <c r="C84" s="1653"/>
      <c r="D84" s="1653"/>
      <c r="E84" s="1653"/>
      <c r="F84" s="1653"/>
      <c r="G84" s="1653"/>
      <c r="H84" s="1653"/>
    </row>
    <row r="85" spans="1:8" ht="18" x14ac:dyDescent="0.2">
      <c r="A85" s="1461"/>
      <c r="B85" s="1660"/>
      <c r="C85" s="1653"/>
      <c r="D85" s="1653"/>
      <c r="E85" s="1653"/>
      <c r="F85" s="1653"/>
      <c r="G85" s="1653"/>
      <c r="H85" s="1653"/>
    </row>
    <row r="86" spans="1:8" x14ac:dyDescent="0.2">
      <c r="A86" s="1470"/>
      <c r="B86" s="1020"/>
      <c r="C86" s="1021"/>
      <c r="D86" s="1020"/>
      <c r="E86" s="1020"/>
      <c r="F86" s="1020"/>
      <c r="G86" s="1020"/>
      <c r="H86" s="1020"/>
    </row>
    <row r="87" spans="1:8" ht="15" x14ac:dyDescent="0.2">
      <c r="B87" s="611"/>
      <c r="C87" s="611"/>
      <c r="D87" s="611"/>
      <c r="E87" s="1024"/>
      <c r="F87" s="1025"/>
      <c r="G87" s="1023"/>
      <c r="H87" s="617"/>
    </row>
    <row r="88" spans="1:8" ht="15" x14ac:dyDescent="0.2">
      <c r="B88" s="611"/>
      <c r="C88" s="611"/>
      <c r="D88" s="611"/>
      <c r="E88" s="1024"/>
      <c r="F88" s="1025"/>
      <c r="G88" s="1023"/>
      <c r="H88" s="617"/>
    </row>
    <row r="89" spans="1:8" ht="15" x14ac:dyDescent="0.2">
      <c r="B89" s="611"/>
      <c r="C89" s="611"/>
      <c r="D89" s="611"/>
      <c r="E89" s="1024"/>
      <c r="F89" s="1025"/>
      <c r="G89" s="1023"/>
      <c r="H89" s="617"/>
    </row>
    <row r="90" spans="1:8" ht="15" x14ac:dyDescent="0.2">
      <c r="B90" s="611"/>
      <c r="C90" s="611"/>
      <c r="D90" s="611"/>
      <c r="E90" s="1024"/>
      <c r="F90" s="1025"/>
      <c r="G90" s="1023"/>
      <c r="H90" s="617"/>
    </row>
    <row r="91" spans="1:8" ht="15.75" x14ac:dyDescent="0.2">
      <c r="B91" s="184"/>
      <c r="E91" s="598"/>
      <c r="F91" s="598"/>
    </row>
    <row r="92" spans="1:8" ht="20.25" x14ac:dyDescent="0.3">
      <c r="B92" s="450"/>
    </row>
    <row r="93" spans="1:8" ht="18" x14ac:dyDescent="0.2">
      <c r="A93" s="1461"/>
      <c r="B93" s="1660"/>
      <c r="C93" s="1653"/>
      <c r="D93" s="1653"/>
      <c r="E93" s="1653"/>
      <c r="F93" s="1653"/>
      <c r="G93" s="1653"/>
      <c r="H93" s="1653"/>
    </row>
    <row r="94" spans="1:8" ht="18" x14ac:dyDescent="0.2">
      <c r="A94" s="1461"/>
      <c r="B94" s="1660"/>
      <c r="C94" s="1653"/>
      <c r="D94" s="1653"/>
      <c r="E94" s="1653"/>
      <c r="F94" s="1653"/>
      <c r="G94" s="1653"/>
      <c r="H94" s="1653"/>
    </row>
    <row r="95" spans="1:8" x14ac:dyDescent="0.2">
      <c r="A95" s="1470"/>
      <c r="B95" s="1020"/>
      <c r="C95" s="1021"/>
      <c r="D95" s="1020"/>
      <c r="E95" s="1020"/>
      <c r="F95" s="1020"/>
      <c r="G95" s="1020"/>
      <c r="H95" s="1020"/>
    </row>
    <row r="96" spans="1:8" ht="15" x14ac:dyDescent="0.2">
      <c r="B96" s="611"/>
      <c r="C96" s="611"/>
      <c r="D96" s="611"/>
      <c r="E96" s="1024"/>
      <c r="F96" s="1025"/>
      <c r="G96" s="1023"/>
      <c r="H96" s="617"/>
    </row>
    <row r="97" spans="2:8" ht="15" x14ac:dyDescent="0.2">
      <c r="B97" s="611"/>
      <c r="C97" s="611"/>
      <c r="D97" s="611"/>
      <c r="E97" s="1024"/>
      <c r="F97" s="1025"/>
      <c r="G97" s="1023"/>
      <c r="H97" s="617"/>
    </row>
    <row r="98" spans="2:8" ht="15" x14ac:dyDescent="0.2">
      <c r="B98" s="611"/>
      <c r="C98" s="611"/>
      <c r="D98" s="611"/>
      <c r="E98" s="1024"/>
      <c r="F98" s="1025"/>
      <c r="G98" s="1023"/>
      <c r="H98" s="617"/>
    </row>
    <row r="99" spans="2:8" ht="15" x14ac:dyDescent="0.2">
      <c r="B99" s="611"/>
      <c r="C99" s="611"/>
      <c r="D99" s="611"/>
      <c r="E99" s="1024"/>
      <c r="F99" s="1025"/>
      <c r="G99" s="1023"/>
      <c r="H99" s="617"/>
    </row>
    <row r="100" spans="2:8" ht="15.75" x14ac:dyDescent="0.2">
      <c r="B100" s="184"/>
      <c r="E100" s="598"/>
      <c r="F100" s="598"/>
    </row>
    <row r="101" spans="2:8" ht="20.25" x14ac:dyDescent="0.3">
      <c r="B101" s="450"/>
      <c r="E101" s="598"/>
      <c r="F101" s="598"/>
    </row>
    <row r="102" spans="2:8" x14ac:dyDescent="0.2">
      <c r="B102" s="598"/>
      <c r="E102" s="598"/>
      <c r="F102" s="598"/>
    </row>
    <row r="103" spans="2:8" x14ac:dyDescent="0.2">
      <c r="B103" s="598"/>
      <c r="E103" s="598"/>
      <c r="F103" s="598"/>
    </row>
    <row r="104" spans="2:8" x14ac:dyDescent="0.2">
      <c r="B104" s="598"/>
      <c r="E104" s="598"/>
      <c r="F104" s="598"/>
    </row>
    <row r="105" spans="2:8" x14ac:dyDescent="0.2">
      <c r="B105" s="598"/>
      <c r="E105" s="598"/>
      <c r="F105" s="598"/>
    </row>
    <row r="106" spans="2:8" x14ac:dyDescent="0.2">
      <c r="B106" s="598"/>
      <c r="E106" s="598"/>
      <c r="F106" s="598"/>
    </row>
    <row r="107" spans="2:8" x14ac:dyDescent="0.2">
      <c r="B107" s="598"/>
      <c r="E107" s="598"/>
      <c r="F107" s="598"/>
    </row>
    <row r="108" spans="2:8" x14ac:dyDescent="0.2">
      <c r="B108" s="598"/>
      <c r="E108" s="598"/>
      <c r="F108" s="598"/>
    </row>
    <row r="109" spans="2:8" x14ac:dyDescent="0.2">
      <c r="B109" s="598"/>
      <c r="E109" s="598"/>
      <c r="F109" s="598"/>
    </row>
    <row r="110" spans="2:8" x14ac:dyDescent="0.2">
      <c r="B110" s="598"/>
      <c r="E110" s="598"/>
      <c r="F110" s="598"/>
    </row>
    <row r="111" spans="2:8" x14ac:dyDescent="0.2">
      <c r="B111" s="598"/>
      <c r="E111" s="598"/>
      <c r="F111" s="598"/>
    </row>
    <row r="112" spans="2:8" x14ac:dyDescent="0.2">
      <c r="B112" s="598"/>
      <c r="E112" s="598"/>
      <c r="F112" s="598"/>
    </row>
    <row r="113" spans="2:6" x14ac:dyDescent="0.2">
      <c r="B113" s="598"/>
      <c r="E113" s="598"/>
      <c r="F113" s="598"/>
    </row>
    <row r="114" spans="2:6" x14ac:dyDescent="0.2">
      <c r="B114" s="598"/>
      <c r="E114" s="598"/>
      <c r="F114" s="598"/>
    </row>
    <row r="115" spans="2:6" x14ac:dyDescent="0.2">
      <c r="B115" s="598"/>
      <c r="E115" s="598"/>
      <c r="F115" s="598"/>
    </row>
    <row r="116" spans="2:6" x14ac:dyDescent="0.2">
      <c r="B116" s="598"/>
      <c r="E116" s="598"/>
      <c r="F116" s="598"/>
    </row>
    <row r="117" spans="2:6" x14ac:dyDescent="0.2">
      <c r="B117" s="598"/>
      <c r="E117" s="598"/>
      <c r="F117" s="598"/>
    </row>
    <row r="118" spans="2:6" x14ac:dyDescent="0.2">
      <c r="B118" s="598"/>
      <c r="E118" s="598"/>
      <c r="F118" s="598"/>
    </row>
    <row r="119" spans="2:6" x14ac:dyDescent="0.2">
      <c r="B119" s="598"/>
      <c r="E119" s="598"/>
      <c r="F119" s="598"/>
    </row>
    <row r="120" spans="2:6" x14ac:dyDescent="0.2">
      <c r="B120" s="598"/>
      <c r="E120" s="598"/>
      <c r="F120" s="598"/>
    </row>
    <row r="121" spans="2:6" x14ac:dyDescent="0.2">
      <c r="B121" s="598"/>
      <c r="E121" s="598"/>
      <c r="F121" s="598"/>
    </row>
    <row r="122" spans="2:6" x14ac:dyDescent="0.2">
      <c r="B122" s="598"/>
      <c r="E122" s="598"/>
      <c r="F122" s="598"/>
    </row>
    <row r="123" spans="2:6" x14ac:dyDescent="0.2">
      <c r="B123" s="598"/>
      <c r="E123" s="598"/>
      <c r="F123" s="598"/>
    </row>
    <row r="124" spans="2:6" x14ac:dyDescent="0.2">
      <c r="B124" s="598"/>
      <c r="E124" s="598"/>
      <c r="F124" s="598"/>
    </row>
    <row r="125" spans="2:6" x14ac:dyDescent="0.2">
      <c r="B125" s="598"/>
      <c r="E125" s="598"/>
      <c r="F125" s="598"/>
    </row>
    <row r="126" spans="2:6" x14ac:dyDescent="0.2">
      <c r="B126" s="598"/>
      <c r="E126" s="598"/>
      <c r="F126" s="598"/>
    </row>
    <row r="127" spans="2:6" x14ac:dyDescent="0.2">
      <c r="B127" s="598"/>
      <c r="E127" s="598"/>
      <c r="F127" s="598"/>
    </row>
    <row r="128" spans="2:6" x14ac:dyDescent="0.2">
      <c r="B128" s="598"/>
      <c r="E128" s="598"/>
      <c r="F128" s="598"/>
    </row>
    <row r="129" spans="2:6" x14ac:dyDescent="0.2">
      <c r="B129" s="598"/>
      <c r="E129" s="598"/>
      <c r="F129" s="598"/>
    </row>
    <row r="130" spans="2:6" x14ac:dyDescent="0.2">
      <c r="B130" s="598"/>
      <c r="E130" s="598"/>
      <c r="F130" s="598"/>
    </row>
    <row r="131" spans="2:6" x14ac:dyDescent="0.2">
      <c r="B131" s="598"/>
      <c r="E131" s="598"/>
      <c r="F131" s="598"/>
    </row>
    <row r="132" spans="2:6" x14ac:dyDescent="0.2">
      <c r="B132" s="598"/>
      <c r="E132" s="598"/>
      <c r="F132" s="598"/>
    </row>
    <row r="133" spans="2:6" x14ac:dyDescent="0.2">
      <c r="B133" s="598"/>
      <c r="E133" s="598"/>
      <c r="F133" s="598"/>
    </row>
    <row r="134" spans="2:6" x14ac:dyDescent="0.2">
      <c r="B134" s="598"/>
      <c r="E134" s="598"/>
      <c r="F134" s="598"/>
    </row>
    <row r="135" spans="2:6" x14ac:dyDescent="0.2">
      <c r="B135" s="598"/>
      <c r="E135" s="598"/>
      <c r="F135" s="598"/>
    </row>
    <row r="136" spans="2:6" x14ac:dyDescent="0.2">
      <c r="B136" s="598"/>
      <c r="E136" s="598"/>
      <c r="F136" s="598"/>
    </row>
    <row r="137" spans="2:6" x14ac:dyDescent="0.2">
      <c r="B137" s="598"/>
      <c r="E137" s="598"/>
      <c r="F137" s="598"/>
    </row>
    <row r="138" spans="2:6" x14ac:dyDescent="0.2">
      <c r="B138" s="598"/>
      <c r="E138" s="598"/>
      <c r="F138" s="598"/>
    </row>
    <row r="139" spans="2:6" x14ac:dyDescent="0.2">
      <c r="B139" s="598"/>
      <c r="E139" s="598"/>
      <c r="F139" s="598"/>
    </row>
    <row r="140" spans="2:6" x14ac:dyDescent="0.2">
      <c r="B140" s="598"/>
      <c r="E140" s="598"/>
      <c r="F140" s="598"/>
    </row>
    <row r="141" spans="2:6" x14ac:dyDescent="0.2">
      <c r="B141" s="598"/>
      <c r="E141" s="598"/>
      <c r="F141" s="598"/>
    </row>
    <row r="142" spans="2:6" x14ac:dyDescent="0.2">
      <c r="B142" s="598"/>
      <c r="E142" s="598"/>
      <c r="F142" s="598"/>
    </row>
    <row r="143" spans="2:6" x14ac:dyDescent="0.2">
      <c r="B143" s="598"/>
      <c r="E143" s="598"/>
      <c r="F143" s="598"/>
    </row>
    <row r="144" spans="2:6" x14ac:dyDescent="0.2">
      <c r="B144" s="598"/>
      <c r="E144" s="598"/>
      <c r="F144" s="598"/>
    </row>
    <row r="145" spans="2:6" x14ac:dyDescent="0.2">
      <c r="B145" s="598"/>
      <c r="E145" s="598"/>
      <c r="F145" s="598"/>
    </row>
    <row r="146" spans="2:6" x14ac:dyDescent="0.2">
      <c r="B146" s="598"/>
      <c r="E146" s="598"/>
      <c r="F146" s="598"/>
    </row>
    <row r="147" spans="2:6" x14ac:dyDescent="0.2">
      <c r="B147" s="598"/>
      <c r="E147" s="598"/>
      <c r="F147" s="598"/>
    </row>
    <row r="148" spans="2:6" x14ac:dyDescent="0.2">
      <c r="B148" s="598"/>
      <c r="E148" s="598"/>
      <c r="F148" s="598"/>
    </row>
    <row r="149" spans="2:6" x14ac:dyDescent="0.2">
      <c r="B149" s="598"/>
      <c r="E149" s="598"/>
      <c r="F149" s="598"/>
    </row>
    <row r="150" spans="2:6" x14ac:dyDescent="0.2">
      <c r="B150" s="598"/>
      <c r="E150" s="598"/>
      <c r="F150" s="598"/>
    </row>
    <row r="151" spans="2:6" x14ac:dyDescent="0.2">
      <c r="B151" s="598"/>
      <c r="E151" s="598"/>
      <c r="F151" s="598"/>
    </row>
    <row r="152" spans="2:6" x14ac:dyDescent="0.2">
      <c r="B152" s="598"/>
      <c r="E152" s="598"/>
      <c r="F152" s="598"/>
    </row>
    <row r="153" spans="2:6" x14ac:dyDescent="0.2">
      <c r="B153" s="598"/>
      <c r="E153" s="598"/>
      <c r="F153" s="598"/>
    </row>
    <row r="154" spans="2:6" x14ac:dyDescent="0.2">
      <c r="B154" s="598"/>
      <c r="E154" s="598"/>
      <c r="F154" s="598"/>
    </row>
    <row r="155" spans="2:6" x14ac:dyDescent="0.2">
      <c r="B155" s="598"/>
      <c r="E155" s="598"/>
      <c r="F155" s="598"/>
    </row>
    <row r="156" spans="2:6" x14ac:dyDescent="0.2">
      <c r="B156" s="598"/>
      <c r="E156" s="598"/>
      <c r="F156" s="598"/>
    </row>
    <row r="157" spans="2:6" x14ac:dyDescent="0.2">
      <c r="B157" s="598"/>
      <c r="E157" s="598"/>
      <c r="F157" s="598"/>
    </row>
    <row r="158" spans="2:6" x14ac:dyDescent="0.2">
      <c r="B158" s="598"/>
      <c r="E158" s="598"/>
      <c r="F158" s="598"/>
    </row>
    <row r="159" spans="2:6" x14ac:dyDescent="0.2">
      <c r="B159" s="598"/>
      <c r="E159" s="598"/>
      <c r="F159" s="598"/>
    </row>
    <row r="160" spans="2:6" x14ac:dyDescent="0.2">
      <c r="B160" s="598"/>
      <c r="E160" s="598"/>
      <c r="F160" s="598"/>
    </row>
    <row r="161" spans="2:6" x14ac:dyDescent="0.2">
      <c r="B161" s="598"/>
      <c r="E161" s="598"/>
      <c r="F161" s="598"/>
    </row>
    <row r="162" spans="2:6" x14ac:dyDescent="0.2">
      <c r="B162" s="598"/>
      <c r="E162" s="598"/>
      <c r="F162" s="598"/>
    </row>
    <row r="163" spans="2:6" x14ac:dyDescent="0.2">
      <c r="B163" s="598"/>
      <c r="E163" s="598"/>
      <c r="F163" s="598"/>
    </row>
    <row r="164" spans="2:6" x14ac:dyDescent="0.2">
      <c r="B164" s="598"/>
      <c r="E164" s="598"/>
      <c r="F164" s="598"/>
    </row>
    <row r="165" spans="2:6" x14ac:dyDescent="0.2">
      <c r="B165" s="598"/>
      <c r="E165" s="598"/>
      <c r="F165" s="598"/>
    </row>
    <row r="166" spans="2:6" x14ac:dyDescent="0.2">
      <c r="B166" s="598"/>
      <c r="E166" s="598"/>
      <c r="F166" s="598"/>
    </row>
    <row r="167" spans="2:6" x14ac:dyDescent="0.2">
      <c r="B167" s="598"/>
      <c r="E167" s="598"/>
      <c r="F167" s="598"/>
    </row>
    <row r="168" spans="2:6" x14ac:dyDescent="0.2">
      <c r="B168" s="598"/>
      <c r="E168" s="598"/>
      <c r="F168" s="598"/>
    </row>
    <row r="169" spans="2:6" x14ac:dyDescent="0.2">
      <c r="B169" s="598"/>
      <c r="E169" s="598"/>
      <c r="F169" s="598"/>
    </row>
    <row r="170" spans="2:6" x14ac:dyDescent="0.2">
      <c r="B170" s="598"/>
      <c r="E170" s="598"/>
      <c r="F170" s="598"/>
    </row>
    <row r="171" spans="2:6" x14ac:dyDescent="0.2">
      <c r="B171" s="598"/>
      <c r="E171" s="598"/>
      <c r="F171" s="598"/>
    </row>
    <row r="172" spans="2:6" x14ac:dyDescent="0.2">
      <c r="B172" s="598"/>
      <c r="E172" s="598"/>
      <c r="F172" s="598"/>
    </row>
    <row r="173" spans="2:6" x14ac:dyDescent="0.2">
      <c r="B173" s="598"/>
      <c r="E173" s="598"/>
      <c r="F173" s="598"/>
    </row>
    <row r="174" spans="2:6" x14ac:dyDescent="0.2">
      <c r="B174" s="598"/>
      <c r="E174" s="598"/>
      <c r="F174" s="598"/>
    </row>
    <row r="175" spans="2:6" x14ac:dyDescent="0.2">
      <c r="B175" s="598"/>
      <c r="E175" s="598"/>
      <c r="F175" s="598"/>
    </row>
    <row r="176" spans="2:6" x14ac:dyDescent="0.2">
      <c r="B176" s="598"/>
      <c r="E176" s="598"/>
      <c r="F176" s="598"/>
    </row>
    <row r="177" spans="2:6" x14ac:dyDescent="0.2">
      <c r="B177" s="598"/>
      <c r="E177" s="598"/>
      <c r="F177" s="598"/>
    </row>
    <row r="178" spans="2:6" x14ac:dyDescent="0.2">
      <c r="B178" s="598"/>
      <c r="E178" s="598"/>
      <c r="F178" s="598"/>
    </row>
    <row r="179" spans="2:6" x14ac:dyDescent="0.2">
      <c r="B179" s="598"/>
      <c r="E179" s="598"/>
      <c r="F179" s="598"/>
    </row>
    <row r="180" spans="2:6" x14ac:dyDescent="0.2">
      <c r="B180" s="598"/>
      <c r="E180" s="598"/>
      <c r="F180" s="598"/>
    </row>
    <row r="181" spans="2:6" x14ac:dyDescent="0.2">
      <c r="B181" s="598"/>
      <c r="E181" s="598"/>
      <c r="F181" s="598"/>
    </row>
    <row r="182" spans="2:6" x14ac:dyDescent="0.2">
      <c r="B182" s="598"/>
      <c r="E182" s="598"/>
      <c r="F182" s="598"/>
    </row>
    <row r="183" spans="2:6" x14ac:dyDescent="0.2">
      <c r="B183" s="598"/>
      <c r="E183" s="598"/>
      <c r="F183" s="598"/>
    </row>
    <row r="184" spans="2:6" x14ac:dyDescent="0.2">
      <c r="B184" s="598"/>
      <c r="E184" s="598"/>
      <c r="F184" s="598"/>
    </row>
    <row r="185" spans="2:6" x14ac:dyDescent="0.2">
      <c r="B185" s="598"/>
      <c r="E185" s="598"/>
      <c r="F185" s="598"/>
    </row>
    <row r="186" spans="2:6" x14ac:dyDescent="0.2">
      <c r="B186" s="598"/>
      <c r="E186" s="598"/>
      <c r="F186" s="598"/>
    </row>
    <row r="187" spans="2:6" x14ac:dyDescent="0.2">
      <c r="B187" s="598"/>
      <c r="E187" s="598"/>
      <c r="F187" s="598"/>
    </row>
    <row r="188" spans="2:6" x14ac:dyDescent="0.2">
      <c r="B188" s="598"/>
      <c r="E188" s="598"/>
      <c r="F188" s="598"/>
    </row>
    <row r="189" spans="2:6" x14ac:dyDescent="0.2">
      <c r="B189" s="598"/>
      <c r="E189" s="598"/>
      <c r="F189" s="598"/>
    </row>
    <row r="190" spans="2:6" x14ac:dyDescent="0.2">
      <c r="B190" s="598"/>
      <c r="E190" s="598"/>
      <c r="F190" s="598"/>
    </row>
    <row r="191" spans="2:6" x14ac:dyDescent="0.2">
      <c r="B191" s="598"/>
      <c r="E191" s="598"/>
      <c r="F191" s="598"/>
    </row>
    <row r="192" spans="2:6" x14ac:dyDescent="0.2">
      <c r="B192" s="598"/>
      <c r="E192" s="598"/>
      <c r="F192" s="598"/>
    </row>
    <row r="193" spans="2:6" x14ac:dyDescent="0.2">
      <c r="B193" s="598"/>
      <c r="E193" s="598"/>
      <c r="F193" s="598"/>
    </row>
    <row r="194" spans="2:6" x14ac:dyDescent="0.2">
      <c r="B194" s="598"/>
      <c r="E194" s="598"/>
      <c r="F194" s="598"/>
    </row>
    <row r="195" spans="2:6" x14ac:dyDescent="0.2">
      <c r="B195" s="598"/>
      <c r="E195" s="598"/>
      <c r="F195" s="598"/>
    </row>
    <row r="196" spans="2:6" x14ac:dyDescent="0.2">
      <c r="B196" s="598"/>
      <c r="E196" s="598"/>
      <c r="F196" s="598"/>
    </row>
    <row r="197" spans="2:6" x14ac:dyDescent="0.2">
      <c r="B197" s="598"/>
      <c r="E197" s="598"/>
      <c r="F197" s="598"/>
    </row>
    <row r="198" spans="2:6" x14ac:dyDescent="0.2">
      <c r="B198" s="598"/>
      <c r="E198" s="598"/>
      <c r="F198" s="598"/>
    </row>
    <row r="199" spans="2:6" x14ac:dyDescent="0.2">
      <c r="B199" s="598"/>
      <c r="E199" s="598"/>
      <c r="F199" s="598"/>
    </row>
    <row r="200" spans="2:6" x14ac:dyDescent="0.2">
      <c r="B200" s="598"/>
      <c r="E200" s="598"/>
      <c r="F200" s="598"/>
    </row>
    <row r="201" spans="2:6" x14ac:dyDescent="0.2">
      <c r="B201" s="598"/>
      <c r="E201" s="598"/>
      <c r="F201" s="598"/>
    </row>
    <row r="202" spans="2:6" x14ac:dyDescent="0.2">
      <c r="B202" s="598"/>
      <c r="E202" s="598"/>
      <c r="F202" s="598"/>
    </row>
    <row r="203" spans="2:6" x14ac:dyDescent="0.2">
      <c r="B203" s="598"/>
      <c r="E203" s="598"/>
      <c r="F203" s="598"/>
    </row>
    <row r="204" spans="2:6" x14ac:dyDescent="0.2">
      <c r="B204" s="598"/>
      <c r="E204" s="598"/>
      <c r="F204" s="598"/>
    </row>
    <row r="205" spans="2:6" x14ac:dyDescent="0.2">
      <c r="B205" s="598"/>
      <c r="E205" s="598"/>
      <c r="F205" s="598"/>
    </row>
    <row r="206" spans="2:6" x14ac:dyDescent="0.2">
      <c r="B206" s="598"/>
      <c r="E206" s="598"/>
      <c r="F206" s="598"/>
    </row>
    <row r="207" spans="2:6" x14ac:dyDescent="0.2">
      <c r="B207" s="598"/>
      <c r="E207" s="598"/>
      <c r="F207" s="598"/>
    </row>
    <row r="208" spans="2:6" x14ac:dyDescent="0.2">
      <c r="B208" s="598"/>
      <c r="E208" s="598"/>
      <c r="F208" s="598"/>
    </row>
    <row r="209" spans="2:6" x14ac:dyDescent="0.2">
      <c r="B209" s="598"/>
      <c r="E209" s="598"/>
      <c r="F209" s="598"/>
    </row>
    <row r="210" spans="2:6" x14ac:dyDescent="0.2">
      <c r="B210" s="598"/>
      <c r="E210" s="598"/>
      <c r="F210" s="598"/>
    </row>
    <row r="211" spans="2:6" x14ac:dyDescent="0.2">
      <c r="B211" s="598"/>
      <c r="E211" s="598"/>
      <c r="F211" s="598"/>
    </row>
    <row r="212" spans="2:6" x14ac:dyDescent="0.2">
      <c r="B212" s="598"/>
      <c r="E212" s="598"/>
      <c r="F212" s="598"/>
    </row>
    <row r="213" spans="2:6" x14ac:dyDescent="0.2">
      <c r="B213" s="598"/>
      <c r="E213" s="598"/>
      <c r="F213" s="598"/>
    </row>
    <row r="214" spans="2:6" x14ac:dyDescent="0.2">
      <c r="B214" s="598"/>
      <c r="E214" s="598"/>
      <c r="F214" s="598"/>
    </row>
    <row r="215" spans="2:6" x14ac:dyDescent="0.2">
      <c r="B215" s="598"/>
      <c r="E215" s="598"/>
      <c r="F215" s="598"/>
    </row>
    <row r="216" spans="2:6" x14ac:dyDescent="0.2">
      <c r="B216" s="598"/>
      <c r="E216" s="598"/>
      <c r="F216" s="598"/>
    </row>
    <row r="217" spans="2:6" x14ac:dyDescent="0.2">
      <c r="B217" s="598"/>
      <c r="E217" s="598"/>
      <c r="F217" s="598"/>
    </row>
    <row r="218" spans="2:6" x14ac:dyDescent="0.2">
      <c r="B218" s="598"/>
      <c r="E218" s="598"/>
      <c r="F218" s="598"/>
    </row>
    <row r="219" spans="2:6" x14ac:dyDescent="0.2">
      <c r="B219" s="598"/>
      <c r="E219" s="598"/>
      <c r="F219" s="598"/>
    </row>
    <row r="220" spans="2:6" x14ac:dyDescent="0.2">
      <c r="B220" s="598"/>
      <c r="E220" s="598"/>
      <c r="F220" s="598"/>
    </row>
    <row r="221" spans="2:6" x14ac:dyDescent="0.2">
      <c r="B221" s="598"/>
      <c r="E221" s="598"/>
      <c r="F221" s="598"/>
    </row>
    <row r="222" spans="2:6" x14ac:dyDescent="0.2">
      <c r="B222" s="598"/>
      <c r="E222" s="598"/>
      <c r="F222" s="598"/>
    </row>
    <row r="223" spans="2:6" x14ac:dyDescent="0.2">
      <c r="B223" s="598"/>
      <c r="E223" s="598"/>
      <c r="F223" s="598"/>
    </row>
    <row r="224" spans="2:6" x14ac:dyDescent="0.2">
      <c r="B224" s="598"/>
      <c r="E224" s="598"/>
      <c r="F224" s="598"/>
    </row>
    <row r="225" spans="2:6" x14ac:dyDescent="0.2">
      <c r="B225" s="598"/>
      <c r="E225" s="598"/>
      <c r="F225" s="598"/>
    </row>
    <row r="226" spans="2:6" x14ac:dyDescent="0.2">
      <c r="B226" s="598"/>
      <c r="E226" s="598"/>
      <c r="F226" s="598"/>
    </row>
    <row r="227" spans="2:6" x14ac:dyDescent="0.2">
      <c r="B227" s="598"/>
      <c r="E227" s="598"/>
      <c r="F227" s="598"/>
    </row>
    <row r="228" spans="2:6" x14ac:dyDescent="0.2">
      <c r="B228" s="598"/>
      <c r="E228" s="598"/>
      <c r="F228" s="598"/>
    </row>
    <row r="229" spans="2:6" x14ac:dyDescent="0.2">
      <c r="B229" s="598"/>
      <c r="E229" s="598"/>
      <c r="F229" s="598"/>
    </row>
    <row r="230" spans="2:6" x14ac:dyDescent="0.2">
      <c r="B230" s="598"/>
      <c r="E230" s="598"/>
      <c r="F230" s="598"/>
    </row>
    <row r="231" spans="2:6" x14ac:dyDescent="0.2">
      <c r="B231" s="598"/>
      <c r="E231" s="598"/>
      <c r="F231" s="598"/>
    </row>
    <row r="232" spans="2:6" x14ac:dyDescent="0.2">
      <c r="B232" s="598"/>
      <c r="E232" s="598"/>
      <c r="F232" s="598"/>
    </row>
    <row r="233" spans="2:6" x14ac:dyDescent="0.2">
      <c r="B233" s="598"/>
      <c r="E233" s="598"/>
      <c r="F233" s="598"/>
    </row>
    <row r="234" spans="2:6" x14ac:dyDescent="0.2">
      <c r="B234" s="598"/>
      <c r="E234" s="598"/>
      <c r="F234" s="598"/>
    </row>
    <row r="235" spans="2:6" x14ac:dyDescent="0.2">
      <c r="B235" s="598"/>
      <c r="E235" s="598"/>
      <c r="F235" s="598"/>
    </row>
    <row r="236" spans="2:6" x14ac:dyDescent="0.2">
      <c r="B236" s="598"/>
      <c r="E236" s="598"/>
      <c r="F236" s="598"/>
    </row>
    <row r="237" spans="2:6" x14ac:dyDescent="0.2">
      <c r="B237" s="598"/>
      <c r="E237" s="598"/>
      <c r="F237" s="598"/>
    </row>
    <row r="238" spans="2:6" x14ac:dyDescent="0.2">
      <c r="B238" s="598"/>
      <c r="E238" s="598"/>
      <c r="F238" s="598"/>
    </row>
    <row r="239" spans="2:6" x14ac:dyDescent="0.2">
      <c r="B239" s="598"/>
      <c r="E239" s="598"/>
      <c r="F239" s="598"/>
    </row>
    <row r="240" spans="2:6" x14ac:dyDescent="0.2">
      <c r="B240" s="598"/>
      <c r="E240" s="598"/>
      <c r="F240" s="598"/>
    </row>
    <row r="241" spans="2:6" x14ac:dyDescent="0.2">
      <c r="B241" s="598"/>
      <c r="E241" s="598"/>
      <c r="F241" s="598"/>
    </row>
    <row r="242" spans="2:6" x14ac:dyDescent="0.2">
      <c r="B242" s="598"/>
      <c r="E242" s="598"/>
      <c r="F242" s="598"/>
    </row>
    <row r="243" spans="2:6" x14ac:dyDescent="0.2">
      <c r="B243" s="598"/>
      <c r="E243" s="598"/>
      <c r="F243" s="598"/>
    </row>
    <row r="244" spans="2:6" x14ac:dyDescent="0.2">
      <c r="B244" s="598"/>
      <c r="E244" s="598"/>
      <c r="F244" s="598"/>
    </row>
    <row r="245" spans="2:6" x14ac:dyDescent="0.2">
      <c r="B245" s="598"/>
      <c r="E245" s="598"/>
      <c r="F245" s="598"/>
    </row>
    <row r="246" spans="2:6" x14ac:dyDescent="0.2">
      <c r="B246" s="598"/>
      <c r="E246" s="598"/>
      <c r="F246" s="598"/>
    </row>
    <row r="247" spans="2:6" x14ac:dyDescent="0.2">
      <c r="B247" s="598"/>
      <c r="E247" s="598"/>
      <c r="F247" s="598"/>
    </row>
    <row r="248" spans="2:6" x14ac:dyDescent="0.2">
      <c r="B248" s="598"/>
      <c r="E248" s="598"/>
      <c r="F248" s="598"/>
    </row>
    <row r="249" spans="2:6" x14ac:dyDescent="0.2">
      <c r="B249" s="598"/>
      <c r="E249" s="598"/>
      <c r="F249" s="598"/>
    </row>
    <row r="250" spans="2:6" x14ac:dyDescent="0.2">
      <c r="B250" s="598"/>
      <c r="E250" s="598"/>
      <c r="F250" s="598"/>
    </row>
    <row r="251" spans="2:6" x14ac:dyDescent="0.2">
      <c r="B251" s="598"/>
      <c r="E251" s="598"/>
      <c r="F251" s="598"/>
    </row>
    <row r="252" spans="2:6" x14ac:dyDescent="0.2">
      <c r="B252" s="598"/>
      <c r="E252" s="598"/>
      <c r="F252" s="598"/>
    </row>
    <row r="253" spans="2:6" x14ac:dyDescent="0.2">
      <c r="B253" s="598"/>
      <c r="E253" s="598"/>
      <c r="F253" s="598"/>
    </row>
    <row r="254" spans="2:6" x14ac:dyDescent="0.2">
      <c r="B254" s="598"/>
      <c r="E254" s="598"/>
      <c r="F254" s="598"/>
    </row>
    <row r="255" spans="2:6" x14ac:dyDescent="0.2">
      <c r="B255" s="598"/>
      <c r="E255" s="598"/>
      <c r="F255" s="598"/>
    </row>
    <row r="256" spans="2:6" x14ac:dyDescent="0.2">
      <c r="B256" s="598"/>
      <c r="E256" s="598"/>
      <c r="F256" s="598"/>
    </row>
    <row r="257" spans="2:6" x14ac:dyDescent="0.2">
      <c r="B257" s="598"/>
      <c r="E257" s="598"/>
      <c r="F257" s="598"/>
    </row>
    <row r="258" spans="2:6" x14ac:dyDescent="0.2">
      <c r="B258" s="598"/>
      <c r="E258" s="598"/>
      <c r="F258" s="598"/>
    </row>
    <row r="259" spans="2:6" x14ac:dyDescent="0.2">
      <c r="B259" s="598"/>
      <c r="E259" s="598"/>
      <c r="F259" s="598"/>
    </row>
    <row r="260" spans="2:6" x14ac:dyDescent="0.2">
      <c r="B260" s="598"/>
      <c r="E260" s="598"/>
      <c r="F260" s="598"/>
    </row>
    <row r="261" spans="2:6" x14ac:dyDescent="0.2">
      <c r="B261" s="598"/>
      <c r="E261" s="598"/>
      <c r="F261" s="598"/>
    </row>
    <row r="262" spans="2:6" x14ac:dyDescent="0.2">
      <c r="B262" s="598"/>
      <c r="E262" s="598"/>
      <c r="F262" s="598"/>
    </row>
    <row r="263" spans="2:6" x14ac:dyDescent="0.2">
      <c r="B263" s="598"/>
      <c r="E263" s="598"/>
      <c r="F263" s="598"/>
    </row>
    <row r="264" spans="2:6" x14ac:dyDescent="0.2">
      <c r="B264" s="598"/>
      <c r="E264" s="598"/>
      <c r="F264" s="598"/>
    </row>
    <row r="265" spans="2:6" x14ac:dyDescent="0.2">
      <c r="B265" s="598"/>
      <c r="E265" s="598"/>
      <c r="F265" s="598"/>
    </row>
    <row r="266" spans="2:6" x14ac:dyDescent="0.2">
      <c r="B266" s="598"/>
      <c r="E266" s="598"/>
      <c r="F266" s="598"/>
    </row>
    <row r="267" spans="2:6" x14ac:dyDescent="0.2">
      <c r="B267" s="598"/>
      <c r="E267" s="598"/>
      <c r="F267" s="598"/>
    </row>
    <row r="268" spans="2:6" x14ac:dyDescent="0.2">
      <c r="B268" s="598"/>
      <c r="E268" s="598"/>
      <c r="F268" s="598"/>
    </row>
    <row r="269" spans="2:6" x14ac:dyDescent="0.2">
      <c r="B269" s="598"/>
      <c r="E269" s="598"/>
      <c r="F269" s="598"/>
    </row>
    <row r="270" spans="2:6" x14ac:dyDescent="0.2">
      <c r="B270" s="598"/>
      <c r="E270" s="598"/>
      <c r="F270" s="598"/>
    </row>
    <row r="271" spans="2:6" x14ac:dyDescent="0.2">
      <c r="B271" s="598"/>
      <c r="E271" s="598"/>
      <c r="F271" s="598"/>
    </row>
    <row r="272" spans="2:6" x14ac:dyDescent="0.2">
      <c r="B272" s="598"/>
      <c r="E272" s="598"/>
      <c r="F272" s="598"/>
    </row>
    <row r="273" spans="2:6" x14ac:dyDescent="0.2">
      <c r="B273" s="598"/>
      <c r="E273" s="598"/>
      <c r="F273" s="598"/>
    </row>
    <row r="274" spans="2:6" x14ac:dyDescent="0.2">
      <c r="B274" s="598"/>
      <c r="E274" s="598"/>
      <c r="F274" s="598"/>
    </row>
    <row r="275" spans="2:6" x14ac:dyDescent="0.2">
      <c r="B275" s="598"/>
      <c r="E275" s="598"/>
      <c r="F275" s="598"/>
    </row>
    <row r="276" spans="2:6" x14ac:dyDescent="0.2">
      <c r="B276" s="598"/>
      <c r="E276" s="598"/>
      <c r="F276" s="598"/>
    </row>
    <row r="277" spans="2:6" x14ac:dyDescent="0.2">
      <c r="B277" s="598"/>
      <c r="E277" s="598"/>
      <c r="F277" s="598"/>
    </row>
    <row r="278" spans="2:6" x14ac:dyDescent="0.2">
      <c r="B278" s="598"/>
      <c r="E278" s="598"/>
      <c r="F278" s="598"/>
    </row>
    <row r="279" spans="2:6" x14ac:dyDescent="0.2">
      <c r="B279" s="598"/>
      <c r="E279" s="598"/>
      <c r="F279" s="598"/>
    </row>
    <row r="280" spans="2:6" x14ac:dyDescent="0.2">
      <c r="B280" s="598"/>
      <c r="E280" s="598"/>
      <c r="F280" s="598"/>
    </row>
    <row r="281" spans="2:6" x14ac:dyDescent="0.2">
      <c r="B281" s="598"/>
      <c r="E281" s="598"/>
      <c r="F281" s="598"/>
    </row>
    <row r="282" spans="2:6" x14ac:dyDescent="0.2">
      <c r="B282" s="598"/>
      <c r="E282" s="598"/>
      <c r="F282" s="598"/>
    </row>
    <row r="283" spans="2:6" x14ac:dyDescent="0.2">
      <c r="B283" s="598"/>
      <c r="E283" s="598"/>
      <c r="F283" s="598"/>
    </row>
    <row r="284" spans="2:6" x14ac:dyDescent="0.2">
      <c r="B284" s="598"/>
      <c r="E284" s="598"/>
      <c r="F284" s="598"/>
    </row>
    <row r="285" spans="2:6" x14ac:dyDescent="0.2">
      <c r="B285" s="598"/>
      <c r="E285" s="598"/>
      <c r="F285" s="598"/>
    </row>
    <row r="286" spans="2:6" x14ac:dyDescent="0.2">
      <c r="B286" s="598"/>
      <c r="E286" s="598"/>
      <c r="F286" s="598"/>
    </row>
    <row r="287" spans="2:6" x14ac:dyDescent="0.2">
      <c r="B287" s="598"/>
      <c r="E287" s="598"/>
      <c r="F287" s="598"/>
    </row>
    <row r="288" spans="2:6" x14ac:dyDescent="0.2">
      <c r="B288" s="598"/>
      <c r="E288" s="598"/>
      <c r="F288" s="598"/>
    </row>
    <row r="289" spans="2:6" x14ac:dyDescent="0.2">
      <c r="B289" s="598"/>
      <c r="E289" s="598"/>
      <c r="F289" s="598"/>
    </row>
    <row r="290" spans="2:6" x14ac:dyDescent="0.2">
      <c r="B290" s="598"/>
      <c r="E290" s="598"/>
      <c r="F290" s="598"/>
    </row>
    <row r="291" spans="2:6" x14ac:dyDescent="0.2">
      <c r="B291" s="598"/>
      <c r="E291" s="598"/>
      <c r="F291" s="598"/>
    </row>
    <row r="292" spans="2:6" x14ac:dyDescent="0.2">
      <c r="B292" s="598"/>
      <c r="E292" s="598"/>
      <c r="F292" s="598"/>
    </row>
    <row r="293" spans="2:6" x14ac:dyDescent="0.2">
      <c r="B293" s="598"/>
      <c r="E293" s="598"/>
      <c r="F293" s="598"/>
    </row>
    <row r="294" spans="2:6" x14ac:dyDescent="0.2">
      <c r="B294" s="598"/>
      <c r="E294" s="598"/>
      <c r="F294" s="598"/>
    </row>
    <row r="295" spans="2:6" x14ac:dyDescent="0.2">
      <c r="B295" s="598"/>
      <c r="E295" s="598"/>
      <c r="F295" s="598"/>
    </row>
    <row r="296" spans="2:6" x14ac:dyDescent="0.2">
      <c r="B296" s="598"/>
      <c r="E296" s="598"/>
      <c r="F296" s="598"/>
    </row>
    <row r="297" spans="2:6" x14ac:dyDescent="0.2">
      <c r="B297" s="598"/>
      <c r="E297" s="598"/>
      <c r="F297" s="598"/>
    </row>
    <row r="298" spans="2:6" x14ac:dyDescent="0.2">
      <c r="B298" s="598"/>
      <c r="E298" s="598"/>
      <c r="F298" s="598"/>
    </row>
    <row r="299" spans="2:6" x14ac:dyDescent="0.2">
      <c r="B299" s="598"/>
      <c r="E299" s="598"/>
      <c r="F299" s="598"/>
    </row>
    <row r="300" spans="2:6" x14ac:dyDescent="0.2">
      <c r="B300" s="598"/>
      <c r="E300" s="598"/>
      <c r="F300" s="598"/>
    </row>
    <row r="301" spans="2:6" x14ac:dyDescent="0.2">
      <c r="B301" s="598"/>
      <c r="E301" s="598"/>
      <c r="F301" s="598"/>
    </row>
    <row r="302" spans="2:6" x14ac:dyDescent="0.2">
      <c r="B302" s="598"/>
      <c r="E302" s="598"/>
      <c r="F302" s="598"/>
    </row>
    <row r="303" spans="2:6" x14ac:dyDescent="0.2">
      <c r="B303" s="598"/>
      <c r="E303" s="598"/>
      <c r="F303" s="598"/>
    </row>
    <row r="304" spans="2:6" x14ac:dyDescent="0.2">
      <c r="B304" s="598"/>
      <c r="E304" s="598"/>
      <c r="F304" s="598"/>
    </row>
    <row r="305" spans="2:6" x14ac:dyDescent="0.2">
      <c r="B305" s="598"/>
      <c r="E305" s="598"/>
      <c r="F305" s="598"/>
    </row>
    <row r="306" spans="2:6" x14ac:dyDescent="0.2">
      <c r="B306" s="598"/>
      <c r="E306" s="598"/>
      <c r="F306" s="598"/>
    </row>
    <row r="307" spans="2:6" x14ac:dyDescent="0.2">
      <c r="B307" s="598"/>
      <c r="E307" s="598"/>
      <c r="F307" s="598"/>
    </row>
    <row r="308" spans="2:6" x14ac:dyDescent="0.2">
      <c r="B308" s="598"/>
      <c r="E308" s="598"/>
      <c r="F308" s="598"/>
    </row>
    <row r="309" spans="2:6" x14ac:dyDescent="0.2">
      <c r="B309" s="598"/>
      <c r="E309" s="598"/>
      <c r="F309" s="598"/>
    </row>
    <row r="310" spans="2:6" x14ac:dyDescent="0.2">
      <c r="B310" s="598"/>
      <c r="E310" s="598"/>
      <c r="F310" s="598"/>
    </row>
    <row r="311" spans="2:6" x14ac:dyDescent="0.2">
      <c r="B311" s="598"/>
      <c r="E311" s="598"/>
      <c r="F311" s="598"/>
    </row>
    <row r="312" spans="2:6" x14ac:dyDescent="0.2">
      <c r="B312" s="598"/>
      <c r="E312" s="598"/>
      <c r="F312" s="598"/>
    </row>
    <row r="313" spans="2:6" x14ac:dyDescent="0.2">
      <c r="B313" s="598"/>
      <c r="E313" s="598"/>
      <c r="F313" s="598"/>
    </row>
    <row r="314" spans="2:6" x14ac:dyDescent="0.2">
      <c r="B314" s="598"/>
      <c r="E314" s="598"/>
      <c r="F314" s="598"/>
    </row>
    <row r="315" spans="2:6" x14ac:dyDescent="0.2">
      <c r="B315" s="598"/>
      <c r="E315" s="598"/>
      <c r="F315" s="598"/>
    </row>
    <row r="316" spans="2:6" x14ac:dyDescent="0.2">
      <c r="B316" s="598"/>
      <c r="E316" s="598"/>
      <c r="F316" s="598"/>
    </row>
    <row r="317" spans="2:6" x14ac:dyDescent="0.2">
      <c r="B317" s="598"/>
      <c r="E317" s="598"/>
      <c r="F317" s="598"/>
    </row>
    <row r="318" spans="2:6" x14ac:dyDescent="0.2">
      <c r="B318" s="598"/>
      <c r="E318" s="598"/>
      <c r="F318" s="598"/>
    </row>
    <row r="319" spans="2:6" x14ac:dyDescent="0.2">
      <c r="B319" s="598"/>
      <c r="E319" s="598"/>
      <c r="F319" s="598"/>
    </row>
    <row r="320" spans="2:6" x14ac:dyDescent="0.2">
      <c r="B320" s="598"/>
      <c r="E320" s="598"/>
      <c r="F320" s="598"/>
    </row>
    <row r="321" spans="2:6" x14ac:dyDescent="0.2">
      <c r="B321" s="598"/>
      <c r="E321" s="598"/>
      <c r="F321" s="598"/>
    </row>
    <row r="322" spans="2:6" x14ac:dyDescent="0.2">
      <c r="B322" s="598"/>
      <c r="E322" s="598"/>
      <c r="F322" s="598"/>
    </row>
    <row r="323" spans="2:6" x14ac:dyDescent="0.2">
      <c r="B323" s="598"/>
      <c r="E323" s="598"/>
      <c r="F323" s="598"/>
    </row>
    <row r="324" spans="2:6" x14ac:dyDescent="0.2">
      <c r="B324" s="598"/>
      <c r="E324" s="598"/>
      <c r="F324" s="598"/>
    </row>
    <row r="325" spans="2:6" x14ac:dyDescent="0.2">
      <c r="B325" s="598"/>
      <c r="E325" s="598"/>
      <c r="F325" s="598"/>
    </row>
    <row r="326" spans="2:6" x14ac:dyDescent="0.2">
      <c r="B326" s="598"/>
      <c r="E326" s="598"/>
      <c r="F326" s="598"/>
    </row>
    <row r="327" spans="2:6" x14ac:dyDescent="0.2">
      <c r="B327" s="598"/>
      <c r="E327" s="598"/>
      <c r="F327" s="598"/>
    </row>
    <row r="328" spans="2:6" x14ac:dyDescent="0.2">
      <c r="B328" s="598"/>
      <c r="E328" s="598"/>
      <c r="F328" s="598"/>
    </row>
    <row r="329" spans="2:6" x14ac:dyDescent="0.2">
      <c r="B329" s="598"/>
      <c r="E329" s="598"/>
      <c r="F329" s="598"/>
    </row>
    <row r="330" spans="2:6" x14ac:dyDescent="0.2">
      <c r="B330" s="598"/>
      <c r="E330" s="598"/>
      <c r="F330" s="598"/>
    </row>
    <row r="331" spans="2:6" x14ac:dyDescent="0.2">
      <c r="B331" s="598"/>
      <c r="E331" s="598"/>
      <c r="F331" s="598"/>
    </row>
    <row r="332" spans="2:6" x14ac:dyDescent="0.2">
      <c r="B332" s="598"/>
      <c r="E332" s="598"/>
      <c r="F332" s="598"/>
    </row>
    <row r="333" spans="2:6" x14ac:dyDescent="0.2">
      <c r="B333" s="598"/>
      <c r="E333" s="598"/>
      <c r="F333" s="598"/>
    </row>
    <row r="334" spans="2:6" x14ac:dyDescent="0.2">
      <c r="B334" s="598"/>
      <c r="E334" s="598"/>
      <c r="F334" s="598"/>
    </row>
    <row r="335" spans="2:6" x14ac:dyDescent="0.2">
      <c r="B335" s="598"/>
      <c r="E335" s="598"/>
      <c r="F335" s="598"/>
    </row>
    <row r="336" spans="2:6" x14ac:dyDescent="0.2">
      <c r="B336" s="598"/>
      <c r="E336" s="598"/>
      <c r="F336" s="598"/>
    </row>
    <row r="337" spans="2:6" x14ac:dyDescent="0.2">
      <c r="B337" s="598"/>
      <c r="E337" s="598"/>
      <c r="F337" s="598"/>
    </row>
    <row r="338" spans="2:6" x14ac:dyDescent="0.2">
      <c r="B338" s="598"/>
      <c r="E338" s="598"/>
      <c r="F338" s="598"/>
    </row>
    <row r="339" spans="2:6" x14ac:dyDescent="0.2">
      <c r="B339" s="598"/>
      <c r="E339" s="598"/>
      <c r="F339" s="598"/>
    </row>
    <row r="340" spans="2:6" x14ac:dyDescent="0.2">
      <c r="B340" s="598"/>
      <c r="E340" s="598"/>
      <c r="F340" s="598"/>
    </row>
    <row r="341" spans="2:6" x14ac:dyDescent="0.2">
      <c r="B341" s="598"/>
      <c r="E341" s="598"/>
      <c r="F341" s="598"/>
    </row>
    <row r="342" spans="2:6" x14ac:dyDescent="0.2">
      <c r="B342" s="598"/>
      <c r="E342" s="598"/>
      <c r="F342" s="598"/>
    </row>
    <row r="343" spans="2:6" x14ac:dyDescent="0.2">
      <c r="B343" s="598"/>
      <c r="E343" s="598"/>
      <c r="F343" s="598"/>
    </row>
    <row r="344" spans="2:6" x14ac:dyDescent="0.2">
      <c r="B344" s="598"/>
      <c r="E344" s="598"/>
      <c r="F344" s="598"/>
    </row>
    <row r="345" spans="2:6" x14ac:dyDescent="0.2">
      <c r="B345" s="598"/>
      <c r="E345" s="598"/>
      <c r="F345" s="598"/>
    </row>
    <row r="346" spans="2:6" x14ac:dyDescent="0.2">
      <c r="B346" s="598"/>
      <c r="E346" s="598"/>
      <c r="F346" s="598"/>
    </row>
    <row r="347" spans="2:6" x14ac:dyDescent="0.2">
      <c r="B347" s="598"/>
      <c r="E347" s="598"/>
      <c r="F347" s="598"/>
    </row>
    <row r="348" spans="2:6" x14ac:dyDescent="0.2">
      <c r="B348" s="598"/>
      <c r="E348" s="598"/>
      <c r="F348" s="598"/>
    </row>
    <row r="349" spans="2:6" x14ac:dyDescent="0.2">
      <c r="B349" s="598"/>
      <c r="E349" s="598"/>
      <c r="F349" s="598"/>
    </row>
    <row r="350" spans="2:6" x14ac:dyDescent="0.2">
      <c r="B350" s="598"/>
      <c r="E350" s="598"/>
      <c r="F350" s="598"/>
    </row>
    <row r="351" spans="2:6" x14ac:dyDescent="0.2">
      <c r="B351" s="598"/>
      <c r="E351" s="598"/>
      <c r="F351" s="598"/>
    </row>
    <row r="352" spans="2:6" x14ac:dyDescent="0.2">
      <c r="B352" s="598"/>
      <c r="E352" s="598"/>
      <c r="F352" s="598"/>
    </row>
    <row r="353" spans="2:6" x14ac:dyDescent="0.2">
      <c r="B353" s="598"/>
      <c r="E353" s="598"/>
      <c r="F353" s="598"/>
    </row>
    <row r="354" spans="2:6" x14ac:dyDescent="0.2">
      <c r="B354" s="598"/>
      <c r="E354" s="598"/>
      <c r="F354" s="598"/>
    </row>
    <row r="355" spans="2:6" x14ac:dyDescent="0.2">
      <c r="B355" s="598"/>
      <c r="E355" s="598"/>
      <c r="F355" s="598"/>
    </row>
    <row r="356" spans="2:6" x14ac:dyDescent="0.2">
      <c r="B356" s="598"/>
      <c r="E356" s="598"/>
      <c r="F356" s="598"/>
    </row>
    <row r="357" spans="2:6" x14ac:dyDescent="0.2">
      <c r="B357" s="598"/>
      <c r="E357" s="598"/>
      <c r="F357" s="598"/>
    </row>
    <row r="358" spans="2:6" x14ac:dyDescent="0.2">
      <c r="B358" s="598"/>
      <c r="E358" s="598"/>
      <c r="F358" s="598"/>
    </row>
    <row r="359" spans="2:6" x14ac:dyDescent="0.2">
      <c r="B359" s="598"/>
      <c r="E359" s="598"/>
      <c r="F359" s="598"/>
    </row>
    <row r="360" spans="2:6" x14ac:dyDescent="0.2">
      <c r="B360" s="598"/>
      <c r="E360" s="598"/>
      <c r="F360" s="598"/>
    </row>
    <row r="361" spans="2:6" x14ac:dyDescent="0.2">
      <c r="B361" s="598"/>
      <c r="E361" s="598"/>
      <c r="F361" s="598"/>
    </row>
    <row r="362" spans="2:6" x14ac:dyDescent="0.2">
      <c r="B362" s="598"/>
      <c r="E362" s="598"/>
      <c r="F362" s="598"/>
    </row>
    <row r="363" spans="2:6" x14ac:dyDescent="0.2">
      <c r="B363" s="598"/>
      <c r="E363" s="598"/>
      <c r="F363" s="598"/>
    </row>
    <row r="364" spans="2:6" x14ac:dyDescent="0.2">
      <c r="B364" s="598"/>
      <c r="E364" s="598"/>
      <c r="F364" s="598"/>
    </row>
    <row r="365" spans="2:6" x14ac:dyDescent="0.2">
      <c r="B365" s="598"/>
      <c r="E365" s="598"/>
      <c r="F365" s="598"/>
    </row>
    <row r="366" spans="2:6" x14ac:dyDescent="0.2">
      <c r="B366" s="598"/>
      <c r="E366" s="598"/>
      <c r="F366" s="598"/>
    </row>
    <row r="367" spans="2:6" x14ac:dyDescent="0.2">
      <c r="B367" s="598"/>
      <c r="E367" s="598"/>
      <c r="F367" s="598"/>
    </row>
    <row r="368" spans="2:6" x14ac:dyDescent="0.2">
      <c r="B368" s="598"/>
      <c r="E368" s="598"/>
      <c r="F368" s="598"/>
    </row>
    <row r="369" spans="2:6" x14ac:dyDescent="0.2">
      <c r="B369" s="598"/>
      <c r="E369" s="598"/>
      <c r="F369" s="598"/>
    </row>
    <row r="370" spans="2:6" x14ac:dyDescent="0.2">
      <c r="B370" s="598"/>
      <c r="E370" s="598"/>
      <c r="F370" s="598"/>
    </row>
    <row r="371" spans="2:6" x14ac:dyDescent="0.2">
      <c r="B371" s="598"/>
      <c r="E371" s="598"/>
      <c r="F371" s="598"/>
    </row>
    <row r="372" spans="2:6" x14ac:dyDescent="0.2">
      <c r="B372" s="598"/>
      <c r="E372" s="598"/>
      <c r="F372" s="598"/>
    </row>
    <row r="373" spans="2:6" x14ac:dyDescent="0.2">
      <c r="B373" s="598"/>
      <c r="E373" s="598"/>
      <c r="F373" s="598"/>
    </row>
    <row r="374" spans="2:6" x14ac:dyDescent="0.2">
      <c r="B374" s="598"/>
      <c r="E374" s="598"/>
      <c r="F374" s="598"/>
    </row>
    <row r="375" spans="2:6" x14ac:dyDescent="0.2">
      <c r="B375" s="598"/>
      <c r="E375" s="598"/>
      <c r="F375" s="598"/>
    </row>
    <row r="376" spans="2:6" x14ac:dyDescent="0.2">
      <c r="B376" s="598"/>
      <c r="E376" s="598"/>
      <c r="F376" s="598"/>
    </row>
    <row r="377" spans="2:6" x14ac:dyDescent="0.2">
      <c r="B377" s="598"/>
      <c r="E377" s="598"/>
      <c r="F377" s="598"/>
    </row>
    <row r="378" spans="2:6" x14ac:dyDescent="0.2">
      <c r="B378" s="598"/>
      <c r="E378" s="598"/>
      <c r="F378" s="598"/>
    </row>
    <row r="379" spans="2:6" x14ac:dyDescent="0.2">
      <c r="B379" s="598"/>
      <c r="E379" s="598"/>
      <c r="F379" s="598"/>
    </row>
    <row r="380" spans="2:6" x14ac:dyDescent="0.2">
      <c r="B380" s="598"/>
      <c r="E380" s="598"/>
      <c r="F380" s="598"/>
    </row>
    <row r="381" spans="2:6" x14ac:dyDescent="0.2">
      <c r="B381" s="598"/>
      <c r="E381" s="598"/>
      <c r="F381" s="598"/>
    </row>
    <row r="382" spans="2:6" x14ac:dyDescent="0.2">
      <c r="B382" s="598"/>
      <c r="E382" s="598"/>
      <c r="F382" s="598"/>
    </row>
    <row r="383" spans="2:6" x14ac:dyDescent="0.2">
      <c r="B383" s="598"/>
      <c r="E383" s="598"/>
      <c r="F383" s="598"/>
    </row>
    <row r="384" spans="2:6" x14ac:dyDescent="0.2">
      <c r="B384" s="598"/>
      <c r="E384" s="598"/>
      <c r="F384" s="598"/>
    </row>
    <row r="385" spans="2:6" x14ac:dyDescent="0.2">
      <c r="B385" s="598"/>
      <c r="E385" s="598"/>
      <c r="F385" s="598"/>
    </row>
    <row r="386" spans="2:6" x14ac:dyDescent="0.2">
      <c r="B386" s="598"/>
      <c r="E386" s="598"/>
      <c r="F386" s="598"/>
    </row>
    <row r="387" spans="2:6" x14ac:dyDescent="0.2">
      <c r="B387" s="598"/>
      <c r="E387" s="598"/>
      <c r="F387" s="598"/>
    </row>
    <row r="388" spans="2:6" x14ac:dyDescent="0.2">
      <c r="B388" s="598"/>
      <c r="E388" s="598"/>
      <c r="F388" s="598"/>
    </row>
    <row r="389" spans="2:6" x14ac:dyDescent="0.2">
      <c r="B389" s="598"/>
      <c r="E389" s="598"/>
      <c r="F389" s="598"/>
    </row>
    <row r="390" spans="2:6" x14ac:dyDescent="0.2">
      <c r="B390" s="598"/>
      <c r="E390" s="598"/>
      <c r="F390" s="598"/>
    </row>
    <row r="391" spans="2:6" x14ac:dyDescent="0.2">
      <c r="B391" s="598"/>
      <c r="E391" s="598"/>
      <c r="F391" s="598"/>
    </row>
    <row r="392" spans="2:6" x14ac:dyDescent="0.2">
      <c r="B392" s="598"/>
      <c r="E392" s="598"/>
      <c r="F392" s="598"/>
    </row>
    <row r="393" spans="2:6" x14ac:dyDescent="0.2">
      <c r="B393" s="598"/>
      <c r="E393" s="598"/>
      <c r="F393" s="598"/>
    </row>
    <row r="394" spans="2:6" x14ac:dyDescent="0.2">
      <c r="B394" s="598"/>
      <c r="E394" s="598"/>
      <c r="F394" s="598"/>
    </row>
    <row r="395" spans="2:6" x14ac:dyDescent="0.2">
      <c r="B395" s="598"/>
      <c r="E395" s="598"/>
      <c r="F395" s="598"/>
    </row>
    <row r="396" spans="2:6" x14ac:dyDescent="0.2">
      <c r="B396" s="598"/>
      <c r="E396" s="598"/>
      <c r="F396" s="598"/>
    </row>
    <row r="397" spans="2:6" x14ac:dyDescent="0.2">
      <c r="B397" s="598"/>
      <c r="E397" s="598"/>
      <c r="F397" s="598"/>
    </row>
    <row r="398" spans="2:6" x14ac:dyDescent="0.2">
      <c r="B398" s="598"/>
      <c r="E398" s="598"/>
      <c r="F398" s="598"/>
    </row>
    <row r="399" spans="2:6" x14ac:dyDescent="0.2">
      <c r="B399" s="598"/>
      <c r="E399" s="598"/>
      <c r="F399" s="598"/>
    </row>
    <row r="400" spans="2:6" x14ac:dyDescent="0.2">
      <c r="B400" s="598"/>
      <c r="E400" s="598"/>
      <c r="F400" s="598"/>
    </row>
    <row r="401" spans="2:6" x14ac:dyDescent="0.2">
      <c r="B401" s="598"/>
      <c r="E401" s="598"/>
      <c r="F401" s="598"/>
    </row>
    <row r="402" spans="2:6" x14ac:dyDescent="0.2">
      <c r="B402" s="598"/>
      <c r="E402" s="598"/>
      <c r="F402" s="598"/>
    </row>
    <row r="403" spans="2:6" x14ac:dyDescent="0.2">
      <c r="B403" s="598"/>
      <c r="E403" s="598"/>
      <c r="F403" s="598"/>
    </row>
    <row r="404" spans="2:6" x14ac:dyDescent="0.2">
      <c r="B404" s="598"/>
      <c r="E404" s="598"/>
      <c r="F404" s="598"/>
    </row>
    <row r="405" spans="2:6" x14ac:dyDescent="0.2">
      <c r="B405" s="598"/>
      <c r="E405" s="598"/>
      <c r="F405" s="598"/>
    </row>
    <row r="406" spans="2:6" x14ac:dyDescent="0.2">
      <c r="B406" s="598"/>
      <c r="E406" s="598"/>
      <c r="F406" s="598"/>
    </row>
    <row r="407" spans="2:6" x14ac:dyDescent="0.2">
      <c r="B407" s="598"/>
      <c r="E407" s="598"/>
      <c r="F407" s="598"/>
    </row>
    <row r="408" spans="2:6" x14ac:dyDescent="0.2">
      <c r="B408" s="598"/>
      <c r="E408" s="598"/>
      <c r="F408" s="598"/>
    </row>
    <row r="409" spans="2:6" x14ac:dyDescent="0.2">
      <c r="B409" s="598"/>
      <c r="E409" s="598"/>
      <c r="F409" s="598"/>
    </row>
    <row r="410" spans="2:6" x14ac:dyDescent="0.2">
      <c r="B410" s="598"/>
      <c r="E410" s="598"/>
      <c r="F410" s="598"/>
    </row>
    <row r="411" spans="2:6" x14ac:dyDescent="0.2">
      <c r="B411" s="598"/>
      <c r="E411" s="598"/>
      <c r="F411" s="598"/>
    </row>
    <row r="412" spans="2:6" x14ac:dyDescent="0.2">
      <c r="B412" s="598"/>
      <c r="E412" s="598"/>
      <c r="F412" s="598"/>
    </row>
    <row r="413" spans="2:6" x14ac:dyDescent="0.2">
      <c r="B413" s="598"/>
      <c r="E413" s="598"/>
      <c r="F413" s="598"/>
    </row>
    <row r="414" spans="2:6" x14ac:dyDescent="0.2">
      <c r="B414" s="598"/>
      <c r="E414" s="598"/>
      <c r="F414" s="598"/>
    </row>
    <row r="415" spans="2:6" x14ac:dyDescent="0.2">
      <c r="B415" s="598"/>
      <c r="E415" s="598"/>
      <c r="F415" s="598"/>
    </row>
    <row r="416" spans="2:6" x14ac:dyDescent="0.2">
      <c r="B416" s="598"/>
      <c r="E416" s="598"/>
      <c r="F416" s="598"/>
    </row>
    <row r="417" spans="2:6" x14ac:dyDescent="0.2">
      <c r="B417" s="598"/>
      <c r="E417" s="598"/>
      <c r="F417" s="598"/>
    </row>
    <row r="418" spans="2:6" x14ac:dyDescent="0.2">
      <c r="B418" s="598"/>
      <c r="E418" s="598"/>
      <c r="F418" s="598"/>
    </row>
    <row r="419" spans="2:6" x14ac:dyDescent="0.2">
      <c r="B419" s="598"/>
      <c r="E419" s="598"/>
      <c r="F419" s="598"/>
    </row>
    <row r="420" spans="2:6" x14ac:dyDescent="0.2">
      <c r="B420" s="598"/>
      <c r="E420" s="598"/>
      <c r="F420" s="598"/>
    </row>
    <row r="421" spans="2:6" x14ac:dyDescent="0.2">
      <c r="B421" s="598"/>
      <c r="E421" s="598"/>
      <c r="F421" s="598"/>
    </row>
    <row r="422" spans="2:6" x14ac:dyDescent="0.2">
      <c r="B422" s="598"/>
      <c r="E422" s="598"/>
      <c r="F422" s="598"/>
    </row>
    <row r="423" spans="2:6" x14ac:dyDescent="0.2">
      <c r="B423" s="598"/>
      <c r="E423" s="598"/>
      <c r="F423" s="598"/>
    </row>
    <row r="424" spans="2:6" x14ac:dyDescent="0.2">
      <c r="B424" s="598"/>
      <c r="E424" s="598"/>
      <c r="F424" s="598"/>
    </row>
    <row r="425" spans="2:6" x14ac:dyDescent="0.2">
      <c r="B425" s="598"/>
      <c r="E425" s="598"/>
      <c r="F425" s="598"/>
    </row>
    <row r="426" spans="2:6" x14ac:dyDescent="0.2">
      <c r="B426" s="598"/>
      <c r="E426" s="598"/>
      <c r="F426" s="598"/>
    </row>
    <row r="427" spans="2:6" x14ac:dyDescent="0.2">
      <c r="B427" s="598"/>
      <c r="E427" s="598"/>
      <c r="F427" s="598"/>
    </row>
    <row r="428" spans="2:6" x14ac:dyDescent="0.2">
      <c r="B428" s="598"/>
      <c r="E428" s="598"/>
      <c r="F428" s="598"/>
    </row>
    <row r="429" spans="2:6" x14ac:dyDescent="0.2">
      <c r="B429" s="598"/>
      <c r="E429" s="598"/>
      <c r="F429" s="598"/>
    </row>
    <row r="430" spans="2:6" x14ac:dyDescent="0.2">
      <c r="B430" s="598"/>
      <c r="E430" s="598"/>
      <c r="F430" s="598"/>
    </row>
    <row r="431" spans="2:6" x14ac:dyDescent="0.2">
      <c r="B431" s="598"/>
      <c r="E431" s="598"/>
      <c r="F431" s="598"/>
    </row>
    <row r="432" spans="2:6" x14ac:dyDescent="0.2">
      <c r="B432" s="598"/>
      <c r="E432" s="598"/>
      <c r="F432" s="598"/>
    </row>
    <row r="433" spans="2:6" x14ac:dyDescent="0.2">
      <c r="B433" s="598"/>
      <c r="E433" s="598"/>
      <c r="F433" s="598"/>
    </row>
    <row r="434" spans="2:6" x14ac:dyDescent="0.2">
      <c r="B434" s="598"/>
      <c r="E434" s="598"/>
      <c r="F434" s="598"/>
    </row>
    <row r="435" spans="2:6" x14ac:dyDescent="0.2">
      <c r="B435" s="598"/>
      <c r="E435" s="598"/>
      <c r="F435" s="598"/>
    </row>
    <row r="436" spans="2:6" x14ac:dyDescent="0.2">
      <c r="B436" s="598"/>
      <c r="E436" s="598"/>
      <c r="F436" s="598"/>
    </row>
    <row r="437" spans="2:6" x14ac:dyDescent="0.2">
      <c r="B437" s="598"/>
      <c r="E437" s="598"/>
      <c r="F437" s="598"/>
    </row>
    <row r="438" spans="2:6" x14ac:dyDescent="0.2">
      <c r="B438" s="598"/>
      <c r="E438" s="598"/>
      <c r="F438" s="598"/>
    </row>
    <row r="439" spans="2:6" x14ac:dyDescent="0.2">
      <c r="B439" s="598"/>
      <c r="E439" s="598"/>
      <c r="F439" s="598"/>
    </row>
    <row r="440" spans="2:6" x14ac:dyDescent="0.2">
      <c r="B440" s="598"/>
      <c r="E440" s="598"/>
      <c r="F440" s="598"/>
    </row>
    <row r="441" spans="2:6" x14ac:dyDescent="0.2">
      <c r="B441" s="598"/>
      <c r="E441" s="598"/>
      <c r="F441" s="598"/>
    </row>
    <row r="442" spans="2:6" x14ac:dyDescent="0.2">
      <c r="B442" s="598"/>
      <c r="E442" s="598"/>
      <c r="F442" s="598"/>
    </row>
    <row r="443" spans="2:6" x14ac:dyDescent="0.2">
      <c r="B443" s="598"/>
      <c r="E443" s="598"/>
      <c r="F443" s="598"/>
    </row>
    <row r="444" spans="2:6" x14ac:dyDescent="0.2">
      <c r="B444" s="598"/>
      <c r="E444" s="598"/>
      <c r="F444" s="598"/>
    </row>
    <row r="445" spans="2:6" x14ac:dyDescent="0.2">
      <c r="B445" s="598"/>
      <c r="E445" s="598"/>
      <c r="F445" s="598"/>
    </row>
    <row r="446" spans="2:6" x14ac:dyDescent="0.2">
      <c r="B446" s="598"/>
      <c r="E446" s="598"/>
      <c r="F446" s="598"/>
    </row>
    <row r="447" spans="2:6" x14ac:dyDescent="0.2">
      <c r="B447" s="598"/>
      <c r="E447" s="598"/>
      <c r="F447" s="598"/>
    </row>
    <row r="448" spans="2:6" x14ac:dyDescent="0.2">
      <c r="B448" s="598"/>
      <c r="E448" s="598"/>
      <c r="F448" s="598"/>
    </row>
    <row r="449" spans="2:6" x14ac:dyDescent="0.2">
      <c r="B449" s="598"/>
      <c r="E449" s="598"/>
      <c r="F449" s="598"/>
    </row>
    <row r="450" spans="2:6" x14ac:dyDescent="0.2">
      <c r="B450" s="598"/>
      <c r="E450" s="598"/>
      <c r="F450" s="598"/>
    </row>
    <row r="451" spans="2:6" x14ac:dyDescent="0.2">
      <c r="B451" s="598"/>
      <c r="E451" s="598"/>
      <c r="F451" s="598"/>
    </row>
    <row r="452" spans="2:6" x14ac:dyDescent="0.2">
      <c r="B452" s="598"/>
      <c r="E452" s="598"/>
      <c r="F452" s="598"/>
    </row>
    <row r="453" spans="2:6" x14ac:dyDescent="0.2">
      <c r="B453" s="598"/>
      <c r="E453" s="598"/>
      <c r="F453" s="598"/>
    </row>
    <row r="454" spans="2:6" x14ac:dyDescent="0.2">
      <c r="B454" s="598"/>
      <c r="E454" s="598"/>
      <c r="F454" s="598"/>
    </row>
    <row r="455" spans="2:6" x14ac:dyDescent="0.2">
      <c r="B455" s="598"/>
      <c r="E455" s="598"/>
      <c r="F455" s="598"/>
    </row>
    <row r="456" spans="2:6" x14ac:dyDescent="0.2">
      <c r="B456" s="598"/>
      <c r="E456" s="598"/>
      <c r="F456" s="598"/>
    </row>
    <row r="457" spans="2:6" x14ac:dyDescent="0.2">
      <c r="B457" s="598"/>
      <c r="E457" s="598"/>
      <c r="F457" s="598"/>
    </row>
    <row r="458" spans="2:6" x14ac:dyDescent="0.2">
      <c r="B458" s="598"/>
      <c r="E458" s="598"/>
      <c r="F458" s="598"/>
    </row>
    <row r="459" spans="2:6" x14ac:dyDescent="0.2">
      <c r="B459" s="598"/>
      <c r="E459" s="598"/>
      <c r="F459" s="598"/>
    </row>
    <row r="460" spans="2:6" x14ac:dyDescent="0.2">
      <c r="B460" s="598"/>
      <c r="E460" s="598"/>
      <c r="F460" s="598"/>
    </row>
    <row r="461" spans="2:6" x14ac:dyDescent="0.2">
      <c r="B461" s="598"/>
      <c r="E461" s="598"/>
      <c r="F461" s="598"/>
    </row>
    <row r="462" spans="2:6" x14ac:dyDescent="0.2">
      <c r="B462" s="598"/>
      <c r="E462" s="598"/>
      <c r="F462" s="598"/>
    </row>
    <row r="463" spans="2:6" x14ac:dyDescent="0.2">
      <c r="B463" s="598"/>
      <c r="E463" s="598"/>
      <c r="F463" s="598"/>
    </row>
    <row r="464" spans="2:6" x14ac:dyDescent="0.2">
      <c r="B464" s="598"/>
      <c r="E464" s="598"/>
      <c r="F464" s="598"/>
    </row>
    <row r="465" spans="2:6" x14ac:dyDescent="0.2">
      <c r="B465" s="598"/>
      <c r="E465" s="598"/>
      <c r="F465" s="598"/>
    </row>
    <row r="466" spans="2:6" x14ac:dyDescent="0.2">
      <c r="B466" s="598"/>
      <c r="E466" s="598"/>
      <c r="F466" s="598"/>
    </row>
    <row r="467" spans="2:6" x14ac:dyDescent="0.2">
      <c r="B467" s="598"/>
      <c r="E467" s="598"/>
      <c r="F467" s="598"/>
    </row>
    <row r="468" spans="2:6" x14ac:dyDescent="0.2">
      <c r="B468" s="598"/>
      <c r="E468" s="598"/>
      <c r="F468" s="598"/>
    </row>
    <row r="469" spans="2:6" x14ac:dyDescent="0.2">
      <c r="B469" s="598"/>
      <c r="E469" s="598"/>
      <c r="F469" s="598"/>
    </row>
    <row r="470" spans="2:6" x14ac:dyDescent="0.2">
      <c r="B470" s="598"/>
      <c r="E470" s="598"/>
      <c r="F470" s="598"/>
    </row>
    <row r="471" spans="2:6" x14ac:dyDescent="0.2">
      <c r="B471" s="598"/>
      <c r="E471" s="598"/>
      <c r="F471" s="598"/>
    </row>
    <row r="472" spans="2:6" x14ac:dyDescent="0.2">
      <c r="B472" s="598"/>
      <c r="E472" s="598"/>
      <c r="F472" s="598"/>
    </row>
    <row r="473" spans="2:6" x14ac:dyDescent="0.2">
      <c r="B473" s="598"/>
      <c r="E473" s="598"/>
      <c r="F473" s="598"/>
    </row>
    <row r="474" spans="2:6" x14ac:dyDescent="0.2">
      <c r="B474" s="598"/>
      <c r="E474" s="598"/>
      <c r="F474" s="598"/>
    </row>
    <row r="475" spans="2:6" x14ac:dyDescent="0.2">
      <c r="B475" s="598"/>
      <c r="E475" s="598"/>
      <c r="F475" s="598"/>
    </row>
    <row r="476" spans="2:6" x14ac:dyDescent="0.2">
      <c r="B476" s="598"/>
      <c r="E476" s="598"/>
      <c r="F476" s="598"/>
    </row>
    <row r="477" spans="2:6" x14ac:dyDescent="0.2">
      <c r="B477" s="598"/>
      <c r="E477" s="598"/>
      <c r="F477" s="598"/>
    </row>
    <row r="478" spans="2:6" x14ac:dyDescent="0.2">
      <c r="B478" s="598"/>
      <c r="E478" s="598"/>
      <c r="F478" s="598"/>
    </row>
    <row r="479" spans="2:6" x14ac:dyDescent="0.2">
      <c r="B479" s="598"/>
      <c r="E479" s="598"/>
      <c r="F479" s="598"/>
    </row>
    <row r="480" spans="2:6" x14ac:dyDescent="0.2">
      <c r="B480" s="598"/>
      <c r="E480" s="598"/>
      <c r="F480" s="598"/>
    </row>
    <row r="481" spans="2:6" x14ac:dyDescent="0.2">
      <c r="B481" s="598"/>
      <c r="E481" s="598"/>
      <c r="F481" s="598"/>
    </row>
    <row r="482" spans="2:6" x14ac:dyDescent="0.2">
      <c r="B482" s="598"/>
      <c r="E482" s="598"/>
      <c r="F482" s="598"/>
    </row>
    <row r="483" spans="2:6" x14ac:dyDescent="0.2">
      <c r="B483" s="598"/>
      <c r="E483" s="598"/>
      <c r="F483" s="598"/>
    </row>
    <row r="484" spans="2:6" x14ac:dyDescent="0.2">
      <c r="B484" s="598"/>
      <c r="E484" s="598"/>
      <c r="F484" s="598"/>
    </row>
    <row r="485" spans="2:6" x14ac:dyDescent="0.2">
      <c r="B485" s="598"/>
      <c r="E485" s="598"/>
      <c r="F485" s="598"/>
    </row>
    <row r="486" spans="2:6" x14ac:dyDescent="0.2">
      <c r="B486" s="598"/>
      <c r="E486" s="598"/>
      <c r="F486" s="598"/>
    </row>
    <row r="487" spans="2:6" x14ac:dyDescent="0.2">
      <c r="B487" s="598"/>
      <c r="E487" s="598"/>
      <c r="F487" s="598"/>
    </row>
    <row r="488" spans="2:6" x14ac:dyDescent="0.2">
      <c r="B488" s="598"/>
      <c r="E488" s="598"/>
      <c r="F488" s="598"/>
    </row>
    <row r="489" spans="2:6" x14ac:dyDescent="0.2">
      <c r="B489" s="598"/>
      <c r="E489" s="598"/>
      <c r="F489" s="598"/>
    </row>
    <row r="490" spans="2:6" x14ac:dyDescent="0.2">
      <c r="B490" s="598"/>
      <c r="E490" s="598"/>
      <c r="F490" s="598"/>
    </row>
    <row r="491" spans="2:6" x14ac:dyDescent="0.2">
      <c r="B491" s="598"/>
      <c r="E491" s="598"/>
      <c r="F491" s="598"/>
    </row>
    <row r="492" spans="2:6" x14ac:dyDescent="0.2">
      <c r="B492" s="598"/>
      <c r="E492" s="598"/>
      <c r="F492" s="598"/>
    </row>
    <row r="493" spans="2:6" x14ac:dyDescent="0.2">
      <c r="B493" s="598"/>
      <c r="E493" s="598"/>
      <c r="F493" s="598"/>
    </row>
    <row r="494" spans="2:6" x14ac:dyDescent="0.2">
      <c r="B494" s="598"/>
      <c r="E494" s="598"/>
      <c r="F494" s="598"/>
    </row>
    <row r="495" spans="2:6" x14ac:dyDescent="0.2">
      <c r="B495" s="598"/>
      <c r="E495" s="598"/>
      <c r="F495" s="598"/>
    </row>
    <row r="496" spans="2:6" x14ac:dyDescent="0.2">
      <c r="B496" s="598"/>
      <c r="E496" s="598"/>
      <c r="F496" s="598"/>
    </row>
    <row r="497" spans="2:6" x14ac:dyDescent="0.2">
      <c r="B497" s="598"/>
      <c r="E497" s="598"/>
      <c r="F497" s="598"/>
    </row>
    <row r="498" spans="2:6" x14ac:dyDescent="0.2">
      <c r="B498" s="598"/>
      <c r="E498" s="598"/>
      <c r="F498" s="598"/>
    </row>
    <row r="499" spans="2:6" x14ac:dyDescent="0.2">
      <c r="B499" s="598"/>
      <c r="E499" s="598"/>
      <c r="F499" s="598"/>
    </row>
    <row r="500" spans="2:6" x14ac:dyDescent="0.2">
      <c r="B500" s="598"/>
      <c r="E500" s="598"/>
      <c r="F500" s="598"/>
    </row>
    <row r="501" spans="2:6" x14ac:dyDescent="0.2">
      <c r="B501" s="598"/>
      <c r="E501" s="598"/>
      <c r="F501" s="598"/>
    </row>
    <row r="502" spans="2:6" x14ac:dyDescent="0.2">
      <c r="B502" s="598"/>
      <c r="E502" s="598"/>
      <c r="F502" s="598"/>
    </row>
    <row r="503" spans="2:6" x14ac:dyDescent="0.2">
      <c r="B503" s="598"/>
      <c r="E503" s="598"/>
      <c r="F503" s="598"/>
    </row>
    <row r="504" spans="2:6" x14ac:dyDescent="0.2">
      <c r="B504" s="598"/>
      <c r="E504" s="598"/>
      <c r="F504" s="598"/>
    </row>
    <row r="505" spans="2:6" x14ac:dyDescent="0.2">
      <c r="B505" s="598"/>
      <c r="E505" s="598"/>
      <c r="F505" s="598"/>
    </row>
    <row r="506" spans="2:6" x14ac:dyDescent="0.2">
      <c r="B506" s="598"/>
      <c r="E506" s="598"/>
      <c r="F506" s="598"/>
    </row>
    <row r="507" spans="2:6" x14ac:dyDescent="0.2">
      <c r="B507" s="598"/>
      <c r="E507" s="598"/>
      <c r="F507" s="598"/>
    </row>
    <row r="508" spans="2:6" x14ac:dyDescent="0.2">
      <c r="B508" s="598"/>
      <c r="E508" s="598"/>
      <c r="F508" s="598"/>
    </row>
    <row r="509" spans="2:6" x14ac:dyDescent="0.2">
      <c r="B509" s="598"/>
      <c r="E509" s="598"/>
      <c r="F509" s="598"/>
    </row>
    <row r="510" spans="2:6" x14ac:dyDescent="0.2">
      <c r="B510" s="598"/>
      <c r="E510" s="598"/>
      <c r="F510" s="598"/>
    </row>
    <row r="511" spans="2:6" x14ac:dyDescent="0.2">
      <c r="B511" s="598"/>
      <c r="E511" s="598"/>
      <c r="F511" s="598"/>
    </row>
    <row r="512" spans="2:6" x14ac:dyDescent="0.2">
      <c r="B512" s="598"/>
      <c r="E512" s="598"/>
      <c r="F512" s="598"/>
    </row>
    <row r="513" spans="2:6" x14ac:dyDescent="0.2">
      <c r="B513" s="598"/>
      <c r="E513" s="598"/>
      <c r="F513" s="598"/>
    </row>
    <row r="514" spans="2:6" x14ac:dyDescent="0.2">
      <c r="B514" s="598"/>
      <c r="E514" s="598"/>
      <c r="F514" s="598"/>
    </row>
    <row r="515" spans="2:6" x14ac:dyDescent="0.2">
      <c r="B515" s="598"/>
      <c r="E515" s="598"/>
      <c r="F515" s="598"/>
    </row>
    <row r="516" spans="2:6" x14ac:dyDescent="0.2">
      <c r="B516" s="598"/>
      <c r="E516" s="598"/>
      <c r="F516" s="598"/>
    </row>
    <row r="517" spans="2:6" x14ac:dyDescent="0.2">
      <c r="B517" s="598"/>
      <c r="E517" s="598"/>
      <c r="F517" s="598"/>
    </row>
    <row r="518" spans="2:6" x14ac:dyDescent="0.2">
      <c r="B518" s="598"/>
      <c r="E518" s="598"/>
      <c r="F518" s="598"/>
    </row>
    <row r="519" spans="2:6" x14ac:dyDescent="0.2">
      <c r="B519" s="598"/>
      <c r="E519" s="598"/>
      <c r="F519" s="598"/>
    </row>
    <row r="520" spans="2:6" x14ac:dyDescent="0.2">
      <c r="B520" s="598"/>
      <c r="E520" s="598"/>
      <c r="F520" s="598"/>
    </row>
    <row r="521" spans="2:6" x14ac:dyDescent="0.2">
      <c r="B521" s="598"/>
      <c r="E521" s="598"/>
      <c r="F521" s="598"/>
    </row>
    <row r="522" spans="2:6" x14ac:dyDescent="0.2">
      <c r="B522" s="598"/>
      <c r="E522" s="598"/>
      <c r="F522" s="598"/>
    </row>
    <row r="523" spans="2:6" x14ac:dyDescent="0.2">
      <c r="B523" s="598"/>
      <c r="E523" s="598"/>
      <c r="F523" s="598"/>
    </row>
    <row r="524" spans="2:6" x14ac:dyDescent="0.2">
      <c r="B524" s="598"/>
      <c r="E524" s="598"/>
      <c r="F524" s="598"/>
    </row>
    <row r="525" spans="2:6" x14ac:dyDescent="0.2">
      <c r="B525" s="598"/>
      <c r="E525" s="598"/>
      <c r="F525" s="598"/>
    </row>
    <row r="526" spans="2:6" x14ac:dyDescent="0.2">
      <c r="B526" s="598"/>
      <c r="E526" s="598"/>
      <c r="F526" s="598"/>
    </row>
    <row r="527" spans="2:6" x14ac:dyDescent="0.2">
      <c r="B527" s="598"/>
      <c r="E527" s="598"/>
      <c r="F527" s="598"/>
    </row>
    <row r="528" spans="2:6" x14ac:dyDescent="0.2">
      <c r="B528" s="598"/>
      <c r="E528" s="598"/>
      <c r="F528" s="598"/>
    </row>
    <row r="529" spans="2:6" x14ac:dyDescent="0.2">
      <c r="B529" s="598"/>
      <c r="E529" s="598"/>
      <c r="F529" s="598"/>
    </row>
    <row r="530" spans="2:6" x14ac:dyDescent="0.2">
      <c r="B530" s="598"/>
      <c r="E530" s="598"/>
      <c r="F530" s="598"/>
    </row>
    <row r="531" spans="2:6" x14ac:dyDescent="0.2">
      <c r="B531" s="598"/>
      <c r="E531" s="598"/>
      <c r="F531" s="598"/>
    </row>
    <row r="532" spans="2:6" x14ac:dyDescent="0.2">
      <c r="B532" s="598"/>
      <c r="E532" s="598"/>
      <c r="F532" s="598"/>
    </row>
    <row r="533" spans="2:6" x14ac:dyDescent="0.2">
      <c r="B533" s="598"/>
      <c r="E533" s="598"/>
      <c r="F533" s="598"/>
    </row>
    <row r="534" spans="2:6" x14ac:dyDescent="0.2">
      <c r="B534" s="598"/>
      <c r="E534" s="598"/>
      <c r="F534" s="598"/>
    </row>
    <row r="535" spans="2:6" x14ac:dyDescent="0.2">
      <c r="B535" s="598"/>
      <c r="E535" s="598"/>
      <c r="F535" s="598"/>
    </row>
    <row r="536" spans="2:6" x14ac:dyDescent="0.2">
      <c r="B536" s="598"/>
      <c r="E536" s="598"/>
      <c r="F536" s="598"/>
    </row>
    <row r="537" spans="2:6" x14ac:dyDescent="0.2">
      <c r="B537" s="598"/>
      <c r="E537" s="598"/>
      <c r="F537" s="598"/>
    </row>
    <row r="538" spans="2:6" x14ac:dyDescent="0.2">
      <c r="B538" s="598"/>
      <c r="E538" s="598"/>
      <c r="F538" s="598"/>
    </row>
    <row r="539" spans="2:6" x14ac:dyDescent="0.2">
      <c r="B539" s="598"/>
      <c r="E539" s="598"/>
      <c r="F539" s="598"/>
    </row>
    <row r="540" spans="2:6" x14ac:dyDescent="0.2">
      <c r="B540" s="598"/>
      <c r="E540" s="598"/>
      <c r="F540" s="598"/>
    </row>
    <row r="541" spans="2:6" x14ac:dyDescent="0.2">
      <c r="B541" s="598"/>
      <c r="E541" s="598"/>
      <c r="F541" s="598"/>
    </row>
    <row r="542" spans="2:6" x14ac:dyDescent="0.2">
      <c r="B542" s="598"/>
      <c r="E542" s="598"/>
      <c r="F542" s="598"/>
    </row>
    <row r="543" spans="2:6" x14ac:dyDescent="0.2">
      <c r="B543" s="598"/>
      <c r="E543" s="598"/>
      <c r="F543" s="598"/>
    </row>
    <row r="544" spans="2:6" x14ac:dyDescent="0.2">
      <c r="B544" s="598"/>
      <c r="E544" s="598"/>
      <c r="F544" s="598"/>
    </row>
    <row r="545" spans="2:6" x14ac:dyDescent="0.2">
      <c r="B545" s="598"/>
      <c r="E545" s="598"/>
      <c r="F545" s="598"/>
    </row>
    <row r="546" spans="2:6" x14ac:dyDescent="0.2">
      <c r="B546" s="598"/>
      <c r="E546" s="598"/>
      <c r="F546" s="598"/>
    </row>
    <row r="547" spans="2:6" x14ac:dyDescent="0.2">
      <c r="B547" s="598"/>
      <c r="E547" s="598"/>
      <c r="F547" s="598"/>
    </row>
    <row r="548" spans="2:6" x14ac:dyDescent="0.2">
      <c r="B548" s="598"/>
      <c r="E548" s="598"/>
      <c r="F548" s="598"/>
    </row>
    <row r="549" spans="2:6" x14ac:dyDescent="0.2">
      <c r="B549" s="598"/>
      <c r="E549" s="598"/>
      <c r="F549" s="598"/>
    </row>
    <row r="550" spans="2:6" x14ac:dyDescent="0.2">
      <c r="B550" s="598"/>
      <c r="E550" s="598"/>
      <c r="F550" s="598"/>
    </row>
    <row r="551" spans="2:6" x14ac:dyDescent="0.2">
      <c r="B551" s="598"/>
      <c r="E551" s="598"/>
      <c r="F551" s="598"/>
    </row>
    <row r="552" spans="2:6" x14ac:dyDescent="0.2">
      <c r="B552" s="598"/>
      <c r="E552" s="598"/>
      <c r="F552" s="598"/>
    </row>
    <row r="553" spans="2:6" x14ac:dyDescent="0.2">
      <c r="B553" s="598"/>
      <c r="E553" s="598"/>
      <c r="F553" s="598"/>
    </row>
    <row r="554" spans="2:6" x14ac:dyDescent="0.2">
      <c r="B554" s="598"/>
      <c r="E554" s="598"/>
      <c r="F554" s="598"/>
    </row>
    <row r="555" spans="2:6" x14ac:dyDescent="0.2">
      <c r="B555" s="598"/>
      <c r="E555" s="598"/>
      <c r="F555" s="598"/>
    </row>
    <row r="556" spans="2:6" x14ac:dyDescent="0.2">
      <c r="B556" s="598"/>
      <c r="E556" s="598"/>
      <c r="F556" s="598"/>
    </row>
    <row r="557" spans="2:6" x14ac:dyDescent="0.2">
      <c r="B557" s="598"/>
      <c r="E557" s="598"/>
      <c r="F557" s="598"/>
    </row>
    <row r="558" spans="2:6" x14ac:dyDescent="0.2">
      <c r="B558" s="598"/>
      <c r="E558" s="598"/>
      <c r="F558" s="598"/>
    </row>
    <row r="559" spans="2:6" x14ac:dyDescent="0.2">
      <c r="B559" s="598"/>
      <c r="E559" s="598"/>
      <c r="F559" s="598"/>
    </row>
    <row r="560" spans="2:6" x14ac:dyDescent="0.2">
      <c r="B560" s="598"/>
      <c r="E560" s="598"/>
      <c r="F560" s="598"/>
    </row>
    <row r="561" spans="2:6" x14ac:dyDescent="0.2">
      <c r="B561" s="598"/>
      <c r="E561" s="598"/>
      <c r="F561" s="598"/>
    </row>
    <row r="562" spans="2:6" x14ac:dyDescent="0.2">
      <c r="B562" s="598"/>
      <c r="E562" s="598"/>
      <c r="F562" s="598"/>
    </row>
    <row r="563" spans="2:6" x14ac:dyDescent="0.2">
      <c r="B563" s="598"/>
      <c r="E563" s="598"/>
      <c r="F563" s="598"/>
    </row>
    <row r="564" spans="2:6" x14ac:dyDescent="0.2">
      <c r="B564" s="598"/>
      <c r="E564" s="598"/>
      <c r="F564" s="598"/>
    </row>
    <row r="565" spans="2:6" x14ac:dyDescent="0.2">
      <c r="B565" s="598"/>
      <c r="E565" s="598"/>
      <c r="F565" s="598"/>
    </row>
    <row r="566" spans="2:6" x14ac:dyDescent="0.2">
      <c r="B566" s="598"/>
      <c r="E566" s="598"/>
      <c r="F566" s="598"/>
    </row>
    <row r="567" spans="2:6" x14ac:dyDescent="0.2">
      <c r="B567" s="598"/>
      <c r="E567" s="598"/>
      <c r="F567" s="598"/>
    </row>
    <row r="568" spans="2:6" x14ac:dyDescent="0.2">
      <c r="B568" s="598"/>
      <c r="E568" s="598"/>
      <c r="F568" s="598"/>
    </row>
    <row r="569" spans="2:6" x14ac:dyDescent="0.2">
      <c r="B569" s="598"/>
      <c r="E569" s="598"/>
      <c r="F569" s="598"/>
    </row>
    <row r="570" spans="2:6" x14ac:dyDescent="0.2">
      <c r="B570" s="598"/>
      <c r="E570" s="598"/>
      <c r="F570" s="598"/>
    </row>
    <row r="571" spans="2:6" x14ac:dyDescent="0.2">
      <c r="B571" s="598"/>
      <c r="E571" s="598"/>
      <c r="F571" s="598"/>
    </row>
    <row r="572" spans="2:6" x14ac:dyDescent="0.2">
      <c r="B572" s="598"/>
      <c r="E572" s="598"/>
      <c r="F572" s="598"/>
    </row>
    <row r="573" spans="2:6" x14ac:dyDescent="0.2">
      <c r="B573" s="598"/>
      <c r="E573" s="598"/>
      <c r="F573" s="598"/>
    </row>
    <row r="574" spans="2:6" x14ac:dyDescent="0.2">
      <c r="B574" s="598"/>
      <c r="E574" s="598"/>
      <c r="F574" s="598"/>
    </row>
    <row r="575" spans="2:6" x14ac:dyDescent="0.2">
      <c r="B575" s="598"/>
      <c r="E575" s="598"/>
      <c r="F575" s="598"/>
    </row>
    <row r="576" spans="2:6" x14ac:dyDescent="0.2">
      <c r="B576" s="598"/>
      <c r="E576" s="598"/>
      <c r="F576" s="598"/>
    </row>
    <row r="577" spans="2:6" x14ac:dyDescent="0.2">
      <c r="B577" s="598"/>
      <c r="E577" s="598"/>
      <c r="F577" s="598"/>
    </row>
    <row r="578" spans="2:6" x14ac:dyDescent="0.2">
      <c r="B578" s="598"/>
      <c r="E578" s="598"/>
      <c r="F578" s="598"/>
    </row>
    <row r="579" spans="2:6" x14ac:dyDescent="0.2">
      <c r="B579" s="598"/>
      <c r="E579" s="598"/>
      <c r="F579" s="598"/>
    </row>
    <row r="580" spans="2:6" x14ac:dyDescent="0.2">
      <c r="B580" s="598"/>
      <c r="E580" s="598"/>
      <c r="F580" s="598"/>
    </row>
    <row r="581" spans="2:6" x14ac:dyDescent="0.2">
      <c r="B581" s="598"/>
      <c r="E581" s="598"/>
      <c r="F581" s="598"/>
    </row>
    <row r="582" spans="2:6" x14ac:dyDescent="0.2">
      <c r="B582" s="598"/>
      <c r="E582" s="598"/>
      <c r="F582" s="598"/>
    </row>
    <row r="583" spans="2:6" x14ac:dyDescent="0.2">
      <c r="B583" s="598"/>
      <c r="E583" s="598"/>
      <c r="F583" s="598"/>
    </row>
    <row r="584" spans="2:6" x14ac:dyDescent="0.2">
      <c r="B584" s="598"/>
      <c r="E584" s="598"/>
      <c r="F584" s="598"/>
    </row>
    <row r="585" spans="2:6" x14ac:dyDescent="0.2">
      <c r="B585" s="598"/>
      <c r="E585" s="598"/>
      <c r="F585" s="598"/>
    </row>
    <row r="586" spans="2:6" x14ac:dyDescent="0.2">
      <c r="B586" s="598"/>
      <c r="E586" s="598"/>
      <c r="F586" s="598"/>
    </row>
    <row r="587" spans="2:6" x14ac:dyDescent="0.2">
      <c r="B587" s="598"/>
      <c r="E587" s="598"/>
      <c r="F587" s="598"/>
    </row>
    <row r="588" spans="2:6" x14ac:dyDescent="0.2">
      <c r="B588" s="598"/>
      <c r="E588" s="598"/>
      <c r="F588" s="598"/>
    </row>
    <row r="589" spans="2:6" x14ac:dyDescent="0.2">
      <c r="B589" s="598"/>
      <c r="E589" s="598"/>
      <c r="F589" s="598"/>
    </row>
    <row r="590" spans="2:6" x14ac:dyDescent="0.2">
      <c r="B590" s="598"/>
      <c r="E590" s="598"/>
      <c r="F590" s="598"/>
    </row>
    <row r="591" spans="2:6" x14ac:dyDescent="0.2">
      <c r="B591" s="598"/>
      <c r="E591" s="598"/>
      <c r="F591" s="598"/>
    </row>
    <row r="592" spans="2:6" x14ac:dyDescent="0.2">
      <c r="B592" s="598"/>
      <c r="E592" s="598"/>
      <c r="F592" s="598"/>
    </row>
    <row r="593" spans="2:6" x14ac:dyDescent="0.2">
      <c r="B593" s="598"/>
      <c r="E593" s="598"/>
      <c r="F593" s="598"/>
    </row>
    <row r="594" spans="2:6" x14ac:dyDescent="0.2">
      <c r="B594" s="598"/>
      <c r="E594" s="598"/>
      <c r="F594" s="598"/>
    </row>
    <row r="595" spans="2:6" x14ac:dyDescent="0.2">
      <c r="B595" s="598"/>
      <c r="E595" s="598"/>
      <c r="F595" s="598"/>
    </row>
    <row r="596" spans="2:6" x14ac:dyDescent="0.2">
      <c r="B596" s="598"/>
      <c r="E596" s="598"/>
      <c r="F596" s="598"/>
    </row>
    <row r="597" spans="2:6" x14ac:dyDescent="0.2">
      <c r="B597" s="598"/>
      <c r="E597" s="598"/>
      <c r="F597" s="598"/>
    </row>
    <row r="598" spans="2:6" x14ac:dyDescent="0.2">
      <c r="B598" s="598"/>
      <c r="E598" s="598"/>
      <c r="F598" s="598"/>
    </row>
    <row r="599" spans="2:6" x14ac:dyDescent="0.2">
      <c r="B599" s="598"/>
      <c r="E599" s="598"/>
      <c r="F599" s="598"/>
    </row>
    <row r="600" spans="2:6" x14ac:dyDescent="0.2">
      <c r="B600" s="598"/>
      <c r="E600" s="598"/>
      <c r="F600" s="598"/>
    </row>
    <row r="601" spans="2:6" x14ac:dyDescent="0.2">
      <c r="B601" s="598"/>
      <c r="E601" s="598"/>
      <c r="F601" s="598"/>
    </row>
    <row r="602" spans="2:6" x14ac:dyDescent="0.2">
      <c r="B602" s="598"/>
      <c r="E602" s="598"/>
      <c r="F602" s="598"/>
    </row>
    <row r="603" spans="2:6" x14ac:dyDescent="0.2">
      <c r="B603" s="598"/>
      <c r="E603" s="598"/>
      <c r="F603" s="598"/>
    </row>
    <row r="604" spans="2:6" x14ac:dyDescent="0.2">
      <c r="B604" s="598"/>
      <c r="E604" s="598"/>
      <c r="F604" s="598"/>
    </row>
    <row r="605" spans="2:6" x14ac:dyDescent="0.2">
      <c r="B605" s="598"/>
      <c r="E605" s="598"/>
      <c r="F605" s="598"/>
    </row>
    <row r="606" spans="2:6" x14ac:dyDescent="0.2">
      <c r="B606" s="598"/>
      <c r="E606" s="598"/>
      <c r="F606" s="598"/>
    </row>
    <row r="607" spans="2:6" x14ac:dyDescent="0.2">
      <c r="B607" s="598"/>
      <c r="E607" s="598"/>
      <c r="F607" s="598"/>
    </row>
    <row r="608" spans="2:6" x14ac:dyDescent="0.2">
      <c r="B608" s="598"/>
      <c r="E608" s="598"/>
      <c r="F608" s="598"/>
    </row>
    <row r="609" spans="2:6" x14ac:dyDescent="0.2">
      <c r="B609" s="598"/>
      <c r="E609" s="598"/>
      <c r="F609" s="598"/>
    </row>
    <row r="610" spans="2:6" x14ac:dyDescent="0.2">
      <c r="B610" s="598"/>
      <c r="E610" s="598"/>
      <c r="F610" s="598"/>
    </row>
    <row r="611" spans="2:6" x14ac:dyDescent="0.2">
      <c r="B611" s="598"/>
      <c r="E611" s="598"/>
      <c r="F611" s="598"/>
    </row>
    <row r="612" spans="2:6" x14ac:dyDescent="0.2">
      <c r="B612" s="598"/>
      <c r="E612" s="598"/>
      <c r="F612" s="598"/>
    </row>
    <row r="613" spans="2:6" x14ac:dyDescent="0.2">
      <c r="B613" s="598"/>
      <c r="E613" s="598"/>
      <c r="F613" s="598"/>
    </row>
    <row r="614" spans="2:6" x14ac:dyDescent="0.2">
      <c r="B614" s="598"/>
      <c r="E614" s="598"/>
      <c r="F614" s="598"/>
    </row>
    <row r="615" spans="2:6" x14ac:dyDescent="0.2">
      <c r="B615" s="598"/>
      <c r="E615" s="598"/>
      <c r="F615" s="598"/>
    </row>
    <row r="616" spans="2:6" x14ac:dyDescent="0.2">
      <c r="B616" s="598"/>
      <c r="E616" s="598"/>
      <c r="F616" s="598"/>
    </row>
    <row r="617" spans="2:6" x14ac:dyDescent="0.2">
      <c r="B617" s="598"/>
      <c r="E617" s="598"/>
      <c r="F617" s="598"/>
    </row>
    <row r="618" spans="2:6" x14ac:dyDescent="0.2">
      <c r="B618" s="598"/>
      <c r="E618" s="598"/>
      <c r="F618" s="598"/>
    </row>
    <row r="619" spans="2:6" x14ac:dyDescent="0.2">
      <c r="B619" s="598"/>
      <c r="E619" s="598"/>
      <c r="F619" s="598"/>
    </row>
    <row r="620" spans="2:6" x14ac:dyDescent="0.2">
      <c r="B620" s="598"/>
      <c r="E620" s="598"/>
      <c r="F620" s="598"/>
    </row>
    <row r="621" spans="2:6" x14ac:dyDescent="0.2">
      <c r="B621" s="598"/>
      <c r="E621" s="598"/>
      <c r="F621" s="598"/>
    </row>
    <row r="622" spans="2:6" x14ac:dyDescent="0.2">
      <c r="B622" s="598"/>
      <c r="E622" s="598"/>
      <c r="F622" s="598"/>
    </row>
    <row r="623" spans="2:6" x14ac:dyDescent="0.2">
      <c r="B623" s="598"/>
      <c r="E623" s="598"/>
      <c r="F623" s="598"/>
    </row>
    <row r="624" spans="2:6" x14ac:dyDescent="0.2">
      <c r="B624" s="598"/>
      <c r="E624" s="598"/>
      <c r="F624" s="598"/>
    </row>
    <row r="625" spans="2:6" x14ac:dyDescent="0.2">
      <c r="B625" s="598"/>
      <c r="E625" s="598"/>
      <c r="F625" s="598"/>
    </row>
    <row r="626" spans="2:6" x14ac:dyDescent="0.2">
      <c r="B626" s="598"/>
      <c r="E626" s="598"/>
      <c r="F626" s="598"/>
    </row>
    <row r="627" spans="2:6" x14ac:dyDescent="0.2">
      <c r="B627" s="598"/>
      <c r="E627" s="598"/>
      <c r="F627" s="598"/>
    </row>
    <row r="628" spans="2:6" x14ac:dyDescent="0.2">
      <c r="B628" s="598"/>
      <c r="E628" s="598"/>
      <c r="F628" s="598"/>
    </row>
    <row r="629" spans="2:6" x14ac:dyDescent="0.2">
      <c r="B629" s="598"/>
      <c r="E629" s="598"/>
      <c r="F629" s="598"/>
    </row>
    <row r="630" spans="2:6" x14ac:dyDescent="0.2">
      <c r="B630" s="598"/>
      <c r="E630" s="598"/>
      <c r="F630" s="598"/>
    </row>
    <row r="631" spans="2:6" x14ac:dyDescent="0.2">
      <c r="B631" s="598"/>
      <c r="E631" s="598"/>
      <c r="F631" s="598"/>
    </row>
    <row r="632" spans="2:6" x14ac:dyDescent="0.2">
      <c r="B632" s="598"/>
      <c r="E632" s="598"/>
      <c r="F632" s="598"/>
    </row>
    <row r="633" spans="2:6" x14ac:dyDescent="0.2">
      <c r="B633" s="598"/>
      <c r="E633" s="598"/>
      <c r="F633" s="598"/>
    </row>
    <row r="634" spans="2:6" x14ac:dyDescent="0.2">
      <c r="B634" s="598"/>
      <c r="E634" s="598"/>
      <c r="F634" s="598"/>
    </row>
    <row r="635" spans="2:6" x14ac:dyDescent="0.2">
      <c r="B635" s="598"/>
      <c r="E635" s="598"/>
      <c r="F635" s="598"/>
    </row>
    <row r="636" spans="2:6" x14ac:dyDescent="0.2">
      <c r="B636" s="598"/>
      <c r="E636" s="598"/>
      <c r="F636" s="598"/>
    </row>
    <row r="637" spans="2:6" x14ac:dyDescent="0.2">
      <c r="B637" s="598"/>
      <c r="E637" s="598"/>
      <c r="F637" s="598"/>
    </row>
    <row r="638" spans="2:6" x14ac:dyDescent="0.2">
      <c r="B638" s="598"/>
      <c r="E638" s="598"/>
      <c r="F638" s="598"/>
    </row>
    <row r="639" spans="2:6" x14ac:dyDescent="0.2">
      <c r="B639" s="598"/>
      <c r="E639" s="598"/>
      <c r="F639" s="598"/>
    </row>
    <row r="640" spans="2:6" x14ac:dyDescent="0.2">
      <c r="B640" s="598"/>
      <c r="E640" s="598"/>
      <c r="F640" s="598"/>
    </row>
    <row r="641" spans="2:6" x14ac:dyDescent="0.2">
      <c r="B641" s="598"/>
      <c r="E641" s="598"/>
      <c r="F641" s="598"/>
    </row>
    <row r="642" spans="2:6" x14ac:dyDescent="0.2">
      <c r="B642" s="598"/>
      <c r="E642" s="598"/>
      <c r="F642" s="598"/>
    </row>
    <row r="643" spans="2:6" x14ac:dyDescent="0.2">
      <c r="B643" s="598"/>
      <c r="E643" s="598"/>
      <c r="F643" s="598"/>
    </row>
    <row r="644" spans="2:6" x14ac:dyDescent="0.2">
      <c r="B644" s="598"/>
      <c r="E644" s="598"/>
      <c r="F644" s="598"/>
    </row>
    <row r="645" spans="2:6" x14ac:dyDescent="0.2">
      <c r="B645" s="598"/>
      <c r="E645" s="598"/>
      <c r="F645" s="598"/>
    </row>
    <row r="646" spans="2:6" x14ac:dyDescent="0.2">
      <c r="B646" s="598"/>
      <c r="E646" s="598"/>
      <c r="F646" s="598"/>
    </row>
    <row r="647" spans="2:6" x14ac:dyDescent="0.2">
      <c r="B647" s="598"/>
      <c r="E647" s="598"/>
      <c r="F647" s="598"/>
    </row>
    <row r="648" spans="2:6" x14ac:dyDescent="0.2">
      <c r="B648" s="598"/>
      <c r="E648" s="598"/>
      <c r="F648" s="598"/>
    </row>
    <row r="649" spans="2:6" x14ac:dyDescent="0.2">
      <c r="B649" s="598"/>
      <c r="E649" s="598"/>
      <c r="F649" s="598"/>
    </row>
    <row r="650" spans="2:6" x14ac:dyDescent="0.2">
      <c r="B650" s="598"/>
      <c r="E650" s="598"/>
      <c r="F650" s="598"/>
    </row>
    <row r="651" spans="2:6" x14ac:dyDescent="0.2">
      <c r="B651" s="598"/>
      <c r="E651" s="598"/>
      <c r="F651" s="598"/>
    </row>
    <row r="652" spans="2:6" x14ac:dyDescent="0.2">
      <c r="B652" s="598"/>
      <c r="E652" s="598"/>
      <c r="F652" s="598"/>
    </row>
    <row r="653" spans="2:6" x14ac:dyDescent="0.2">
      <c r="B653" s="598"/>
      <c r="E653" s="598"/>
      <c r="F653" s="598"/>
    </row>
    <row r="654" spans="2:6" x14ac:dyDescent="0.2">
      <c r="B654" s="598"/>
      <c r="E654" s="598"/>
      <c r="F654" s="598"/>
    </row>
    <row r="655" spans="2:6" x14ac:dyDescent="0.2">
      <c r="B655" s="598"/>
      <c r="E655" s="598"/>
      <c r="F655" s="598"/>
    </row>
    <row r="656" spans="2:6" x14ac:dyDescent="0.2">
      <c r="B656" s="598"/>
      <c r="E656" s="598"/>
      <c r="F656" s="598"/>
    </row>
    <row r="657" spans="2:6" x14ac:dyDescent="0.2">
      <c r="B657" s="598"/>
      <c r="E657" s="598"/>
      <c r="F657" s="598"/>
    </row>
    <row r="658" spans="2:6" x14ac:dyDescent="0.2">
      <c r="B658" s="598"/>
      <c r="E658" s="598"/>
      <c r="F658" s="598"/>
    </row>
    <row r="659" spans="2:6" x14ac:dyDescent="0.2">
      <c r="B659" s="598"/>
      <c r="E659" s="598"/>
      <c r="F659" s="598"/>
    </row>
    <row r="660" spans="2:6" x14ac:dyDescent="0.2">
      <c r="B660" s="598"/>
      <c r="E660" s="598"/>
      <c r="F660" s="598"/>
    </row>
    <row r="661" spans="2:6" x14ac:dyDescent="0.2">
      <c r="B661" s="598"/>
      <c r="E661" s="598"/>
      <c r="F661" s="598"/>
    </row>
    <row r="662" spans="2:6" x14ac:dyDescent="0.2">
      <c r="B662" s="598"/>
      <c r="E662" s="598"/>
      <c r="F662" s="598"/>
    </row>
    <row r="663" spans="2:6" x14ac:dyDescent="0.2">
      <c r="B663" s="598"/>
      <c r="E663" s="598"/>
      <c r="F663" s="598"/>
    </row>
    <row r="664" spans="2:6" x14ac:dyDescent="0.2">
      <c r="B664" s="598"/>
      <c r="E664" s="598"/>
      <c r="F664" s="598"/>
    </row>
    <row r="665" spans="2:6" x14ac:dyDescent="0.2">
      <c r="B665" s="598"/>
      <c r="E665" s="598"/>
      <c r="F665" s="598"/>
    </row>
    <row r="666" spans="2:6" x14ac:dyDescent="0.2">
      <c r="B666" s="598"/>
      <c r="E666" s="598"/>
      <c r="F666" s="598"/>
    </row>
    <row r="667" spans="2:6" x14ac:dyDescent="0.2">
      <c r="B667" s="598"/>
      <c r="E667" s="598"/>
      <c r="F667" s="598"/>
    </row>
    <row r="668" spans="2:6" x14ac:dyDescent="0.2">
      <c r="B668" s="598"/>
      <c r="E668" s="598"/>
      <c r="F668" s="598"/>
    </row>
    <row r="669" spans="2:6" x14ac:dyDescent="0.2">
      <c r="B669" s="598"/>
      <c r="E669" s="598"/>
      <c r="F669" s="598"/>
    </row>
    <row r="670" spans="2:6" x14ac:dyDescent="0.2">
      <c r="B670" s="598"/>
      <c r="E670" s="598"/>
      <c r="F670" s="598"/>
    </row>
    <row r="671" spans="2:6" x14ac:dyDescent="0.2">
      <c r="B671" s="598"/>
      <c r="E671" s="598"/>
      <c r="F671" s="598"/>
    </row>
    <row r="672" spans="2:6" x14ac:dyDescent="0.2">
      <c r="B672" s="598"/>
      <c r="E672" s="598"/>
      <c r="F672" s="598"/>
    </row>
    <row r="673" spans="2:6" x14ac:dyDescent="0.2">
      <c r="B673" s="598"/>
      <c r="E673" s="598"/>
      <c r="F673" s="598"/>
    </row>
    <row r="674" spans="2:6" x14ac:dyDescent="0.2">
      <c r="B674" s="598"/>
      <c r="E674" s="598"/>
      <c r="F674" s="598"/>
    </row>
    <row r="675" spans="2:6" x14ac:dyDescent="0.2">
      <c r="B675" s="598"/>
      <c r="E675" s="598"/>
      <c r="F675" s="598"/>
    </row>
    <row r="676" spans="2:6" x14ac:dyDescent="0.2">
      <c r="B676" s="598"/>
      <c r="E676" s="598"/>
      <c r="F676" s="598"/>
    </row>
    <row r="677" spans="2:6" x14ac:dyDescent="0.2">
      <c r="B677" s="598"/>
      <c r="E677" s="598"/>
      <c r="F677" s="598"/>
    </row>
    <row r="678" spans="2:6" x14ac:dyDescent="0.2">
      <c r="B678" s="598"/>
      <c r="E678" s="598"/>
      <c r="F678" s="598"/>
    </row>
    <row r="679" spans="2:6" x14ac:dyDescent="0.2">
      <c r="B679" s="598"/>
      <c r="E679" s="598"/>
      <c r="F679" s="598"/>
    </row>
    <row r="680" spans="2:6" x14ac:dyDescent="0.2">
      <c r="B680" s="598"/>
      <c r="E680" s="598"/>
      <c r="F680" s="598"/>
    </row>
    <row r="681" spans="2:6" x14ac:dyDescent="0.2">
      <c r="B681" s="598"/>
      <c r="E681" s="598"/>
      <c r="F681" s="598"/>
    </row>
    <row r="682" spans="2:6" x14ac:dyDescent="0.2">
      <c r="B682" s="598"/>
      <c r="E682" s="598"/>
      <c r="F682" s="598"/>
    </row>
    <row r="683" spans="2:6" x14ac:dyDescent="0.2">
      <c r="B683" s="598"/>
      <c r="E683" s="598"/>
      <c r="F683" s="598"/>
    </row>
    <row r="684" spans="2:6" x14ac:dyDescent="0.2">
      <c r="B684" s="598"/>
      <c r="E684" s="598"/>
      <c r="F684" s="598"/>
    </row>
    <row r="685" spans="2:6" x14ac:dyDescent="0.2">
      <c r="B685" s="598"/>
      <c r="E685" s="598"/>
      <c r="F685" s="598"/>
    </row>
    <row r="686" spans="2:6" x14ac:dyDescent="0.2">
      <c r="B686" s="598"/>
      <c r="E686" s="598"/>
      <c r="F686" s="598"/>
    </row>
    <row r="687" spans="2:6" x14ac:dyDescent="0.2">
      <c r="B687" s="598"/>
      <c r="E687" s="598"/>
      <c r="F687" s="598"/>
    </row>
    <row r="688" spans="2:6" x14ac:dyDescent="0.2">
      <c r="B688" s="598"/>
      <c r="E688" s="598"/>
      <c r="F688" s="598"/>
    </row>
    <row r="689" spans="2:6" x14ac:dyDescent="0.2">
      <c r="B689" s="598"/>
      <c r="E689" s="598"/>
      <c r="F689" s="598"/>
    </row>
    <row r="690" spans="2:6" x14ac:dyDescent="0.2">
      <c r="B690" s="598"/>
      <c r="E690" s="598"/>
      <c r="F690" s="598"/>
    </row>
    <row r="691" spans="2:6" x14ac:dyDescent="0.2">
      <c r="B691" s="598"/>
      <c r="E691" s="598"/>
      <c r="F691" s="598"/>
    </row>
    <row r="692" spans="2:6" x14ac:dyDescent="0.2">
      <c r="B692" s="598"/>
      <c r="E692" s="598"/>
      <c r="F692" s="598"/>
    </row>
    <row r="693" spans="2:6" x14ac:dyDescent="0.2">
      <c r="B693" s="598"/>
      <c r="E693" s="598"/>
      <c r="F693" s="598"/>
    </row>
    <row r="694" spans="2:6" x14ac:dyDescent="0.2">
      <c r="B694" s="598"/>
      <c r="E694" s="598"/>
      <c r="F694" s="598"/>
    </row>
    <row r="695" spans="2:6" x14ac:dyDescent="0.2">
      <c r="B695" s="598"/>
      <c r="E695" s="598"/>
      <c r="F695" s="598"/>
    </row>
    <row r="696" spans="2:6" x14ac:dyDescent="0.2">
      <c r="B696" s="598"/>
      <c r="E696" s="598"/>
      <c r="F696" s="598"/>
    </row>
    <row r="697" spans="2:6" x14ac:dyDescent="0.2">
      <c r="B697" s="598"/>
      <c r="E697" s="598"/>
      <c r="F697" s="598"/>
    </row>
    <row r="698" spans="2:6" x14ac:dyDescent="0.2">
      <c r="B698" s="598"/>
      <c r="E698" s="598"/>
      <c r="F698" s="598"/>
    </row>
    <row r="699" spans="2:6" x14ac:dyDescent="0.2">
      <c r="B699" s="598"/>
      <c r="E699" s="598"/>
      <c r="F699" s="598"/>
    </row>
    <row r="700" spans="2:6" x14ac:dyDescent="0.2">
      <c r="B700" s="598"/>
      <c r="E700" s="598"/>
      <c r="F700" s="598"/>
    </row>
    <row r="701" spans="2:6" x14ac:dyDescent="0.2">
      <c r="B701" s="598"/>
      <c r="E701" s="598"/>
      <c r="F701" s="598"/>
    </row>
    <row r="702" spans="2:6" x14ac:dyDescent="0.2">
      <c r="B702" s="598"/>
      <c r="E702" s="598"/>
      <c r="F702" s="598"/>
    </row>
    <row r="703" spans="2:6" x14ac:dyDescent="0.2">
      <c r="B703" s="598"/>
      <c r="E703" s="598"/>
      <c r="F703" s="598"/>
    </row>
    <row r="704" spans="2:6" x14ac:dyDescent="0.2">
      <c r="B704" s="598"/>
      <c r="E704" s="598"/>
      <c r="F704" s="598"/>
    </row>
    <row r="705" spans="2:6" x14ac:dyDescent="0.2">
      <c r="B705" s="598"/>
      <c r="E705" s="598"/>
      <c r="F705" s="598"/>
    </row>
    <row r="706" spans="2:6" x14ac:dyDescent="0.2">
      <c r="B706" s="598"/>
      <c r="E706" s="598"/>
      <c r="F706" s="598"/>
    </row>
    <row r="707" spans="2:6" x14ac:dyDescent="0.2">
      <c r="B707" s="598"/>
      <c r="E707" s="598"/>
      <c r="F707" s="598"/>
    </row>
    <row r="708" spans="2:6" x14ac:dyDescent="0.2">
      <c r="B708" s="598"/>
      <c r="E708" s="598"/>
      <c r="F708" s="598"/>
    </row>
    <row r="709" spans="2:6" x14ac:dyDescent="0.2">
      <c r="B709" s="598"/>
      <c r="E709" s="598"/>
      <c r="F709" s="598"/>
    </row>
    <row r="710" spans="2:6" x14ac:dyDescent="0.2">
      <c r="B710" s="598"/>
      <c r="E710" s="598"/>
      <c r="F710" s="598"/>
    </row>
    <row r="711" spans="2:6" x14ac:dyDescent="0.2">
      <c r="B711" s="598"/>
      <c r="E711" s="598"/>
      <c r="F711" s="598"/>
    </row>
    <row r="712" spans="2:6" x14ac:dyDescent="0.2">
      <c r="B712" s="598"/>
      <c r="E712" s="598"/>
      <c r="F712" s="598"/>
    </row>
    <row r="713" spans="2:6" x14ac:dyDescent="0.2">
      <c r="B713" s="598"/>
      <c r="E713" s="598"/>
      <c r="F713" s="598"/>
    </row>
    <row r="714" spans="2:6" x14ac:dyDescent="0.2">
      <c r="B714" s="598"/>
      <c r="E714" s="598"/>
      <c r="F714" s="598"/>
    </row>
    <row r="715" spans="2:6" x14ac:dyDescent="0.2">
      <c r="B715" s="598"/>
      <c r="E715" s="598"/>
      <c r="F715" s="598"/>
    </row>
    <row r="716" spans="2:6" x14ac:dyDescent="0.2">
      <c r="B716" s="598"/>
      <c r="E716" s="598"/>
      <c r="F716" s="598"/>
    </row>
    <row r="717" spans="2:6" x14ac:dyDescent="0.2">
      <c r="B717" s="598"/>
      <c r="E717" s="598"/>
      <c r="F717" s="598"/>
    </row>
    <row r="718" spans="2:6" x14ac:dyDescent="0.2">
      <c r="B718" s="598"/>
      <c r="E718" s="598"/>
      <c r="F718" s="598"/>
    </row>
    <row r="719" spans="2:6" x14ac:dyDescent="0.2">
      <c r="B719" s="598"/>
      <c r="E719" s="598"/>
      <c r="F719" s="598"/>
    </row>
    <row r="720" spans="2:6" x14ac:dyDescent="0.2">
      <c r="B720" s="598"/>
      <c r="E720" s="598"/>
      <c r="F720" s="598"/>
    </row>
    <row r="721" spans="2:6" x14ac:dyDescent="0.2">
      <c r="B721" s="598"/>
      <c r="E721" s="598"/>
      <c r="F721" s="598"/>
    </row>
    <row r="722" spans="2:6" x14ac:dyDescent="0.2">
      <c r="B722" s="598"/>
      <c r="E722" s="598"/>
      <c r="F722" s="598"/>
    </row>
    <row r="723" spans="2:6" x14ac:dyDescent="0.2">
      <c r="B723" s="598"/>
      <c r="E723" s="598"/>
      <c r="F723" s="598"/>
    </row>
    <row r="724" spans="2:6" x14ac:dyDescent="0.2">
      <c r="B724" s="598"/>
      <c r="E724" s="598"/>
      <c r="F724" s="598"/>
    </row>
    <row r="725" spans="2:6" x14ac:dyDescent="0.2">
      <c r="B725" s="598"/>
      <c r="E725" s="598"/>
      <c r="F725" s="598"/>
    </row>
    <row r="726" spans="2:6" x14ac:dyDescent="0.2">
      <c r="B726" s="598"/>
      <c r="E726" s="598"/>
      <c r="F726" s="598"/>
    </row>
    <row r="727" spans="2:6" x14ac:dyDescent="0.2">
      <c r="B727" s="598"/>
      <c r="E727" s="598"/>
      <c r="F727" s="598"/>
    </row>
    <row r="728" spans="2:6" x14ac:dyDescent="0.2">
      <c r="B728" s="598"/>
      <c r="E728" s="598"/>
      <c r="F728" s="598"/>
    </row>
    <row r="729" spans="2:6" x14ac:dyDescent="0.2">
      <c r="B729" s="598"/>
      <c r="E729" s="598"/>
      <c r="F729" s="598"/>
    </row>
    <row r="730" spans="2:6" x14ac:dyDescent="0.2">
      <c r="B730" s="598"/>
      <c r="E730" s="598"/>
      <c r="F730" s="598"/>
    </row>
    <row r="731" spans="2:6" x14ac:dyDescent="0.2">
      <c r="B731" s="598"/>
      <c r="E731" s="598"/>
      <c r="F731" s="598"/>
    </row>
    <row r="732" spans="2:6" x14ac:dyDescent="0.2">
      <c r="B732" s="598"/>
      <c r="E732" s="598"/>
      <c r="F732" s="598"/>
    </row>
    <row r="733" spans="2:6" x14ac:dyDescent="0.2">
      <c r="B733" s="598"/>
      <c r="E733" s="598"/>
      <c r="F733" s="598"/>
    </row>
    <row r="734" spans="2:6" x14ac:dyDescent="0.2">
      <c r="B734" s="598"/>
      <c r="E734" s="598"/>
      <c r="F734" s="598"/>
    </row>
    <row r="735" spans="2:6" x14ac:dyDescent="0.2">
      <c r="B735" s="598"/>
      <c r="E735" s="598"/>
      <c r="F735" s="598"/>
    </row>
    <row r="736" spans="2:6" x14ac:dyDescent="0.2">
      <c r="B736" s="598"/>
      <c r="E736" s="598"/>
      <c r="F736" s="598"/>
    </row>
    <row r="737" spans="2:6" x14ac:dyDescent="0.2">
      <c r="B737" s="598"/>
      <c r="E737" s="598"/>
      <c r="F737" s="598"/>
    </row>
    <row r="738" spans="2:6" x14ac:dyDescent="0.2">
      <c r="B738" s="598"/>
      <c r="E738" s="598"/>
      <c r="F738" s="598"/>
    </row>
    <row r="739" spans="2:6" x14ac:dyDescent="0.2">
      <c r="B739" s="598"/>
      <c r="E739" s="598"/>
      <c r="F739" s="598"/>
    </row>
    <row r="740" spans="2:6" x14ac:dyDescent="0.2">
      <c r="B740" s="598"/>
      <c r="E740" s="598"/>
      <c r="F740" s="598"/>
    </row>
    <row r="741" spans="2:6" x14ac:dyDescent="0.2">
      <c r="B741" s="598"/>
      <c r="E741" s="598"/>
      <c r="F741" s="598"/>
    </row>
    <row r="742" spans="2:6" x14ac:dyDescent="0.2">
      <c r="B742" s="598"/>
      <c r="E742" s="598"/>
      <c r="F742" s="598"/>
    </row>
    <row r="743" spans="2:6" x14ac:dyDescent="0.2">
      <c r="B743" s="598"/>
      <c r="E743" s="598"/>
      <c r="F743" s="598"/>
    </row>
    <row r="744" spans="2:6" x14ac:dyDescent="0.2">
      <c r="B744" s="598"/>
      <c r="E744" s="598"/>
      <c r="F744" s="598"/>
    </row>
    <row r="745" spans="2:6" x14ac:dyDescent="0.2">
      <c r="B745" s="598"/>
      <c r="E745" s="598"/>
      <c r="F745" s="598"/>
    </row>
    <row r="746" spans="2:6" x14ac:dyDescent="0.2">
      <c r="B746" s="598"/>
      <c r="E746" s="598"/>
      <c r="F746" s="598"/>
    </row>
    <row r="747" spans="2:6" x14ac:dyDescent="0.2">
      <c r="B747" s="598"/>
      <c r="E747" s="598"/>
      <c r="F747" s="598"/>
    </row>
    <row r="748" spans="2:6" x14ac:dyDescent="0.2">
      <c r="B748" s="598"/>
      <c r="E748" s="598"/>
      <c r="F748" s="598"/>
    </row>
    <row r="749" spans="2:6" x14ac:dyDescent="0.2">
      <c r="B749" s="598"/>
      <c r="E749" s="598"/>
      <c r="F749" s="598"/>
    </row>
    <row r="750" spans="2:6" x14ac:dyDescent="0.2">
      <c r="B750" s="598"/>
      <c r="E750" s="598"/>
      <c r="F750" s="598"/>
    </row>
    <row r="751" spans="2:6" x14ac:dyDescent="0.2">
      <c r="B751" s="598"/>
      <c r="E751" s="598"/>
      <c r="F751" s="598"/>
    </row>
    <row r="752" spans="2:6" x14ac:dyDescent="0.2">
      <c r="B752" s="598"/>
      <c r="E752" s="598"/>
      <c r="F752" s="598"/>
    </row>
    <row r="753" spans="2:6" x14ac:dyDescent="0.2">
      <c r="B753" s="598"/>
      <c r="E753" s="598"/>
      <c r="F753" s="598"/>
    </row>
    <row r="754" spans="2:6" x14ac:dyDescent="0.2">
      <c r="B754" s="598"/>
      <c r="E754" s="598"/>
      <c r="F754" s="598"/>
    </row>
    <row r="755" spans="2:6" x14ac:dyDescent="0.2">
      <c r="B755" s="598"/>
      <c r="E755" s="598"/>
      <c r="F755" s="598"/>
    </row>
    <row r="756" spans="2:6" x14ac:dyDescent="0.2">
      <c r="B756" s="598"/>
      <c r="E756" s="598"/>
      <c r="F756" s="598"/>
    </row>
    <row r="757" spans="2:6" x14ac:dyDescent="0.2">
      <c r="B757" s="598"/>
      <c r="E757" s="598"/>
      <c r="F757" s="598"/>
    </row>
    <row r="758" spans="2:6" x14ac:dyDescent="0.2">
      <c r="B758" s="598"/>
      <c r="E758" s="598"/>
      <c r="F758" s="598"/>
    </row>
    <row r="759" spans="2:6" x14ac:dyDescent="0.2">
      <c r="B759" s="598"/>
      <c r="E759" s="598"/>
      <c r="F759" s="598"/>
    </row>
    <row r="760" spans="2:6" x14ac:dyDescent="0.2">
      <c r="B760" s="598"/>
      <c r="E760" s="598"/>
      <c r="F760" s="598"/>
    </row>
    <row r="761" spans="2:6" x14ac:dyDescent="0.2">
      <c r="B761" s="598"/>
      <c r="E761" s="598"/>
      <c r="F761" s="598"/>
    </row>
    <row r="762" spans="2:6" x14ac:dyDescent="0.2">
      <c r="B762" s="598"/>
      <c r="E762" s="598"/>
      <c r="F762" s="598"/>
    </row>
    <row r="763" spans="2:6" x14ac:dyDescent="0.2">
      <c r="B763" s="598"/>
      <c r="E763" s="598"/>
      <c r="F763" s="598"/>
    </row>
    <row r="764" spans="2:6" x14ac:dyDescent="0.2">
      <c r="B764" s="598"/>
      <c r="E764" s="598"/>
      <c r="F764" s="598"/>
    </row>
    <row r="765" spans="2:6" x14ac:dyDescent="0.2">
      <c r="B765" s="598"/>
      <c r="E765" s="598"/>
      <c r="F765" s="598"/>
    </row>
    <row r="766" spans="2:6" x14ac:dyDescent="0.2">
      <c r="B766" s="598"/>
      <c r="E766" s="598"/>
      <c r="F766" s="598"/>
    </row>
    <row r="767" spans="2:6" x14ac:dyDescent="0.2">
      <c r="B767" s="598"/>
      <c r="E767" s="598"/>
      <c r="F767" s="598"/>
    </row>
    <row r="768" spans="2:6" x14ac:dyDescent="0.2">
      <c r="B768" s="598"/>
      <c r="E768" s="598"/>
      <c r="F768" s="598"/>
    </row>
    <row r="769" spans="2:6" x14ac:dyDescent="0.2">
      <c r="B769" s="598"/>
      <c r="E769" s="598"/>
      <c r="F769" s="598"/>
    </row>
    <row r="770" spans="2:6" x14ac:dyDescent="0.2">
      <c r="B770" s="598"/>
      <c r="E770" s="598"/>
      <c r="F770" s="598"/>
    </row>
    <row r="771" spans="2:6" x14ac:dyDescent="0.2">
      <c r="B771" s="598"/>
      <c r="E771" s="598"/>
      <c r="F771" s="598"/>
    </row>
    <row r="772" spans="2:6" x14ac:dyDescent="0.2">
      <c r="B772" s="598"/>
      <c r="E772" s="598"/>
      <c r="F772" s="598"/>
    </row>
    <row r="773" spans="2:6" x14ac:dyDescent="0.2">
      <c r="B773" s="598"/>
      <c r="E773" s="598"/>
      <c r="F773" s="598"/>
    </row>
    <row r="774" spans="2:6" x14ac:dyDescent="0.2">
      <c r="B774" s="598"/>
      <c r="E774" s="598"/>
      <c r="F774" s="598"/>
    </row>
    <row r="775" spans="2:6" x14ac:dyDescent="0.2">
      <c r="B775" s="598"/>
      <c r="E775" s="598"/>
      <c r="F775" s="598"/>
    </row>
    <row r="776" spans="2:6" x14ac:dyDescent="0.2">
      <c r="B776" s="598"/>
      <c r="E776" s="598"/>
      <c r="F776" s="598"/>
    </row>
    <row r="777" spans="2:6" x14ac:dyDescent="0.2">
      <c r="B777" s="598"/>
      <c r="E777" s="598"/>
      <c r="F777" s="598"/>
    </row>
    <row r="778" spans="2:6" x14ac:dyDescent="0.2">
      <c r="B778" s="598"/>
      <c r="E778" s="598"/>
      <c r="F778" s="598"/>
    </row>
    <row r="779" spans="2:6" x14ac:dyDescent="0.2">
      <c r="B779" s="598"/>
      <c r="E779" s="598"/>
      <c r="F779" s="598"/>
    </row>
    <row r="780" spans="2:6" x14ac:dyDescent="0.2">
      <c r="B780" s="598"/>
      <c r="E780" s="598"/>
      <c r="F780" s="598"/>
    </row>
    <row r="781" spans="2:6" x14ac:dyDescent="0.2">
      <c r="B781" s="598"/>
      <c r="E781" s="598"/>
      <c r="F781" s="598"/>
    </row>
    <row r="782" spans="2:6" x14ac:dyDescent="0.2">
      <c r="B782" s="598"/>
      <c r="E782" s="598"/>
      <c r="F782" s="598"/>
    </row>
    <row r="783" spans="2:6" x14ac:dyDescent="0.2">
      <c r="B783" s="598"/>
      <c r="E783" s="598"/>
      <c r="F783" s="598"/>
    </row>
    <row r="784" spans="2:6" x14ac:dyDescent="0.2">
      <c r="B784" s="598"/>
      <c r="E784" s="598"/>
      <c r="F784" s="598"/>
    </row>
    <row r="785" spans="2:6" x14ac:dyDescent="0.2">
      <c r="B785" s="598"/>
      <c r="E785" s="598"/>
      <c r="F785" s="598"/>
    </row>
    <row r="786" spans="2:6" x14ac:dyDescent="0.2">
      <c r="B786" s="598"/>
      <c r="E786" s="598"/>
      <c r="F786" s="598"/>
    </row>
    <row r="787" spans="2:6" x14ac:dyDescent="0.2">
      <c r="B787" s="598"/>
      <c r="E787" s="598"/>
      <c r="F787" s="598"/>
    </row>
    <row r="788" spans="2:6" x14ac:dyDescent="0.2">
      <c r="B788" s="598"/>
      <c r="E788" s="598"/>
      <c r="F788" s="598"/>
    </row>
    <row r="789" spans="2:6" x14ac:dyDescent="0.2">
      <c r="B789" s="598"/>
      <c r="E789" s="598"/>
      <c r="F789" s="598"/>
    </row>
    <row r="790" spans="2:6" x14ac:dyDescent="0.2">
      <c r="B790" s="598"/>
      <c r="E790" s="598"/>
      <c r="F790" s="598"/>
    </row>
    <row r="791" spans="2:6" x14ac:dyDescent="0.2">
      <c r="B791" s="598"/>
      <c r="E791" s="598"/>
      <c r="F791" s="598"/>
    </row>
    <row r="792" spans="2:6" x14ac:dyDescent="0.2">
      <c r="B792" s="598"/>
      <c r="E792" s="598"/>
      <c r="F792" s="598"/>
    </row>
    <row r="793" spans="2:6" x14ac:dyDescent="0.2">
      <c r="B793" s="598"/>
      <c r="E793" s="598"/>
      <c r="F793" s="598"/>
    </row>
    <row r="794" spans="2:6" x14ac:dyDescent="0.2">
      <c r="B794" s="598"/>
      <c r="E794" s="598"/>
      <c r="F794" s="598"/>
    </row>
    <row r="795" spans="2:6" x14ac:dyDescent="0.2">
      <c r="B795" s="598"/>
      <c r="E795" s="598"/>
      <c r="F795" s="598"/>
    </row>
    <row r="796" spans="2:6" x14ac:dyDescent="0.2">
      <c r="B796" s="598"/>
      <c r="E796" s="598"/>
      <c r="F796" s="598"/>
    </row>
    <row r="797" spans="2:6" x14ac:dyDescent="0.2">
      <c r="B797" s="598"/>
      <c r="E797" s="598"/>
      <c r="F797" s="598"/>
    </row>
    <row r="798" spans="2:6" x14ac:dyDescent="0.2">
      <c r="B798" s="598"/>
      <c r="E798" s="598"/>
      <c r="F798" s="598"/>
    </row>
    <row r="799" spans="2:6" x14ac:dyDescent="0.2">
      <c r="B799" s="598"/>
      <c r="E799" s="598"/>
      <c r="F799" s="598"/>
    </row>
    <row r="800" spans="2:6" x14ac:dyDescent="0.2">
      <c r="B800" s="598"/>
      <c r="E800" s="598"/>
      <c r="F800" s="598"/>
    </row>
    <row r="801" spans="2:6" x14ac:dyDescent="0.2">
      <c r="B801" s="598"/>
      <c r="E801" s="598"/>
      <c r="F801" s="598"/>
    </row>
    <row r="802" spans="2:6" x14ac:dyDescent="0.2">
      <c r="B802" s="598"/>
      <c r="E802" s="598"/>
      <c r="F802" s="598"/>
    </row>
    <row r="803" spans="2:6" x14ac:dyDescent="0.2">
      <c r="B803" s="598"/>
      <c r="E803" s="598"/>
      <c r="F803" s="598"/>
    </row>
    <row r="804" spans="2:6" x14ac:dyDescent="0.2">
      <c r="B804" s="598"/>
      <c r="E804" s="598"/>
      <c r="F804" s="598"/>
    </row>
    <row r="805" spans="2:6" x14ac:dyDescent="0.2">
      <c r="B805" s="598"/>
      <c r="E805" s="598"/>
      <c r="F805" s="598"/>
    </row>
    <row r="806" spans="2:6" x14ac:dyDescent="0.2">
      <c r="B806" s="598"/>
      <c r="E806" s="598"/>
      <c r="F806" s="598"/>
    </row>
    <row r="807" spans="2:6" x14ac:dyDescent="0.2">
      <c r="B807" s="598"/>
      <c r="E807" s="598"/>
      <c r="F807" s="598"/>
    </row>
    <row r="808" spans="2:6" x14ac:dyDescent="0.2">
      <c r="B808" s="598"/>
      <c r="E808" s="598"/>
      <c r="F808" s="598"/>
    </row>
    <row r="809" spans="2:6" x14ac:dyDescent="0.2">
      <c r="B809" s="598"/>
      <c r="E809" s="598"/>
      <c r="F809" s="598"/>
    </row>
    <row r="810" spans="2:6" x14ac:dyDescent="0.2">
      <c r="B810" s="598"/>
      <c r="E810" s="598"/>
      <c r="F810" s="598"/>
    </row>
    <row r="811" spans="2:6" x14ac:dyDescent="0.2">
      <c r="B811" s="598"/>
      <c r="E811" s="598"/>
      <c r="F811" s="598"/>
    </row>
    <row r="812" spans="2:6" x14ac:dyDescent="0.2">
      <c r="B812" s="598"/>
      <c r="E812" s="598"/>
      <c r="F812" s="598"/>
    </row>
    <row r="813" spans="2:6" x14ac:dyDescent="0.2">
      <c r="B813" s="598"/>
      <c r="E813" s="598"/>
      <c r="F813" s="598"/>
    </row>
    <row r="814" spans="2:6" x14ac:dyDescent="0.2">
      <c r="B814" s="598"/>
      <c r="E814" s="598"/>
      <c r="F814" s="598"/>
    </row>
    <row r="815" spans="2:6" x14ac:dyDescent="0.2">
      <c r="B815" s="598"/>
      <c r="E815" s="598"/>
      <c r="F815" s="598"/>
    </row>
    <row r="816" spans="2:6" x14ac:dyDescent="0.2">
      <c r="B816" s="598"/>
      <c r="E816" s="598"/>
      <c r="F816" s="598"/>
    </row>
    <row r="817" spans="2:6" x14ac:dyDescent="0.2">
      <c r="B817" s="598"/>
      <c r="E817" s="598"/>
      <c r="F817" s="598"/>
    </row>
    <row r="818" spans="2:6" x14ac:dyDescent="0.2">
      <c r="B818" s="598"/>
      <c r="E818" s="598"/>
      <c r="F818" s="598"/>
    </row>
    <row r="819" spans="2:6" x14ac:dyDescent="0.2">
      <c r="B819" s="598"/>
      <c r="E819" s="598"/>
      <c r="F819" s="598"/>
    </row>
    <row r="820" spans="2:6" x14ac:dyDescent="0.2">
      <c r="B820" s="598"/>
      <c r="E820" s="598"/>
      <c r="F820" s="598"/>
    </row>
    <row r="821" spans="2:6" x14ac:dyDescent="0.2">
      <c r="B821" s="598"/>
      <c r="E821" s="598"/>
      <c r="F821" s="598"/>
    </row>
    <row r="822" spans="2:6" x14ac:dyDescent="0.2">
      <c r="B822" s="598"/>
      <c r="E822" s="598"/>
      <c r="F822" s="598"/>
    </row>
    <row r="823" spans="2:6" x14ac:dyDescent="0.2">
      <c r="B823" s="598"/>
      <c r="E823" s="598"/>
      <c r="F823" s="598"/>
    </row>
    <row r="824" spans="2:6" x14ac:dyDescent="0.2">
      <c r="B824" s="598"/>
      <c r="E824" s="598"/>
      <c r="F824" s="598"/>
    </row>
    <row r="825" spans="2:6" x14ac:dyDescent="0.2">
      <c r="B825" s="598"/>
      <c r="E825" s="598"/>
      <c r="F825" s="598"/>
    </row>
    <row r="826" spans="2:6" x14ac:dyDescent="0.2">
      <c r="B826" s="598"/>
      <c r="E826" s="598"/>
      <c r="F826" s="598"/>
    </row>
    <row r="827" spans="2:6" x14ac:dyDescent="0.2">
      <c r="B827" s="598"/>
      <c r="E827" s="598"/>
      <c r="F827" s="598"/>
    </row>
    <row r="828" spans="2:6" x14ac:dyDescent="0.2">
      <c r="B828" s="598"/>
      <c r="E828" s="598"/>
      <c r="F828" s="598"/>
    </row>
    <row r="829" spans="2:6" x14ac:dyDescent="0.2">
      <c r="B829" s="598"/>
      <c r="E829" s="598"/>
      <c r="F829" s="598"/>
    </row>
    <row r="830" spans="2:6" x14ac:dyDescent="0.2">
      <c r="B830" s="598"/>
      <c r="E830" s="598"/>
      <c r="F830" s="598"/>
    </row>
    <row r="831" spans="2:6" x14ac:dyDescent="0.2">
      <c r="B831" s="598"/>
      <c r="E831" s="598"/>
      <c r="F831" s="598"/>
    </row>
    <row r="832" spans="2:6" x14ac:dyDescent="0.2">
      <c r="B832" s="598"/>
      <c r="E832" s="598"/>
      <c r="F832" s="598"/>
    </row>
    <row r="833" spans="2:6" x14ac:dyDescent="0.2">
      <c r="B833" s="598"/>
      <c r="E833" s="598"/>
      <c r="F833" s="598"/>
    </row>
    <row r="834" spans="2:6" x14ac:dyDescent="0.2">
      <c r="B834" s="598"/>
      <c r="E834" s="598"/>
      <c r="F834" s="598"/>
    </row>
    <row r="835" spans="2:6" x14ac:dyDescent="0.2">
      <c r="B835" s="598"/>
      <c r="E835" s="598"/>
      <c r="F835" s="598"/>
    </row>
    <row r="836" spans="2:6" x14ac:dyDescent="0.2">
      <c r="B836" s="598"/>
      <c r="E836" s="598"/>
      <c r="F836" s="598"/>
    </row>
    <row r="837" spans="2:6" x14ac:dyDescent="0.2">
      <c r="B837" s="598"/>
      <c r="E837" s="598"/>
      <c r="F837" s="598"/>
    </row>
    <row r="838" spans="2:6" x14ac:dyDescent="0.2">
      <c r="B838" s="598"/>
      <c r="E838" s="598"/>
      <c r="F838" s="598"/>
    </row>
    <row r="839" spans="2:6" x14ac:dyDescent="0.2">
      <c r="B839" s="598"/>
      <c r="E839" s="598"/>
      <c r="F839" s="598"/>
    </row>
    <row r="840" spans="2:6" x14ac:dyDescent="0.2">
      <c r="B840" s="598"/>
      <c r="E840" s="598"/>
      <c r="F840" s="598"/>
    </row>
    <row r="841" spans="2:6" x14ac:dyDescent="0.2">
      <c r="B841" s="598"/>
      <c r="E841" s="598"/>
      <c r="F841" s="598"/>
    </row>
    <row r="842" spans="2:6" x14ac:dyDescent="0.2">
      <c r="B842" s="598"/>
      <c r="E842" s="598"/>
      <c r="F842" s="598"/>
    </row>
    <row r="843" spans="2:6" x14ac:dyDescent="0.2">
      <c r="B843" s="598"/>
      <c r="E843" s="598"/>
      <c r="F843" s="598"/>
    </row>
    <row r="844" spans="2:6" x14ac:dyDescent="0.2">
      <c r="B844" s="598"/>
      <c r="E844" s="598"/>
      <c r="F844" s="598"/>
    </row>
    <row r="845" spans="2:6" x14ac:dyDescent="0.2">
      <c r="B845" s="598"/>
      <c r="E845" s="598"/>
      <c r="F845" s="598"/>
    </row>
    <row r="846" spans="2:6" x14ac:dyDescent="0.2">
      <c r="B846" s="598"/>
      <c r="E846" s="598"/>
      <c r="F846" s="598"/>
    </row>
    <row r="847" spans="2:6" x14ac:dyDescent="0.2">
      <c r="B847" s="598"/>
      <c r="E847" s="598"/>
      <c r="F847" s="598"/>
    </row>
    <row r="848" spans="2:6" x14ac:dyDescent="0.2">
      <c r="B848" s="598"/>
      <c r="E848" s="598"/>
      <c r="F848" s="598"/>
    </row>
    <row r="849" spans="2:6" x14ac:dyDescent="0.2">
      <c r="B849" s="598"/>
      <c r="E849" s="598"/>
      <c r="F849" s="598"/>
    </row>
    <row r="850" spans="2:6" x14ac:dyDescent="0.2">
      <c r="B850" s="598"/>
      <c r="E850" s="598"/>
      <c r="F850" s="598"/>
    </row>
    <row r="851" spans="2:6" x14ac:dyDescent="0.2">
      <c r="B851" s="598"/>
      <c r="E851" s="598"/>
      <c r="F851" s="598"/>
    </row>
    <row r="852" spans="2:6" x14ac:dyDescent="0.2">
      <c r="B852" s="598"/>
      <c r="E852" s="598"/>
      <c r="F852" s="598"/>
    </row>
    <row r="853" spans="2:6" x14ac:dyDescent="0.2">
      <c r="B853" s="598"/>
      <c r="E853" s="598"/>
      <c r="F853" s="598"/>
    </row>
    <row r="854" spans="2:6" x14ac:dyDescent="0.2">
      <c r="B854" s="598"/>
      <c r="E854" s="598"/>
      <c r="F854" s="598"/>
    </row>
    <row r="855" spans="2:6" x14ac:dyDescent="0.2">
      <c r="B855" s="598"/>
      <c r="E855" s="598"/>
      <c r="F855" s="598"/>
    </row>
    <row r="856" spans="2:6" x14ac:dyDescent="0.2">
      <c r="B856" s="598"/>
      <c r="E856" s="598"/>
      <c r="F856" s="598"/>
    </row>
    <row r="857" spans="2:6" x14ac:dyDescent="0.2">
      <c r="B857" s="598"/>
      <c r="E857" s="598"/>
      <c r="F857" s="598"/>
    </row>
    <row r="858" spans="2:6" x14ac:dyDescent="0.2">
      <c r="B858" s="598"/>
      <c r="E858" s="598"/>
      <c r="F858" s="598"/>
    </row>
    <row r="859" spans="2:6" x14ac:dyDescent="0.2">
      <c r="B859" s="598"/>
      <c r="E859" s="598"/>
      <c r="F859" s="598"/>
    </row>
    <row r="860" spans="2:6" x14ac:dyDescent="0.2">
      <c r="B860" s="598"/>
      <c r="E860" s="598"/>
      <c r="F860" s="598"/>
    </row>
    <row r="861" spans="2:6" x14ac:dyDescent="0.2">
      <c r="B861" s="598"/>
      <c r="E861" s="598"/>
      <c r="F861" s="598"/>
    </row>
    <row r="862" spans="2:6" x14ac:dyDescent="0.2">
      <c r="B862" s="598"/>
      <c r="E862" s="598"/>
      <c r="F862" s="598"/>
    </row>
    <row r="863" spans="2:6" x14ac:dyDescent="0.2">
      <c r="B863" s="598"/>
      <c r="E863" s="598"/>
      <c r="F863" s="598"/>
    </row>
    <row r="864" spans="2:6" x14ac:dyDescent="0.2">
      <c r="B864" s="598"/>
      <c r="E864" s="598"/>
      <c r="F864" s="598"/>
    </row>
    <row r="865" spans="2:6" x14ac:dyDescent="0.2">
      <c r="B865" s="598"/>
      <c r="E865" s="598"/>
      <c r="F865" s="598"/>
    </row>
    <row r="866" spans="2:6" x14ac:dyDescent="0.2">
      <c r="B866" s="598"/>
      <c r="E866" s="598"/>
      <c r="F866" s="598"/>
    </row>
    <row r="867" spans="2:6" x14ac:dyDescent="0.2">
      <c r="B867" s="598"/>
      <c r="E867" s="598"/>
      <c r="F867" s="598"/>
    </row>
    <row r="868" spans="2:6" x14ac:dyDescent="0.2">
      <c r="B868" s="598"/>
      <c r="E868" s="598"/>
      <c r="F868" s="598"/>
    </row>
    <row r="869" spans="2:6" x14ac:dyDescent="0.2">
      <c r="B869" s="598"/>
      <c r="E869" s="598"/>
      <c r="F869" s="598"/>
    </row>
    <row r="870" spans="2:6" x14ac:dyDescent="0.2">
      <c r="B870" s="598"/>
      <c r="E870" s="598"/>
      <c r="F870" s="598"/>
    </row>
    <row r="871" spans="2:6" x14ac:dyDescent="0.2">
      <c r="B871" s="598"/>
      <c r="E871" s="598"/>
      <c r="F871" s="598"/>
    </row>
    <row r="872" spans="2:6" x14ac:dyDescent="0.2">
      <c r="B872" s="598"/>
      <c r="E872" s="598"/>
      <c r="F872" s="598"/>
    </row>
    <row r="873" spans="2:6" x14ac:dyDescent="0.2">
      <c r="B873" s="598"/>
      <c r="E873" s="598"/>
      <c r="F873" s="598"/>
    </row>
    <row r="874" spans="2:6" x14ac:dyDescent="0.2">
      <c r="B874" s="598"/>
      <c r="E874" s="598"/>
      <c r="F874" s="598"/>
    </row>
    <row r="875" spans="2:6" x14ac:dyDescent="0.2">
      <c r="B875" s="598"/>
      <c r="E875" s="598"/>
      <c r="F875" s="598"/>
    </row>
    <row r="876" spans="2:6" x14ac:dyDescent="0.2">
      <c r="B876" s="598"/>
      <c r="E876" s="598"/>
      <c r="F876" s="598"/>
    </row>
    <row r="877" spans="2:6" x14ac:dyDescent="0.2">
      <c r="B877" s="598"/>
      <c r="E877" s="598"/>
      <c r="F877" s="598"/>
    </row>
    <row r="878" spans="2:6" x14ac:dyDescent="0.2">
      <c r="B878" s="598"/>
      <c r="E878" s="598"/>
      <c r="F878" s="598"/>
    </row>
    <row r="879" spans="2:6" x14ac:dyDescent="0.2">
      <c r="B879" s="598"/>
      <c r="E879" s="598"/>
      <c r="F879" s="598"/>
    </row>
    <row r="880" spans="2:6" x14ac:dyDescent="0.2">
      <c r="B880" s="598"/>
      <c r="E880" s="598"/>
      <c r="F880" s="598"/>
    </row>
    <row r="881" spans="2:6" x14ac:dyDescent="0.2">
      <c r="B881" s="598"/>
      <c r="E881" s="598"/>
      <c r="F881" s="598"/>
    </row>
    <row r="882" spans="2:6" x14ac:dyDescent="0.2">
      <c r="B882" s="598"/>
      <c r="E882" s="598"/>
      <c r="F882" s="598"/>
    </row>
    <row r="883" spans="2:6" x14ac:dyDescent="0.2">
      <c r="B883" s="598"/>
      <c r="E883" s="598"/>
      <c r="F883" s="598"/>
    </row>
    <row r="884" spans="2:6" x14ac:dyDescent="0.2">
      <c r="B884" s="598"/>
      <c r="E884" s="598"/>
      <c r="F884" s="598"/>
    </row>
    <row r="885" spans="2:6" x14ac:dyDescent="0.2">
      <c r="B885" s="598"/>
      <c r="E885" s="598"/>
      <c r="F885" s="598"/>
    </row>
    <row r="886" spans="2:6" x14ac:dyDescent="0.2">
      <c r="B886" s="598"/>
      <c r="E886" s="598"/>
      <c r="F886" s="598"/>
    </row>
    <row r="887" spans="2:6" x14ac:dyDescent="0.2">
      <c r="B887" s="598"/>
      <c r="E887" s="598"/>
      <c r="F887" s="598"/>
    </row>
    <row r="888" spans="2:6" x14ac:dyDescent="0.2">
      <c r="B888" s="598"/>
      <c r="E888" s="598"/>
      <c r="F888" s="598"/>
    </row>
    <row r="889" spans="2:6" x14ac:dyDescent="0.2">
      <c r="B889" s="598"/>
      <c r="E889" s="598"/>
      <c r="F889" s="598"/>
    </row>
    <row r="890" spans="2:6" x14ac:dyDescent="0.2">
      <c r="B890" s="598"/>
      <c r="E890" s="598"/>
      <c r="F890" s="598"/>
    </row>
    <row r="891" spans="2:6" x14ac:dyDescent="0.2">
      <c r="B891" s="598"/>
      <c r="E891" s="598"/>
      <c r="F891" s="598"/>
    </row>
    <row r="892" spans="2:6" x14ac:dyDescent="0.2">
      <c r="B892" s="598"/>
      <c r="E892" s="598"/>
      <c r="F892" s="598"/>
    </row>
    <row r="893" spans="2:6" x14ac:dyDescent="0.2">
      <c r="B893" s="598"/>
      <c r="E893" s="598"/>
      <c r="F893" s="598"/>
    </row>
    <row r="894" spans="2:6" x14ac:dyDescent="0.2">
      <c r="B894" s="598"/>
      <c r="E894" s="598"/>
      <c r="F894" s="598"/>
    </row>
    <row r="895" spans="2:6" x14ac:dyDescent="0.2">
      <c r="B895" s="598"/>
      <c r="E895" s="598"/>
      <c r="F895" s="598"/>
    </row>
    <row r="896" spans="2:6" x14ac:dyDescent="0.2">
      <c r="B896" s="598"/>
      <c r="E896" s="598"/>
      <c r="F896" s="598"/>
    </row>
    <row r="897" spans="2:6" x14ac:dyDescent="0.2">
      <c r="B897" s="598"/>
      <c r="E897" s="598"/>
      <c r="F897" s="598"/>
    </row>
    <row r="898" spans="2:6" x14ac:dyDescent="0.2">
      <c r="B898" s="598"/>
      <c r="E898" s="598"/>
      <c r="F898" s="598"/>
    </row>
    <row r="899" spans="2:6" x14ac:dyDescent="0.2">
      <c r="B899" s="598"/>
      <c r="E899" s="598"/>
      <c r="F899" s="598"/>
    </row>
    <row r="900" spans="2:6" x14ac:dyDescent="0.2">
      <c r="B900" s="598"/>
      <c r="E900" s="598"/>
      <c r="F900" s="598"/>
    </row>
    <row r="901" spans="2:6" x14ac:dyDescent="0.2">
      <c r="B901" s="598"/>
      <c r="E901" s="598"/>
      <c r="F901" s="598"/>
    </row>
    <row r="902" spans="2:6" x14ac:dyDescent="0.2">
      <c r="B902" s="598"/>
      <c r="E902" s="598"/>
      <c r="F902" s="598"/>
    </row>
    <row r="903" spans="2:6" x14ac:dyDescent="0.2">
      <c r="B903" s="598"/>
      <c r="E903" s="598"/>
      <c r="F903" s="598"/>
    </row>
    <row r="904" spans="2:6" x14ac:dyDescent="0.2">
      <c r="B904" s="598"/>
      <c r="E904" s="598"/>
      <c r="F904" s="598"/>
    </row>
    <row r="905" spans="2:6" x14ac:dyDescent="0.2">
      <c r="B905" s="598"/>
      <c r="E905" s="598"/>
      <c r="F905" s="598"/>
    </row>
    <row r="906" spans="2:6" x14ac:dyDescent="0.2">
      <c r="B906" s="598"/>
      <c r="E906" s="598"/>
      <c r="F906" s="598"/>
    </row>
    <row r="907" spans="2:6" x14ac:dyDescent="0.2">
      <c r="B907" s="598"/>
      <c r="E907" s="598"/>
      <c r="F907" s="598"/>
    </row>
    <row r="908" spans="2:6" x14ac:dyDescent="0.2">
      <c r="B908" s="598"/>
      <c r="E908" s="598"/>
      <c r="F908" s="598"/>
    </row>
    <row r="909" spans="2:6" x14ac:dyDescent="0.2">
      <c r="B909" s="598"/>
      <c r="E909" s="598"/>
      <c r="F909" s="598"/>
    </row>
    <row r="910" spans="2:6" x14ac:dyDescent="0.2">
      <c r="B910" s="598"/>
      <c r="E910" s="598"/>
      <c r="F910" s="598"/>
    </row>
    <row r="911" spans="2:6" x14ac:dyDescent="0.2">
      <c r="B911" s="598"/>
      <c r="E911" s="598"/>
      <c r="F911" s="598"/>
    </row>
    <row r="912" spans="2:6" x14ac:dyDescent="0.2">
      <c r="B912" s="598"/>
      <c r="E912" s="598"/>
      <c r="F912" s="598"/>
    </row>
    <row r="913" spans="2:6" x14ac:dyDescent="0.2">
      <c r="B913" s="598"/>
      <c r="E913" s="598"/>
      <c r="F913" s="598"/>
    </row>
    <row r="914" spans="2:6" x14ac:dyDescent="0.2">
      <c r="B914" s="598"/>
      <c r="E914" s="598"/>
      <c r="F914" s="598"/>
    </row>
    <row r="915" spans="2:6" x14ac:dyDescent="0.2">
      <c r="B915" s="598"/>
      <c r="E915" s="598"/>
      <c r="F915" s="598"/>
    </row>
    <row r="916" spans="2:6" x14ac:dyDescent="0.2">
      <c r="B916" s="598"/>
      <c r="E916" s="598"/>
      <c r="F916" s="598"/>
    </row>
    <row r="917" spans="2:6" x14ac:dyDescent="0.2">
      <c r="B917" s="598"/>
      <c r="E917" s="598"/>
      <c r="F917" s="598"/>
    </row>
    <row r="918" spans="2:6" x14ac:dyDescent="0.2">
      <c r="B918" s="598"/>
      <c r="E918" s="598"/>
      <c r="F918" s="598"/>
    </row>
    <row r="919" spans="2:6" x14ac:dyDescent="0.2">
      <c r="B919" s="598"/>
      <c r="E919" s="598"/>
      <c r="F919" s="598"/>
    </row>
    <row r="920" spans="2:6" x14ac:dyDescent="0.2">
      <c r="B920" s="598"/>
      <c r="E920" s="598"/>
      <c r="F920" s="598"/>
    </row>
    <row r="921" spans="2:6" x14ac:dyDescent="0.2">
      <c r="B921" s="598"/>
      <c r="E921" s="598"/>
      <c r="F921" s="598"/>
    </row>
    <row r="922" spans="2:6" x14ac:dyDescent="0.2">
      <c r="B922" s="598"/>
      <c r="E922" s="598"/>
      <c r="F922" s="598"/>
    </row>
    <row r="923" spans="2:6" x14ac:dyDescent="0.2">
      <c r="B923" s="598"/>
      <c r="E923" s="598"/>
      <c r="F923" s="598"/>
    </row>
    <row r="924" spans="2:6" x14ac:dyDescent="0.2">
      <c r="B924" s="598"/>
      <c r="E924" s="598"/>
      <c r="F924" s="598"/>
    </row>
    <row r="925" spans="2:6" x14ac:dyDescent="0.2">
      <c r="B925" s="598"/>
      <c r="E925" s="598"/>
      <c r="F925" s="598"/>
    </row>
    <row r="926" spans="2:6" x14ac:dyDescent="0.2">
      <c r="B926" s="598"/>
      <c r="E926" s="598"/>
      <c r="F926" s="598"/>
    </row>
    <row r="927" spans="2:6" x14ac:dyDescent="0.2">
      <c r="B927" s="598"/>
      <c r="E927" s="598"/>
      <c r="F927" s="598"/>
    </row>
    <row r="928" spans="2:6" x14ac:dyDescent="0.2">
      <c r="B928" s="598"/>
      <c r="E928" s="598"/>
      <c r="F928" s="598"/>
    </row>
    <row r="929" spans="2:6" x14ac:dyDescent="0.2">
      <c r="B929" s="598"/>
      <c r="E929" s="598"/>
      <c r="F929" s="598"/>
    </row>
    <row r="930" spans="2:6" x14ac:dyDescent="0.2">
      <c r="B930" s="598"/>
      <c r="E930" s="598"/>
      <c r="F930" s="598"/>
    </row>
    <row r="931" spans="2:6" x14ac:dyDescent="0.2">
      <c r="B931" s="598"/>
      <c r="E931" s="598"/>
      <c r="F931" s="598"/>
    </row>
    <row r="932" spans="2:6" x14ac:dyDescent="0.2">
      <c r="B932" s="598"/>
      <c r="E932" s="598"/>
      <c r="F932" s="598"/>
    </row>
    <row r="933" spans="2:6" x14ac:dyDescent="0.2">
      <c r="B933" s="598"/>
      <c r="E933" s="598"/>
      <c r="F933" s="598"/>
    </row>
    <row r="934" spans="2:6" x14ac:dyDescent="0.2">
      <c r="B934" s="598"/>
      <c r="E934" s="598"/>
      <c r="F934" s="598"/>
    </row>
    <row r="935" spans="2:6" x14ac:dyDescent="0.2">
      <c r="B935" s="598"/>
      <c r="E935" s="598"/>
      <c r="F935" s="598"/>
    </row>
    <row r="936" spans="2:6" x14ac:dyDescent="0.2">
      <c r="B936" s="598"/>
      <c r="E936" s="598"/>
      <c r="F936" s="598"/>
    </row>
    <row r="937" spans="2:6" x14ac:dyDescent="0.2">
      <c r="B937" s="598"/>
      <c r="E937" s="598"/>
      <c r="F937" s="598"/>
    </row>
    <row r="938" spans="2:6" x14ac:dyDescent="0.2">
      <c r="B938" s="598"/>
      <c r="E938" s="598"/>
      <c r="F938" s="598"/>
    </row>
    <row r="939" spans="2:6" x14ac:dyDescent="0.2">
      <c r="B939" s="598"/>
      <c r="E939" s="598"/>
      <c r="F939" s="598"/>
    </row>
    <row r="940" spans="2:6" x14ac:dyDescent="0.2">
      <c r="B940" s="598"/>
      <c r="E940" s="598"/>
      <c r="F940" s="598"/>
    </row>
    <row r="941" spans="2:6" x14ac:dyDescent="0.2">
      <c r="B941" s="598"/>
      <c r="E941" s="598"/>
      <c r="F941" s="598"/>
    </row>
    <row r="942" spans="2:6" x14ac:dyDescent="0.2">
      <c r="B942" s="598"/>
      <c r="E942" s="598"/>
      <c r="F942" s="598"/>
    </row>
    <row r="943" spans="2:6" x14ac:dyDescent="0.2">
      <c r="B943" s="598"/>
      <c r="E943" s="598"/>
      <c r="F943" s="598"/>
    </row>
    <row r="944" spans="2:6" x14ac:dyDescent="0.2">
      <c r="B944" s="598"/>
      <c r="E944" s="598"/>
      <c r="F944" s="598"/>
    </row>
    <row r="945" spans="2:6" x14ac:dyDescent="0.2">
      <c r="B945" s="598"/>
      <c r="E945" s="598"/>
      <c r="F945" s="598"/>
    </row>
    <row r="946" spans="2:6" x14ac:dyDescent="0.2">
      <c r="B946" s="598"/>
      <c r="E946" s="598"/>
      <c r="F946" s="598"/>
    </row>
    <row r="947" spans="2:6" x14ac:dyDescent="0.2">
      <c r="B947" s="598"/>
      <c r="E947" s="598"/>
      <c r="F947" s="598"/>
    </row>
    <row r="948" spans="2:6" x14ac:dyDescent="0.2">
      <c r="B948" s="598"/>
      <c r="E948" s="598"/>
      <c r="F948" s="598"/>
    </row>
    <row r="949" spans="2:6" x14ac:dyDescent="0.2">
      <c r="B949" s="598"/>
      <c r="E949" s="598"/>
      <c r="F949" s="598"/>
    </row>
    <row r="950" spans="2:6" x14ac:dyDescent="0.2">
      <c r="B950" s="598"/>
      <c r="E950" s="598"/>
      <c r="F950" s="598"/>
    </row>
    <row r="951" spans="2:6" x14ac:dyDescent="0.2">
      <c r="B951" s="598"/>
      <c r="E951" s="598"/>
      <c r="F951" s="598"/>
    </row>
    <row r="952" spans="2:6" x14ac:dyDescent="0.2">
      <c r="B952" s="598"/>
      <c r="E952" s="598"/>
      <c r="F952" s="598"/>
    </row>
    <row r="953" spans="2:6" x14ac:dyDescent="0.2">
      <c r="B953" s="598"/>
      <c r="E953" s="598"/>
      <c r="F953" s="598"/>
    </row>
    <row r="954" spans="2:6" x14ac:dyDescent="0.2">
      <c r="B954" s="598"/>
      <c r="E954" s="598"/>
      <c r="F954" s="598"/>
    </row>
    <row r="955" spans="2:6" x14ac:dyDescent="0.2">
      <c r="B955" s="598"/>
      <c r="E955" s="598"/>
      <c r="F955" s="598"/>
    </row>
    <row r="956" spans="2:6" x14ac:dyDescent="0.2">
      <c r="B956" s="598"/>
      <c r="E956" s="598"/>
      <c r="F956" s="598"/>
    </row>
    <row r="957" spans="2:6" x14ac:dyDescent="0.2">
      <c r="B957" s="598"/>
      <c r="E957" s="598"/>
      <c r="F957" s="598"/>
    </row>
    <row r="958" spans="2:6" x14ac:dyDescent="0.2">
      <c r="B958" s="598"/>
      <c r="E958" s="598"/>
      <c r="F958" s="598"/>
    </row>
    <row r="959" spans="2:6" x14ac:dyDescent="0.2">
      <c r="B959" s="598"/>
      <c r="E959" s="598"/>
      <c r="F959" s="598"/>
    </row>
    <row r="960" spans="2:6" x14ac:dyDescent="0.2">
      <c r="B960" s="598"/>
      <c r="E960" s="598"/>
      <c r="F960" s="598"/>
    </row>
    <row r="961" spans="2:6" x14ac:dyDescent="0.2">
      <c r="B961" s="598"/>
      <c r="E961" s="598"/>
      <c r="F961" s="598"/>
    </row>
    <row r="962" spans="2:6" x14ac:dyDescent="0.2">
      <c r="B962" s="598"/>
      <c r="E962" s="598"/>
      <c r="F962" s="598"/>
    </row>
  </sheetData>
  <mergeCells count="10">
    <mergeCell ref="B93:H93"/>
    <mergeCell ref="B94:H94"/>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22"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8">
    <tabColor rgb="FFFFFF00"/>
    <pageSetUpPr fitToPage="1"/>
  </sheetPr>
  <dimension ref="A1:AG174"/>
  <sheetViews>
    <sheetView topLeftCell="A40" zoomScale="115" zoomScaleNormal="115" workbookViewId="0">
      <selection activeCell="E83" sqref="E83"/>
    </sheetView>
  </sheetViews>
  <sheetFormatPr defaultColWidth="12.5" defaultRowHeight="12.75" x14ac:dyDescent="0.2"/>
  <cols>
    <col min="1" max="1" width="12.5" style="14" customWidth="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7" width="6.75" style="14" customWidth="1"/>
    <col min="18" max="18" width="23.125" style="14" customWidth="1"/>
    <col min="19" max="19" width="12.5" style="14" customWidth="1"/>
    <col min="20" max="24" width="4" style="14" customWidth="1"/>
    <col min="25" max="16384" width="12.5" style="14"/>
  </cols>
  <sheetData>
    <row r="1" spans="1:33" ht="28.5" customHeight="1" x14ac:dyDescent="0.2">
      <c r="B1" s="64" t="s">
        <v>231</v>
      </c>
      <c r="C1" s="65">
        <v>1000</v>
      </c>
      <c r="D1" s="66" t="s">
        <v>232</v>
      </c>
      <c r="E1" s="99">
        <f>$S$30</f>
        <v>13950</v>
      </c>
      <c r="F1" s="64" t="s">
        <v>233</v>
      </c>
      <c r="G1" s="99">
        <f>E1/C1</f>
        <v>13.95</v>
      </c>
      <c r="H1" s="64" t="s">
        <v>234</v>
      </c>
      <c r="I1" s="99">
        <f>G1/K1</f>
        <v>13.95</v>
      </c>
      <c r="J1" s="302" t="s">
        <v>235</v>
      </c>
      <c r="K1" s="303">
        <v>1</v>
      </c>
      <c r="L1" s="84"/>
      <c r="M1" s="84" t="s">
        <v>365</v>
      </c>
      <c r="N1" s="84"/>
      <c r="O1" s="84"/>
      <c r="P1" s="84"/>
      <c r="Q1" s="84"/>
      <c r="R1" s="84"/>
      <c r="S1" s="84"/>
      <c r="T1" s="84"/>
      <c r="U1" s="84"/>
      <c r="V1" s="84"/>
      <c r="Y1" s="75" t="s">
        <v>453</v>
      </c>
      <c r="Z1" s="766">
        <v>13950</v>
      </c>
      <c r="AA1" s="75" t="s">
        <v>556</v>
      </c>
      <c r="AB1" s="766">
        <v>0</v>
      </c>
      <c r="AC1" s="75" t="s">
        <v>546</v>
      </c>
      <c r="AD1" s="766">
        <v>93</v>
      </c>
    </row>
    <row r="2" spans="1:33" ht="12.75" customHeight="1" x14ac:dyDescent="0.2">
      <c r="A2" s="306"/>
      <c r="B2" s="1632" t="s">
        <v>366</v>
      </c>
      <c r="C2" s="1661"/>
      <c r="D2" s="1661"/>
      <c r="E2" s="1661"/>
      <c r="F2" s="1661"/>
      <c r="G2" s="1661"/>
      <c r="H2" s="1661"/>
      <c r="I2" s="84"/>
      <c r="J2" s="84"/>
      <c r="K2" s="84"/>
      <c r="L2" s="84"/>
      <c r="M2" s="84"/>
      <c r="N2" s="84"/>
      <c r="O2" s="84"/>
      <c r="P2" s="84"/>
      <c r="Q2" s="84"/>
      <c r="R2" s="84"/>
      <c r="S2" s="84"/>
      <c r="T2" s="84"/>
      <c r="U2" s="84"/>
      <c r="AE2" s="1647"/>
      <c r="AF2" s="1655"/>
      <c r="AG2" s="1655"/>
    </row>
    <row r="3" spans="1:33" ht="12.75" customHeight="1" x14ac:dyDescent="0.2">
      <c r="A3" s="306"/>
      <c r="B3" s="1633"/>
      <c r="C3" s="1633"/>
      <c r="D3" s="1633"/>
      <c r="E3" s="1633"/>
      <c r="F3" s="1633"/>
      <c r="G3" s="1633"/>
      <c r="H3" s="1633"/>
      <c r="I3" s="84"/>
      <c r="J3" s="84"/>
      <c r="K3" s="84"/>
      <c r="L3" s="84"/>
      <c r="M3" s="84"/>
      <c r="N3" s="84"/>
      <c r="O3" s="84"/>
      <c r="P3" s="84"/>
      <c r="Q3" s="84"/>
      <c r="R3" s="84"/>
      <c r="S3" s="84"/>
      <c r="T3" s="84"/>
      <c r="U3" s="84"/>
      <c r="AE3" s="1655"/>
      <c r="AF3" s="1655"/>
      <c r="AG3" s="1655"/>
    </row>
    <row r="4" spans="1:33" ht="69" customHeight="1" x14ac:dyDescent="0.2">
      <c r="A4" s="75" t="s">
        <v>903</v>
      </c>
      <c r="B4" s="75" t="s">
        <v>241</v>
      </c>
      <c r="C4" s="90" t="s">
        <v>242</v>
      </c>
      <c r="D4" s="75" t="s">
        <v>231</v>
      </c>
      <c r="E4" s="197" t="s">
        <v>234</v>
      </c>
      <c r="F4" s="91" t="s">
        <v>243</v>
      </c>
      <c r="G4" s="75" t="s">
        <v>244</v>
      </c>
      <c r="H4" s="90" t="s">
        <v>335</v>
      </c>
      <c r="I4" s="75" t="s">
        <v>246</v>
      </c>
      <c r="J4" s="75" t="s">
        <v>247</v>
      </c>
      <c r="K4" s="75" t="s">
        <v>248</v>
      </c>
      <c r="L4" s="75" t="s">
        <v>249</v>
      </c>
      <c r="M4" s="84"/>
      <c r="N4" s="84"/>
      <c r="O4" s="84"/>
      <c r="P4" s="84"/>
      <c r="Q4" s="84"/>
      <c r="R4" s="84"/>
      <c r="S4" s="84"/>
      <c r="T4" s="84"/>
      <c r="U4" s="84"/>
    </row>
    <row r="5" spans="1:33" ht="14.25" customHeight="1" x14ac:dyDescent="0.2">
      <c r="A5" s="1459"/>
      <c r="B5" s="586"/>
      <c r="C5" s="587"/>
      <c r="D5" s="198"/>
      <c r="E5" s="588"/>
      <c r="F5" s="198"/>
      <c r="G5" s="198"/>
      <c r="H5" s="587"/>
      <c r="I5" s="65"/>
      <c r="J5" s="101"/>
      <c r="K5" s="104"/>
      <c r="L5" s="104"/>
    </row>
    <row r="6" spans="1:33" ht="14.25" customHeight="1" x14ac:dyDescent="0.2">
      <c r="A6" s="1460"/>
      <c r="B6" s="20" t="s">
        <v>19</v>
      </c>
      <c r="C6" s="106" t="s">
        <v>14</v>
      </c>
      <c r="D6" s="988">
        <v>450</v>
      </c>
      <c r="E6" s="98">
        <f t="shared" ref="E6:E13" si="0">$I$1</f>
        <v>13.95</v>
      </c>
      <c r="F6" s="109">
        <v>1</v>
      </c>
      <c r="G6" s="101">
        <f t="shared" ref="G6:G13" si="1">D6*E6</f>
        <v>6277.5</v>
      </c>
      <c r="H6" s="102">
        <f t="shared" ref="H6:H13" si="2">G6*F6</f>
        <v>6277.5</v>
      </c>
      <c r="I6" s="65">
        <f>VLOOKUP(B6,All_Ingredients!$A$1:$F$156,6,FALSE())</f>
        <v>0.8</v>
      </c>
      <c r="J6" s="101">
        <f>VLOOKUP(B6,All_Ingredients!$A$1:$J$156,10,FALSE())</f>
        <v>2.6</v>
      </c>
      <c r="K6" s="104">
        <f t="shared" ref="K6" si="3">(H6/I6)/1000</f>
        <v>7.8468749999999998</v>
      </c>
      <c r="L6" s="104">
        <f t="shared" ref="L6" si="4">K6*J6</f>
        <v>20.401875</v>
      </c>
    </row>
    <row r="7" spans="1:33" ht="14.25" customHeight="1" x14ac:dyDescent="0.2">
      <c r="A7" s="1460"/>
      <c r="B7" s="20" t="s">
        <v>47</v>
      </c>
      <c r="C7" s="106" t="s">
        <v>14</v>
      </c>
      <c r="D7" s="988">
        <v>450</v>
      </c>
      <c r="E7" s="98">
        <f t="shared" si="0"/>
        <v>13.95</v>
      </c>
      <c r="F7" s="109">
        <v>1</v>
      </c>
      <c r="G7" s="101">
        <f t="shared" si="1"/>
        <v>6277.5</v>
      </c>
      <c r="H7" s="102">
        <f t="shared" si="2"/>
        <v>6277.5</v>
      </c>
      <c r="I7" s="65">
        <f>VLOOKUP(B7,All_Ingredients!$A$1:$F$156,6,FALSE())</f>
        <v>0.78</v>
      </c>
      <c r="J7" s="101">
        <f>VLOOKUP(B7,All_Ingredients!$A$1:$J$156,10,FALSE())</f>
        <v>3.7</v>
      </c>
      <c r="K7" s="104">
        <f t="shared" ref="K7:K13" si="5">(H7/I7)/1000</f>
        <v>8.0480769230769234</v>
      </c>
      <c r="L7" s="104">
        <f t="shared" ref="L7:L13" si="6">K7*J7</f>
        <v>29.777884615384618</v>
      </c>
    </row>
    <row r="8" spans="1:33" ht="14.25" customHeight="1" x14ac:dyDescent="0.2">
      <c r="A8" s="1460"/>
      <c r="B8" s="20" t="s">
        <v>28</v>
      </c>
      <c r="C8" s="106" t="s">
        <v>14</v>
      </c>
      <c r="D8" s="988">
        <v>80</v>
      </c>
      <c r="E8" s="98">
        <f t="shared" si="0"/>
        <v>13.95</v>
      </c>
      <c r="F8" s="109">
        <v>1</v>
      </c>
      <c r="G8" s="101">
        <f t="shared" si="1"/>
        <v>1116</v>
      </c>
      <c r="H8" s="102">
        <f t="shared" si="2"/>
        <v>1116</v>
      </c>
      <c r="I8" s="65">
        <f>VLOOKUP(B8,All_Ingredients!$A$1:$F$156,6,FALSE())</f>
        <v>0.73</v>
      </c>
      <c r="J8" s="101">
        <f>VLOOKUP(B8,All_Ingredients!$A$1:$J$156,10,FALSE())</f>
        <v>8.5</v>
      </c>
      <c r="K8" s="104">
        <f t="shared" si="5"/>
        <v>1.5287671232876712</v>
      </c>
      <c r="L8" s="104">
        <f t="shared" si="6"/>
        <v>12.994520547945205</v>
      </c>
    </row>
    <row r="9" spans="1:33" ht="14.25" customHeight="1" x14ac:dyDescent="0.2">
      <c r="A9" s="1460"/>
      <c r="B9" s="20" t="s">
        <v>30</v>
      </c>
      <c r="C9" s="106" t="s">
        <v>14</v>
      </c>
      <c r="D9" s="988">
        <v>80</v>
      </c>
      <c r="E9" s="98">
        <f t="shared" si="0"/>
        <v>13.95</v>
      </c>
      <c r="F9" s="109">
        <v>1</v>
      </c>
      <c r="G9" s="101">
        <f t="shared" si="1"/>
        <v>1116</v>
      </c>
      <c r="H9" s="102">
        <f t="shared" si="2"/>
        <v>1116</v>
      </c>
      <c r="I9" s="65">
        <f>VLOOKUP(B9,All_Ingredients!$A$1:$F$156,6,FALSE())</f>
        <v>0.71</v>
      </c>
      <c r="J9" s="101">
        <f>VLOOKUP(B9,All_Ingredients!$A$1:$J$156,10,FALSE())</f>
        <v>8.5</v>
      </c>
      <c r="K9" s="104">
        <f t="shared" si="5"/>
        <v>1.5718309859154931</v>
      </c>
      <c r="L9" s="104">
        <f t="shared" si="6"/>
        <v>13.360563380281691</v>
      </c>
    </row>
    <row r="10" spans="1:33" ht="14.25" customHeight="1" x14ac:dyDescent="0.2">
      <c r="A10" s="1460"/>
      <c r="B10" s="20" t="s">
        <v>32</v>
      </c>
      <c r="C10" s="106" t="s">
        <v>14</v>
      </c>
      <c r="D10" s="988">
        <v>80</v>
      </c>
      <c r="E10" s="98">
        <f t="shared" si="0"/>
        <v>13.95</v>
      </c>
      <c r="F10" s="109">
        <v>1</v>
      </c>
      <c r="G10" s="101">
        <f t="shared" si="1"/>
        <v>1116</v>
      </c>
      <c r="H10" s="102">
        <f t="shared" si="2"/>
        <v>1116</v>
      </c>
      <c r="I10" s="65">
        <f>VLOOKUP(B10,All_Ingredients!$A$1:$F$156,6,FALSE())</f>
        <v>0.69</v>
      </c>
      <c r="J10" s="101">
        <f>VLOOKUP(B10,All_Ingredients!$A$1:$J$156,10,FALSE())</f>
        <v>4</v>
      </c>
      <c r="K10" s="104">
        <f t="shared" si="5"/>
        <v>1.6173913043478263</v>
      </c>
      <c r="L10" s="104">
        <f t="shared" si="6"/>
        <v>6.4695652173913052</v>
      </c>
    </row>
    <row r="11" spans="1:33" ht="14.25" customHeight="1" x14ac:dyDescent="0.2">
      <c r="A11" s="1460"/>
      <c r="B11" s="20" t="s">
        <v>50</v>
      </c>
      <c r="C11" s="106" t="s">
        <v>14</v>
      </c>
      <c r="D11" s="988">
        <v>80</v>
      </c>
      <c r="E11" s="98">
        <f t="shared" si="0"/>
        <v>13.95</v>
      </c>
      <c r="F11" s="109">
        <v>1</v>
      </c>
      <c r="G11" s="101">
        <f t="shared" si="1"/>
        <v>1116</v>
      </c>
      <c r="H11" s="102">
        <f t="shared" si="2"/>
        <v>1116</v>
      </c>
      <c r="I11" s="65">
        <f>VLOOKUP(B11,All_Ingredients!$A$1:$F$156,6,FALSE())</f>
        <v>0.75</v>
      </c>
      <c r="J11" s="101">
        <f>VLOOKUP(B11,All_Ingredients!$A$1:$J$156,10,FALSE())</f>
        <v>20</v>
      </c>
      <c r="K11" s="104">
        <f t="shared" si="5"/>
        <v>1.488</v>
      </c>
      <c r="L11" s="104">
        <f t="shared" si="6"/>
        <v>29.759999999999998</v>
      </c>
    </row>
    <row r="12" spans="1:33" ht="14.25" customHeight="1" x14ac:dyDescent="0.2">
      <c r="A12" s="1460"/>
      <c r="B12" s="20" t="s">
        <v>93</v>
      </c>
      <c r="C12" s="106" t="s">
        <v>14</v>
      </c>
      <c r="D12" s="98">
        <v>4</v>
      </c>
      <c r="E12" s="98">
        <f t="shared" si="0"/>
        <v>13.95</v>
      </c>
      <c r="F12" s="109">
        <v>0.75</v>
      </c>
      <c r="G12" s="101">
        <f t="shared" si="1"/>
        <v>55.8</v>
      </c>
      <c r="H12" s="102">
        <f t="shared" si="2"/>
        <v>41.849999999999994</v>
      </c>
      <c r="I12" s="65">
        <f>VLOOKUP(B12,All_Ingredients!$A$1:$F$156,6,FALSE())</f>
        <v>1</v>
      </c>
      <c r="J12" s="101">
        <f>VLOOKUP(B12,All_Ingredients!$A$1:$J$156,10,FALSE())</f>
        <v>0.74</v>
      </c>
      <c r="K12" s="104">
        <f t="shared" si="5"/>
        <v>4.1849999999999991E-2</v>
      </c>
      <c r="L12" s="104">
        <f t="shared" si="6"/>
        <v>3.0968999999999993E-2</v>
      </c>
    </row>
    <row r="13" spans="1:33" ht="14.25" customHeight="1" x14ac:dyDescent="0.2">
      <c r="A13" s="1460"/>
      <c r="B13" s="299" t="s">
        <v>99</v>
      </c>
      <c r="C13" s="106" t="s">
        <v>14</v>
      </c>
      <c r="D13" s="177">
        <v>0.5</v>
      </c>
      <c r="E13" s="98">
        <f t="shared" si="0"/>
        <v>13.95</v>
      </c>
      <c r="F13" s="109">
        <v>1</v>
      </c>
      <c r="G13" s="101">
        <f t="shared" si="1"/>
        <v>6.9749999999999996</v>
      </c>
      <c r="H13" s="102">
        <f t="shared" si="2"/>
        <v>6.9749999999999996</v>
      </c>
      <c r="I13" s="65">
        <f>VLOOKUP(B13,All_Ingredients!$A$1:$F$156,6,FALSE())</f>
        <v>1</v>
      </c>
      <c r="J13" s="101">
        <f>VLOOKUP(B13,All_Ingredients!$A$1:$J$156,10,FALSE())</f>
        <v>31</v>
      </c>
      <c r="K13" s="104">
        <f t="shared" si="5"/>
        <v>6.9749999999999994E-3</v>
      </c>
      <c r="L13" s="104">
        <f t="shared" si="6"/>
        <v>0.21622499999999997</v>
      </c>
    </row>
    <row r="14" spans="1:33" ht="14.25" customHeight="1" x14ac:dyDescent="0.2">
      <c r="A14" s="1461"/>
      <c r="B14" s="332"/>
      <c r="C14" s="333"/>
      <c r="D14" s="335"/>
      <c r="E14" s="335"/>
      <c r="F14" s="336"/>
      <c r="G14" s="337"/>
      <c r="H14" s="338"/>
      <c r="I14" s="76"/>
      <c r="J14" s="120"/>
    </row>
    <row r="15" spans="1:33" ht="14.25" customHeight="1" x14ac:dyDescent="0.2">
      <c r="A15" s="1461"/>
      <c r="B15" s="325"/>
      <c r="C15" s="114"/>
      <c r="D15" s="232"/>
      <c r="E15" s="203"/>
      <c r="F15" s="117"/>
      <c r="G15" s="121"/>
      <c r="H15" s="119"/>
    </row>
    <row r="16" spans="1:33" ht="14.25" customHeight="1" x14ac:dyDescent="0.2">
      <c r="A16" s="1461"/>
      <c r="E16" s="84"/>
      <c r="F16" s="84"/>
    </row>
    <row r="17" spans="1:29" ht="14.25" customHeight="1" x14ac:dyDescent="0.2">
      <c r="A17" s="1461"/>
      <c r="D17" s="84"/>
      <c r="E17" s="84"/>
      <c r="F17" s="84"/>
    </row>
    <row r="18" spans="1:29" ht="14.25" customHeight="1" x14ac:dyDescent="0.2">
      <c r="A18" s="1461"/>
      <c r="D18" s="84"/>
      <c r="E18" s="84"/>
      <c r="F18" s="84"/>
    </row>
    <row r="19" spans="1:29" ht="14.25" customHeight="1" x14ac:dyDescent="0.2">
      <c r="A19" s="1461"/>
      <c r="D19" s="84"/>
      <c r="E19" s="84"/>
      <c r="F19" s="84"/>
    </row>
    <row r="20" spans="1:29" ht="14.25" customHeight="1" x14ac:dyDescent="0.2">
      <c r="A20" s="1461"/>
      <c r="D20" s="84"/>
      <c r="E20" s="84"/>
      <c r="F20" s="84"/>
    </row>
    <row r="21" spans="1:29" ht="14.25" customHeight="1" x14ac:dyDescent="0.25">
      <c r="A21" s="1461"/>
      <c r="D21" s="84"/>
      <c r="E21" s="84"/>
      <c r="F21" s="84"/>
      <c r="M21" s="1"/>
      <c r="N21"/>
      <c r="O21"/>
    </row>
    <row r="22" spans="1:29" ht="14.25" customHeight="1" x14ac:dyDescent="0.2">
      <c r="A22" s="1461"/>
      <c r="B22" s="11"/>
      <c r="C22" s="312"/>
      <c r="D22" s="84"/>
      <c r="E22" s="84"/>
      <c r="F22" s="84"/>
      <c r="M22" s="160"/>
      <c r="N22" s="458"/>
      <c r="O22"/>
    </row>
    <row r="23" spans="1:29" ht="14.25" customHeight="1" x14ac:dyDescent="0.2">
      <c r="A23" s="1461"/>
      <c r="B23" s="11"/>
      <c r="C23" s="312"/>
      <c r="D23" s="84"/>
      <c r="E23" s="84"/>
      <c r="F23" s="84"/>
    </row>
    <row r="24" spans="1:29" ht="14.25" customHeight="1" x14ac:dyDescent="0.2">
      <c r="A24" s="1461"/>
      <c r="B24" s="11"/>
      <c r="C24" s="312"/>
      <c r="D24" s="84"/>
      <c r="E24" s="84"/>
      <c r="F24" s="84"/>
      <c r="Z24" s="1073"/>
    </row>
    <row r="25" spans="1:29" ht="14.25" customHeight="1" x14ac:dyDescent="0.2">
      <c r="A25" s="1461"/>
      <c r="B25" s="11"/>
      <c r="C25" s="312"/>
      <c r="D25" s="84"/>
      <c r="E25" s="84"/>
      <c r="F25" s="84"/>
      <c r="R25" s="1662" t="s">
        <v>367</v>
      </c>
      <c r="S25" s="1633"/>
      <c r="T25" s="446"/>
      <c r="Z25" s="122" t="s">
        <v>14</v>
      </c>
      <c r="AA25" s="123">
        <v>1</v>
      </c>
      <c r="AB25" s="122" t="s">
        <v>249</v>
      </c>
      <c r="AC25" s="124">
        <f>(S33/S30)*AA25</f>
        <v>8.1011901620790545E-3</v>
      </c>
    </row>
    <row r="26" spans="1:29" ht="14.25" customHeight="1" x14ac:dyDescent="0.2">
      <c r="A26" s="1461"/>
      <c r="B26" s="11"/>
      <c r="C26" s="312"/>
      <c r="D26" s="313"/>
      <c r="E26" s="84"/>
      <c r="F26" s="84"/>
      <c r="R26" s="1672" t="s">
        <v>338</v>
      </c>
      <c r="S26" s="1639"/>
      <c r="T26" s="446"/>
    </row>
    <row r="27" spans="1:29" ht="14.25" customHeight="1" x14ac:dyDescent="0.2">
      <c r="A27" s="1461"/>
      <c r="B27" s="11"/>
      <c r="C27" s="312"/>
      <c r="D27" s="313"/>
      <c r="E27" s="84"/>
      <c r="F27" s="84"/>
      <c r="R27" s="126" t="s">
        <v>254</v>
      </c>
      <c r="S27" s="129" t="s">
        <v>257</v>
      </c>
    </row>
    <row r="28" spans="1:29" ht="14.25" customHeight="1" x14ac:dyDescent="0.2">
      <c r="A28" s="1461"/>
      <c r="B28" s="11"/>
      <c r="C28" s="312"/>
      <c r="D28" s="313"/>
      <c r="E28" s="84"/>
      <c r="F28" s="84"/>
      <c r="R28" s="126" t="s">
        <v>460</v>
      </c>
      <c r="S28" s="720">
        <f>Z1</f>
        <v>13950</v>
      </c>
    </row>
    <row r="29" spans="1:29" ht="14.25" customHeight="1" x14ac:dyDescent="0.2">
      <c r="A29" s="1461"/>
      <c r="B29" s="11"/>
      <c r="C29" s="312"/>
      <c r="D29" s="313"/>
      <c r="E29" s="84"/>
      <c r="F29" s="84"/>
      <c r="R29" s="126" t="s">
        <v>265</v>
      </c>
      <c r="S29" s="747">
        <f>AB1</f>
        <v>0</v>
      </c>
    </row>
    <row r="30" spans="1:29" ht="14.25" customHeight="1" x14ac:dyDescent="0.2">
      <c r="A30" s="1461"/>
      <c r="B30" s="11"/>
      <c r="C30" s="312"/>
      <c r="D30" s="313"/>
      <c r="E30" s="84"/>
      <c r="F30" s="84"/>
      <c r="R30" s="126" t="s">
        <v>257</v>
      </c>
      <c r="S30" s="315">
        <f>S28+S29</f>
        <v>13950</v>
      </c>
    </row>
    <row r="31" spans="1:29" ht="14.25" customHeight="1" x14ac:dyDescent="0.2">
      <c r="A31" s="1461"/>
      <c r="B31" s="11"/>
      <c r="C31" s="312"/>
      <c r="D31" s="313"/>
      <c r="E31" s="84"/>
      <c r="F31" s="84"/>
    </row>
    <row r="32" spans="1:29" ht="13.5" thickBot="1" x14ac:dyDescent="0.25">
      <c r="A32" s="1461"/>
      <c r="B32" s="84"/>
      <c r="E32" s="84"/>
      <c r="F32" s="84"/>
    </row>
    <row r="33" spans="1:19" ht="13.5" thickBot="1" x14ac:dyDescent="0.25">
      <c r="A33" s="1461"/>
      <c r="B33" s="84"/>
      <c r="E33" s="84"/>
      <c r="F33" s="84"/>
      <c r="R33" s="144" t="s">
        <v>249</v>
      </c>
      <c r="S33" s="990">
        <f>SUM(L6:L13)</f>
        <v>113.01160276100281</v>
      </c>
    </row>
    <row r="34" spans="1:19" x14ac:dyDescent="0.2">
      <c r="A34" s="1461"/>
    </row>
    <row r="35" spans="1:19" x14ac:dyDescent="0.2">
      <c r="A35" s="1461"/>
    </row>
    <row r="36" spans="1:19" x14ac:dyDescent="0.2">
      <c r="A36" s="1461"/>
    </row>
    <row r="37" spans="1:19" x14ac:dyDescent="0.2">
      <c r="A37" s="1461"/>
    </row>
    <row r="38" spans="1:19" x14ac:dyDescent="0.2">
      <c r="A38" s="1461"/>
    </row>
    <row r="39" spans="1:19" x14ac:dyDescent="0.2">
      <c r="A39" s="1461"/>
    </row>
    <row r="40" spans="1:19" x14ac:dyDescent="0.2">
      <c r="A40" s="1461"/>
    </row>
    <row r="41" spans="1:19" ht="14.25" customHeight="1" x14ac:dyDescent="0.2">
      <c r="A41" s="1461"/>
    </row>
    <row r="42" spans="1:19" ht="14.25" customHeight="1" x14ac:dyDescent="0.2">
      <c r="A42" s="1461"/>
    </row>
    <row r="43" spans="1:19" x14ac:dyDescent="0.2">
      <c r="A43" s="1461"/>
    </row>
    <row r="44" spans="1:19" x14ac:dyDescent="0.2">
      <c r="A44" s="1461"/>
    </row>
    <row r="45" spans="1:19" x14ac:dyDescent="0.2">
      <c r="A45" s="1461"/>
    </row>
    <row r="46" spans="1:19" x14ac:dyDescent="0.2">
      <c r="A46" s="1461"/>
    </row>
    <row r="47" spans="1:19" x14ac:dyDescent="0.2">
      <c r="A47" s="1461"/>
    </row>
    <row r="48" spans="1:19" x14ac:dyDescent="0.2">
      <c r="A48" s="1461"/>
    </row>
    <row r="49" spans="1:8" x14ac:dyDescent="0.2">
      <c r="A49" s="1461"/>
    </row>
    <row r="50" spans="1:8" ht="14.25" x14ac:dyDescent="0.2">
      <c r="A50" s="1461"/>
      <c r="B50" s="204"/>
      <c r="C50" s="204" t="s">
        <v>233</v>
      </c>
      <c r="D50" s="204" t="s">
        <v>279</v>
      </c>
    </row>
    <row r="51" spans="1:8" ht="14.25" x14ac:dyDescent="0.2">
      <c r="A51" s="1461"/>
      <c r="B51" s="161" t="s">
        <v>283</v>
      </c>
      <c r="C51" s="162">
        <f>10/$K$1</f>
        <v>10</v>
      </c>
      <c r="D51" s="163">
        <f>$C$1*10</f>
        <v>10000</v>
      </c>
    </row>
    <row r="52" spans="1:8" ht="14.25" x14ac:dyDescent="0.2">
      <c r="A52" s="1461"/>
      <c r="B52" s="209" t="s">
        <v>257</v>
      </c>
      <c r="C52" s="211">
        <f>G1</f>
        <v>13.95</v>
      </c>
      <c r="D52" s="211">
        <f>E1</f>
        <v>13950</v>
      </c>
    </row>
    <row r="53" spans="1:8" ht="14.25" x14ac:dyDescent="0.2">
      <c r="A53" s="1461"/>
      <c r="B53" s="209" t="s">
        <v>284</v>
      </c>
      <c r="C53" s="212">
        <f>MIN($C$52, $C$51)</f>
        <v>10</v>
      </c>
      <c r="D53" s="211">
        <f>(C53*$K$1)*$C$1</f>
        <v>10000</v>
      </c>
    </row>
    <row r="54" spans="1:8" ht="14.25" x14ac:dyDescent="0.2">
      <c r="A54" s="1461"/>
      <c r="B54" s="209" t="s">
        <v>285</v>
      </c>
      <c r="C54" s="212">
        <f>MIN(MAX($C$52-C53,0),$C$51)</f>
        <v>3.9499999999999993</v>
      </c>
      <c r="D54" s="211">
        <f>(C54*$K$1)*$C$1</f>
        <v>3949.9999999999991</v>
      </c>
    </row>
    <row r="55" spans="1:8" ht="14.25" x14ac:dyDescent="0.2">
      <c r="A55" s="1461"/>
      <c r="B55" s="209" t="s">
        <v>286</v>
      </c>
      <c r="C55" s="212">
        <f>MIN(MAX($C$52-C53-C54,0),$C$51)</f>
        <v>0</v>
      </c>
      <c r="D55" s="211">
        <f>(C55*$K$1)*$C$1</f>
        <v>0</v>
      </c>
    </row>
    <row r="56" spans="1:8" x14ac:dyDescent="0.2">
      <c r="A56" s="1461"/>
    </row>
    <row r="57" spans="1:8" x14ac:dyDescent="0.2">
      <c r="A57" s="1461"/>
    </row>
    <row r="58" spans="1:8" x14ac:dyDescent="0.2">
      <c r="A58" s="1461"/>
    </row>
    <row r="59" spans="1:8" x14ac:dyDescent="0.2">
      <c r="A59" s="1461"/>
    </row>
    <row r="60" spans="1:8" x14ac:dyDescent="0.2">
      <c r="A60" s="1461"/>
    </row>
    <row r="61" spans="1:8" ht="10.5" customHeight="1" x14ac:dyDescent="0.2">
      <c r="A61" s="1461"/>
    </row>
    <row r="62" spans="1:8" ht="14.25" customHeight="1" x14ac:dyDescent="0.2">
      <c r="A62" s="1464"/>
      <c r="B62" s="1636" t="s">
        <v>773</v>
      </c>
      <c r="C62" s="1637"/>
      <c r="D62" s="1637"/>
      <c r="E62" s="1637"/>
      <c r="F62" s="1637"/>
      <c r="G62" s="1637"/>
      <c r="H62" s="1637"/>
    </row>
    <row r="63" spans="1:8" ht="18" customHeight="1" x14ac:dyDescent="0.2">
      <c r="A63" s="1464"/>
      <c r="B63" s="1636" t="s">
        <v>774</v>
      </c>
      <c r="C63" s="1637"/>
      <c r="D63" s="1637"/>
      <c r="E63" s="1637"/>
      <c r="F63" s="1637"/>
      <c r="G63" s="1637"/>
      <c r="H63" s="1637"/>
    </row>
    <row r="64" spans="1:8" ht="40.5" customHeight="1" x14ac:dyDescent="0.2">
      <c r="A64" s="1457"/>
      <c r="B64" s="221" t="s">
        <v>241</v>
      </c>
      <c r="C64" s="222" t="s">
        <v>242</v>
      </c>
      <c r="D64" s="223" t="s">
        <v>231</v>
      </c>
      <c r="E64" s="197" t="s">
        <v>234</v>
      </c>
      <c r="F64" s="197" t="s">
        <v>243</v>
      </c>
      <c r="G64" s="223" t="s">
        <v>244</v>
      </c>
      <c r="H64" s="197" t="s">
        <v>245</v>
      </c>
    </row>
    <row r="65" spans="1:8" ht="14.25" x14ac:dyDescent="0.2">
      <c r="A65" s="1460"/>
      <c r="B65" s="299" t="str">
        <f t="shared" ref="B65:D72" si="7">B6</f>
        <v>Carrot - جزر</v>
      </c>
      <c r="C65" s="106" t="str">
        <f t="shared" si="7"/>
        <v>gm</v>
      </c>
      <c r="D65" s="98">
        <f t="shared" si="7"/>
        <v>450</v>
      </c>
      <c r="E65" s="98">
        <f>$C$52</f>
        <v>13.95</v>
      </c>
      <c r="F65" s="109">
        <f t="shared" ref="F65:F72" si="8">F6</f>
        <v>1</v>
      </c>
      <c r="G65" s="101">
        <f t="shared" ref="G65:G72" si="9">D65*E65</f>
        <v>6277.5</v>
      </c>
      <c r="H65" s="102">
        <f t="shared" ref="H65:H72" si="10">G65*F65</f>
        <v>6277.5</v>
      </c>
    </row>
    <row r="66" spans="1:8" ht="14.25" x14ac:dyDescent="0.2">
      <c r="A66" s="1460"/>
      <c r="B66" s="299" t="str">
        <f t="shared" si="7"/>
        <v>Zucchini - كوسة</v>
      </c>
      <c r="C66" s="106" t="str">
        <f t="shared" si="7"/>
        <v>gm</v>
      </c>
      <c r="D66" s="98">
        <f t="shared" si="7"/>
        <v>450</v>
      </c>
      <c r="E66" s="98">
        <f t="shared" ref="E66:E72" si="11">$C$52</f>
        <v>13.95</v>
      </c>
      <c r="F66" s="109">
        <f t="shared" si="8"/>
        <v>1</v>
      </c>
      <c r="G66" s="101">
        <f t="shared" si="9"/>
        <v>6277.5</v>
      </c>
      <c r="H66" s="102">
        <f t="shared" si="10"/>
        <v>6277.5</v>
      </c>
    </row>
    <row r="67" spans="1:8" ht="14.25" customHeight="1" x14ac:dyDescent="0.2">
      <c r="A67" s="1460"/>
      <c r="B67" s="299" t="str">
        <f t="shared" si="7"/>
        <v xml:space="preserve">Red Bell Pepper - فلفل أحمر </v>
      </c>
      <c r="C67" s="106" t="str">
        <f t="shared" si="7"/>
        <v>gm</v>
      </c>
      <c r="D67" s="98">
        <f t="shared" si="7"/>
        <v>80</v>
      </c>
      <c r="E67" s="98">
        <f t="shared" si="11"/>
        <v>13.95</v>
      </c>
      <c r="F67" s="109">
        <f t="shared" si="8"/>
        <v>1</v>
      </c>
      <c r="G67" s="101">
        <f t="shared" si="9"/>
        <v>1116</v>
      </c>
      <c r="H67" s="102">
        <f t="shared" si="10"/>
        <v>1116</v>
      </c>
    </row>
    <row r="68" spans="1:8" ht="14.25" customHeight="1" x14ac:dyDescent="0.2">
      <c r="A68" s="1460"/>
      <c r="B68" s="299" t="str">
        <f t="shared" si="7"/>
        <v xml:space="preserve">Yellow Bell Pepper - فلفل أصفر </v>
      </c>
      <c r="C68" s="106" t="str">
        <f t="shared" si="7"/>
        <v>gm</v>
      </c>
      <c r="D68" s="98">
        <f t="shared" si="7"/>
        <v>80</v>
      </c>
      <c r="E68" s="98">
        <f t="shared" si="11"/>
        <v>13.95</v>
      </c>
      <c r="F68" s="109">
        <f t="shared" si="8"/>
        <v>1</v>
      </c>
      <c r="G68" s="101">
        <f t="shared" si="9"/>
        <v>1116</v>
      </c>
      <c r="H68" s="102">
        <f t="shared" si="10"/>
        <v>1116</v>
      </c>
    </row>
    <row r="69" spans="1:8" ht="14.25" customHeight="1" x14ac:dyDescent="0.2">
      <c r="A69" s="1460"/>
      <c r="B69" s="299" t="str">
        <f t="shared" si="7"/>
        <v>Green Bell Pepper - فلفل أخضر رومى</v>
      </c>
      <c r="C69" s="106" t="str">
        <f t="shared" si="7"/>
        <v>gm</v>
      </c>
      <c r="D69" s="98">
        <f t="shared" si="7"/>
        <v>80</v>
      </c>
      <c r="E69" s="98">
        <f t="shared" si="11"/>
        <v>13.95</v>
      </c>
      <c r="F69" s="109">
        <f t="shared" si="8"/>
        <v>1</v>
      </c>
      <c r="G69" s="101">
        <f t="shared" si="9"/>
        <v>1116</v>
      </c>
      <c r="H69" s="102">
        <f t="shared" si="10"/>
        <v>1116</v>
      </c>
    </row>
    <row r="70" spans="1:8" ht="14.25" customHeight="1" x14ac:dyDescent="0.2">
      <c r="A70" s="1460"/>
      <c r="B70" s="299" t="str">
        <f t="shared" si="7"/>
        <v>Chinese Cabbage - ملفوف صيني</v>
      </c>
      <c r="C70" s="106" t="str">
        <f t="shared" si="7"/>
        <v>gm</v>
      </c>
      <c r="D70" s="98">
        <f t="shared" si="7"/>
        <v>80</v>
      </c>
      <c r="E70" s="98">
        <f t="shared" si="11"/>
        <v>13.95</v>
      </c>
      <c r="F70" s="109">
        <f t="shared" si="8"/>
        <v>1</v>
      </c>
      <c r="G70" s="101">
        <f t="shared" si="9"/>
        <v>1116</v>
      </c>
      <c r="H70" s="102">
        <f t="shared" si="10"/>
        <v>1116</v>
      </c>
    </row>
    <row r="71" spans="1:8" ht="14.25" customHeight="1" x14ac:dyDescent="0.2">
      <c r="A71" s="1460"/>
      <c r="B71" s="299" t="str">
        <f t="shared" si="7"/>
        <v>Salt - ملح</v>
      </c>
      <c r="C71" s="106" t="str">
        <f t="shared" si="7"/>
        <v>gm</v>
      </c>
      <c r="D71" s="98">
        <f t="shared" si="7"/>
        <v>4</v>
      </c>
      <c r="E71" s="98">
        <f t="shared" si="11"/>
        <v>13.95</v>
      </c>
      <c r="F71" s="109">
        <f t="shared" si="8"/>
        <v>0.75</v>
      </c>
      <c r="G71" s="101">
        <f t="shared" si="9"/>
        <v>55.8</v>
      </c>
      <c r="H71" s="102">
        <f t="shared" si="10"/>
        <v>41.849999999999994</v>
      </c>
    </row>
    <row r="72" spans="1:8" ht="14.25" customHeight="1" x14ac:dyDescent="0.2">
      <c r="A72" s="1460"/>
      <c r="B72" s="299" t="str">
        <f t="shared" si="7"/>
        <v>Black Pepper Powder - فلفل أسود مطحون</v>
      </c>
      <c r="C72" s="106" t="str">
        <f t="shared" si="7"/>
        <v>gm</v>
      </c>
      <c r="D72" s="201">
        <f t="shared" si="7"/>
        <v>0.5</v>
      </c>
      <c r="E72" s="98">
        <f t="shared" si="11"/>
        <v>13.95</v>
      </c>
      <c r="F72" s="109">
        <f t="shared" si="8"/>
        <v>1</v>
      </c>
      <c r="G72" s="101">
        <f t="shared" si="9"/>
        <v>6.9749999999999996</v>
      </c>
      <c r="H72" s="102">
        <f t="shared" si="10"/>
        <v>6.9749999999999996</v>
      </c>
    </row>
    <row r="73" spans="1:8" ht="17.25" customHeight="1" x14ac:dyDescent="0.2">
      <c r="A73" s="1461"/>
      <c r="B73" s="178" t="s">
        <v>706</v>
      </c>
      <c r="E73" s="84"/>
      <c r="F73" s="84"/>
    </row>
    <row r="74" spans="1:8" ht="21" customHeight="1" x14ac:dyDescent="0.3">
      <c r="A74" s="1461"/>
      <c r="B74" s="179">
        <f>D52</f>
        <v>13950</v>
      </c>
      <c r="C74" s="188"/>
      <c r="D74" s="4"/>
      <c r="E74" s="84"/>
      <c r="F74" s="164"/>
    </row>
    <row r="75" spans="1:8" ht="12.75" customHeight="1" x14ac:dyDescent="0.2">
      <c r="A75" s="1461"/>
      <c r="B75" s="84"/>
      <c r="E75" s="84"/>
      <c r="F75" s="84"/>
    </row>
    <row r="76" spans="1:8" ht="12.75" customHeight="1" x14ac:dyDescent="0.2">
      <c r="A76" s="1461"/>
      <c r="B76" s="84"/>
      <c r="C76" s="84"/>
      <c r="D76" s="322"/>
      <c r="E76" s="84"/>
      <c r="F76" s="84"/>
      <c r="G76" s="84"/>
      <c r="H76" s="84"/>
    </row>
    <row r="77" spans="1:8" ht="12.75" customHeight="1" x14ac:dyDescent="0.2">
      <c r="A77" s="1461"/>
      <c r="B77" s="84"/>
      <c r="C77" s="84"/>
      <c r="D77" s="84"/>
      <c r="E77" s="84"/>
      <c r="F77" s="84"/>
      <c r="G77" s="84"/>
      <c r="H77" s="84"/>
    </row>
    <row r="78" spans="1:8" ht="18" customHeight="1" x14ac:dyDescent="0.2">
      <c r="A78" s="1461"/>
      <c r="B78" s="1660"/>
      <c r="C78" s="1653"/>
      <c r="D78" s="1653"/>
      <c r="E78" s="1653"/>
      <c r="F78" s="1653"/>
      <c r="G78" s="1653"/>
      <c r="H78" s="1653"/>
    </row>
    <row r="79" spans="1:8" ht="18" customHeight="1" x14ac:dyDescent="0.2">
      <c r="A79" s="1461"/>
      <c r="B79" s="1660"/>
      <c r="C79" s="1653"/>
      <c r="D79" s="1653"/>
      <c r="E79" s="1653"/>
      <c r="F79" s="1653"/>
      <c r="G79" s="1653"/>
      <c r="H79" s="1653"/>
    </row>
    <row r="80" spans="1:8" ht="39.75" customHeight="1" x14ac:dyDescent="0.2">
      <c r="A80" s="1470"/>
      <c r="B80" s="323"/>
      <c r="C80" s="324"/>
      <c r="D80" s="323"/>
      <c r="E80" s="323"/>
      <c r="F80" s="323"/>
      <c r="G80" s="323"/>
      <c r="H80" s="323"/>
    </row>
    <row r="81" spans="1:8" ht="14.25" x14ac:dyDescent="0.2">
      <c r="A81" s="1461"/>
      <c r="B81" s="325"/>
      <c r="C81" s="325"/>
      <c r="D81" s="309"/>
      <c r="E81" s="309"/>
      <c r="F81" s="117"/>
      <c r="G81" s="118"/>
      <c r="H81" s="119"/>
    </row>
    <row r="82" spans="1:8" ht="14.25" x14ac:dyDescent="0.2">
      <c r="A82" s="1461"/>
      <c r="B82" s="325"/>
      <c r="C82" s="325"/>
      <c r="D82" s="309"/>
      <c r="E82" s="309"/>
      <c r="F82" s="117"/>
      <c r="G82" s="118"/>
      <c r="H82" s="119"/>
    </row>
    <row r="83" spans="1:8" ht="14.25" customHeight="1" x14ac:dyDescent="0.2">
      <c r="A83" s="1461"/>
      <c r="B83" s="325"/>
      <c r="C83" s="325"/>
      <c r="D83" s="309"/>
      <c r="E83" s="309"/>
      <c r="F83" s="117"/>
      <c r="G83" s="118"/>
      <c r="H83" s="119"/>
    </row>
    <row r="84" spans="1:8" ht="14.25" customHeight="1" x14ac:dyDescent="0.2">
      <c r="A84" s="1461"/>
      <c r="B84" s="325"/>
      <c r="C84" s="325"/>
      <c r="D84" s="309"/>
      <c r="E84" s="309"/>
      <c r="F84" s="117"/>
      <c r="G84" s="118"/>
      <c r="H84" s="119"/>
    </row>
    <row r="85" spans="1:8" ht="14.25" customHeight="1" x14ac:dyDescent="0.2">
      <c r="A85" s="1461"/>
      <c r="B85" s="325"/>
      <c r="C85" s="325"/>
      <c r="D85" s="309"/>
      <c r="E85" s="309"/>
      <c r="F85" s="117"/>
      <c r="G85" s="118"/>
      <c r="H85" s="119"/>
    </row>
    <row r="86" spans="1:8" ht="14.25" customHeight="1" x14ac:dyDescent="0.2">
      <c r="A86" s="1461"/>
      <c r="B86" s="325"/>
      <c r="C86" s="325"/>
      <c r="D86" s="309"/>
      <c r="E86" s="309"/>
      <c r="F86" s="117"/>
      <c r="G86" s="118"/>
      <c r="H86" s="119"/>
    </row>
    <row r="87" spans="1:8" ht="14.25" customHeight="1" x14ac:dyDescent="0.2">
      <c r="A87" s="1461"/>
      <c r="B87" s="325"/>
      <c r="C87" s="325"/>
      <c r="D87" s="309"/>
      <c r="E87" s="309"/>
      <c r="F87" s="117"/>
      <c r="G87" s="118"/>
      <c r="H87" s="119"/>
    </row>
    <row r="88" spans="1:8" ht="14.25" customHeight="1" x14ac:dyDescent="0.2">
      <c r="A88" s="1461"/>
      <c r="B88" s="325"/>
      <c r="C88" s="325"/>
      <c r="D88" s="273"/>
      <c r="E88" s="309"/>
      <c r="F88" s="117"/>
      <c r="G88" s="118"/>
      <c r="H88" s="119"/>
    </row>
    <row r="89" spans="1:8" ht="12.75" customHeight="1" x14ac:dyDescent="0.2">
      <c r="A89" s="1461"/>
      <c r="B89" s="184"/>
      <c r="E89" s="84"/>
      <c r="F89" s="84"/>
    </row>
    <row r="90" spans="1:8" ht="21.75" customHeight="1" x14ac:dyDescent="0.3">
      <c r="A90" s="1461"/>
      <c r="B90" s="450"/>
      <c r="C90" s="188"/>
      <c r="D90" s="4"/>
      <c r="E90" s="84"/>
      <c r="F90" s="164"/>
    </row>
    <row r="91" spans="1:8" ht="12.75" customHeight="1" x14ac:dyDescent="0.2">
      <c r="A91" s="1461"/>
      <c r="B91" s="84"/>
      <c r="C91" s="84"/>
      <c r="D91" s="84"/>
      <c r="E91" s="84"/>
      <c r="F91" s="84"/>
      <c r="G91" s="84"/>
      <c r="H91" s="84"/>
    </row>
    <row r="92" spans="1:8" ht="12.75" customHeight="1" x14ac:dyDescent="0.2">
      <c r="A92" s="1461"/>
      <c r="B92" s="84"/>
      <c r="C92" s="84"/>
      <c r="D92" s="84"/>
      <c r="E92" s="84"/>
      <c r="F92" s="84"/>
      <c r="G92" s="84"/>
      <c r="H92" s="84"/>
    </row>
    <row r="93" spans="1:8" ht="18" customHeight="1" x14ac:dyDescent="0.2">
      <c r="A93" s="1461"/>
      <c r="B93" s="1660"/>
      <c r="C93" s="1653"/>
      <c r="D93" s="1653"/>
      <c r="E93" s="1653"/>
      <c r="F93" s="1653"/>
      <c r="G93" s="1653"/>
      <c r="H93" s="1653"/>
    </row>
    <row r="94" spans="1:8" ht="18" customHeight="1" x14ac:dyDescent="0.2">
      <c r="A94" s="1461"/>
      <c r="B94" s="1660"/>
      <c r="C94" s="1653"/>
      <c r="D94" s="1653"/>
      <c r="E94" s="1653"/>
      <c r="F94" s="1653"/>
      <c r="G94" s="1653"/>
      <c r="H94" s="1653"/>
    </row>
    <row r="95" spans="1:8" ht="48" customHeight="1" x14ac:dyDescent="0.2">
      <c r="A95" s="1470"/>
      <c r="B95" s="323"/>
      <c r="C95" s="324"/>
      <c r="D95" s="323"/>
      <c r="E95" s="323"/>
      <c r="F95" s="323"/>
      <c r="G95" s="323"/>
      <c r="H95" s="323"/>
    </row>
    <row r="96" spans="1:8" ht="14.25" x14ac:dyDescent="0.2">
      <c r="A96" s="1461"/>
      <c r="B96" s="325"/>
      <c r="C96" s="325"/>
      <c r="D96" s="325"/>
      <c r="E96" s="449"/>
      <c r="F96" s="117"/>
      <c r="G96" s="118"/>
      <c r="H96" s="119"/>
    </row>
    <row r="97" spans="1:8" ht="14.25" customHeight="1" x14ac:dyDescent="0.2">
      <c r="A97" s="1461"/>
      <c r="B97" s="325"/>
      <c r="C97" s="325"/>
      <c r="D97" s="325"/>
      <c r="E97" s="449"/>
      <c r="F97" s="117"/>
      <c r="G97" s="118"/>
      <c r="H97" s="119"/>
    </row>
    <row r="98" spans="1:8" ht="14.25" customHeight="1" x14ac:dyDescent="0.2">
      <c r="A98" s="1461"/>
      <c r="B98" s="325"/>
      <c r="C98" s="325"/>
      <c r="D98" s="325"/>
      <c r="E98" s="449"/>
      <c r="F98" s="117"/>
      <c r="G98" s="118"/>
      <c r="H98" s="119"/>
    </row>
    <row r="99" spans="1:8" ht="14.25" customHeight="1" x14ac:dyDescent="0.2">
      <c r="A99" s="1461"/>
      <c r="B99" s="325"/>
      <c r="C99" s="325"/>
      <c r="D99" s="325"/>
      <c r="E99" s="449"/>
      <c r="F99" s="117"/>
      <c r="G99" s="118"/>
      <c r="H99" s="119"/>
    </row>
    <row r="100" spans="1:8" ht="14.25" customHeight="1" x14ac:dyDescent="0.2">
      <c r="A100" s="1461"/>
      <c r="B100" s="325"/>
      <c r="C100" s="325"/>
      <c r="D100" s="325"/>
      <c r="E100" s="449"/>
      <c r="F100" s="117"/>
      <c r="G100" s="118"/>
      <c r="H100" s="119"/>
    </row>
    <row r="101" spans="1:8" ht="14.25" customHeight="1" x14ac:dyDescent="0.2">
      <c r="A101" s="1461"/>
      <c r="B101" s="325"/>
      <c r="C101" s="325"/>
      <c r="D101" s="325"/>
      <c r="E101" s="449"/>
      <c r="F101" s="117"/>
      <c r="G101" s="118"/>
      <c r="H101" s="119"/>
    </row>
    <row r="102" spans="1:8" ht="14.25" customHeight="1" x14ac:dyDescent="0.2">
      <c r="A102" s="1461"/>
      <c r="B102" s="325"/>
      <c r="C102" s="325"/>
      <c r="D102" s="325"/>
      <c r="E102" s="449"/>
      <c r="F102" s="117"/>
      <c r="G102" s="118"/>
      <c r="H102" s="119"/>
    </row>
    <row r="103" spans="1:8" ht="14.25" customHeight="1" x14ac:dyDescent="0.2">
      <c r="A103" s="1461"/>
      <c r="B103" s="325"/>
      <c r="C103" s="325"/>
      <c r="D103" s="325"/>
      <c r="E103" s="449"/>
      <c r="F103" s="117"/>
      <c r="G103" s="552"/>
      <c r="H103" s="1019"/>
    </row>
    <row r="104" spans="1:8" ht="15.75" x14ac:dyDescent="0.2">
      <c r="A104" s="1461"/>
      <c r="B104" s="184"/>
    </row>
    <row r="105" spans="1:8" ht="20.25" x14ac:dyDescent="0.3">
      <c r="A105" s="1461"/>
      <c r="B105" s="450"/>
    </row>
    <row r="106" spans="1:8" x14ac:dyDescent="0.2">
      <c r="A106" s="1461"/>
    </row>
    <row r="107" spans="1:8" x14ac:dyDescent="0.2">
      <c r="A107" s="1461"/>
    </row>
    <row r="108" spans="1:8" x14ac:dyDescent="0.2">
      <c r="A108" s="1461"/>
    </row>
    <row r="109" spans="1:8" x14ac:dyDescent="0.2">
      <c r="A109" s="1461"/>
    </row>
    <row r="110" spans="1:8" x14ac:dyDescent="0.2">
      <c r="A110" s="1461"/>
    </row>
    <row r="111" spans="1:8" x14ac:dyDescent="0.2">
      <c r="A111" s="1461"/>
    </row>
    <row r="112" spans="1:8" x14ac:dyDescent="0.2">
      <c r="A112" s="1461"/>
    </row>
    <row r="113" spans="1:1" x14ac:dyDescent="0.2">
      <c r="A113" s="1461"/>
    </row>
    <row r="114" spans="1:1" x14ac:dyDescent="0.2">
      <c r="A114" s="1461"/>
    </row>
    <row r="115" spans="1:1" x14ac:dyDescent="0.2">
      <c r="A115" s="1461"/>
    </row>
    <row r="116" spans="1:1" x14ac:dyDescent="0.2">
      <c r="A116" s="1461"/>
    </row>
    <row r="117" spans="1:1" x14ac:dyDescent="0.2">
      <c r="A117" s="1461"/>
    </row>
    <row r="118" spans="1:1" x14ac:dyDescent="0.2">
      <c r="A118" s="1461"/>
    </row>
    <row r="119" spans="1:1" x14ac:dyDescent="0.2">
      <c r="A119" s="1461"/>
    </row>
    <row r="120" spans="1:1" x14ac:dyDescent="0.2">
      <c r="A120" s="1461"/>
    </row>
    <row r="121" spans="1:1" x14ac:dyDescent="0.2">
      <c r="A121" s="1461"/>
    </row>
    <row r="122" spans="1:1" x14ac:dyDescent="0.2">
      <c r="A122" s="1461"/>
    </row>
    <row r="123" spans="1:1" x14ac:dyDescent="0.2">
      <c r="A123" s="1461"/>
    </row>
    <row r="124" spans="1:1" x14ac:dyDescent="0.2">
      <c r="A124" s="1461"/>
    </row>
    <row r="125" spans="1:1" x14ac:dyDescent="0.2">
      <c r="A125" s="1461"/>
    </row>
    <row r="126" spans="1:1" x14ac:dyDescent="0.2">
      <c r="A126" s="1461"/>
    </row>
    <row r="127" spans="1:1" x14ac:dyDescent="0.2">
      <c r="A127" s="1461"/>
    </row>
    <row r="128" spans="1:1" x14ac:dyDescent="0.2">
      <c r="A128" s="1461"/>
    </row>
    <row r="129" spans="1:1" x14ac:dyDescent="0.2">
      <c r="A129" s="1461"/>
    </row>
    <row r="130" spans="1:1" x14ac:dyDescent="0.2">
      <c r="A130" s="1461"/>
    </row>
    <row r="131" spans="1:1" x14ac:dyDescent="0.2">
      <c r="A131" s="1461"/>
    </row>
    <row r="132" spans="1:1" x14ac:dyDescent="0.2">
      <c r="A132" s="1461"/>
    </row>
    <row r="133" spans="1:1" x14ac:dyDescent="0.2">
      <c r="A133" s="1461"/>
    </row>
    <row r="134" spans="1:1" x14ac:dyDescent="0.2">
      <c r="A134" s="1461"/>
    </row>
    <row r="135" spans="1:1" x14ac:dyDescent="0.2">
      <c r="A135" s="1461"/>
    </row>
    <row r="136" spans="1:1" x14ac:dyDescent="0.2">
      <c r="A136" s="1461"/>
    </row>
    <row r="137" spans="1:1" x14ac:dyDescent="0.2">
      <c r="A137" s="1461"/>
    </row>
    <row r="138" spans="1:1" x14ac:dyDescent="0.2">
      <c r="A138" s="1461"/>
    </row>
    <row r="139" spans="1:1" x14ac:dyDescent="0.2">
      <c r="A139" s="1461"/>
    </row>
    <row r="140" spans="1:1" x14ac:dyDescent="0.2">
      <c r="A140" s="1461"/>
    </row>
    <row r="141" spans="1:1" x14ac:dyDescent="0.2">
      <c r="A141" s="1461"/>
    </row>
    <row r="142" spans="1:1" x14ac:dyDescent="0.2">
      <c r="A142" s="1461"/>
    </row>
    <row r="143" spans="1:1" x14ac:dyDescent="0.2">
      <c r="A143" s="1461"/>
    </row>
    <row r="144" spans="1:1" x14ac:dyDescent="0.2">
      <c r="A144" s="1461"/>
    </row>
    <row r="145" spans="1:1" x14ac:dyDescent="0.2">
      <c r="A145" s="1461"/>
    </row>
    <row r="146" spans="1:1" x14ac:dyDescent="0.2">
      <c r="A146" s="1461"/>
    </row>
    <row r="147" spans="1:1" x14ac:dyDescent="0.2">
      <c r="A147" s="1461"/>
    </row>
    <row r="148" spans="1:1" x14ac:dyDescent="0.2">
      <c r="A148" s="1461"/>
    </row>
    <row r="149" spans="1:1" x14ac:dyDescent="0.2">
      <c r="A149" s="1461"/>
    </row>
    <row r="150" spans="1:1" x14ac:dyDescent="0.2">
      <c r="A150" s="1461"/>
    </row>
    <row r="151" spans="1:1" x14ac:dyDescent="0.2">
      <c r="A151" s="1461"/>
    </row>
    <row r="152" spans="1:1" x14ac:dyDescent="0.2">
      <c r="A152" s="1461"/>
    </row>
    <row r="153" spans="1:1" x14ac:dyDescent="0.2">
      <c r="A153" s="1461"/>
    </row>
    <row r="154" spans="1:1" x14ac:dyDescent="0.2">
      <c r="A154" s="1461"/>
    </row>
    <row r="155" spans="1:1" x14ac:dyDescent="0.2">
      <c r="A155" s="1461"/>
    </row>
    <row r="156" spans="1:1" x14ac:dyDescent="0.2">
      <c r="A156" s="1461"/>
    </row>
    <row r="157" spans="1:1" x14ac:dyDescent="0.2">
      <c r="A157" s="1461"/>
    </row>
    <row r="158" spans="1:1" x14ac:dyDescent="0.2">
      <c r="A158" s="1461"/>
    </row>
    <row r="159" spans="1:1" x14ac:dyDescent="0.2">
      <c r="A159" s="1461"/>
    </row>
    <row r="160" spans="1:1" x14ac:dyDescent="0.2">
      <c r="A160" s="1461"/>
    </row>
    <row r="161" spans="1:1" x14ac:dyDescent="0.2">
      <c r="A161" s="1461"/>
    </row>
    <row r="162" spans="1:1" x14ac:dyDescent="0.2">
      <c r="A162" s="1461"/>
    </row>
    <row r="163" spans="1:1" x14ac:dyDescent="0.2">
      <c r="A163" s="1461"/>
    </row>
    <row r="164" spans="1:1" x14ac:dyDescent="0.2">
      <c r="A164" s="1461"/>
    </row>
    <row r="165" spans="1:1" x14ac:dyDescent="0.2">
      <c r="A165" s="1461"/>
    </row>
    <row r="166" spans="1:1" x14ac:dyDescent="0.2">
      <c r="A166" s="1461"/>
    </row>
    <row r="167" spans="1:1" x14ac:dyDescent="0.2">
      <c r="A167" s="1461"/>
    </row>
    <row r="168" spans="1:1" x14ac:dyDescent="0.2">
      <c r="A168" s="1461"/>
    </row>
    <row r="169" spans="1:1" x14ac:dyDescent="0.2">
      <c r="A169" s="1461"/>
    </row>
    <row r="170" spans="1:1" x14ac:dyDescent="0.2">
      <c r="A170" s="1461"/>
    </row>
    <row r="171" spans="1:1" x14ac:dyDescent="0.2">
      <c r="A171" s="1461"/>
    </row>
    <row r="172" spans="1:1" x14ac:dyDescent="0.2">
      <c r="A172" s="1461"/>
    </row>
    <row r="173" spans="1:1" x14ac:dyDescent="0.2">
      <c r="A173" s="1461"/>
    </row>
    <row r="174" spans="1:1" x14ac:dyDescent="0.2">
      <c r="A174" s="1461"/>
    </row>
  </sheetData>
  <mergeCells count="10">
    <mergeCell ref="AE2:AG3"/>
    <mergeCell ref="R26:S26"/>
    <mergeCell ref="B93:H93"/>
    <mergeCell ref="B94:H94"/>
    <mergeCell ref="B79:H79"/>
    <mergeCell ref="R25:S25"/>
    <mergeCell ref="B62:H62"/>
    <mergeCell ref="B78:H78"/>
    <mergeCell ref="B2:H3"/>
    <mergeCell ref="B63:H63"/>
  </mergeCells>
  <printOptions horizontalCentered="1"/>
  <pageMargins left="0.5" right="0.5" top="1" bottom="0.5" header="0.3" footer="0.511811023622047"/>
  <pageSetup paperSize="9" scale="32"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183A8-D3C1-4CDE-AC95-C8022719B214}">
  <sheetPr codeName="Sheet81">
    <tabColor theme="5" tint="-0.249977111117893"/>
    <pageSetUpPr fitToPage="1"/>
  </sheetPr>
  <dimension ref="A1:AD62"/>
  <sheetViews>
    <sheetView zoomScale="145" zoomScaleNormal="145" workbookViewId="0">
      <selection activeCell="D23" sqref="D23"/>
    </sheetView>
  </sheetViews>
  <sheetFormatPr defaultColWidth="12.5" defaultRowHeight="12.75" x14ac:dyDescent="0.2"/>
  <cols>
    <col min="1" max="1" width="8.125" style="629" customWidth="1"/>
    <col min="2" max="2" width="40.25" style="629" customWidth="1"/>
    <col min="3" max="3" width="24" style="629" customWidth="1"/>
    <col min="4" max="4" width="21.875" style="629" customWidth="1"/>
    <col min="5" max="5" width="16.125" style="629" customWidth="1"/>
    <col min="6" max="6" width="19.625" style="629" customWidth="1"/>
    <col min="7" max="7" width="10.875" style="629" customWidth="1"/>
    <col min="8" max="8" width="17.375" style="629" customWidth="1"/>
    <col min="9" max="11" width="12.5" style="629"/>
    <col min="12" max="12" width="8.375" style="629" customWidth="1"/>
    <col min="13" max="17" width="3.875" style="629" customWidth="1"/>
    <col min="18" max="16384" width="12.5" style="629"/>
  </cols>
  <sheetData>
    <row r="1" spans="1:30" ht="36" customHeight="1" x14ac:dyDescent="0.2">
      <c r="B1" s="684" t="s">
        <v>530</v>
      </c>
      <c r="C1" s="688">
        <v>5000</v>
      </c>
      <c r="D1" s="687" t="s">
        <v>232</v>
      </c>
      <c r="E1" s="686">
        <f>T29</f>
        <v>1911</v>
      </c>
      <c r="F1" s="684" t="s">
        <v>233</v>
      </c>
      <c r="G1" s="685">
        <f>E1/C1</f>
        <v>0.38219999999999998</v>
      </c>
      <c r="H1" s="684" t="s">
        <v>234</v>
      </c>
      <c r="I1" s="683">
        <f>(G1/K1)</f>
        <v>0.38219999999999998</v>
      </c>
      <c r="J1" s="682" t="s">
        <v>235</v>
      </c>
      <c r="K1" s="681">
        <v>1</v>
      </c>
      <c r="L1" s="636"/>
      <c r="M1" s="636"/>
      <c r="N1" s="636"/>
      <c r="Y1" s="75" t="s">
        <v>453</v>
      </c>
      <c r="Z1" s="766">
        <v>12240</v>
      </c>
      <c r="AA1" s="75" t="s">
        <v>556</v>
      </c>
      <c r="AB1" s="766">
        <v>500</v>
      </c>
      <c r="AC1" s="75" t="s">
        <v>546</v>
      </c>
      <c r="AD1" s="766">
        <v>89</v>
      </c>
    </row>
    <row r="2" spans="1:30" ht="12.75" customHeight="1" x14ac:dyDescent="0.2">
      <c r="A2" s="1663"/>
      <c r="B2" s="1729" t="s">
        <v>534</v>
      </c>
      <c r="C2" s="1729"/>
      <c r="D2" s="1729"/>
      <c r="E2" s="1729"/>
      <c r="F2" s="1729"/>
      <c r="G2" s="1729"/>
      <c r="H2" s="1729"/>
      <c r="I2" s="652"/>
      <c r="J2" s="652"/>
      <c r="K2" s="1665"/>
      <c r="L2" s="636"/>
      <c r="M2" s="636"/>
      <c r="N2" s="636"/>
    </row>
    <row r="3" spans="1:30" ht="12.75" customHeight="1" x14ac:dyDescent="0.2">
      <c r="A3" s="1663"/>
      <c r="B3" s="1663"/>
      <c r="C3" s="1663"/>
      <c r="D3" s="1663"/>
      <c r="E3" s="1663"/>
      <c r="F3" s="1663"/>
      <c r="G3" s="1663"/>
      <c r="H3" s="1663"/>
      <c r="I3" s="651"/>
      <c r="J3" s="651"/>
      <c r="K3" s="1666"/>
      <c r="L3" s="636"/>
      <c r="M3" s="636"/>
      <c r="N3" s="636"/>
    </row>
    <row r="4" spans="1:30" ht="57" customHeight="1" x14ac:dyDescent="0.2">
      <c r="A4" s="634" t="s">
        <v>903</v>
      </c>
      <c r="B4" s="634" t="s">
        <v>241</v>
      </c>
      <c r="C4" s="635" t="s">
        <v>317</v>
      </c>
      <c r="D4" s="635" t="s">
        <v>528</v>
      </c>
      <c r="E4" s="650" t="s">
        <v>527</v>
      </c>
      <c r="F4" s="649" t="s">
        <v>243</v>
      </c>
      <c r="G4" s="648" t="s">
        <v>244</v>
      </c>
      <c r="H4" s="647" t="s">
        <v>322</v>
      </c>
      <c r="I4" s="75" t="s">
        <v>246</v>
      </c>
      <c r="J4" s="75" t="s">
        <v>247</v>
      </c>
      <c r="K4" s="75" t="s">
        <v>248</v>
      </c>
      <c r="L4" s="75" t="s">
        <v>249</v>
      </c>
      <c r="M4" s="636"/>
      <c r="N4" s="636"/>
    </row>
    <row r="5" spans="1:30" x14ac:dyDescent="0.2">
      <c r="B5" s="633" t="s">
        <v>54</v>
      </c>
      <c r="C5" s="641" t="s">
        <v>14</v>
      </c>
      <c r="D5" s="676">
        <v>125</v>
      </c>
      <c r="E5" s="632">
        <f t="shared" ref="E5:E19" si="0">$G$1</f>
        <v>0.38219999999999998</v>
      </c>
      <c r="F5" s="631">
        <v>1</v>
      </c>
      <c r="G5" s="675">
        <f t="shared" ref="G5:G20" si="1">D5*E5</f>
        <v>47.774999999999999</v>
      </c>
      <c r="H5" s="680">
        <f t="shared" ref="H5:H20" si="2">G5*F5</f>
        <v>47.774999999999999</v>
      </c>
      <c r="I5" s="65">
        <f>VLOOKUP(B5,All_Ingredients!$A$1:$F$156,6,FALSE())</f>
        <v>0.87</v>
      </c>
      <c r="J5" s="101">
        <f>VLOOKUP(B5,All_Ingredients!$A$1:$J$156,10,FALSE())</f>
        <v>7</v>
      </c>
      <c r="K5" s="104">
        <f t="shared" ref="K5" si="3">(H5/I5)/1000</f>
        <v>5.491379310344828E-2</v>
      </c>
      <c r="L5" s="104">
        <f t="shared" ref="L5" si="4">K5*J5</f>
        <v>0.38439655172413795</v>
      </c>
    </row>
    <row r="6" spans="1:30" x14ac:dyDescent="0.2">
      <c r="B6" s="633" t="s">
        <v>727</v>
      </c>
      <c r="C6" s="641" t="s">
        <v>14</v>
      </c>
      <c r="D6" s="676">
        <v>250</v>
      </c>
      <c r="E6" s="632">
        <f t="shared" si="0"/>
        <v>0.38219999999999998</v>
      </c>
      <c r="F6" s="631">
        <v>1</v>
      </c>
      <c r="G6" s="675">
        <f t="shared" si="1"/>
        <v>95.55</v>
      </c>
      <c r="H6" s="630">
        <f t="shared" si="2"/>
        <v>95.55</v>
      </c>
      <c r="I6" s="65">
        <f>VLOOKUP(B6,All_Ingredients!$A$1:$F$156,6,FALSE())</f>
        <v>1</v>
      </c>
      <c r="J6" s="101">
        <f>VLOOKUP(B6,All_Ingredients!$A$1:$J$156,10,FALSE())</f>
        <v>10.5</v>
      </c>
      <c r="K6" s="104">
        <f t="shared" ref="K6:K20" si="5">(H6/I6)/1000</f>
        <v>9.5549999999999996E-2</v>
      </c>
      <c r="L6" s="104">
        <f t="shared" ref="L6:L20" si="6">K6*J6</f>
        <v>1.0032749999999999</v>
      </c>
    </row>
    <row r="7" spans="1:30" x14ac:dyDescent="0.2">
      <c r="B7" s="633" t="s">
        <v>193</v>
      </c>
      <c r="C7" s="641" t="s">
        <v>14</v>
      </c>
      <c r="D7" s="676">
        <v>250</v>
      </c>
      <c r="E7" s="632">
        <f t="shared" si="0"/>
        <v>0.38219999999999998</v>
      </c>
      <c r="F7" s="631">
        <v>1</v>
      </c>
      <c r="G7" s="675">
        <f t="shared" si="1"/>
        <v>95.55</v>
      </c>
      <c r="H7" s="630">
        <f t="shared" si="2"/>
        <v>95.55</v>
      </c>
      <c r="I7" s="65">
        <f>VLOOKUP(B7,All_Ingredients!$A$1:$F$156,6,FALSE())</f>
        <v>1</v>
      </c>
      <c r="J7" s="101">
        <f>VLOOKUP(B7,All_Ingredients!$A$1:$J$156,10,FALSE())</f>
        <v>37.001287001286997</v>
      </c>
      <c r="K7" s="104">
        <f t="shared" si="5"/>
        <v>9.5549999999999996E-2</v>
      </c>
      <c r="L7" s="104">
        <f t="shared" si="6"/>
        <v>3.5354729729729724</v>
      </c>
    </row>
    <row r="8" spans="1:30" x14ac:dyDescent="0.2">
      <c r="A8" s="629" t="s">
        <v>921</v>
      </c>
      <c r="B8" s="633" t="s">
        <v>19</v>
      </c>
      <c r="C8" s="641" t="s">
        <v>14</v>
      </c>
      <c r="D8" s="676">
        <v>500</v>
      </c>
      <c r="E8" s="679">
        <f t="shared" si="0"/>
        <v>0.38219999999999998</v>
      </c>
      <c r="F8" s="646">
        <v>1</v>
      </c>
      <c r="G8" s="678">
        <f t="shared" si="1"/>
        <v>191.1</v>
      </c>
      <c r="H8" s="677">
        <f t="shared" si="2"/>
        <v>191.1</v>
      </c>
      <c r="I8" s="65">
        <f>VLOOKUP(B8,All_Ingredients!$A$1:$F$156,6,FALSE())</f>
        <v>0.8</v>
      </c>
      <c r="J8" s="101">
        <f>VLOOKUP(B8,All_Ingredients!$A$1:$J$156,10,FALSE())</f>
        <v>2.6</v>
      </c>
      <c r="K8" s="104">
        <f t="shared" si="5"/>
        <v>0.23887499999999998</v>
      </c>
      <c r="L8" s="104">
        <f t="shared" si="6"/>
        <v>0.62107499999999993</v>
      </c>
    </row>
    <row r="9" spans="1:30" x14ac:dyDescent="0.2">
      <c r="B9" s="633" t="s">
        <v>533</v>
      </c>
      <c r="C9" s="641" t="s">
        <v>14</v>
      </c>
      <c r="D9" s="676">
        <v>250</v>
      </c>
      <c r="E9" s="679">
        <f t="shared" si="0"/>
        <v>0.38219999999999998</v>
      </c>
      <c r="F9" s="646">
        <v>1</v>
      </c>
      <c r="G9" s="678">
        <f t="shared" si="1"/>
        <v>95.55</v>
      </c>
      <c r="H9" s="677">
        <f t="shared" si="2"/>
        <v>95.55</v>
      </c>
      <c r="I9" s="65">
        <f>VLOOKUP(B9,All_Ingredients!$A$1:$F$156,6,FALSE())</f>
        <v>0.56999999999999995</v>
      </c>
      <c r="J9" s="101">
        <f>VLOOKUP(B9,All_Ingredients!$A$1:$J$156,10,FALSE())</f>
        <v>5</v>
      </c>
      <c r="K9" s="104">
        <f t="shared" si="5"/>
        <v>0.16763157894736844</v>
      </c>
      <c r="L9" s="104">
        <f t="shared" si="6"/>
        <v>0.83815789473684221</v>
      </c>
    </row>
    <row r="10" spans="1:30" x14ac:dyDescent="0.2">
      <c r="B10" s="633" t="s">
        <v>99</v>
      </c>
      <c r="C10" s="641" t="s">
        <v>14</v>
      </c>
      <c r="D10" s="676">
        <v>10</v>
      </c>
      <c r="E10" s="679">
        <f t="shared" si="0"/>
        <v>0.38219999999999998</v>
      </c>
      <c r="F10" s="646">
        <v>1</v>
      </c>
      <c r="G10" s="678">
        <f t="shared" si="1"/>
        <v>3.8220000000000001</v>
      </c>
      <c r="H10" s="677">
        <f t="shared" si="2"/>
        <v>3.8220000000000001</v>
      </c>
      <c r="I10" s="65">
        <f>VLOOKUP(B10,All_Ingredients!$A$1:$F$156,6,FALSE())</f>
        <v>1</v>
      </c>
      <c r="J10" s="101">
        <f>VLOOKUP(B10,All_Ingredients!$A$1:$J$156,10,FALSE())</f>
        <v>31</v>
      </c>
      <c r="K10" s="104">
        <f t="shared" si="5"/>
        <v>3.8219999999999999E-3</v>
      </c>
      <c r="L10" s="104">
        <f t="shared" si="6"/>
        <v>0.11848199999999999</v>
      </c>
    </row>
    <row r="11" spans="1:30" ht="13.5" customHeight="1" x14ac:dyDescent="0.2">
      <c r="A11" s="629" t="s">
        <v>919</v>
      </c>
      <c r="B11" s="633" t="s">
        <v>28</v>
      </c>
      <c r="C11" s="641" t="s">
        <v>14</v>
      </c>
      <c r="D11" s="676">
        <v>250</v>
      </c>
      <c r="E11" s="679">
        <f t="shared" si="0"/>
        <v>0.38219999999999998</v>
      </c>
      <c r="F11" s="646">
        <v>1</v>
      </c>
      <c r="G11" s="678">
        <f t="shared" si="1"/>
        <v>95.55</v>
      </c>
      <c r="H11" s="677">
        <f t="shared" si="2"/>
        <v>95.55</v>
      </c>
      <c r="I11" s="65">
        <f>VLOOKUP(B11,All_Ingredients!$A$1:$F$156,6,FALSE())</f>
        <v>0.73</v>
      </c>
      <c r="J11" s="101">
        <f>VLOOKUP(B11,All_Ingredients!$A$1:$J$156,10,FALSE())</f>
        <v>8.5</v>
      </c>
      <c r="K11" s="104">
        <f t="shared" si="5"/>
        <v>0.13089041095890411</v>
      </c>
      <c r="L11" s="104">
        <f t="shared" si="6"/>
        <v>1.112568493150685</v>
      </c>
    </row>
    <row r="12" spans="1:30" ht="13.5" customHeight="1" x14ac:dyDescent="0.2">
      <c r="A12" s="629" t="s">
        <v>919</v>
      </c>
      <c r="B12" s="633" t="s">
        <v>30</v>
      </c>
      <c r="C12" s="641" t="s">
        <v>14</v>
      </c>
      <c r="D12" s="676">
        <v>250</v>
      </c>
      <c r="E12" s="679">
        <f t="shared" si="0"/>
        <v>0.38219999999999998</v>
      </c>
      <c r="F12" s="646">
        <v>1</v>
      </c>
      <c r="G12" s="678">
        <f t="shared" si="1"/>
        <v>95.55</v>
      </c>
      <c r="H12" s="677">
        <f t="shared" si="2"/>
        <v>95.55</v>
      </c>
      <c r="I12" s="65">
        <f>VLOOKUP(B12,All_Ingredients!$A$1:$F$156,6,FALSE())</f>
        <v>0.71</v>
      </c>
      <c r="J12" s="101">
        <f>VLOOKUP(B12,All_Ingredients!$A$1:$J$156,10,FALSE())</f>
        <v>8.5</v>
      </c>
      <c r="K12" s="104">
        <f t="shared" si="5"/>
        <v>0.13457746478873239</v>
      </c>
      <c r="L12" s="104">
        <f t="shared" si="6"/>
        <v>1.1439084507042254</v>
      </c>
    </row>
    <row r="13" spans="1:30" ht="13.5" customHeight="1" x14ac:dyDescent="0.2">
      <c r="A13" s="629" t="s">
        <v>919</v>
      </c>
      <c r="B13" s="633" t="s">
        <v>32</v>
      </c>
      <c r="C13" s="641" t="s">
        <v>14</v>
      </c>
      <c r="D13" s="676">
        <v>250</v>
      </c>
      <c r="E13" s="679">
        <f t="shared" si="0"/>
        <v>0.38219999999999998</v>
      </c>
      <c r="F13" s="646">
        <v>1</v>
      </c>
      <c r="G13" s="678">
        <f t="shared" si="1"/>
        <v>95.55</v>
      </c>
      <c r="H13" s="677">
        <f t="shared" si="2"/>
        <v>95.55</v>
      </c>
      <c r="I13" s="65">
        <f>VLOOKUP(B13,All_Ingredients!$A$1:$F$156,6,FALSE())</f>
        <v>0.69</v>
      </c>
      <c r="J13" s="101">
        <f>VLOOKUP(B13,All_Ingredients!$A$1:$J$156,10,FALSE())</f>
        <v>4</v>
      </c>
      <c r="K13" s="104">
        <f t="shared" si="5"/>
        <v>0.13847826086956522</v>
      </c>
      <c r="L13" s="104">
        <f t="shared" si="6"/>
        <v>0.55391304347826087</v>
      </c>
    </row>
    <row r="14" spans="1:30" ht="13.5" customHeight="1" x14ac:dyDescent="0.2">
      <c r="B14" s="633" t="s">
        <v>178</v>
      </c>
      <c r="C14" s="641" t="s">
        <v>14</v>
      </c>
      <c r="D14" s="676">
        <v>250</v>
      </c>
      <c r="E14" s="679">
        <f t="shared" si="0"/>
        <v>0.38219999999999998</v>
      </c>
      <c r="F14" s="646">
        <v>1</v>
      </c>
      <c r="G14" s="678">
        <f t="shared" si="1"/>
        <v>95.55</v>
      </c>
      <c r="H14" s="677">
        <f t="shared" si="2"/>
        <v>95.55</v>
      </c>
      <c r="I14" s="65">
        <f>VLOOKUP(B14,All_Ingredients!$A$1:$F$156,6,FALSE())</f>
        <v>1</v>
      </c>
      <c r="J14" s="101">
        <f>VLOOKUP(B14,All_Ingredients!$A$1:$J$156,10,FALSE())</f>
        <v>40</v>
      </c>
      <c r="K14" s="104">
        <f t="shared" si="5"/>
        <v>9.5549999999999996E-2</v>
      </c>
      <c r="L14" s="104">
        <f t="shared" si="6"/>
        <v>3.8220000000000001</v>
      </c>
      <c r="N14" s="1669"/>
      <c r="O14" s="1669"/>
    </row>
    <row r="15" spans="1:30" ht="14.25" customHeight="1" x14ac:dyDescent="0.2">
      <c r="B15" s="633" t="s">
        <v>192</v>
      </c>
      <c r="C15" s="641" t="s">
        <v>160</v>
      </c>
      <c r="D15" s="676">
        <v>100</v>
      </c>
      <c r="E15" s="679">
        <f t="shared" si="0"/>
        <v>0.38219999999999998</v>
      </c>
      <c r="F15" s="646">
        <v>1</v>
      </c>
      <c r="G15" s="678">
        <f t="shared" si="1"/>
        <v>38.22</v>
      </c>
      <c r="H15" s="677">
        <f t="shared" si="2"/>
        <v>38.22</v>
      </c>
      <c r="I15" s="65">
        <f>VLOOKUP(B15,All_Ingredients!$A$1:$F$156,6,FALSE())</f>
        <v>1</v>
      </c>
      <c r="J15" s="101">
        <f>VLOOKUP(B15,All_Ingredients!$A$1:$J$156,10,FALSE())</f>
        <v>58.685446009389672</v>
      </c>
      <c r="K15" s="104">
        <f t="shared" si="5"/>
        <v>3.8219999999999997E-2</v>
      </c>
      <c r="L15" s="104">
        <f t="shared" si="6"/>
        <v>2.242957746478873</v>
      </c>
    </row>
    <row r="16" spans="1:30" ht="14.25" customHeight="1" x14ac:dyDescent="0.2">
      <c r="B16" s="633" t="s">
        <v>532</v>
      </c>
      <c r="C16" s="641" t="s">
        <v>14</v>
      </c>
      <c r="D16" s="676">
        <v>100</v>
      </c>
      <c r="E16" s="679">
        <f t="shared" si="0"/>
        <v>0.38219999999999998</v>
      </c>
      <c r="F16" s="646">
        <v>1</v>
      </c>
      <c r="G16" s="678">
        <f t="shared" si="1"/>
        <v>38.22</v>
      </c>
      <c r="H16" s="677">
        <f t="shared" si="2"/>
        <v>38.22</v>
      </c>
      <c r="I16" s="65">
        <f>VLOOKUP(B16,All_Ingredients!$A$1:$F$156,6,FALSE())</f>
        <v>1</v>
      </c>
      <c r="J16" s="101">
        <f>VLOOKUP(B16,All_Ingredients!$A$1:$J$156,10,FALSE())</f>
        <v>0</v>
      </c>
      <c r="K16" s="104">
        <f t="shared" si="5"/>
        <v>3.8219999999999997E-2</v>
      </c>
      <c r="L16" s="104">
        <f t="shared" si="6"/>
        <v>0</v>
      </c>
    </row>
    <row r="17" spans="2:29" ht="15" x14ac:dyDescent="0.25">
      <c r="B17" s="633" t="s">
        <v>198</v>
      </c>
      <c r="C17" s="906" t="s">
        <v>160</v>
      </c>
      <c r="D17" s="676">
        <v>100</v>
      </c>
      <c r="E17" s="632">
        <f t="shared" si="0"/>
        <v>0.38219999999999998</v>
      </c>
      <c r="F17" s="631">
        <v>1</v>
      </c>
      <c r="G17" s="675">
        <f t="shared" si="1"/>
        <v>38.22</v>
      </c>
      <c r="H17" s="630">
        <f t="shared" si="2"/>
        <v>38.22</v>
      </c>
      <c r="I17" s="65">
        <f>VLOOKUP(B17,All_Ingredients!$A$1:$F$156,6,FALSE())</f>
        <v>1</v>
      </c>
      <c r="J17" s="101">
        <f>VLOOKUP(B17,All_Ingredients!$A$1:$J$156,10,FALSE())</f>
        <v>3.25</v>
      </c>
      <c r="K17" s="104">
        <f t="shared" si="5"/>
        <v>3.8219999999999997E-2</v>
      </c>
      <c r="L17" s="104">
        <f t="shared" si="6"/>
        <v>0.12421499999999999</v>
      </c>
    </row>
    <row r="18" spans="2:29" x14ac:dyDescent="0.2">
      <c r="B18" s="633" t="s">
        <v>837</v>
      </c>
      <c r="C18" s="641" t="s">
        <v>14</v>
      </c>
      <c r="D18" s="676">
        <v>15</v>
      </c>
      <c r="E18" s="632">
        <f t="shared" si="0"/>
        <v>0.38219999999999998</v>
      </c>
      <c r="F18" s="631">
        <v>1</v>
      </c>
      <c r="G18" s="675">
        <f t="shared" si="1"/>
        <v>5.7329999999999997</v>
      </c>
      <c r="H18" s="630">
        <f t="shared" si="2"/>
        <v>5.7329999999999997</v>
      </c>
      <c r="I18" s="65">
        <f>VLOOKUP(B18,All_Ingredients!$A$1:$F$156,6,FALSE())</f>
        <v>1</v>
      </c>
      <c r="J18" s="101">
        <f>VLOOKUP(B18,All_Ingredients!$A$1:$J$156,10,FALSE())</f>
        <v>22.5</v>
      </c>
      <c r="K18" s="104">
        <f t="shared" si="5"/>
        <v>5.7329999999999994E-3</v>
      </c>
      <c r="L18" s="104">
        <f t="shared" si="6"/>
        <v>0.12899249999999998</v>
      </c>
    </row>
    <row r="19" spans="2:29" x14ac:dyDescent="0.2">
      <c r="B19" s="633" t="s">
        <v>478</v>
      </c>
      <c r="C19" s="641" t="s">
        <v>14</v>
      </c>
      <c r="D19" s="676">
        <v>125</v>
      </c>
      <c r="E19" s="632">
        <f t="shared" si="0"/>
        <v>0.38219999999999998</v>
      </c>
      <c r="F19" s="631">
        <v>1</v>
      </c>
      <c r="G19" s="675">
        <f t="shared" si="1"/>
        <v>47.774999999999999</v>
      </c>
      <c r="H19" s="630">
        <f t="shared" si="2"/>
        <v>47.774999999999999</v>
      </c>
      <c r="I19" s="65">
        <f>VLOOKUP(B19,All_Ingredients!$A$1:$F$156,6,FALSE())</f>
        <v>1</v>
      </c>
      <c r="J19" s="101">
        <f>VLOOKUP(B19,All_Ingredients!$A$1:$J$156,10,FALSE())</f>
        <v>16.666666666666668</v>
      </c>
      <c r="K19" s="104">
        <f t="shared" si="5"/>
        <v>4.7774999999999998E-2</v>
      </c>
      <c r="L19" s="104">
        <f t="shared" si="6"/>
        <v>0.79625000000000001</v>
      </c>
      <c r="R19" s="629" t="s">
        <v>531</v>
      </c>
    </row>
    <row r="20" spans="2:29" ht="15" x14ac:dyDescent="0.2">
      <c r="B20" s="605" t="s">
        <v>203</v>
      </c>
      <c r="C20" s="1213" t="s">
        <v>160</v>
      </c>
      <c r="D20" s="606">
        <v>2000</v>
      </c>
      <c r="E20" s="640">
        <f t="shared" ref="E20" si="7">$I$1</f>
        <v>0.38219999999999998</v>
      </c>
      <c r="F20" s="631">
        <v>1</v>
      </c>
      <c r="G20" s="639">
        <f t="shared" si="1"/>
        <v>764.4</v>
      </c>
      <c r="H20" s="638">
        <f t="shared" si="2"/>
        <v>764.4</v>
      </c>
      <c r="I20" s="65">
        <f>VLOOKUP(B20,All_Ingredients!$A$1:$F$156,6,FALSE())</f>
        <v>1</v>
      </c>
      <c r="J20" s="101">
        <f>VLOOKUP(B20,All_Ingredients!$A$1:$J$156,10,FALSE())</f>
        <v>0</v>
      </c>
      <c r="K20" s="104">
        <f t="shared" si="5"/>
        <v>0.76439999999999997</v>
      </c>
      <c r="L20" s="104">
        <f t="shared" si="6"/>
        <v>0</v>
      </c>
    </row>
    <row r="21" spans="2:29" ht="13.5" customHeight="1" x14ac:dyDescent="0.2">
      <c r="N21" s="1669"/>
      <c r="O21" s="1669"/>
    </row>
    <row r="24" spans="2:29" x14ac:dyDescent="0.2">
      <c r="Z24" s="1125"/>
    </row>
    <row r="25" spans="2:29" ht="14.25" x14ac:dyDescent="0.2">
      <c r="R25" s="1728" t="s">
        <v>534</v>
      </c>
      <c r="S25" s="1728"/>
      <c r="T25" s="1728"/>
      <c r="Z25" s="122" t="s">
        <v>14</v>
      </c>
      <c r="AA25" s="1145">
        <v>3.2</v>
      </c>
      <c r="AB25" s="122" t="s">
        <v>249</v>
      </c>
      <c r="AC25" s="124">
        <f>(T33/T29)*AA25</f>
        <v>2.750503761925023E-2</v>
      </c>
    </row>
    <row r="26" spans="2:29" ht="14.25" x14ac:dyDescent="0.2">
      <c r="R26" s="645" t="s">
        <v>254</v>
      </c>
      <c r="S26" s="645" t="s">
        <v>510</v>
      </c>
      <c r="T26" s="645" t="s">
        <v>535</v>
      </c>
    </row>
    <row r="27" spans="2:29" ht="14.25" x14ac:dyDescent="0.2">
      <c r="R27" s="645" t="s">
        <v>511</v>
      </c>
      <c r="S27" s="1197">
        <f>Z1</f>
        <v>12240</v>
      </c>
      <c r="T27" s="1199">
        <f>S27*0.15</f>
        <v>1836</v>
      </c>
    </row>
    <row r="28" spans="2:29" ht="14.25" x14ac:dyDescent="0.2">
      <c r="O28" s="661"/>
      <c r="P28" s="661"/>
      <c r="Q28" s="661"/>
      <c r="R28" s="645"/>
      <c r="S28" s="1198">
        <f>AB1</f>
        <v>500</v>
      </c>
      <c r="T28" s="1209"/>
      <c r="U28" s="661"/>
    </row>
    <row r="29" spans="2:29" ht="14.25" x14ac:dyDescent="0.2">
      <c r="O29" s="661"/>
      <c r="P29" s="661"/>
      <c r="Q29" s="661"/>
      <c r="R29" s="645"/>
      <c r="S29" s="1210">
        <f>S27+S28</f>
        <v>12740</v>
      </c>
      <c r="T29" s="1208">
        <f>S29*0.15</f>
        <v>1911</v>
      </c>
      <c r="U29" s="661"/>
    </row>
    <row r="30" spans="2:29" x14ac:dyDescent="0.2">
      <c r="O30" s="661"/>
      <c r="P30" s="661"/>
      <c r="Q30" s="661"/>
      <c r="U30" s="661"/>
    </row>
    <row r="31" spans="2:29" ht="15" x14ac:dyDescent="0.25">
      <c r="O31" s="745"/>
      <c r="P31" s="672"/>
      <c r="Q31" s="672"/>
      <c r="R31" s="672"/>
      <c r="S31" s="661"/>
      <c r="T31" s="672"/>
      <c r="U31" s="661"/>
      <c r="Y31" s="629">
        <v>30000</v>
      </c>
      <c r="Z31" s="629">
        <v>5000</v>
      </c>
      <c r="AA31" s="629">
        <f>Y31+Z31</f>
        <v>35000</v>
      </c>
    </row>
    <row r="32" spans="2:29" ht="15" thickBot="1" x14ac:dyDescent="0.25">
      <c r="O32" s="672"/>
      <c r="P32" s="672"/>
      <c r="Q32" s="672"/>
      <c r="R32" s="672"/>
      <c r="S32" s="672"/>
      <c r="T32" s="661"/>
      <c r="U32" s="661"/>
      <c r="Y32" s="1202">
        <f>Y31/AA31</f>
        <v>0.8571428571428571</v>
      </c>
      <c r="Z32" s="1202">
        <f>Z31/AA31</f>
        <v>0.14285714285714285</v>
      </c>
    </row>
    <row r="33" spans="2:26" ht="15.75" thickBot="1" x14ac:dyDescent="0.3">
      <c r="O33" s="745"/>
      <c r="P33" s="746"/>
      <c r="Q33" s="746"/>
      <c r="R33" s="144" t="s">
        <v>249</v>
      </c>
      <c r="S33" s="990">
        <f>SUM(L5:L19)</f>
        <v>16.425664653245995</v>
      </c>
      <c r="T33" s="1078">
        <f>SUM(L5:L19)</f>
        <v>16.425664653245995</v>
      </c>
      <c r="U33" s="661"/>
      <c r="Y33" s="664">
        <v>0.85</v>
      </c>
      <c r="Z33" s="664">
        <v>0.15</v>
      </c>
    </row>
    <row r="34" spans="2:26" ht="15" x14ac:dyDescent="0.25">
      <c r="O34" s="745"/>
      <c r="P34" s="746"/>
      <c r="Q34" s="746"/>
      <c r="R34" s="672"/>
      <c r="S34" s="672"/>
      <c r="T34" s="661"/>
      <c r="U34" s="661"/>
    </row>
    <row r="35" spans="2:26" ht="15" x14ac:dyDescent="0.25">
      <c r="O35" s="745"/>
      <c r="P35" s="746"/>
      <c r="Q35" s="746"/>
      <c r="R35" s="672"/>
      <c r="S35" s="672"/>
      <c r="T35" s="661"/>
      <c r="U35" s="661"/>
    </row>
    <row r="36" spans="2:26" ht="15" x14ac:dyDescent="0.25">
      <c r="O36" s="745"/>
      <c r="P36" s="746"/>
      <c r="Q36" s="746"/>
      <c r="R36" s="672"/>
      <c r="S36" s="672"/>
      <c r="T36" s="661"/>
      <c r="U36" s="661"/>
    </row>
    <row r="37" spans="2:26" ht="15" x14ac:dyDescent="0.25">
      <c r="O37" s="745"/>
      <c r="P37" s="746"/>
      <c r="Q37" s="746"/>
      <c r="R37" s="672"/>
      <c r="S37" s="672"/>
      <c r="T37" s="661"/>
      <c r="U37" s="661"/>
    </row>
    <row r="38" spans="2:26" ht="15" x14ac:dyDescent="0.25">
      <c r="O38" s="745"/>
      <c r="P38" s="746"/>
      <c r="Q38" s="746"/>
      <c r="R38" s="672"/>
      <c r="S38" s="672"/>
      <c r="T38" s="661"/>
      <c r="U38" s="661"/>
    </row>
    <row r="39" spans="2:26" ht="18" x14ac:dyDescent="0.25">
      <c r="B39" s="668"/>
      <c r="C39" s="668"/>
      <c r="D39" s="668"/>
      <c r="E39" s="668"/>
      <c r="F39" s="668"/>
      <c r="G39" s="668"/>
      <c r="H39" s="668"/>
      <c r="O39" s="745"/>
      <c r="P39" s="746"/>
      <c r="Q39" s="746"/>
      <c r="R39" s="672"/>
      <c r="S39" s="672"/>
      <c r="T39" s="661"/>
      <c r="U39" s="661"/>
    </row>
    <row r="40" spans="2:26" ht="18" x14ac:dyDescent="0.25">
      <c r="B40" s="668"/>
      <c r="C40" s="668"/>
      <c r="D40" s="668"/>
      <c r="E40" s="668"/>
      <c r="F40" s="668"/>
      <c r="G40" s="668"/>
      <c r="H40" s="668"/>
      <c r="I40" s="668"/>
      <c r="O40" s="745"/>
      <c r="P40" s="746"/>
      <c r="Q40" s="746"/>
      <c r="R40" s="672"/>
      <c r="S40" s="672"/>
      <c r="T40" s="661"/>
      <c r="U40" s="661"/>
    </row>
    <row r="41" spans="2:26" ht="18" customHeight="1" x14ac:dyDescent="0.25">
      <c r="B41" s="670"/>
      <c r="C41" s="671"/>
      <c r="D41" s="670"/>
      <c r="E41" s="670"/>
      <c r="F41" s="667"/>
      <c r="G41" s="670"/>
      <c r="H41" s="669"/>
      <c r="I41" s="668"/>
      <c r="O41" s="745"/>
      <c r="P41" s="746"/>
      <c r="Q41" s="746"/>
      <c r="R41" s="672"/>
      <c r="S41" s="672"/>
      <c r="T41" s="661"/>
      <c r="U41" s="661"/>
    </row>
    <row r="42" spans="2:26" ht="28.5" customHeight="1" x14ac:dyDescent="0.25">
      <c r="B42" s="636"/>
      <c r="C42" s="636"/>
      <c r="D42" s="636"/>
      <c r="E42" s="674"/>
      <c r="F42" s="674"/>
      <c r="G42" s="664"/>
      <c r="H42" s="673"/>
      <c r="I42" s="667"/>
      <c r="O42" s="745"/>
      <c r="P42" s="746"/>
      <c r="Q42" s="746"/>
      <c r="R42" s="672"/>
      <c r="S42" s="672"/>
      <c r="T42" s="661"/>
      <c r="U42" s="661"/>
    </row>
    <row r="43" spans="2:26" ht="15" x14ac:dyDescent="0.25">
      <c r="B43" s="636"/>
      <c r="C43" s="636"/>
      <c r="D43" s="636"/>
      <c r="E43" s="674"/>
      <c r="F43" s="674"/>
      <c r="G43" s="664"/>
      <c r="H43" s="673"/>
      <c r="I43" s="662"/>
      <c r="O43" s="745"/>
      <c r="P43" s="746"/>
      <c r="Q43" s="746"/>
      <c r="R43" s="672"/>
      <c r="S43" s="672"/>
      <c r="T43" s="661"/>
      <c r="U43" s="661"/>
    </row>
    <row r="44" spans="2:26" ht="15" x14ac:dyDescent="0.25">
      <c r="B44" s="636"/>
      <c r="C44" s="636"/>
      <c r="D44" s="636"/>
      <c r="E44" s="674"/>
      <c r="F44" s="674"/>
      <c r="G44" s="664"/>
      <c r="H44" s="673"/>
      <c r="I44" s="662"/>
      <c r="O44" s="745"/>
      <c r="P44" s="746"/>
      <c r="Q44" s="746"/>
      <c r="R44" s="672"/>
      <c r="S44" s="672"/>
      <c r="T44" s="661"/>
      <c r="U44" s="661"/>
    </row>
    <row r="45" spans="2:26" ht="15" x14ac:dyDescent="0.25">
      <c r="B45" s="636"/>
      <c r="C45" s="636"/>
      <c r="D45" s="636"/>
      <c r="E45" s="674"/>
      <c r="F45" s="674"/>
      <c r="G45" s="664"/>
      <c r="H45" s="673"/>
      <c r="I45" s="662"/>
      <c r="O45" s="745"/>
      <c r="P45" s="746"/>
      <c r="Q45" s="746"/>
      <c r="R45" s="672"/>
      <c r="S45" s="672"/>
      <c r="T45" s="661"/>
      <c r="U45" s="661"/>
    </row>
    <row r="46" spans="2:26" ht="15" x14ac:dyDescent="0.25">
      <c r="B46" s="636"/>
      <c r="C46" s="636"/>
      <c r="D46" s="636"/>
      <c r="E46" s="674"/>
      <c r="F46" s="674"/>
      <c r="G46" s="664"/>
      <c r="H46" s="673"/>
      <c r="I46" s="662"/>
      <c r="O46" s="745"/>
      <c r="P46" s="746"/>
      <c r="Q46" s="746"/>
      <c r="R46" s="672"/>
      <c r="S46" s="672"/>
      <c r="T46" s="661"/>
      <c r="U46" s="661"/>
    </row>
    <row r="47" spans="2:26" ht="15" x14ac:dyDescent="0.25">
      <c r="B47" s="636"/>
      <c r="C47" s="636"/>
      <c r="D47" s="636"/>
      <c r="E47" s="674"/>
      <c r="F47" s="674"/>
      <c r="G47" s="664"/>
      <c r="H47" s="673"/>
      <c r="I47" s="662"/>
      <c r="O47" s="745"/>
      <c r="P47" s="746"/>
      <c r="Q47" s="746"/>
      <c r="R47" s="672"/>
      <c r="S47" s="672"/>
      <c r="T47" s="661"/>
      <c r="U47" s="661"/>
    </row>
    <row r="48" spans="2:26" ht="15" x14ac:dyDescent="0.25">
      <c r="I48" s="662"/>
      <c r="O48" s="745"/>
      <c r="P48" s="746"/>
      <c r="Q48" s="746"/>
      <c r="R48" s="672"/>
      <c r="S48" s="672"/>
      <c r="T48" s="661"/>
      <c r="U48" s="661"/>
    </row>
    <row r="49" spans="2:21" ht="15" x14ac:dyDescent="0.25">
      <c r="O49" s="745"/>
      <c r="P49" s="746"/>
      <c r="Q49" s="746"/>
      <c r="R49" s="672"/>
      <c r="S49" s="672"/>
      <c r="T49" s="661"/>
      <c r="U49" s="661"/>
    </row>
    <row r="50" spans="2:21" ht="14.25" x14ac:dyDescent="0.2">
      <c r="B50" s="204" t="s">
        <v>310</v>
      </c>
      <c r="C50" s="204" t="s">
        <v>233</v>
      </c>
      <c r="D50" s="204" t="s">
        <v>279</v>
      </c>
      <c r="O50" s="661"/>
      <c r="P50" s="661"/>
      <c r="Q50" s="661"/>
      <c r="R50" s="661"/>
      <c r="S50" s="661"/>
      <c r="T50" s="661"/>
      <c r="U50" s="661"/>
    </row>
    <row r="51" spans="2:21" ht="14.25" x14ac:dyDescent="0.2">
      <c r="B51" s="161" t="s">
        <v>283</v>
      </c>
      <c r="C51" s="162">
        <f>5/$K$1</f>
        <v>5</v>
      </c>
      <c r="D51" s="163">
        <f>$C$1</f>
        <v>5000</v>
      </c>
    </row>
    <row r="52" spans="2:21" ht="14.25" x14ac:dyDescent="0.2">
      <c r="B52" s="209" t="s">
        <v>257</v>
      </c>
      <c r="C52" s="211">
        <f>G1</f>
        <v>0.38219999999999998</v>
      </c>
      <c r="D52" s="211">
        <f>E1</f>
        <v>1911</v>
      </c>
    </row>
    <row r="53" spans="2:21" ht="18" x14ac:dyDescent="0.2">
      <c r="B53" s="209" t="s">
        <v>284</v>
      </c>
      <c r="C53" s="212">
        <f>MIN($C$52, $C$51)</f>
        <v>0.38219999999999998</v>
      </c>
      <c r="D53" s="211">
        <f>(C53*$K$1)*1000</f>
        <v>382.2</v>
      </c>
      <c r="E53" s="668"/>
      <c r="F53" s="668"/>
      <c r="G53" s="668"/>
      <c r="H53" s="668"/>
    </row>
    <row r="54" spans="2:21" ht="18" x14ac:dyDescent="0.2">
      <c r="B54" s="209" t="s">
        <v>285</v>
      </c>
      <c r="C54" s="212">
        <f>MIN(MAX($C$52-C53,0),$C$51)</f>
        <v>0</v>
      </c>
      <c r="D54" s="211">
        <f>(C54*$K$1)*1000</f>
        <v>0</v>
      </c>
      <c r="E54" s="668"/>
      <c r="F54" s="668"/>
      <c r="G54" s="668"/>
      <c r="H54" s="668"/>
      <c r="I54" s="668"/>
    </row>
    <row r="55" spans="2:21" ht="18" customHeight="1" x14ac:dyDescent="0.2">
      <c r="B55" s="209" t="s">
        <v>286</v>
      </c>
      <c r="C55" s="212">
        <f>MIN(MAX($C$52-C53-C54,0),$C$51)</f>
        <v>0</v>
      </c>
      <c r="D55" s="211">
        <f>(C55*$K$1)*1000</f>
        <v>0</v>
      </c>
      <c r="E55" s="670"/>
      <c r="F55" s="667"/>
      <c r="G55" s="670"/>
      <c r="H55" s="669"/>
      <c r="I55" s="668"/>
    </row>
    <row r="56" spans="2:21" x14ac:dyDescent="0.2">
      <c r="B56" s="636"/>
      <c r="C56" s="636"/>
      <c r="D56" s="636"/>
      <c r="E56" s="666"/>
      <c r="F56" s="665"/>
      <c r="G56" s="664"/>
      <c r="H56" s="663"/>
      <c r="I56" s="667"/>
    </row>
    <row r="57" spans="2:21" x14ac:dyDescent="0.2">
      <c r="B57" s="636"/>
      <c r="C57" s="636"/>
      <c r="D57" s="636"/>
      <c r="E57" s="666"/>
      <c r="F57" s="665"/>
      <c r="G57" s="664"/>
      <c r="H57" s="663"/>
      <c r="I57" s="662"/>
    </row>
    <row r="58" spans="2:21" x14ac:dyDescent="0.2">
      <c r="B58" s="636"/>
      <c r="C58" s="636"/>
      <c r="D58" s="636"/>
      <c r="E58" s="666"/>
      <c r="F58" s="665"/>
      <c r="G58" s="664"/>
      <c r="H58" s="663"/>
      <c r="I58" s="662"/>
    </row>
    <row r="59" spans="2:21" x14ac:dyDescent="0.2">
      <c r="B59" s="636"/>
      <c r="C59" s="636"/>
      <c r="D59" s="636"/>
      <c r="E59" s="666"/>
      <c r="F59" s="665"/>
      <c r="G59" s="664"/>
      <c r="H59" s="663"/>
      <c r="I59" s="662"/>
    </row>
    <row r="60" spans="2:21" x14ac:dyDescent="0.2">
      <c r="B60" s="636"/>
      <c r="C60" s="636"/>
      <c r="D60" s="636"/>
      <c r="E60" s="666"/>
      <c r="F60" s="665"/>
      <c r="G60" s="664"/>
      <c r="H60" s="663"/>
      <c r="I60" s="662"/>
    </row>
    <row r="61" spans="2:21" x14ac:dyDescent="0.2">
      <c r="B61" s="636"/>
      <c r="C61" s="636"/>
      <c r="D61" s="636"/>
      <c r="E61" s="666"/>
      <c r="F61" s="665"/>
      <c r="G61" s="664"/>
      <c r="H61" s="663"/>
      <c r="I61" s="662"/>
    </row>
    <row r="62" spans="2:21" x14ac:dyDescent="0.2">
      <c r="I62" s="662"/>
    </row>
  </sheetData>
  <mergeCells count="6">
    <mergeCell ref="A2:A3"/>
    <mergeCell ref="B2:H3"/>
    <mergeCell ref="K2:K3"/>
    <mergeCell ref="N21:O21"/>
    <mergeCell ref="R25:T25"/>
    <mergeCell ref="N14:O14"/>
  </mergeCells>
  <printOptions horizontalCentered="1"/>
  <pageMargins left="0.5" right="0.5" top="1" bottom="0.5" header="0.3" footer="0.511811023622047"/>
  <pageSetup paperSize="9" scale="22"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DC69F-86D8-4817-8C2C-0DE5CE48B8CC}">
  <sheetPr codeName="Sheet63">
    <tabColor theme="5" tint="-0.249977111117893"/>
    <pageSetUpPr fitToPage="1"/>
  </sheetPr>
  <dimension ref="A1:AD61"/>
  <sheetViews>
    <sheetView topLeftCell="J1" zoomScale="55" zoomScaleNormal="55" workbookViewId="0">
      <selection activeCell="A5" sqref="A5:A174"/>
    </sheetView>
  </sheetViews>
  <sheetFormatPr defaultColWidth="12.5" defaultRowHeight="12.75" x14ac:dyDescent="0.2"/>
  <cols>
    <col min="1" max="1" width="8.125" style="629" customWidth="1"/>
    <col min="2" max="2" width="30.625" style="629" customWidth="1"/>
    <col min="3" max="3" width="24" style="629" customWidth="1"/>
    <col min="4" max="4" width="21.875" style="629" customWidth="1"/>
    <col min="5" max="5" width="16.125" style="629" customWidth="1"/>
    <col min="6" max="6" width="14.375" style="629" customWidth="1"/>
    <col min="7" max="7" width="15.375" style="629" customWidth="1"/>
    <col min="8" max="8" width="24.625" style="629" customWidth="1"/>
    <col min="9" max="9" width="14.625" style="629" customWidth="1"/>
    <col min="10" max="11" width="12.5" style="629"/>
    <col min="12" max="12" width="8.375" style="629" customWidth="1"/>
    <col min="13" max="17" width="2.875" style="629" customWidth="1"/>
    <col min="18" max="20" width="12.5" style="629"/>
    <col min="21" max="24" width="4.625" style="629" customWidth="1"/>
    <col min="25" max="16384" width="12.5" style="629"/>
  </cols>
  <sheetData>
    <row r="1" spans="1:30" ht="36" customHeight="1" x14ac:dyDescent="0.2">
      <c r="A1" s="661"/>
      <c r="B1" s="656" t="s">
        <v>530</v>
      </c>
      <c r="C1" s="660">
        <v>5000</v>
      </c>
      <c r="D1" s="659" t="s">
        <v>232</v>
      </c>
      <c r="E1" s="658">
        <f>T29</f>
        <v>3268.5</v>
      </c>
      <c r="F1" s="656" t="s">
        <v>233</v>
      </c>
      <c r="G1" s="657">
        <f>E1/C1</f>
        <v>0.65369999999999995</v>
      </c>
      <c r="H1" s="656" t="s">
        <v>234</v>
      </c>
      <c r="I1" s="655">
        <f>G1/K1</f>
        <v>0.65369999999999995</v>
      </c>
      <c r="J1" s="654" t="s">
        <v>235</v>
      </c>
      <c r="K1" s="653">
        <v>1</v>
      </c>
      <c r="L1" s="636"/>
      <c r="M1" s="636"/>
      <c r="N1" s="636"/>
      <c r="Y1" s="75" t="s">
        <v>453</v>
      </c>
      <c r="Z1" s="766">
        <v>21290</v>
      </c>
      <c r="AA1" s="75" t="s">
        <v>556</v>
      </c>
      <c r="AB1" s="766">
        <v>500</v>
      </c>
      <c r="AC1" s="75" t="s">
        <v>546</v>
      </c>
      <c r="AD1" s="766">
        <v>145</v>
      </c>
    </row>
    <row r="2" spans="1:30" ht="12.75" customHeight="1" x14ac:dyDescent="0.2">
      <c r="A2" s="1663"/>
      <c r="B2" s="1664" t="s">
        <v>529</v>
      </c>
      <c r="C2" s="1664"/>
      <c r="D2" s="1664"/>
      <c r="E2" s="1664"/>
      <c r="F2" s="1664"/>
      <c r="G2" s="1664"/>
      <c r="H2" s="1664"/>
      <c r="I2" s="652"/>
      <c r="J2" s="652"/>
      <c r="K2" s="1665"/>
      <c r="L2" s="636"/>
      <c r="M2" s="636"/>
      <c r="N2" s="636"/>
    </row>
    <row r="3" spans="1:30" ht="12.75" customHeight="1" x14ac:dyDescent="0.2">
      <c r="A3" s="1663"/>
      <c r="B3" s="1663"/>
      <c r="C3" s="1663"/>
      <c r="D3" s="1663"/>
      <c r="E3" s="1663"/>
      <c r="F3" s="1663"/>
      <c r="G3" s="1663"/>
      <c r="H3" s="1663"/>
      <c r="I3" s="651"/>
      <c r="J3" s="651"/>
      <c r="K3" s="1666"/>
      <c r="L3" s="636"/>
      <c r="M3" s="636"/>
      <c r="N3" s="636"/>
    </row>
    <row r="4" spans="1:30" ht="57" customHeight="1" x14ac:dyDescent="0.2">
      <c r="A4" s="634" t="s">
        <v>903</v>
      </c>
      <c r="B4" s="634" t="s">
        <v>241</v>
      </c>
      <c r="C4" s="635" t="s">
        <v>317</v>
      </c>
      <c r="D4" s="635" t="s">
        <v>528</v>
      </c>
      <c r="E4" s="650" t="s">
        <v>527</v>
      </c>
      <c r="F4" s="649" t="s">
        <v>243</v>
      </c>
      <c r="G4" s="648" t="s">
        <v>244</v>
      </c>
      <c r="H4" s="647" t="s">
        <v>322</v>
      </c>
      <c r="I4" s="75" t="s">
        <v>246</v>
      </c>
      <c r="J4" s="75" t="s">
        <v>247</v>
      </c>
      <c r="K4" s="75" t="s">
        <v>248</v>
      </c>
      <c r="L4" s="75" t="s">
        <v>249</v>
      </c>
      <c r="M4" s="636"/>
      <c r="N4" s="636"/>
    </row>
    <row r="5" spans="1:30" ht="14.25" x14ac:dyDescent="0.2">
      <c r="A5" s="1478" t="s">
        <v>919</v>
      </c>
      <c r="B5" s="788" t="s">
        <v>32</v>
      </c>
      <c r="C5" s="789" t="s">
        <v>14</v>
      </c>
      <c r="D5" s="789">
        <v>600</v>
      </c>
      <c r="E5" s="640">
        <f t="shared" ref="E5:E21" si="0">$I$1</f>
        <v>0.65369999999999995</v>
      </c>
      <c r="F5" s="631">
        <v>1</v>
      </c>
      <c r="G5" s="639">
        <f t="shared" ref="G5:G20" si="1">D5*E5</f>
        <v>392.21999999999997</v>
      </c>
      <c r="H5" s="638">
        <f t="shared" ref="H5:H20" si="2">G5*F5</f>
        <v>392.21999999999997</v>
      </c>
      <c r="I5" s="65">
        <f>VLOOKUP(B5,All_Ingredients!$A$1:$F$156,6,FALSE())</f>
        <v>0.69</v>
      </c>
      <c r="J5" s="101">
        <f>VLOOKUP(B5,All_Ingredients!$A$1:$J$156,10,FALSE())</f>
        <v>4</v>
      </c>
      <c r="K5" s="104">
        <f t="shared" ref="K5" si="3">(H5/I5)/1000</f>
        <v>0.56843478260869562</v>
      </c>
      <c r="L5" s="104">
        <f t="shared" ref="L5" si="4">K5*J5</f>
        <v>2.2737391304347825</v>
      </c>
      <c r="M5" s="637"/>
    </row>
    <row r="6" spans="1:30" ht="14.25" x14ac:dyDescent="0.2">
      <c r="A6" s="1478" t="s">
        <v>919</v>
      </c>
      <c r="B6" s="788" t="s">
        <v>30</v>
      </c>
      <c r="C6" s="789" t="s">
        <v>14</v>
      </c>
      <c r="D6" s="789">
        <v>600</v>
      </c>
      <c r="E6" s="640">
        <f t="shared" si="0"/>
        <v>0.65369999999999995</v>
      </c>
      <c r="F6" s="646">
        <v>1</v>
      </c>
      <c r="G6" s="639">
        <f t="shared" si="1"/>
        <v>392.21999999999997</v>
      </c>
      <c r="H6" s="638">
        <f t="shared" si="2"/>
        <v>392.21999999999997</v>
      </c>
      <c r="I6" s="65">
        <f>VLOOKUP(B6,All_Ingredients!$A$1:$F$156,6,FALSE())</f>
        <v>0.71</v>
      </c>
      <c r="J6" s="101">
        <f>VLOOKUP(B6,All_Ingredients!$A$1:$J$156,10,FALSE())</f>
        <v>8.5</v>
      </c>
      <c r="K6" s="104">
        <f t="shared" ref="K6:K20" si="5">(H6/I6)/1000</f>
        <v>0.55242253521126761</v>
      </c>
      <c r="L6" s="104">
        <f t="shared" ref="L6:L20" si="6">K6*J6</f>
        <v>4.6955915492957745</v>
      </c>
    </row>
    <row r="7" spans="1:30" ht="14.25" x14ac:dyDescent="0.2">
      <c r="A7" s="1478" t="s">
        <v>919</v>
      </c>
      <c r="B7" s="788" t="s">
        <v>28</v>
      </c>
      <c r="C7" s="789" t="s">
        <v>14</v>
      </c>
      <c r="D7" s="789">
        <v>600</v>
      </c>
      <c r="E7" s="640">
        <f t="shared" si="0"/>
        <v>0.65369999999999995</v>
      </c>
      <c r="F7" s="646">
        <v>1</v>
      </c>
      <c r="G7" s="639">
        <f t="shared" si="1"/>
        <v>392.21999999999997</v>
      </c>
      <c r="H7" s="638">
        <f t="shared" si="2"/>
        <v>392.21999999999997</v>
      </c>
      <c r="I7" s="65">
        <f>VLOOKUP(B7,All_Ingredients!$A$1:$F$156,6,FALSE())</f>
        <v>0.73</v>
      </c>
      <c r="J7" s="101">
        <f>VLOOKUP(B7,All_Ingredients!$A$1:$J$156,10,FALSE())</f>
        <v>8.5</v>
      </c>
      <c r="K7" s="104">
        <f t="shared" si="5"/>
        <v>0.53728767123287668</v>
      </c>
      <c r="L7" s="104">
        <f t="shared" si="6"/>
        <v>4.5669452054794517</v>
      </c>
    </row>
    <row r="8" spans="1:30" ht="14.25" x14ac:dyDescent="0.2">
      <c r="A8" s="1478"/>
      <c r="B8" s="788" t="s">
        <v>526</v>
      </c>
      <c r="C8" s="789" t="s">
        <v>14</v>
      </c>
      <c r="D8" s="789">
        <v>1368</v>
      </c>
      <c r="E8" s="640">
        <f t="shared" si="0"/>
        <v>0.65369999999999995</v>
      </c>
      <c r="F8" s="631">
        <v>1</v>
      </c>
      <c r="G8" s="639">
        <f t="shared" si="1"/>
        <v>894.26159999999993</v>
      </c>
      <c r="H8" s="638">
        <f t="shared" si="2"/>
        <v>894.26159999999993</v>
      </c>
      <c r="I8" s="65">
        <f>VLOOKUP(B8,All_Ingredients!$A$1:$F$156,6,FALSE())</f>
        <v>1</v>
      </c>
      <c r="J8" s="101">
        <f>VLOOKUP(B8,All_Ingredients!$A$1:$J$156,10,FALSE())</f>
        <v>8.3333333333333339</v>
      </c>
      <c r="K8" s="104">
        <f t="shared" si="5"/>
        <v>0.89426159999999988</v>
      </c>
      <c r="L8" s="104">
        <f t="shared" si="6"/>
        <v>7.4521799999999994</v>
      </c>
    </row>
    <row r="9" spans="1:30" ht="14.25" x14ac:dyDescent="0.2">
      <c r="A9" s="1478"/>
      <c r="B9" s="788" t="s">
        <v>525</v>
      </c>
      <c r="C9" s="789" t="s">
        <v>14</v>
      </c>
      <c r="D9" s="789">
        <v>2125</v>
      </c>
      <c r="E9" s="640">
        <f t="shared" si="0"/>
        <v>0.65369999999999995</v>
      </c>
      <c r="F9" s="631">
        <v>1</v>
      </c>
      <c r="G9" s="639">
        <f t="shared" si="1"/>
        <v>1389.1125</v>
      </c>
      <c r="H9" s="638">
        <f t="shared" si="2"/>
        <v>1389.1125</v>
      </c>
      <c r="I9" s="65">
        <f>VLOOKUP(B9,All_Ingredients!$A$1:$F$156,6,FALSE())</f>
        <v>1</v>
      </c>
      <c r="J9" s="101">
        <f>VLOOKUP(B9,All_Ingredients!$A$1:$J$156,10,FALSE())</f>
        <v>10.196078431372548</v>
      </c>
      <c r="K9" s="104">
        <f t="shared" si="5"/>
        <v>1.3891125</v>
      </c>
      <c r="L9" s="104">
        <f t="shared" si="6"/>
        <v>14.163499999999999</v>
      </c>
    </row>
    <row r="10" spans="1:30" ht="14.25" x14ac:dyDescent="0.2">
      <c r="A10" s="1478"/>
      <c r="B10" s="788" t="s">
        <v>152</v>
      </c>
      <c r="C10" s="789" t="s">
        <v>14</v>
      </c>
      <c r="D10" s="789">
        <v>300</v>
      </c>
      <c r="E10" s="640">
        <f t="shared" si="0"/>
        <v>0.65369999999999995</v>
      </c>
      <c r="F10" s="631">
        <v>1</v>
      </c>
      <c r="G10" s="639">
        <f t="shared" si="1"/>
        <v>196.10999999999999</v>
      </c>
      <c r="H10" s="638">
        <f t="shared" si="2"/>
        <v>196.10999999999999</v>
      </c>
      <c r="I10" s="65">
        <f>VLOOKUP(B10,All_Ingredients!$A$1:$F$156,6,FALSE())</f>
        <v>1</v>
      </c>
      <c r="J10" s="101">
        <f>VLOOKUP(B10,All_Ingredients!$A$1:$J$156,10,FALSE())</f>
        <v>30</v>
      </c>
      <c r="K10" s="104">
        <f t="shared" si="5"/>
        <v>0.19610999999999998</v>
      </c>
      <c r="L10" s="104">
        <f t="shared" si="6"/>
        <v>5.8832999999999993</v>
      </c>
    </row>
    <row r="11" spans="1:30" ht="13.5" customHeight="1" x14ac:dyDescent="0.2">
      <c r="B11" s="633" t="s">
        <v>105</v>
      </c>
      <c r="C11" s="641" t="s">
        <v>14</v>
      </c>
      <c r="D11" s="641">
        <v>25</v>
      </c>
      <c r="E11" s="640">
        <f t="shared" si="0"/>
        <v>0.65369999999999995</v>
      </c>
      <c r="F11" s="631">
        <v>1</v>
      </c>
      <c r="G11" s="639">
        <f t="shared" si="1"/>
        <v>16.342499999999998</v>
      </c>
      <c r="H11" s="638">
        <f t="shared" si="2"/>
        <v>16.342499999999998</v>
      </c>
      <c r="I11" s="65">
        <f>VLOOKUP(B11,All_Ingredients!$A$1:$F$156,6,FALSE())</f>
        <v>1</v>
      </c>
      <c r="J11" s="101">
        <f>VLOOKUP(B11,All_Ingredients!$A$1:$J$156,10,FALSE())</f>
        <v>15</v>
      </c>
      <c r="K11" s="104">
        <f t="shared" si="5"/>
        <v>1.6342499999999996E-2</v>
      </c>
      <c r="L11" s="104">
        <f t="shared" si="6"/>
        <v>0.24513749999999995</v>
      </c>
    </row>
    <row r="12" spans="1:30" ht="13.5" customHeight="1" x14ac:dyDescent="0.2">
      <c r="B12" s="633" t="s">
        <v>110</v>
      </c>
      <c r="C12" s="641" t="s">
        <v>14</v>
      </c>
      <c r="D12" s="641">
        <v>25</v>
      </c>
      <c r="E12" s="640">
        <f t="shared" si="0"/>
        <v>0.65369999999999995</v>
      </c>
      <c r="F12" s="631">
        <v>1</v>
      </c>
      <c r="G12" s="639">
        <f t="shared" si="1"/>
        <v>16.342499999999998</v>
      </c>
      <c r="H12" s="638">
        <f t="shared" si="2"/>
        <v>16.342499999999998</v>
      </c>
      <c r="I12" s="65">
        <f>VLOOKUP(B12,All_Ingredients!$A$1:$F$156,6,FALSE())</f>
        <v>1</v>
      </c>
      <c r="J12" s="101">
        <f>VLOOKUP(B12,All_Ingredients!$A$1:$J$156,10,FALSE())</f>
        <v>64.243759177679877</v>
      </c>
      <c r="K12" s="104">
        <f t="shared" si="5"/>
        <v>1.6342499999999996E-2</v>
      </c>
      <c r="L12" s="104">
        <f t="shared" si="6"/>
        <v>1.0499036343612331</v>
      </c>
    </row>
    <row r="13" spans="1:30" ht="13.5" customHeight="1" x14ac:dyDescent="0.2">
      <c r="B13" s="633" t="s">
        <v>113</v>
      </c>
      <c r="C13" s="641" t="s">
        <v>14</v>
      </c>
      <c r="D13" s="641">
        <v>10</v>
      </c>
      <c r="E13" s="640">
        <f t="shared" si="0"/>
        <v>0.65369999999999995</v>
      </c>
      <c r="F13" s="631">
        <v>1</v>
      </c>
      <c r="G13" s="639">
        <f t="shared" si="1"/>
        <v>6.536999999999999</v>
      </c>
      <c r="H13" s="638">
        <f t="shared" si="2"/>
        <v>6.536999999999999</v>
      </c>
      <c r="I13" s="65">
        <f>VLOOKUP(B13,All_Ingredients!$A$1:$F$156,6,FALSE())</f>
        <v>1</v>
      </c>
      <c r="J13" s="101">
        <f>VLOOKUP(B13,All_Ingredients!$A$1:$J$156,10,FALSE())</f>
        <v>20</v>
      </c>
      <c r="K13" s="104">
        <f t="shared" si="5"/>
        <v>6.5369999999999994E-3</v>
      </c>
      <c r="L13" s="104">
        <f t="shared" si="6"/>
        <v>0.13074</v>
      </c>
    </row>
    <row r="14" spans="1:30" ht="13.5" customHeight="1" x14ac:dyDescent="0.2">
      <c r="B14" s="633" t="s">
        <v>99</v>
      </c>
      <c r="C14" s="641" t="s">
        <v>14</v>
      </c>
      <c r="D14" s="641">
        <v>10</v>
      </c>
      <c r="E14" s="640">
        <f t="shared" si="0"/>
        <v>0.65369999999999995</v>
      </c>
      <c r="F14" s="631">
        <v>1</v>
      </c>
      <c r="G14" s="639">
        <f t="shared" si="1"/>
        <v>6.536999999999999</v>
      </c>
      <c r="H14" s="638">
        <f t="shared" si="2"/>
        <v>6.536999999999999</v>
      </c>
      <c r="I14" s="65">
        <f>VLOOKUP(B14,All_Ingredients!$A$1:$F$156,6,FALSE())</f>
        <v>1</v>
      </c>
      <c r="J14" s="101">
        <f>VLOOKUP(B14,All_Ingredients!$A$1:$J$156,10,FALSE())</f>
        <v>31</v>
      </c>
      <c r="K14" s="104">
        <f t="shared" si="5"/>
        <v>6.5369999999999994E-3</v>
      </c>
      <c r="L14" s="104">
        <f t="shared" si="6"/>
        <v>0.20264699999999999</v>
      </c>
    </row>
    <row r="15" spans="1:30" ht="14.25" customHeight="1" x14ac:dyDescent="0.2">
      <c r="B15" s="633" t="s">
        <v>82</v>
      </c>
      <c r="C15" s="641" t="s">
        <v>14</v>
      </c>
      <c r="D15" s="641">
        <v>10</v>
      </c>
      <c r="E15" s="640">
        <f t="shared" si="0"/>
        <v>0.65369999999999995</v>
      </c>
      <c r="F15" s="631">
        <v>1</v>
      </c>
      <c r="G15" s="639">
        <f t="shared" si="1"/>
        <v>6.536999999999999</v>
      </c>
      <c r="H15" s="638">
        <f t="shared" si="2"/>
        <v>6.536999999999999</v>
      </c>
      <c r="I15" s="65">
        <f>VLOOKUP(B15,All_Ingredients!$A$1:$F$156,6,FALSE())</f>
        <v>1</v>
      </c>
      <c r="J15" s="101">
        <f>VLOOKUP(B15,All_Ingredients!$A$1:$J$156,10,FALSE())</f>
        <v>147.88732394366198</v>
      </c>
      <c r="K15" s="104">
        <f t="shared" si="5"/>
        <v>6.5369999999999994E-3</v>
      </c>
      <c r="L15" s="104">
        <f t="shared" si="6"/>
        <v>0.96673943661971828</v>
      </c>
    </row>
    <row r="16" spans="1:30" ht="14.25" customHeight="1" x14ac:dyDescent="0.2">
      <c r="B16" s="633" t="s">
        <v>93</v>
      </c>
      <c r="C16" s="641" t="s">
        <v>14</v>
      </c>
      <c r="D16" s="641">
        <v>50</v>
      </c>
      <c r="E16" s="640">
        <f t="shared" si="0"/>
        <v>0.65369999999999995</v>
      </c>
      <c r="F16" s="631">
        <v>1</v>
      </c>
      <c r="G16" s="639">
        <f t="shared" si="1"/>
        <v>32.684999999999995</v>
      </c>
      <c r="H16" s="638">
        <f t="shared" si="2"/>
        <v>32.684999999999995</v>
      </c>
      <c r="I16" s="65">
        <f>VLOOKUP(B16,All_Ingredients!$A$1:$F$156,6,FALSE())</f>
        <v>1</v>
      </c>
      <c r="J16" s="101">
        <f>VLOOKUP(B16,All_Ingredients!$A$1:$J$156,10,FALSE())</f>
        <v>0.74</v>
      </c>
      <c r="K16" s="104">
        <f t="shared" si="5"/>
        <v>3.2684999999999992E-2</v>
      </c>
      <c r="L16" s="104">
        <f t="shared" si="6"/>
        <v>2.4186899999999994E-2</v>
      </c>
      <c r="M16" s="643"/>
      <c r="N16" s="643"/>
    </row>
    <row r="17" spans="1:29" ht="13.5" customHeight="1" x14ac:dyDescent="0.2">
      <c r="B17" s="633" t="s">
        <v>214</v>
      </c>
      <c r="C17" s="641" t="s">
        <v>14</v>
      </c>
      <c r="D17" s="641">
        <v>10</v>
      </c>
      <c r="E17" s="640">
        <f t="shared" si="0"/>
        <v>0.65369999999999995</v>
      </c>
      <c r="F17" s="631">
        <v>1</v>
      </c>
      <c r="G17" s="639">
        <f t="shared" si="1"/>
        <v>6.536999999999999</v>
      </c>
      <c r="H17" s="638">
        <f t="shared" si="2"/>
        <v>6.536999999999999</v>
      </c>
      <c r="I17" s="65">
        <f>VLOOKUP(B17,All_Ingredients!$A$1:$F$156,6,FALSE())</f>
        <v>1</v>
      </c>
      <c r="J17" s="101">
        <f>VLOOKUP(B17,All_Ingredients!$A$1:$J$156,10,FALSE())</f>
        <v>35</v>
      </c>
      <c r="K17" s="104">
        <f t="shared" si="5"/>
        <v>6.5369999999999994E-3</v>
      </c>
      <c r="L17" s="104">
        <f t="shared" si="6"/>
        <v>0.22879499999999997</v>
      </c>
    </row>
    <row r="18" spans="1:29" ht="14.25" x14ac:dyDescent="0.2">
      <c r="A18" s="629" t="s">
        <v>920</v>
      </c>
      <c r="B18" s="633" t="s">
        <v>12</v>
      </c>
      <c r="C18" s="641" t="s">
        <v>14</v>
      </c>
      <c r="D18" s="641">
        <v>500</v>
      </c>
      <c r="E18" s="640">
        <f t="shared" si="0"/>
        <v>0.65369999999999995</v>
      </c>
      <c r="F18" s="642">
        <v>1</v>
      </c>
      <c r="G18" s="639">
        <f t="shared" si="1"/>
        <v>326.84999999999997</v>
      </c>
      <c r="H18" s="638">
        <f t="shared" si="2"/>
        <v>326.84999999999997</v>
      </c>
      <c r="I18" s="65">
        <f>VLOOKUP(B18,All_Ingredients!$A$1:$F$156,6,FALSE())</f>
        <v>0.9</v>
      </c>
      <c r="J18" s="101">
        <f>VLOOKUP(B18,All_Ingredients!$A$1:$J$156,10,FALSE())</f>
        <v>3</v>
      </c>
      <c r="K18" s="104">
        <f t="shared" si="5"/>
        <v>0.36316666666666664</v>
      </c>
      <c r="L18" s="104">
        <f t="shared" si="6"/>
        <v>1.0894999999999999</v>
      </c>
    </row>
    <row r="19" spans="1:29" ht="18" customHeight="1" x14ac:dyDescent="0.2">
      <c r="A19" s="629" t="s">
        <v>907</v>
      </c>
      <c r="B19" s="633" t="s">
        <v>727</v>
      </c>
      <c r="C19" s="641" t="s">
        <v>14</v>
      </c>
      <c r="D19" s="641">
        <v>100</v>
      </c>
      <c r="E19" s="640">
        <f t="shared" si="0"/>
        <v>0.65369999999999995</v>
      </c>
      <c r="F19" s="631">
        <v>1</v>
      </c>
      <c r="G19" s="639">
        <f t="shared" si="1"/>
        <v>65.36999999999999</v>
      </c>
      <c r="H19" s="638">
        <f t="shared" si="2"/>
        <v>65.36999999999999</v>
      </c>
      <c r="I19" s="65">
        <f>VLOOKUP(B19,All_Ingredients!$A$1:$F$156,6,FALSE())</f>
        <v>1</v>
      </c>
      <c r="J19" s="101">
        <f>VLOOKUP(B19,All_Ingredients!$A$1:$J$156,10,FALSE())</f>
        <v>10.5</v>
      </c>
      <c r="K19" s="104">
        <f t="shared" si="5"/>
        <v>6.5369999999999984E-2</v>
      </c>
      <c r="L19" s="104">
        <f t="shared" si="6"/>
        <v>0.6863849999999998</v>
      </c>
    </row>
    <row r="20" spans="1:29" ht="14.25" customHeight="1" x14ac:dyDescent="0.2">
      <c r="B20" s="633" t="s">
        <v>698</v>
      </c>
      <c r="C20" s="641" t="s">
        <v>14</v>
      </c>
      <c r="D20" s="641">
        <v>2000</v>
      </c>
      <c r="E20" s="640">
        <f t="shared" si="0"/>
        <v>0.65369999999999995</v>
      </c>
      <c r="F20" s="631">
        <v>1</v>
      </c>
      <c r="G20" s="639">
        <f t="shared" si="1"/>
        <v>1307.3999999999999</v>
      </c>
      <c r="H20" s="638">
        <f t="shared" si="2"/>
        <v>1307.3999999999999</v>
      </c>
      <c r="I20" s="65">
        <f>VLOOKUP(B20,All_Ingredients!$A$1:$F$156,6,FALSE())</f>
        <v>1</v>
      </c>
      <c r="J20" s="101">
        <f>VLOOKUP(B20,All_Ingredients!$A$1:$J$156,10,FALSE())</f>
        <v>8.1520833333333336</v>
      </c>
      <c r="K20" s="104">
        <f t="shared" si="5"/>
        <v>1.3073999999999999</v>
      </c>
      <c r="L20" s="104">
        <f t="shared" si="6"/>
        <v>10.65803375</v>
      </c>
    </row>
    <row r="21" spans="1:29" ht="16.5" customHeight="1" x14ac:dyDescent="0.2">
      <c r="B21" s="605" t="s">
        <v>203</v>
      </c>
      <c r="C21" s="1213" t="s">
        <v>160</v>
      </c>
      <c r="D21" s="606">
        <v>4000</v>
      </c>
      <c r="E21" s="640">
        <f t="shared" si="0"/>
        <v>0.65369999999999995</v>
      </c>
      <c r="F21" s="631">
        <v>1</v>
      </c>
      <c r="G21" s="639">
        <f t="shared" ref="G21" si="7">D21*E21</f>
        <v>2614.7999999999997</v>
      </c>
      <c r="H21" s="638">
        <f t="shared" ref="H21" si="8">G21*F21</f>
        <v>2614.7999999999997</v>
      </c>
      <c r="I21" s="65">
        <f>VLOOKUP(B21,All_Ingredients!$A$1:$F$156,6,FALSE())</f>
        <v>1</v>
      </c>
      <c r="J21" s="101">
        <f>VLOOKUP(B21,All_Ingredients!$A$1:$J$156,10,FALSE())</f>
        <v>0</v>
      </c>
      <c r="K21" s="104">
        <f t="shared" ref="K21" si="9">(H21/I21)/1000</f>
        <v>2.6147999999999998</v>
      </c>
      <c r="L21" s="104">
        <f t="shared" ref="L21" si="10">K21*J21</f>
        <v>0</v>
      </c>
    </row>
    <row r="22" spans="1:29" ht="13.5" customHeight="1" x14ac:dyDescent="0.2">
      <c r="N22" s="1669"/>
      <c r="O22" s="1669"/>
    </row>
    <row r="24" spans="1:29" x14ac:dyDescent="0.2">
      <c r="Z24" s="1125"/>
    </row>
    <row r="25" spans="1:29" ht="14.25" x14ac:dyDescent="0.2">
      <c r="R25" s="1667" t="s">
        <v>529</v>
      </c>
      <c r="S25" s="1668"/>
      <c r="T25" s="1668"/>
      <c r="Z25" s="122" t="s">
        <v>14</v>
      </c>
      <c r="AA25" s="1145">
        <f>1/1000</f>
        <v>1E-3</v>
      </c>
      <c r="AB25" s="122" t="s">
        <v>249</v>
      </c>
      <c r="AC25" s="124">
        <f>(T33/T29)*AA25</f>
        <v>1.6618425609971229E-5</v>
      </c>
    </row>
    <row r="26" spans="1:29" ht="14.25" x14ac:dyDescent="0.2">
      <c r="R26" s="645" t="s">
        <v>254</v>
      </c>
      <c r="S26" s="645" t="s">
        <v>510</v>
      </c>
      <c r="T26" s="645" t="s">
        <v>535</v>
      </c>
    </row>
    <row r="27" spans="1:29" ht="14.25" x14ac:dyDescent="0.2">
      <c r="R27" s="645" t="s">
        <v>511</v>
      </c>
      <c r="S27" s="1197">
        <f>Z1</f>
        <v>21290</v>
      </c>
      <c r="T27" s="1199">
        <f>S27*0.15</f>
        <v>3193.5</v>
      </c>
    </row>
    <row r="28" spans="1:29" ht="14.25" x14ac:dyDescent="0.2">
      <c r="R28" s="645"/>
      <c r="S28" s="1198">
        <f>AB1</f>
        <v>500</v>
      </c>
      <c r="T28" s="1209"/>
    </row>
    <row r="29" spans="1:29" ht="14.25" x14ac:dyDescent="0.2">
      <c r="R29" s="644"/>
      <c r="S29" s="1210">
        <f>S27+S28</f>
        <v>21790</v>
      </c>
      <c r="T29" s="1208">
        <f>S29*0.15</f>
        <v>3268.5</v>
      </c>
    </row>
    <row r="30" spans="1:29" x14ac:dyDescent="0.2">
      <c r="S30" s="1211"/>
      <c r="T30" s="1211"/>
    </row>
    <row r="31" spans="1:29" x14ac:dyDescent="0.2">
      <c r="Y31" s="629">
        <v>30000</v>
      </c>
      <c r="Z31" s="629">
        <v>5000</v>
      </c>
      <c r="AA31" s="629">
        <f>Y31+Z31</f>
        <v>35000</v>
      </c>
    </row>
    <row r="32" spans="1:29" ht="13.5" thickBot="1" x14ac:dyDescent="0.25">
      <c r="Y32" s="1201">
        <f>Y31/AA31</f>
        <v>0.8571428571428571</v>
      </c>
      <c r="Z32" s="1201">
        <f>Z31/AA31</f>
        <v>0.14285714285714285</v>
      </c>
    </row>
    <row r="33" spans="2:26" ht="13.5" thickBot="1" x14ac:dyDescent="0.25">
      <c r="R33" s="144" t="s">
        <v>249</v>
      </c>
      <c r="S33" s="990">
        <f>SUM(L5:L20)</f>
        <v>54.317324106190959</v>
      </c>
      <c r="T33" s="1078">
        <f>SUM(L5:L20)</f>
        <v>54.317324106190959</v>
      </c>
      <c r="Y33" s="664">
        <v>0.85</v>
      </c>
      <c r="Z33" s="664">
        <v>0.15</v>
      </c>
    </row>
    <row r="37" spans="2:26" ht="18" x14ac:dyDescent="0.2">
      <c r="B37" s="668"/>
      <c r="C37" s="668"/>
      <c r="D37" s="668"/>
      <c r="E37" s="668"/>
      <c r="F37" s="668"/>
      <c r="G37" s="668"/>
      <c r="H37" s="668"/>
    </row>
    <row r="38" spans="2:26" ht="18" x14ac:dyDescent="0.2">
      <c r="B38" s="668"/>
      <c r="C38" s="668"/>
      <c r="D38" s="668"/>
      <c r="E38" s="668"/>
      <c r="F38" s="668"/>
      <c r="G38" s="668"/>
      <c r="H38" s="668"/>
    </row>
    <row r="39" spans="2:26" x14ac:dyDescent="0.2">
      <c r="B39" s="670"/>
      <c r="C39" s="671"/>
      <c r="D39" s="670"/>
      <c r="E39" s="670"/>
      <c r="F39" s="667"/>
      <c r="G39" s="670"/>
      <c r="H39" s="669"/>
    </row>
    <row r="40" spans="2:26" ht="18" x14ac:dyDescent="0.2">
      <c r="B40" s="636"/>
      <c r="C40" s="636"/>
      <c r="D40" s="636"/>
      <c r="E40" s="674"/>
      <c r="F40" s="674"/>
      <c r="G40" s="664"/>
      <c r="H40" s="663"/>
      <c r="I40" s="668"/>
      <c r="M40" s="1732"/>
      <c r="N40" s="1732"/>
      <c r="O40" s="1732"/>
      <c r="P40" s="1732"/>
      <c r="Q40" s="1732"/>
      <c r="R40" s="1732"/>
      <c r="S40" s="1732"/>
      <c r="T40" s="1732"/>
    </row>
    <row r="41" spans="2:26" ht="18" x14ac:dyDescent="0.2">
      <c r="B41" s="636"/>
      <c r="C41" s="636"/>
      <c r="D41" s="636"/>
      <c r="E41" s="674"/>
      <c r="F41" s="674"/>
      <c r="G41" s="664"/>
      <c r="H41" s="663"/>
      <c r="I41" s="668"/>
      <c r="M41" s="825"/>
      <c r="N41" s="826"/>
      <c r="O41" s="827"/>
      <c r="P41" s="825"/>
      <c r="Q41" s="828"/>
      <c r="R41" s="829"/>
      <c r="S41" s="827"/>
      <c r="T41" s="827"/>
    </row>
    <row r="42" spans="2:26" ht="14.25" x14ac:dyDescent="0.2">
      <c r="B42" s="636"/>
      <c r="C42" s="636"/>
      <c r="D42" s="636"/>
      <c r="E42" s="674"/>
      <c r="F42" s="674"/>
      <c r="G42" s="664"/>
      <c r="H42" s="663"/>
      <c r="I42" s="667"/>
      <c r="M42" s="830"/>
      <c r="N42" s="830"/>
      <c r="O42" s="830"/>
      <c r="P42" s="830"/>
      <c r="Q42" s="830"/>
      <c r="R42" s="830"/>
      <c r="S42" s="830"/>
      <c r="T42" s="827"/>
    </row>
    <row r="43" spans="2:26" ht="13.5" customHeight="1" x14ac:dyDescent="0.2">
      <c r="B43" s="636"/>
      <c r="C43" s="636"/>
      <c r="D43" s="636"/>
      <c r="E43" s="674"/>
      <c r="F43" s="674"/>
      <c r="G43" s="664"/>
      <c r="H43" s="663"/>
      <c r="I43" s="662"/>
      <c r="M43" s="829"/>
      <c r="N43" s="829"/>
      <c r="O43" s="831"/>
      <c r="P43" s="831"/>
      <c r="Q43" s="832"/>
      <c r="R43" s="831"/>
      <c r="S43" s="829"/>
      <c r="T43" s="827"/>
    </row>
    <row r="44" spans="2:26" ht="14.25" x14ac:dyDescent="0.2">
      <c r="B44" s="636"/>
      <c r="C44" s="636"/>
      <c r="D44" s="636"/>
      <c r="E44" s="674"/>
      <c r="F44" s="674"/>
      <c r="G44" s="664"/>
      <c r="H44" s="663"/>
      <c r="I44" s="662"/>
      <c r="M44" s="829"/>
      <c r="N44" s="829"/>
      <c r="O44" s="831"/>
      <c r="P44" s="831"/>
      <c r="Q44" s="832"/>
      <c r="R44" s="831"/>
      <c r="S44" s="829"/>
      <c r="T44" s="827"/>
    </row>
    <row r="45" spans="2:26" ht="14.25" x14ac:dyDescent="0.2">
      <c r="B45" s="636"/>
      <c r="C45" s="636"/>
      <c r="D45" s="636"/>
      <c r="E45" s="674"/>
      <c r="F45" s="674"/>
      <c r="G45" s="664"/>
      <c r="H45" s="663"/>
      <c r="I45" s="662"/>
      <c r="M45" s="829"/>
      <c r="N45" s="829"/>
      <c r="O45" s="831"/>
      <c r="P45" s="831"/>
      <c r="Q45" s="832"/>
      <c r="R45" s="831"/>
      <c r="S45" s="829"/>
      <c r="T45" s="827"/>
    </row>
    <row r="46" spans="2:26" ht="14.25" x14ac:dyDescent="0.2">
      <c r="B46" s="636"/>
      <c r="C46" s="636"/>
      <c r="D46" s="636"/>
      <c r="E46" s="674"/>
      <c r="F46" s="674"/>
      <c r="G46" s="664"/>
      <c r="H46" s="663"/>
      <c r="I46" s="662"/>
      <c r="M46" s="829"/>
      <c r="N46" s="829"/>
      <c r="O46" s="831"/>
      <c r="P46" s="831"/>
      <c r="Q46" s="832"/>
      <c r="R46" s="831"/>
      <c r="S46" s="829"/>
      <c r="T46" s="827"/>
    </row>
    <row r="47" spans="2:26" ht="14.25" x14ac:dyDescent="0.2">
      <c r="B47" s="636"/>
      <c r="E47" s="636"/>
      <c r="F47" s="636"/>
      <c r="H47" s="833"/>
      <c r="I47" s="662"/>
      <c r="M47" s="829"/>
      <c r="N47" s="829"/>
      <c r="O47" s="831"/>
      <c r="P47" s="831"/>
      <c r="Q47" s="832"/>
      <c r="R47" s="831"/>
      <c r="S47" s="829"/>
      <c r="T47" s="827"/>
    </row>
    <row r="48" spans="2:26" ht="14.25" x14ac:dyDescent="0.2">
      <c r="B48" s="636"/>
      <c r="C48" s="810"/>
      <c r="D48" s="834"/>
      <c r="E48" s="835"/>
      <c r="F48" s="636"/>
      <c r="H48" s="833"/>
      <c r="I48" s="662"/>
      <c r="M48" s="829"/>
      <c r="N48" s="829"/>
      <c r="O48" s="831"/>
      <c r="P48" s="831"/>
      <c r="Q48" s="832"/>
      <c r="R48" s="831"/>
      <c r="S48" s="829"/>
      <c r="T48" s="827"/>
    </row>
    <row r="49" spans="2:20" ht="14.25" x14ac:dyDescent="0.2">
      <c r="B49" s="636"/>
      <c r="E49" s="636"/>
      <c r="F49" s="636"/>
      <c r="H49" s="833"/>
      <c r="I49" s="662"/>
      <c r="M49" s="829"/>
      <c r="N49" s="829"/>
      <c r="O49" s="831"/>
      <c r="P49" s="831"/>
      <c r="Q49" s="832"/>
      <c r="R49" s="831"/>
      <c r="S49" s="829"/>
      <c r="T49" s="827"/>
    </row>
    <row r="50" spans="2:20" ht="18" x14ac:dyDescent="0.2">
      <c r="B50" s="204" t="s">
        <v>310</v>
      </c>
      <c r="C50" s="204" t="s">
        <v>233</v>
      </c>
      <c r="D50" s="204" t="s">
        <v>279</v>
      </c>
      <c r="E50" s="668"/>
      <c r="F50" s="668"/>
      <c r="G50" s="668"/>
      <c r="H50" s="668"/>
      <c r="M50" s="829"/>
      <c r="N50" s="829"/>
      <c r="O50" s="831"/>
      <c r="P50" s="831"/>
      <c r="Q50" s="832"/>
      <c r="R50" s="831"/>
      <c r="S50" s="829"/>
      <c r="T50" s="827"/>
    </row>
    <row r="51" spans="2:20" ht="18" x14ac:dyDescent="0.2">
      <c r="B51" s="161" t="s">
        <v>283</v>
      </c>
      <c r="C51" s="162">
        <f>5/$K$1</f>
        <v>5</v>
      </c>
      <c r="D51" s="163">
        <f>$C$1</f>
        <v>5000</v>
      </c>
      <c r="E51" s="668"/>
      <c r="F51" s="668"/>
      <c r="G51" s="668"/>
      <c r="H51" s="668"/>
      <c r="M51" s="829"/>
      <c r="N51" s="829"/>
      <c r="O51" s="831"/>
      <c r="P51" s="831"/>
      <c r="Q51" s="832"/>
      <c r="R51" s="831"/>
      <c r="S51" s="829"/>
      <c r="T51" s="827"/>
    </row>
    <row r="52" spans="2:20" ht="14.25" x14ac:dyDescent="0.2">
      <c r="B52" s="209" t="s">
        <v>257</v>
      </c>
      <c r="C52" s="211">
        <f>G1</f>
        <v>0.65369999999999995</v>
      </c>
      <c r="D52" s="211">
        <f>E1</f>
        <v>3268.5</v>
      </c>
      <c r="E52" s="670"/>
      <c r="F52" s="667"/>
      <c r="G52" s="670"/>
      <c r="H52" s="669"/>
      <c r="M52" s="829"/>
      <c r="N52" s="829"/>
      <c r="O52" s="831"/>
      <c r="P52" s="831"/>
      <c r="Q52" s="832"/>
      <c r="R52" s="831"/>
      <c r="S52" s="829"/>
      <c r="T52" s="827"/>
    </row>
    <row r="53" spans="2:20" ht="18" x14ac:dyDescent="0.2">
      <c r="B53" s="209" t="s">
        <v>284</v>
      </c>
      <c r="C53" s="212">
        <f>MIN($C$52, $C$51)</f>
        <v>0.65369999999999995</v>
      </c>
      <c r="D53" s="211">
        <f>(C53*$K$1)*1000</f>
        <v>653.69999999999993</v>
      </c>
      <c r="E53" s="666"/>
      <c r="F53" s="665"/>
      <c r="G53" s="664"/>
      <c r="H53" s="663"/>
      <c r="I53" s="668"/>
      <c r="M53" s="829"/>
      <c r="N53" s="829"/>
      <c r="O53" s="831"/>
      <c r="P53" s="831"/>
      <c r="Q53" s="832"/>
      <c r="R53" s="831"/>
      <c r="S53" s="829"/>
      <c r="T53" s="827"/>
    </row>
    <row r="54" spans="2:20" ht="18" x14ac:dyDescent="0.2">
      <c r="B54" s="209" t="s">
        <v>285</v>
      </c>
      <c r="C54" s="212">
        <f>MIN(MAX($C$52-C53,0),$C$51)</f>
        <v>0</v>
      </c>
      <c r="D54" s="211">
        <f>(C54*$K$1)*1000</f>
        <v>0</v>
      </c>
      <c r="E54" s="666"/>
      <c r="F54" s="665"/>
      <c r="G54" s="664"/>
      <c r="H54" s="663"/>
      <c r="I54" s="668"/>
      <c r="M54" s="829"/>
      <c r="N54" s="829"/>
      <c r="O54" s="831"/>
      <c r="P54" s="831"/>
      <c r="Q54" s="832"/>
      <c r="R54" s="831"/>
      <c r="S54" s="829"/>
      <c r="T54" s="827"/>
    </row>
    <row r="55" spans="2:20" ht="14.25" x14ac:dyDescent="0.2">
      <c r="B55" s="209" t="s">
        <v>286</v>
      </c>
      <c r="C55" s="212">
        <f>MIN(MAX($C$52-C53-C54,0),$C$51)</f>
        <v>0</v>
      </c>
      <c r="D55" s="211">
        <f>(C55*$K$1)*1000</f>
        <v>0</v>
      </c>
      <c r="E55" s="666"/>
      <c r="F55" s="665"/>
      <c r="G55" s="664"/>
      <c r="H55" s="663"/>
      <c r="I55" s="667"/>
      <c r="M55" s="829"/>
      <c r="N55" s="829"/>
      <c r="O55" s="831"/>
      <c r="P55" s="831"/>
      <c r="Q55" s="832"/>
      <c r="R55" s="831"/>
      <c r="S55" s="829"/>
      <c r="T55" s="827"/>
    </row>
    <row r="56" spans="2:20" ht="14.25" x14ac:dyDescent="0.2">
      <c r="B56" s="636"/>
      <c r="C56" s="636"/>
      <c r="D56" s="636"/>
      <c r="E56" s="666"/>
      <c r="F56" s="665"/>
      <c r="G56" s="664"/>
      <c r="H56" s="663"/>
      <c r="I56" s="662"/>
      <c r="M56" s="829"/>
      <c r="N56" s="829"/>
      <c r="O56" s="831"/>
      <c r="P56" s="831"/>
      <c r="Q56" s="832"/>
      <c r="R56" s="831"/>
      <c r="S56" s="829"/>
      <c r="T56" s="827"/>
    </row>
    <row r="57" spans="2:20" ht="14.25" x14ac:dyDescent="0.2">
      <c r="B57" s="636"/>
      <c r="C57" s="636"/>
      <c r="D57" s="636"/>
      <c r="E57" s="666"/>
      <c r="F57" s="665"/>
      <c r="G57" s="664"/>
      <c r="H57" s="663"/>
      <c r="I57" s="662"/>
      <c r="M57" s="829"/>
      <c r="N57" s="829"/>
      <c r="O57" s="831"/>
      <c r="P57" s="831"/>
      <c r="Q57" s="832"/>
      <c r="R57" s="831"/>
      <c r="S57" s="829"/>
      <c r="T57" s="827"/>
    </row>
    <row r="58" spans="2:20" ht="14.25" x14ac:dyDescent="0.2">
      <c r="B58" s="636"/>
      <c r="C58" s="636"/>
      <c r="D58" s="636"/>
      <c r="E58" s="666"/>
      <c r="F58" s="665"/>
      <c r="G58" s="664"/>
      <c r="H58" s="663"/>
      <c r="I58" s="662"/>
      <c r="M58" s="829"/>
      <c r="N58" s="829"/>
      <c r="O58" s="831"/>
      <c r="P58" s="831"/>
      <c r="Q58" s="832"/>
      <c r="R58" s="831"/>
      <c r="S58" s="829"/>
      <c r="T58" s="827"/>
    </row>
    <row r="59" spans="2:20" ht="14.25" x14ac:dyDescent="0.2">
      <c r="B59" s="636"/>
      <c r="C59" s="636"/>
      <c r="D59" s="636"/>
      <c r="E59" s="666"/>
      <c r="F59" s="665"/>
      <c r="G59" s="664"/>
      <c r="H59" s="663"/>
      <c r="I59" s="662"/>
      <c r="M59" s="825"/>
      <c r="N59" s="829"/>
      <c r="O59" s="827"/>
      <c r="P59" s="836"/>
      <c r="Q59" s="827"/>
      <c r="R59" s="836"/>
      <c r="S59" s="827"/>
      <c r="T59" s="827"/>
    </row>
    <row r="60" spans="2:20" x14ac:dyDescent="0.2">
      <c r="I60" s="662"/>
    </row>
    <row r="61" spans="2:20" x14ac:dyDescent="0.2">
      <c r="I61" s="662"/>
    </row>
  </sheetData>
  <mergeCells count="6">
    <mergeCell ref="M40:T40"/>
    <mergeCell ref="A2:A3"/>
    <mergeCell ref="B2:H3"/>
    <mergeCell ref="K2:K3"/>
    <mergeCell ref="N22:O22"/>
    <mergeCell ref="R25:T25"/>
  </mergeCells>
  <printOptions horizontalCentered="1"/>
  <pageMargins left="0.5" right="0.5" top="1" bottom="0.5" header="0.3" footer="0.511811023622047"/>
  <pageSetup paperSize="9" scale="24" orientation="portrait" r:id="rId1"/>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9">
    <tabColor rgb="FF333F50"/>
    <pageSetUpPr fitToPage="1"/>
  </sheetPr>
  <dimension ref="A1:AT174"/>
  <sheetViews>
    <sheetView zoomScale="70" zoomScaleNormal="70" workbookViewId="0">
      <selection activeCell="A6" sqref="A6:A8"/>
    </sheetView>
  </sheetViews>
  <sheetFormatPr defaultColWidth="12.5" defaultRowHeight="15" x14ac:dyDescent="0.25"/>
  <cols>
    <col min="1" max="1" width="12.5" style="63" customWidth="1"/>
    <col min="2" max="2" width="38.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4.125" style="14" customWidth="1"/>
    <col min="15" max="17" width="12.5" style="14" customWidth="1"/>
    <col min="18" max="18" width="31.125" style="14" customWidth="1"/>
    <col min="19" max="26" width="12.5" style="14" customWidth="1"/>
    <col min="27" max="27" width="10.125" style="14" bestFit="1" customWidth="1"/>
    <col min="28" max="28" width="6.875" style="14" customWidth="1"/>
    <col min="29" max="29" width="11.75" style="14" bestFit="1" customWidth="1"/>
    <col min="30" max="30" width="13.25" style="14" bestFit="1" customWidth="1"/>
    <col min="31" max="31" width="10.125" style="14" bestFit="1" customWidth="1"/>
    <col min="32" max="32" width="10.375" style="14" bestFit="1" customWidth="1"/>
    <col min="33" max="34" width="2.875" style="14" customWidth="1"/>
    <col min="35" max="35" width="12.5" style="14" customWidth="1"/>
    <col min="36" max="36" width="31.375" style="14" customWidth="1"/>
    <col min="37" max="37" width="12.5" style="14" customWidth="1"/>
    <col min="38" max="41" width="12.5" style="14"/>
    <col min="42" max="42" width="15.5" style="14" customWidth="1"/>
    <col min="43" max="16384" width="12.5" style="14"/>
  </cols>
  <sheetData>
    <row r="1" spans="1:46" ht="39.75" customHeight="1" x14ac:dyDescent="0.25">
      <c r="B1" s="64" t="s">
        <v>231</v>
      </c>
      <c r="C1" s="65">
        <v>1000</v>
      </c>
      <c r="D1" s="66" t="s">
        <v>232</v>
      </c>
      <c r="E1" s="67">
        <f>T32</f>
        <v>14322.564102564107</v>
      </c>
      <c r="F1" s="64" t="s">
        <v>233</v>
      </c>
      <c r="G1" s="68">
        <f>E1/C1</f>
        <v>14.322564102564106</v>
      </c>
      <c r="H1" s="64" t="s">
        <v>234</v>
      </c>
      <c r="I1" s="69">
        <f>(G1/K1)</f>
        <v>14.467236467236471</v>
      </c>
      <c r="J1" s="70" t="s">
        <v>235</v>
      </c>
      <c r="K1" s="361">
        <v>0.99</v>
      </c>
      <c r="L1" s="72"/>
      <c r="M1" s="73"/>
      <c r="N1" s="74"/>
      <c r="O1" s="75" t="s">
        <v>236</v>
      </c>
      <c r="P1" s="76" t="s">
        <v>237</v>
      </c>
      <c r="Q1" s="77" t="s">
        <v>238</v>
      </c>
      <c r="R1" s="76">
        <v>0.59</v>
      </c>
      <c r="Y1" s="75" t="s">
        <v>453</v>
      </c>
      <c r="Z1" s="766">
        <v>24890</v>
      </c>
      <c r="AA1" s="75" t="s">
        <v>556</v>
      </c>
      <c r="AB1" s="766">
        <v>500</v>
      </c>
      <c r="AC1" s="75" t="s">
        <v>546</v>
      </c>
      <c r="AD1" s="766">
        <v>169</v>
      </c>
      <c r="AE1" s="228"/>
      <c r="AF1" s="230"/>
      <c r="AG1" s="76"/>
      <c r="AI1" s="63"/>
      <c r="AJ1" s="78" t="s">
        <v>250</v>
      </c>
      <c r="AK1" s="78">
        <v>10000</v>
      </c>
      <c r="AL1" s="561" t="s">
        <v>483</v>
      </c>
      <c r="AM1" s="562">
        <f>$S$32</f>
        <v>19530.769230769223</v>
      </c>
      <c r="AN1" s="78" t="s">
        <v>239</v>
      </c>
      <c r="AO1" s="305">
        <f>((S32)/$R$1)/$AK$1</f>
        <v>3.3102998696219021</v>
      </c>
      <c r="AP1" s="79"/>
    </row>
    <row r="2" spans="1:46" ht="12.75" customHeight="1" x14ac:dyDescent="0.25">
      <c r="A2" s="81"/>
      <c r="B2" s="82"/>
      <c r="C2" s="82"/>
      <c r="D2" s="82"/>
      <c r="E2" s="82"/>
      <c r="F2" s="1632" t="s">
        <v>148</v>
      </c>
      <c r="G2" s="82"/>
      <c r="H2" s="82"/>
      <c r="I2" s="82"/>
      <c r="J2" s="82"/>
      <c r="K2" s="82"/>
      <c r="L2" s="270"/>
      <c r="M2" s="84"/>
      <c r="N2" s="84"/>
      <c r="O2" s="84"/>
      <c r="P2" s="84"/>
      <c r="Q2" s="84"/>
      <c r="R2" s="84"/>
      <c r="AC2" s="83"/>
      <c r="AD2" s="83"/>
      <c r="AE2" s="1652"/>
      <c r="AF2" s="1655"/>
      <c r="AG2" s="1655"/>
      <c r="AI2" s="63"/>
      <c r="AJ2" s="85"/>
      <c r="AK2" s="1631" t="s">
        <v>461</v>
      </c>
      <c r="AL2" s="1631"/>
      <c r="AM2" s="1631"/>
      <c r="AN2" s="1631"/>
      <c r="AO2" s="85"/>
      <c r="AP2" s="85"/>
    </row>
    <row r="3" spans="1:46" ht="12.75" customHeight="1" x14ac:dyDescent="0.25">
      <c r="A3" s="81"/>
      <c r="B3" s="87"/>
      <c r="C3" s="87"/>
      <c r="D3" s="87"/>
      <c r="E3" s="87"/>
      <c r="F3" s="1633"/>
      <c r="G3" s="87"/>
      <c r="H3" s="87"/>
      <c r="I3" s="87"/>
      <c r="J3" s="87"/>
      <c r="K3" s="87"/>
      <c r="L3" s="270"/>
      <c r="O3" s="84"/>
      <c r="P3" s="84"/>
      <c r="Q3" s="84"/>
      <c r="R3" s="84"/>
      <c r="AC3" s="83"/>
      <c r="AD3" s="83"/>
      <c r="AE3" s="1655"/>
      <c r="AF3" s="1655"/>
      <c r="AG3" s="1655"/>
      <c r="AI3" s="63"/>
      <c r="AJ3" s="85"/>
      <c r="AK3" s="85"/>
      <c r="AL3" s="85"/>
      <c r="AM3" s="85"/>
      <c r="AN3" s="1655"/>
      <c r="AO3" s="85"/>
      <c r="AP3" s="85"/>
    </row>
    <row r="4" spans="1:46" ht="46.5" customHeight="1" x14ac:dyDescent="0.25">
      <c r="A4" s="75" t="s">
        <v>903</v>
      </c>
      <c r="B4" s="75" t="s">
        <v>241</v>
      </c>
      <c r="C4" s="90" t="s">
        <v>242</v>
      </c>
      <c r="D4" s="75" t="s">
        <v>231</v>
      </c>
      <c r="E4" s="91" t="s">
        <v>234</v>
      </c>
      <c r="F4" s="91" t="s">
        <v>243</v>
      </c>
      <c r="G4" s="75" t="s">
        <v>244</v>
      </c>
      <c r="H4" s="307" t="s">
        <v>335</v>
      </c>
      <c r="I4" s="75" t="s">
        <v>246</v>
      </c>
      <c r="J4" s="75" t="s">
        <v>247</v>
      </c>
      <c r="K4" s="75" t="s">
        <v>248</v>
      </c>
      <c r="L4" s="75" t="s">
        <v>249</v>
      </c>
      <c r="O4" s="84"/>
      <c r="P4" s="84"/>
      <c r="AA4" s="229"/>
      <c r="AB4" s="231"/>
      <c r="AC4" s="231"/>
      <c r="AD4" s="231"/>
      <c r="AE4" s="229"/>
      <c r="AF4" s="229"/>
      <c r="AG4" s="229"/>
      <c r="AI4" s="63"/>
      <c r="AJ4" s="78" t="s">
        <v>241</v>
      </c>
      <c r="AK4" s="493" t="s">
        <v>242</v>
      </c>
      <c r="AL4" s="78" t="s">
        <v>250</v>
      </c>
      <c r="AM4" s="78" t="s">
        <v>234</v>
      </c>
      <c r="AN4" s="78" t="s">
        <v>243</v>
      </c>
      <c r="AO4" s="78" t="s">
        <v>244</v>
      </c>
      <c r="AP4" s="78" t="s">
        <v>335</v>
      </c>
      <c r="AQ4" s="75" t="s">
        <v>246</v>
      </c>
      <c r="AR4" s="75" t="s">
        <v>247</v>
      </c>
      <c r="AS4" s="75" t="s">
        <v>248</v>
      </c>
      <c r="AT4" s="75" t="s">
        <v>249</v>
      </c>
    </row>
    <row r="5" spans="1:46" ht="14.25" customHeight="1" x14ac:dyDescent="0.25">
      <c r="A5" s="1454"/>
      <c r="B5" s="286" t="s">
        <v>220</v>
      </c>
      <c r="C5" s="97" t="s">
        <v>14</v>
      </c>
      <c r="D5" s="245">
        <f>I51/10</f>
        <v>2311.3713405238827</v>
      </c>
      <c r="E5" s="108">
        <f>H52</f>
        <v>14.321800273216194</v>
      </c>
      <c r="F5" s="100">
        <v>1</v>
      </c>
      <c r="G5" s="101">
        <f t="shared" ref="G5:G22" si="0">D5*E5</f>
        <v>33102.998696219023</v>
      </c>
      <c r="H5" s="187">
        <f t="shared" ref="H5:H22" si="1">G5*F5</f>
        <v>33102.998696219023</v>
      </c>
      <c r="I5" s="65">
        <f>VLOOKUP(B5,All_Ingredients!$A$1:$F$156,6,FALSE())</f>
        <v>0.86</v>
      </c>
      <c r="J5" s="101">
        <f>VLOOKUP(B5,All_Ingredients!$A$1:$J$156,10,FALSE())</f>
        <v>17.100000000000001</v>
      </c>
      <c r="K5" s="104">
        <f t="shared" ref="K5" si="2">(H5/I5)/1000</f>
        <v>38.491858949091892</v>
      </c>
      <c r="L5" s="104">
        <f t="shared" ref="L5" si="3">K5*J5</f>
        <v>658.21078802947136</v>
      </c>
      <c r="O5" s="84"/>
      <c r="P5" s="84"/>
      <c r="AA5" s="76"/>
      <c r="AB5" s="114"/>
      <c r="AC5" s="114"/>
      <c r="AD5" s="114"/>
      <c r="AE5" s="232"/>
      <c r="AF5" s="116"/>
      <c r="AG5" s="117"/>
      <c r="AI5" s="63"/>
      <c r="AJ5" s="350" t="s">
        <v>220</v>
      </c>
      <c r="AK5" s="106" t="s">
        <v>227</v>
      </c>
      <c r="AL5" s="98">
        <v>10</v>
      </c>
      <c r="AM5" s="201">
        <f t="shared" ref="AM5:AM12" si="4">$AO$1</f>
        <v>3.3102998696219021</v>
      </c>
      <c r="AN5" s="109">
        <v>1</v>
      </c>
      <c r="AO5" s="101">
        <f t="shared" ref="AO5:AO11" si="5">AL5*AM5</f>
        <v>33.102998696219018</v>
      </c>
      <c r="AP5" s="102">
        <f t="shared" ref="AP5:AP11" si="6">AO5*AN5</f>
        <v>33.102998696219018</v>
      </c>
      <c r="AQ5" s="272"/>
      <c r="AR5" s="1017"/>
      <c r="AS5" s="156"/>
      <c r="AT5" s="1018"/>
    </row>
    <row r="6" spans="1:46" ht="14.25" customHeight="1" x14ac:dyDescent="0.25">
      <c r="A6" s="1471" t="s">
        <v>905</v>
      </c>
      <c r="B6" s="96" t="s">
        <v>12</v>
      </c>
      <c r="C6" s="97" t="s">
        <v>14</v>
      </c>
      <c r="D6" s="107">
        <v>100</v>
      </c>
      <c r="E6" s="108">
        <f t="shared" ref="E6:E22" si="7">$I$1</f>
        <v>14.467236467236471</v>
      </c>
      <c r="F6" s="276">
        <v>0.95</v>
      </c>
      <c r="G6" s="101">
        <f t="shared" si="0"/>
        <v>1446.7236467236471</v>
      </c>
      <c r="H6" s="187">
        <f t="shared" si="1"/>
        <v>1374.3874643874647</v>
      </c>
      <c r="I6" s="65">
        <f>VLOOKUP(B6,All_Ingredients!$A$1:$F$156,6,FALSE())</f>
        <v>0.9</v>
      </c>
      <c r="J6" s="101">
        <f>VLOOKUP(B6,All_Ingredients!$A$1:$J$156,10,FALSE())</f>
        <v>3</v>
      </c>
      <c r="K6" s="104">
        <f t="shared" ref="K6:K22" si="8">(H6/I6)/1000</f>
        <v>1.5270971826527384</v>
      </c>
      <c r="L6" s="104">
        <f t="shared" ref="L6:L22" si="9">K6*J6</f>
        <v>4.581291547958215</v>
      </c>
      <c r="AI6" s="63" t="s">
        <v>55</v>
      </c>
      <c r="AJ6" s="299" t="s">
        <v>54</v>
      </c>
      <c r="AK6" s="310" t="s">
        <v>14</v>
      </c>
      <c r="AL6" s="98">
        <v>100</v>
      </c>
      <c r="AM6" s="201">
        <f t="shared" si="4"/>
        <v>3.3102998696219021</v>
      </c>
      <c r="AN6" s="109">
        <v>1</v>
      </c>
      <c r="AO6" s="101">
        <f t="shared" si="5"/>
        <v>331.02998696219021</v>
      </c>
      <c r="AP6" s="102">
        <f t="shared" si="6"/>
        <v>331.02998696219021</v>
      </c>
      <c r="AQ6" s="1018">
        <f>VLOOKUP(AJ6,Marination_Ordering!$A:$J,6,FALSE)</f>
        <v>0.87</v>
      </c>
      <c r="AR6" s="1018">
        <f>VLOOKUP(AJ6,Marination_Ordering!$A:$J,10,FALSE)</f>
        <v>7</v>
      </c>
      <c r="AS6" s="156">
        <f>AP6/AQ6</f>
        <v>380.49423788757497</v>
      </c>
      <c r="AT6" s="1018">
        <f>AR6*(AS6/1000)</f>
        <v>2.6634596652130247</v>
      </c>
    </row>
    <row r="7" spans="1:46" ht="14.25" customHeight="1" x14ac:dyDescent="0.25">
      <c r="A7" s="1471" t="s">
        <v>907</v>
      </c>
      <c r="B7" s="96" t="s">
        <v>727</v>
      </c>
      <c r="C7" s="97" t="s">
        <v>14</v>
      </c>
      <c r="D7" s="107">
        <v>20</v>
      </c>
      <c r="E7" s="108">
        <f t="shared" si="7"/>
        <v>14.467236467236471</v>
      </c>
      <c r="F7" s="276">
        <v>1</v>
      </c>
      <c r="G7" s="101">
        <f t="shared" si="0"/>
        <v>289.34472934472944</v>
      </c>
      <c r="H7" s="187">
        <f t="shared" si="1"/>
        <v>289.34472934472944</v>
      </c>
      <c r="I7" s="65">
        <f>VLOOKUP(B7,All_Ingredients!$A$1:$F$156,6,FALSE())</f>
        <v>1</v>
      </c>
      <c r="J7" s="101">
        <f>VLOOKUP(B7,All_Ingredients!$A$1:$J$156,10,FALSE())</f>
        <v>10.5</v>
      </c>
      <c r="K7" s="104">
        <f t="shared" si="8"/>
        <v>0.28934472934472943</v>
      </c>
      <c r="L7" s="104">
        <f t="shared" si="9"/>
        <v>3.0381196581196592</v>
      </c>
      <c r="AI7" s="63" t="s">
        <v>13</v>
      </c>
      <c r="AJ7" s="299" t="s">
        <v>727</v>
      </c>
      <c r="AK7" s="310" t="s">
        <v>14</v>
      </c>
      <c r="AL7" s="98">
        <v>100</v>
      </c>
      <c r="AM7" s="201">
        <f t="shared" si="4"/>
        <v>3.3102998696219021</v>
      </c>
      <c r="AN7" s="109">
        <v>1</v>
      </c>
      <c r="AO7" s="101">
        <f t="shared" si="5"/>
        <v>331.02998696219021</v>
      </c>
      <c r="AP7" s="102">
        <f t="shared" si="6"/>
        <v>331.02998696219021</v>
      </c>
      <c r="AQ7" s="1018">
        <f>VLOOKUP(AJ7,Marination_Ordering!$A:$J,6,FALSE)</f>
        <v>1</v>
      </c>
      <c r="AR7" s="1018">
        <f>VLOOKUP(AJ7,Marination_Ordering!$A:$J,10,FALSE)</f>
        <v>10.5</v>
      </c>
      <c r="AS7" s="156">
        <f t="shared" ref="AS7:AS8" si="10">AP7/AQ7</f>
        <v>331.02998696219021</v>
      </c>
      <c r="AT7" s="1018">
        <f t="shared" ref="AT7:AT8" si="11">AR7*(AS7/1000)</f>
        <v>3.4758148631029973</v>
      </c>
    </row>
    <row r="8" spans="1:46" ht="14.25" customHeight="1" x14ac:dyDescent="0.25">
      <c r="A8" s="1471" t="s">
        <v>909</v>
      </c>
      <c r="B8" s="96" t="s">
        <v>17</v>
      </c>
      <c r="C8" s="97" t="s">
        <v>14</v>
      </c>
      <c r="D8" s="107">
        <v>500</v>
      </c>
      <c r="E8" s="108">
        <f t="shared" si="7"/>
        <v>14.467236467236471</v>
      </c>
      <c r="F8" s="276">
        <v>0.9</v>
      </c>
      <c r="G8" s="101">
        <f t="shared" si="0"/>
        <v>7233.6182336182355</v>
      </c>
      <c r="H8" s="187">
        <f t="shared" si="1"/>
        <v>6510.256410256412</v>
      </c>
      <c r="I8" s="65">
        <f>VLOOKUP(B8,All_Ingredients!$A$1:$F$156,6,FALSE())</f>
        <v>0.98</v>
      </c>
      <c r="J8" s="101">
        <f>VLOOKUP(B8,All_Ingredients!$A$1:$J$156,10,FALSE())</f>
        <v>3.5</v>
      </c>
      <c r="K8" s="104">
        <f t="shared" si="8"/>
        <v>6.6431187859759309</v>
      </c>
      <c r="L8" s="104">
        <f t="shared" si="9"/>
        <v>23.250915750915759</v>
      </c>
      <c r="AI8" s="63" t="s">
        <v>204</v>
      </c>
      <c r="AJ8" s="299" t="s">
        <v>212</v>
      </c>
      <c r="AK8" s="310" t="s">
        <v>160</v>
      </c>
      <c r="AL8" s="98">
        <v>200</v>
      </c>
      <c r="AM8" s="201">
        <f t="shared" si="4"/>
        <v>3.3102998696219021</v>
      </c>
      <c r="AN8" s="109">
        <v>1</v>
      </c>
      <c r="AO8" s="101">
        <f t="shared" si="5"/>
        <v>662.05997392438042</v>
      </c>
      <c r="AP8" s="102">
        <f t="shared" si="6"/>
        <v>662.05997392438042</v>
      </c>
      <c r="AQ8" s="1018">
        <f>VLOOKUP(AJ8,Marination_Ordering!$A:$J,6,FALSE)</f>
        <v>1</v>
      </c>
      <c r="AR8" s="1018">
        <f>VLOOKUP(AJ8,Marination_Ordering!$A:$J,10,FALSE)</f>
        <v>5</v>
      </c>
      <c r="AS8" s="156">
        <f t="shared" si="10"/>
        <v>662.05997392438042</v>
      </c>
      <c r="AT8" s="1018">
        <f t="shared" si="11"/>
        <v>3.3102998696219021</v>
      </c>
    </row>
    <row r="9" spans="1:46" ht="14.25" customHeight="1" x14ac:dyDescent="0.25">
      <c r="A9" s="1471"/>
      <c r="B9" s="96" t="s">
        <v>79</v>
      </c>
      <c r="C9" s="97" t="s">
        <v>14</v>
      </c>
      <c r="D9" s="107">
        <v>0.5</v>
      </c>
      <c r="E9" s="108">
        <f t="shared" si="7"/>
        <v>14.467236467236471</v>
      </c>
      <c r="F9" s="276">
        <v>0.75</v>
      </c>
      <c r="G9" s="101">
        <f t="shared" si="0"/>
        <v>7.2336182336182357</v>
      </c>
      <c r="H9" s="187">
        <f t="shared" si="1"/>
        <v>5.4252136752136764</v>
      </c>
      <c r="I9" s="65">
        <f>VLOOKUP(B9,All_Ingredients!$A$1:$F$156,6,FALSE())</f>
        <v>1</v>
      </c>
      <c r="J9" s="101">
        <f>VLOOKUP(B9,All_Ingredients!$A$1:$J$156,10,FALSE())</f>
        <v>7</v>
      </c>
      <c r="K9" s="104">
        <f t="shared" si="8"/>
        <v>5.4252136752136765E-3</v>
      </c>
      <c r="L9" s="104">
        <f t="shared" si="9"/>
        <v>3.7976495726495738E-2</v>
      </c>
      <c r="AI9" s="63" t="s">
        <v>204</v>
      </c>
      <c r="AJ9" s="299" t="s">
        <v>208</v>
      </c>
      <c r="AK9" s="106" t="s">
        <v>160</v>
      </c>
      <c r="AL9" s="98">
        <v>150</v>
      </c>
      <c r="AM9" s="201">
        <f t="shared" si="4"/>
        <v>3.3102998696219021</v>
      </c>
      <c r="AN9" s="109">
        <v>1</v>
      </c>
      <c r="AO9" s="101">
        <f t="shared" si="5"/>
        <v>496.54498044328534</v>
      </c>
      <c r="AP9" s="102">
        <f t="shared" si="6"/>
        <v>496.54498044328534</v>
      </c>
      <c r="AQ9" s="1018">
        <f>VLOOKUP(AJ9,Marination_Ordering!$A:$J,6,FALSE)</f>
        <v>1</v>
      </c>
      <c r="AR9" s="1018">
        <f>VLOOKUP(AJ9,Marination_Ordering!$A:$J,10,FALSE)</f>
        <v>2.1621621621621623</v>
      </c>
      <c r="AS9" s="156">
        <f t="shared" ref="AS9:AS12" si="12">AP9/AQ9</f>
        <v>496.54498044328534</v>
      </c>
      <c r="AT9" s="1018">
        <f t="shared" ref="AT9:AT12" si="13">AR9*(AS9/1000)</f>
        <v>1.0736107685260223</v>
      </c>
    </row>
    <row r="10" spans="1:46" ht="14.25" customHeight="1" x14ac:dyDescent="0.25">
      <c r="A10" s="1471"/>
      <c r="B10" s="96" t="s">
        <v>84</v>
      </c>
      <c r="C10" s="97" t="s">
        <v>14</v>
      </c>
      <c r="D10" s="107">
        <v>0.5</v>
      </c>
      <c r="E10" s="108">
        <f t="shared" si="7"/>
        <v>14.467236467236471</v>
      </c>
      <c r="F10" s="276">
        <v>0.9</v>
      </c>
      <c r="G10" s="101">
        <f t="shared" si="0"/>
        <v>7.2336182336182357</v>
      </c>
      <c r="H10" s="187">
        <f t="shared" si="1"/>
        <v>6.510256410256412</v>
      </c>
      <c r="I10" s="65">
        <f>VLOOKUP(B10,All_Ingredients!$A$1:$F$156,6,FALSE())</f>
        <v>1</v>
      </c>
      <c r="J10" s="101">
        <f>VLOOKUP(B10,All_Ingredients!$A$1:$J$156,10,FALSE())</f>
        <v>140.84507042253523</v>
      </c>
      <c r="K10" s="104">
        <f t="shared" si="8"/>
        <v>6.510256410256412E-3</v>
      </c>
      <c r="L10" s="104">
        <f t="shared" si="9"/>
        <v>0.91693752257132577</v>
      </c>
      <c r="AI10" s="63" t="s">
        <v>94</v>
      </c>
      <c r="AJ10" s="299" t="s">
        <v>93</v>
      </c>
      <c r="AK10" s="310" t="s">
        <v>14</v>
      </c>
      <c r="AL10" s="98">
        <v>2</v>
      </c>
      <c r="AM10" s="201">
        <f t="shared" si="4"/>
        <v>3.3102998696219021</v>
      </c>
      <c r="AN10" s="109">
        <v>1</v>
      </c>
      <c r="AO10" s="101">
        <f t="shared" si="5"/>
        <v>6.6205997392438043</v>
      </c>
      <c r="AP10" s="102">
        <f t="shared" si="6"/>
        <v>6.6205997392438043</v>
      </c>
      <c r="AQ10" s="1018">
        <f>VLOOKUP(AJ10,Marination_Ordering!$A:$J,6,FALSE)</f>
        <v>1</v>
      </c>
      <c r="AR10" s="1018">
        <f>VLOOKUP(AJ10,Marination_Ordering!$A:$J,10,FALSE)</f>
        <v>0.74</v>
      </c>
      <c r="AS10" s="156">
        <f t="shared" si="12"/>
        <v>6.6205997392438043</v>
      </c>
      <c r="AT10" s="1018">
        <f t="shared" si="13"/>
        <v>4.8992438070404156E-3</v>
      </c>
    </row>
    <row r="11" spans="1:46" ht="14.25" customHeight="1" x14ac:dyDescent="0.25">
      <c r="A11" s="1471"/>
      <c r="B11" s="96" t="s">
        <v>82</v>
      </c>
      <c r="C11" s="97" t="s">
        <v>14</v>
      </c>
      <c r="D11" s="107">
        <v>0.5</v>
      </c>
      <c r="E11" s="108">
        <f t="shared" si="7"/>
        <v>14.467236467236471</v>
      </c>
      <c r="F11" s="276">
        <v>0.9</v>
      </c>
      <c r="G11" s="101">
        <f t="shared" si="0"/>
        <v>7.2336182336182357</v>
      </c>
      <c r="H11" s="187">
        <f t="shared" si="1"/>
        <v>6.510256410256412</v>
      </c>
      <c r="I11" s="65">
        <f>VLOOKUP(B11,All_Ingredients!$A$1:$F$156,6,FALSE())</f>
        <v>1</v>
      </c>
      <c r="J11" s="101">
        <f>VLOOKUP(B11,All_Ingredients!$A$1:$J$156,10,FALSE())</f>
        <v>147.88732394366198</v>
      </c>
      <c r="K11" s="104">
        <f t="shared" si="8"/>
        <v>6.510256410256412E-3</v>
      </c>
      <c r="L11" s="104">
        <f t="shared" si="9"/>
        <v>0.96278439869989196</v>
      </c>
      <c r="AI11" s="63" t="s">
        <v>94</v>
      </c>
      <c r="AJ11" s="299" t="s">
        <v>99</v>
      </c>
      <c r="AK11" s="310" t="s">
        <v>14</v>
      </c>
      <c r="AL11" s="202">
        <v>5</v>
      </c>
      <c r="AM11" s="201">
        <f t="shared" si="4"/>
        <v>3.3102998696219021</v>
      </c>
      <c r="AN11" s="109">
        <v>1</v>
      </c>
      <c r="AO11" s="101">
        <f t="shared" si="5"/>
        <v>16.551499348109509</v>
      </c>
      <c r="AP11" s="102">
        <f t="shared" si="6"/>
        <v>16.551499348109509</v>
      </c>
      <c r="AQ11" s="1018">
        <f>VLOOKUP(AJ11,Marination_Ordering!$A:$J,6,FALSE)</f>
        <v>1</v>
      </c>
      <c r="AR11" s="1018">
        <f>VLOOKUP(AJ11,Marination_Ordering!$A:$J,10,FALSE)</f>
        <v>31</v>
      </c>
      <c r="AS11" s="156">
        <f t="shared" si="12"/>
        <v>16.551499348109509</v>
      </c>
      <c r="AT11" s="1018">
        <f t="shared" si="13"/>
        <v>0.51309647979139472</v>
      </c>
    </row>
    <row r="12" spans="1:46" ht="14.25" customHeight="1" x14ac:dyDescent="0.25">
      <c r="A12" s="1471"/>
      <c r="B12" s="96" t="s">
        <v>93</v>
      </c>
      <c r="C12" s="97" t="s">
        <v>14</v>
      </c>
      <c r="D12" s="107">
        <v>10</v>
      </c>
      <c r="E12" s="108">
        <f t="shared" si="7"/>
        <v>14.467236467236471</v>
      </c>
      <c r="F12" s="276">
        <v>0.75</v>
      </c>
      <c r="G12" s="101">
        <f t="shared" si="0"/>
        <v>144.67236467236472</v>
      </c>
      <c r="H12" s="187">
        <f t="shared" si="1"/>
        <v>108.50427350427354</v>
      </c>
      <c r="I12" s="65">
        <f>VLOOKUP(B12,All_Ingredients!$A$1:$F$156,6,FALSE())</f>
        <v>1</v>
      </c>
      <c r="J12" s="101">
        <f>VLOOKUP(B12,All_Ingredients!$A$1:$J$156,10,FALSE())</f>
        <v>0.74</v>
      </c>
      <c r="K12" s="104">
        <f t="shared" si="8"/>
        <v>0.10850427350427354</v>
      </c>
      <c r="L12" s="104">
        <f t="shared" si="9"/>
        <v>8.0293162393162421E-2</v>
      </c>
      <c r="AI12" s="63" t="s">
        <v>94</v>
      </c>
      <c r="AJ12" s="299" t="s">
        <v>214</v>
      </c>
      <c r="AK12" s="310" t="s">
        <v>14</v>
      </c>
      <c r="AL12" s="202">
        <v>5</v>
      </c>
      <c r="AM12" s="201">
        <f t="shared" si="4"/>
        <v>3.3102998696219021</v>
      </c>
      <c r="AN12" s="109">
        <v>1</v>
      </c>
      <c r="AO12" s="101">
        <f>AL12*AM12</f>
        <v>16.551499348109509</v>
      </c>
      <c r="AP12" s="102">
        <f>AO12*AN12</f>
        <v>16.551499348109509</v>
      </c>
      <c r="AQ12" s="1018">
        <f>VLOOKUP(AJ12,Marination_Ordering!$A:$J,6,FALSE)</f>
        <v>1</v>
      </c>
      <c r="AR12" s="1018">
        <f>VLOOKUP(AJ12,Marination_Ordering!$A:$J,10,FALSE)</f>
        <v>35</v>
      </c>
      <c r="AS12" s="156">
        <f t="shared" si="12"/>
        <v>16.551499348109509</v>
      </c>
      <c r="AT12" s="1018">
        <f t="shared" si="13"/>
        <v>0.57930247718383276</v>
      </c>
    </row>
    <row r="13" spans="1:46" ht="14.25" customHeight="1" x14ac:dyDescent="0.25">
      <c r="A13" s="1471"/>
      <c r="B13" s="96" t="s">
        <v>99</v>
      </c>
      <c r="C13" s="97" t="s">
        <v>14</v>
      </c>
      <c r="D13" s="107">
        <v>1</v>
      </c>
      <c r="E13" s="108">
        <f t="shared" si="7"/>
        <v>14.467236467236471</v>
      </c>
      <c r="F13" s="276">
        <v>0.75</v>
      </c>
      <c r="G13" s="101">
        <f t="shared" si="0"/>
        <v>14.467236467236471</v>
      </c>
      <c r="H13" s="187">
        <f t="shared" si="1"/>
        <v>10.850427350427353</v>
      </c>
      <c r="I13" s="65">
        <f>VLOOKUP(B13,All_Ingredients!$A$1:$F$156,6,FALSE())</f>
        <v>1</v>
      </c>
      <c r="J13" s="101">
        <f>VLOOKUP(B13,All_Ingredients!$A$1:$J$156,10,FALSE())</f>
        <v>31</v>
      </c>
      <c r="K13" s="104">
        <f t="shared" si="8"/>
        <v>1.0850427350427353E-2</v>
      </c>
      <c r="L13" s="104">
        <f t="shared" si="9"/>
        <v>0.33636324786324795</v>
      </c>
      <c r="AI13" s="63"/>
    </row>
    <row r="14" spans="1:46" ht="14.25" customHeight="1" x14ac:dyDescent="0.25">
      <c r="A14" s="1471"/>
      <c r="B14" s="96" t="s">
        <v>183</v>
      </c>
      <c r="C14" s="97" t="s">
        <v>14</v>
      </c>
      <c r="D14" s="107">
        <v>20</v>
      </c>
      <c r="E14" s="108">
        <f t="shared" si="7"/>
        <v>14.467236467236471</v>
      </c>
      <c r="F14" s="276">
        <v>0.75</v>
      </c>
      <c r="G14" s="101">
        <f t="shared" si="0"/>
        <v>289.34472934472944</v>
      </c>
      <c r="H14" s="187">
        <f t="shared" si="1"/>
        <v>217.00854700854708</v>
      </c>
      <c r="I14" s="65">
        <f>VLOOKUP(B14,All_Ingredients!$A$1:$F$156,6,FALSE())</f>
        <v>1</v>
      </c>
      <c r="J14" s="101">
        <f>VLOOKUP(B14,All_Ingredients!$A$1:$J$156,10,FALSE())</f>
        <v>17</v>
      </c>
      <c r="K14" s="104">
        <f t="shared" si="8"/>
        <v>0.21700854700854708</v>
      </c>
      <c r="L14" s="104">
        <f t="shared" si="9"/>
        <v>3.6891452991453004</v>
      </c>
      <c r="AI14" s="63"/>
    </row>
    <row r="15" spans="1:46" ht="14.25" customHeight="1" x14ac:dyDescent="0.25">
      <c r="A15" s="1471"/>
      <c r="B15" s="96" t="s">
        <v>152</v>
      </c>
      <c r="C15" s="97" t="s">
        <v>14</v>
      </c>
      <c r="D15" s="107">
        <v>30</v>
      </c>
      <c r="E15" s="108">
        <f t="shared" si="7"/>
        <v>14.467236467236471</v>
      </c>
      <c r="F15" s="276">
        <v>1</v>
      </c>
      <c r="G15" s="101">
        <f t="shared" si="0"/>
        <v>434.01709401709417</v>
      </c>
      <c r="H15" s="187">
        <f t="shared" si="1"/>
        <v>434.01709401709417</v>
      </c>
      <c r="I15" s="65">
        <f>VLOOKUP(B15,All_Ingredients!$A$1:$F$156,6,FALSE())</f>
        <v>1</v>
      </c>
      <c r="J15" s="101">
        <f>VLOOKUP(B15,All_Ingredients!$A$1:$J$156,10,FALSE())</f>
        <v>30</v>
      </c>
      <c r="K15" s="104">
        <f t="shared" si="8"/>
        <v>0.43401709401709415</v>
      </c>
      <c r="L15" s="104">
        <f t="shared" si="9"/>
        <v>13.020512820512824</v>
      </c>
      <c r="AI15" s="63"/>
    </row>
    <row r="16" spans="1:46" ht="14.25" customHeight="1" x14ac:dyDescent="0.25">
      <c r="A16" s="1471"/>
      <c r="B16" s="96" t="s">
        <v>185</v>
      </c>
      <c r="C16" s="97" t="s">
        <v>14</v>
      </c>
      <c r="D16" s="107">
        <v>10</v>
      </c>
      <c r="E16" s="108">
        <f t="shared" si="7"/>
        <v>14.467236467236471</v>
      </c>
      <c r="F16" s="276">
        <v>1</v>
      </c>
      <c r="G16" s="101">
        <f t="shared" si="0"/>
        <v>144.67236467236472</v>
      </c>
      <c r="H16" s="187">
        <f t="shared" si="1"/>
        <v>144.67236467236472</v>
      </c>
      <c r="I16" s="65">
        <f>VLOOKUP(B16,All_Ingredients!$A$1:$F$156,6,FALSE())</f>
        <v>1</v>
      </c>
      <c r="J16" s="101">
        <f>VLOOKUP(B16,All_Ingredients!$A$1:$J$156,10,FALSE())</f>
        <v>1.7</v>
      </c>
      <c r="K16" s="104">
        <f t="shared" si="8"/>
        <v>0.14467236467236472</v>
      </c>
      <c r="L16" s="104">
        <f t="shared" si="9"/>
        <v>0.24594301994302001</v>
      </c>
      <c r="AI16" s="63"/>
    </row>
    <row r="17" spans="1:32" ht="14.25" customHeight="1" x14ac:dyDescent="0.25">
      <c r="A17" s="1471"/>
      <c r="B17" s="96" t="s">
        <v>166</v>
      </c>
      <c r="C17" s="97" t="s">
        <v>160</v>
      </c>
      <c r="D17" s="107">
        <v>280</v>
      </c>
      <c r="E17" s="108">
        <f t="shared" si="7"/>
        <v>14.467236467236471</v>
      </c>
      <c r="F17" s="276">
        <v>1</v>
      </c>
      <c r="G17" s="101">
        <f t="shared" si="0"/>
        <v>4050.826210826212</v>
      </c>
      <c r="H17" s="187">
        <f t="shared" si="1"/>
        <v>4050.826210826212</v>
      </c>
      <c r="I17" s="65">
        <f>VLOOKUP(B17,All_Ingredients!$A$1:$F$156,6,FALSE())</f>
        <v>1</v>
      </c>
      <c r="J17" s="101">
        <f>VLOOKUP(B17,All_Ingredients!$A$1:$J$156,10,FALSE())</f>
        <v>12.666666666666666</v>
      </c>
      <c r="K17" s="104">
        <f t="shared" si="8"/>
        <v>4.0508262108262123</v>
      </c>
      <c r="L17" s="104">
        <f t="shared" si="9"/>
        <v>51.310465337132023</v>
      </c>
    </row>
    <row r="18" spans="1:32" ht="14.25" customHeight="1" x14ac:dyDescent="0.25">
      <c r="A18" s="1471"/>
      <c r="B18" s="96" t="s">
        <v>159</v>
      </c>
      <c r="C18" s="97" t="s">
        <v>160</v>
      </c>
      <c r="D18" s="107">
        <v>400</v>
      </c>
      <c r="E18" s="108">
        <f t="shared" si="7"/>
        <v>14.467236467236471</v>
      </c>
      <c r="F18" s="276">
        <v>1</v>
      </c>
      <c r="G18" s="101">
        <f t="shared" si="0"/>
        <v>5786.8945868945884</v>
      </c>
      <c r="H18" s="187">
        <f t="shared" si="1"/>
        <v>5786.8945868945884</v>
      </c>
      <c r="I18" s="65">
        <f>VLOOKUP(B18,All_Ingredients!$A$1:$F$156,6,FALSE())</f>
        <v>1</v>
      </c>
      <c r="J18" s="101">
        <f>VLOOKUP(B18,All_Ingredients!$A$1:$J$156,10,FALSE())</f>
        <v>4.2033333333333331</v>
      </c>
      <c r="K18" s="104">
        <f t="shared" si="8"/>
        <v>5.7868945868945882</v>
      </c>
      <c r="L18" s="104">
        <f t="shared" si="9"/>
        <v>24.32424691358025</v>
      </c>
    </row>
    <row r="19" spans="1:32" ht="14.25" customHeight="1" x14ac:dyDescent="0.25">
      <c r="A19" s="1471"/>
      <c r="B19" s="96" t="s">
        <v>214</v>
      </c>
      <c r="C19" s="97" t="s">
        <v>14</v>
      </c>
      <c r="D19" s="107">
        <v>1</v>
      </c>
      <c r="E19" s="108">
        <f t="shared" si="7"/>
        <v>14.467236467236471</v>
      </c>
      <c r="F19" s="276">
        <v>1</v>
      </c>
      <c r="G19" s="101">
        <f t="shared" si="0"/>
        <v>14.467236467236471</v>
      </c>
      <c r="H19" s="187">
        <f t="shared" si="1"/>
        <v>14.467236467236471</v>
      </c>
      <c r="I19" s="65">
        <f>VLOOKUP(B19,All_Ingredients!$A$1:$F$156,6,FALSE())</f>
        <v>1</v>
      </c>
      <c r="J19" s="101">
        <f>VLOOKUP(B19,All_Ingredients!$A$1:$J$156,10,FALSE())</f>
        <v>35</v>
      </c>
      <c r="K19" s="104">
        <f t="shared" si="8"/>
        <v>1.4467236467236471E-2</v>
      </c>
      <c r="L19" s="104">
        <f t="shared" si="9"/>
        <v>0.50635327635327654</v>
      </c>
    </row>
    <row r="20" spans="1:32" ht="15" customHeight="1" x14ac:dyDescent="0.25">
      <c r="A20" s="1471"/>
      <c r="B20" s="96" t="s">
        <v>726</v>
      </c>
      <c r="C20" s="97" t="s">
        <v>14</v>
      </c>
      <c r="D20" s="107">
        <v>50</v>
      </c>
      <c r="E20" s="108">
        <f t="shared" si="7"/>
        <v>14.467236467236471</v>
      </c>
      <c r="F20" s="276">
        <v>1</v>
      </c>
      <c r="G20" s="101">
        <f t="shared" si="0"/>
        <v>723.36182336182355</v>
      </c>
      <c r="H20" s="187">
        <f t="shared" si="1"/>
        <v>723.36182336182355</v>
      </c>
      <c r="I20" s="65">
        <f>VLOOKUP(B20,All_Ingredients!$A$1:$F$156,6,FALSE())</f>
        <v>1</v>
      </c>
      <c r="J20" s="101">
        <f>VLOOKUP(B20,All_Ingredients!$A$1:$J$156,10,FALSE())</f>
        <v>67.91483113069016</v>
      </c>
      <c r="K20" s="104">
        <f t="shared" si="8"/>
        <v>0.72336182336182353</v>
      </c>
      <c r="L20" s="104">
        <f t="shared" si="9"/>
        <v>49.126996080006371</v>
      </c>
    </row>
    <row r="21" spans="1:32" ht="14.25" customHeight="1" x14ac:dyDescent="0.25">
      <c r="A21" s="1471"/>
      <c r="B21" s="96" t="s">
        <v>139</v>
      </c>
      <c r="C21" s="97" t="s">
        <v>14</v>
      </c>
      <c r="D21" s="107">
        <v>5</v>
      </c>
      <c r="E21" s="108">
        <f t="shared" si="7"/>
        <v>14.467236467236471</v>
      </c>
      <c r="F21" s="528">
        <v>1</v>
      </c>
      <c r="G21" s="101">
        <f t="shared" si="0"/>
        <v>72.336182336182361</v>
      </c>
      <c r="H21" s="187">
        <f t="shared" si="1"/>
        <v>72.336182336182361</v>
      </c>
      <c r="I21" s="65">
        <f>VLOOKUP(B21,All_Ingredients!$A$1:$F$156,6,FALSE())</f>
        <v>1</v>
      </c>
      <c r="J21" s="101">
        <f>VLOOKUP(B21,All_Ingredients!$A$1:$J$156,10,FALSE())</f>
        <v>15.277777777777779</v>
      </c>
      <c r="K21" s="104">
        <f t="shared" si="8"/>
        <v>7.2336182336182359E-2</v>
      </c>
      <c r="L21" s="104">
        <f t="shared" si="9"/>
        <v>1.1051361190250084</v>
      </c>
    </row>
    <row r="22" spans="1:32" ht="14.25" customHeight="1" x14ac:dyDescent="0.25">
      <c r="A22" s="1471"/>
      <c r="B22" s="96" t="s">
        <v>198</v>
      </c>
      <c r="C22" s="906" t="s">
        <v>160</v>
      </c>
      <c r="D22" s="107">
        <v>50</v>
      </c>
      <c r="E22" s="530">
        <f t="shared" si="7"/>
        <v>14.467236467236471</v>
      </c>
      <c r="F22" s="531">
        <v>1</v>
      </c>
      <c r="G22" s="422">
        <f t="shared" si="0"/>
        <v>723.36182336182355</v>
      </c>
      <c r="H22" s="532">
        <f t="shared" si="1"/>
        <v>723.36182336182355</v>
      </c>
      <c r="I22" s="65">
        <f>VLOOKUP(B22,All_Ingredients!$A$1:$F$156,6,FALSE())</f>
        <v>1</v>
      </c>
      <c r="J22" s="101">
        <f>VLOOKUP(B22,All_Ingredients!$A$1:$J$156,10,FALSE())</f>
        <v>3.25</v>
      </c>
      <c r="K22" s="104">
        <f t="shared" si="8"/>
        <v>0.72336182336182353</v>
      </c>
      <c r="L22" s="104">
        <f t="shared" si="9"/>
        <v>2.3509259259259263</v>
      </c>
      <c r="P22"/>
    </row>
    <row r="23" spans="1:32" ht="14.25" customHeight="1" x14ac:dyDescent="0.25">
      <c r="A23" s="1476"/>
      <c r="B23" s="393"/>
      <c r="C23" s="533"/>
      <c r="D23" s="334"/>
      <c r="E23" s="534"/>
      <c r="F23" s="535"/>
      <c r="G23" s="438"/>
      <c r="H23" s="536"/>
      <c r="I23" s="392"/>
      <c r="J23" s="455"/>
      <c r="K23" s="392"/>
      <c r="L23" s="438"/>
    </row>
    <row r="24" spans="1:32" ht="14.25" customHeight="1" x14ac:dyDescent="0.25">
      <c r="A24" s="1472"/>
      <c r="B24" s="84"/>
      <c r="C24" s="228"/>
      <c r="D24" s="232"/>
      <c r="E24" s="116"/>
      <c r="F24" s="498"/>
      <c r="G24" s="118"/>
      <c r="H24" s="499"/>
      <c r="I24" s="76"/>
      <c r="J24" s="120"/>
      <c r="K24" s="76"/>
      <c r="L24" s="118"/>
      <c r="Z24" s="1073"/>
    </row>
    <row r="25" spans="1:32" ht="14.25" customHeight="1" x14ac:dyDescent="0.25">
      <c r="A25" s="1472"/>
      <c r="L25" s="274"/>
      <c r="R25" s="1640" t="s">
        <v>461</v>
      </c>
      <c r="S25" s="1633"/>
      <c r="T25" s="1633"/>
      <c r="U25" s="1633"/>
      <c r="V25" s="1052"/>
      <c r="W25" s="1052"/>
      <c r="Z25" s="122" t="s">
        <v>252</v>
      </c>
      <c r="AA25" s="123">
        <v>1</v>
      </c>
      <c r="AB25" s="122" t="s">
        <v>249</v>
      </c>
      <c r="AC25" s="124">
        <f>(AA25*(4/3))*AF30+(AA30*(AB28/R1))</f>
        <v>3.3459420164339879E-2</v>
      </c>
    </row>
    <row r="26" spans="1:32" ht="14.25" customHeight="1" x14ac:dyDescent="0.25">
      <c r="A26" s="1472"/>
      <c r="L26" s="274"/>
      <c r="R26" s="1654" t="s">
        <v>253</v>
      </c>
      <c r="S26" s="1633"/>
      <c r="T26" s="1633"/>
      <c r="U26" s="1633"/>
      <c r="V26" s="1052"/>
      <c r="W26" s="1052"/>
    </row>
    <row r="27" spans="1:32" ht="14.25" customHeight="1" thickBot="1" x14ac:dyDescent="0.3">
      <c r="A27" s="1472"/>
      <c r="B27" s="790"/>
      <c r="C27" s="1720"/>
      <c r="D27" s="1720"/>
      <c r="E27" s="1720"/>
      <c r="F27" s="1720"/>
      <c r="G27" s="1720"/>
      <c r="H27" s="791"/>
      <c r="L27" s="274"/>
      <c r="R27" s="126" t="s">
        <v>254</v>
      </c>
      <c r="S27" s="127" t="s">
        <v>255</v>
      </c>
      <c r="T27" s="127" t="s">
        <v>256</v>
      </c>
      <c r="U27" s="127" t="s">
        <v>257</v>
      </c>
      <c r="V27" s="127" t="s">
        <v>772</v>
      </c>
      <c r="W27" s="127" t="s">
        <v>779</v>
      </c>
      <c r="Z27" s="122" t="s">
        <v>258</v>
      </c>
      <c r="AA27" s="1031" t="s">
        <v>312</v>
      </c>
      <c r="AB27" s="128" t="s">
        <v>259</v>
      </c>
      <c r="AC27" s="128" t="s">
        <v>260</v>
      </c>
      <c r="AD27" s="128" t="s">
        <v>261</v>
      </c>
      <c r="AE27" s="1032" t="s">
        <v>779</v>
      </c>
      <c r="AF27" s="128" t="s">
        <v>262</v>
      </c>
    </row>
    <row r="28" spans="1:32" ht="15" customHeight="1" thickBot="1" x14ac:dyDescent="0.3">
      <c r="A28" s="1472"/>
      <c r="B28" s="792"/>
      <c r="C28" s="793"/>
      <c r="D28" s="794"/>
      <c r="E28" s="792"/>
      <c r="F28" s="792"/>
      <c r="G28" s="794"/>
      <c r="H28" s="795"/>
      <c r="L28" s="274"/>
      <c r="R28" s="129" t="s">
        <v>263</v>
      </c>
      <c r="S28" s="690">
        <f>U28*S40</f>
        <v>19146.15384615384</v>
      </c>
      <c r="T28" s="690">
        <f>U28*U40</f>
        <v>5743.8461538461597</v>
      </c>
      <c r="U28" s="1190">
        <f>Z1</f>
        <v>24890</v>
      </c>
      <c r="V28" s="130">
        <f>SUM(AP5:AP12)</f>
        <v>1893.491525423728</v>
      </c>
      <c r="W28" s="130">
        <f>H37</f>
        <v>11.830000000000002</v>
      </c>
      <c r="Z28" s="132"/>
      <c r="AA28" s="1034"/>
      <c r="AB28" s="133">
        <f>AA25*$S$40</f>
        <v>0.76923076923076905</v>
      </c>
      <c r="AC28" s="133">
        <f>AA25*$U$40</f>
        <v>0.230769230769231</v>
      </c>
      <c r="AD28" s="134">
        <f>AA25*(1/3)</f>
        <v>0.33333333333333331</v>
      </c>
      <c r="AE28" s="1034"/>
      <c r="AF28" s="1146">
        <f>SUM(AB28:AD28)</f>
        <v>1.3333333333333333</v>
      </c>
    </row>
    <row r="29" spans="1:32" ht="21" customHeight="1" thickBot="1" x14ac:dyDescent="0.3">
      <c r="A29" s="1472"/>
      <c r="L29" s="274"/>
      <c r="R29" s="129" t="s">
        <v>264</v>
      </c>
      <c r="S29" s="136"/>
      <c r="T29" s="130">
        <f>U28*(1/3)</f>
        <v>8296.6666666666661</v>
      </c>
      <c r="U29" s="690">
        <f>T29</f>
        <v>8296.6666666666661</v>
      </c>
      <c r="V29" s="130"/>
      <c r="W29" s="130"/>
      <c r="Z29" s="132"/>
      <c r="AA29" s="1038"/>
      <c r="AB29" s="137">
        <f>AB28/$AF$28</f>
        <v>0.57692307692307687</v>
      </c>
      <c r="AC29" s="137">
        <f>AC28/$AF$28</f>
        <v>0.17307692307692327</v>
      </c>
      <c r="AD29" s="137">
        <f>AD28/$AF$28</f>
        <v>0.25</v>
      </c>
      <c r="AE29" s="1038"/>
      <c r="AF29" s="137">
        <f>AF28/$AF$28</f>
        <v>1</v>
      </c>
    </row>
    <row r="30" spans="1:32" ht="14.25" customHeight="1" thickBot="1" x14ac:dyDescent="0.3">
      <c r="A30" s="1472"/>
      <c r="L30" s="274"/>
      <c r="R30" s="129" t="s">
        <v>265</v>
      </c>
      <c r="S30" s="1162">
        <f>U30*S40</f>
        <v>384.61538461538453</v>
      </c>
      <c r="T30" s="690">
        <f>(U30*U40)+(U30*(1/3))</f>
        <v>282.05128205128216</v>
      </c>
      <c r="U30" s="1190">
        <f>AB1</f>
        <v>500</v>
      </c>
      <c r="V30" s="989"/>
      <c r="W30" s="989"/>
      <c r="Z30" s="122" t="s">
        <v>266</v>
      </c>
      <c r="AA30" s="1042">
        <f>V35/(S32/R1)</f>
        <v>3.5104020254737492E-4</v>
      </c>
      <c r="AB30" s="138">
        <f>S35/(S32)</f>
        <v>3.3701221915648408E-2</v>
      </c>
      <c r="AC30" s="139">
        <f>T35/T32</f>
        <v>1.248969146131082E-2</v>
      </c>
      <c r="AD30" s="139">
        <f>T35/T32</f>
        <v>1.248969146131082E-2</v>
      </c>
      <c r="AE30" s="1045">
        <f>W35/U32</f>
        <v>2.4192595510043331E-5</v>
      </c>
      <c r="AF30" s="1047">
        <f>SUMPRODUCT(AB30:AD30,AB29:AD29)+AE30</f>
        <v>2.4751305472784858E-2</v>
      </c>
    </row>
    <row r="31" spans="1:32" ht="14.25" customHeight="1" thickBot="1" x14ac:dyDescent="0.3">
      <c r="A31" s="1472"/>
      <c r="R31" s="129" t="s">
        <v>267</v>
      </c>
      <c r="S31" s="136"/>
      <c r="T31" s="130"/>
      <c r="U31" s="130"/>
      <c r="V31" s="130"/>
      <c r="W31" s="130"/>
    </row>
    <row r="32" spans="1:32" ht="14.25" customHeight="1" thickBot="1" x14ac:dyDescent="0.3">
      <c r="A32" s="1472"/>
      <c r="R32" s="141" t="s">
        <v>257</v>
      </c>
      <c r="S32" s="130">
        <f>SUM(S28:S30)</f>
        <v>19530.769230769223</v>
      </c>
      <c r="T32" s="130">
        <f>SUM(T28:T30)</f>
        <v>14322.564102564107</v>
      </c>
      <c r="U32" s="130">
        <f>SUM(S32:T32)</f>
        <v>33853.333333333328</v>
      </c>
      <c r="V32" s="130"/>
      <c r="W32" s="130">
        <f>SUM(W28:W30)</f>
        <v>11.830000000000002</v>
      </c>
    </row>
    <row r="33" spans="1:23" ht="14.25" customHeight="1" thickBot="1" x14ac:dyDescent="0.3">
      <c r="A33" s="1472"/>
      <c r="R33" s="142" t="s">
        <v>268</v>
      </c>
      <c r="S33" s="136"/>
      <c r="T33" s="136"/>
      <c r="U33" s="136"/>
      <c r="V33" s="136"/>
      <c r="W33" s="136"/>
    </row>
    <row r="34" spans="1:23" ht="14.25" customHeight="1" thickBot="1" x14ac:dyDescent="0.3">
      <c r="A34" s="1472"/>
      <c r="R34" s="143" t="s">
        <v>269</v>
      </c>
      <c r="S34" s="136"/>
      <c r="T34" s="130"/>
      <c r="U34" s="136"/>
      <c r="V34" s="136"/>
      <c r="W34" s="136"/>
    </row>
    <row r="35" spans="1:23" ht="14.25" customHeight="1" thickBot="1" x14ac:dyDescent="0.3">
      <c r="A35" s="1472"/>
      <c r="B35" s="1641" t="s">
        <v>669</v>
      </c>
      <c r="C35" s="1641"/>
      <c r="D35" s="1641"/>
      <c r="E35" s="1641"/>
      <c r="F35" s="1641"/>
      <c r="G35" s="803"/>
      <c r="H35" s="803"/>
      <c r="I35" s="803"/>
      <c r="J35" s="803"/>
      <c r="K35" s="803"/>
      <c r="L35" s="803"/>
      <c r="R35" s="144" t="s">
        <v>249</v>
      </c>
      <c r="S35" s="145">
        <f>$L$5</f>
        <v>658.21078802947136</v>
      </c>
      <c r="T35" s="145">
        <f>SUM(L6:L22)</f>
        <v>178.88440657587179</v>
      </c>
      <c r="U35" s="1076">
        <f>S35+T35+V35+W35</f>
        <v>849.53467797258941</v>
      </c>
      <c r="V35" s="990">
        <f>SUM(AT6:AT12)</f>
        <v>11.620483367246214</v>
      </c>
      <c r="W35" s="990">
        <f>L37</f>
        <v>0.81900000000000017</v>
      </c>
    </row>
    <row r="36" spans="1:23" ht="47.25" x14ac:dyDescent="0.25">
      <c r="A36" s="1472"/>
      <c r="B36" s="776" t="s">
        <v>241</v>
      </c>
      <c r="C36" s="776" t="s">
        <v>317</v>
      </c>
      <c r="D36" s="778" t="s">
        <v>622</v>
      </c>
      <c r="E36" s="775" t="s">
        <v>623</v>
      </c>
      <c r="F36" s="778" t="s">
        <v>624</v>
      </c>
      <c r="G36" s="797"/>
      <c r="H36" s="778" t="s">
        <v>624</v>
      </c>
      <c r="I36" s="778" t="s">
        <v>246</v>
      </c>
      <c r="J36" s="778" t="s">
        <v>247</v>
      </c>
      <c r="K36" s="778" t="s">
        <v>248</v>
      </c>
      <c r="L36" s="778" t="s">
        <v>249</v>
      </c>
    </row>
    <row r="37" spans="1:23" x14ac:dyDescent="0.25">
      <c r="A37" s="1472"/>
      <c r="B37" s="772" t="s">
        <v>686</v>
      </c>
      <c r="C37" s="773" t="s">
        <v>14</v>
      </c>
      <c r="D37" s="774">
        <v>7.0000000000000007E-2</v>
      </c>
      <c r="E37" s="772">
        <f>$AD$1</f>
        <v>169</v>
      </c>
      <c r="F37" s="772">
        <f>D37*E37</f>
        <v>11.830000000000002</v>
      </c>
      <c r="G37" s="796"/>
      <c r="H37" s="772">
        <f>F37</f>
        <v>11.830000000000002</v>
      </c>
      <c r="I37" s="772">
        <f>VLOOKUP(B37,All_Ingredients!$A$1:$F$156,6,FALSE())</f>
        <v>0.65</v>
      </c>
      <c r="J37" s="772">
        <f>VLOOKUP(B37,All_Ingredients!$A$1:$J$156,10,FALSE())</f>
        <v>45</v>
      </c>
      <c r="K37" s="772">
        <f>(H37/I37)/1000</f>
        <v>1.8200000000000004E-2</v>
      </c>
      <c r="L37" s="772">
        <f>K37*J37</f>
        <v>0.81900000000000017</v>
      </c>
    </row>
    <row r="38" spans="1:23" x14ac:dyDescent="0.25">
      <c r="A38" s="1472"/>
    </row>
    <row r="39" spans="1:23" x14ac:dyDescent="0.25">
      <c r="A39" s="1472"/>
    </row>
    <row r="40" spans="1:23" ht="18.75" customHeight="1" x14ac:dyDescent="0.25">
      <c r="A40" s="1472"/>
      <c r="R40" s="146" t="s">
        <v>270</v>
      </c>
      <c r="S40" s="147">
        <v>0.76923076923076905</v>
      </c>
      <c r="T40" s="146" t="s">
        <v>271</v>
      </c>
      <c r="U40" s="148">
        <v>0.230769230769231</v>
      </c>
      <c r="V40" s="149">
        <f>S40+U40</f>
        <v>1</v>
      </c>
    </row>
    <row r="41" spans="1:23" ht="14.25" customHeight="1" x14ac:dyDescent="0.25">
      <c r="A41" s="1472"/>
      <c r="U41" s="150"/>
    </row>
    <row r="42" spans="1:23" x14ac:dyDescent="0.25">
      <c r="A42" s="1472"/>
    </row>
    <row r="43" spans="1:23" ht="14.25" customHeight="1" thickBot="1" x14ac:dyDescent="0.3">
      <c r="A43" s="1472"/>
      <c r="Q43" s="151" t="s">
        <v>272</v>
      </c>
      <c r="R43" s="151" t="s">
        <v>273</v>
      </c>
      <c r="S43" s="151" t="s">
        <v>274</v>
      </c>
      <c r="T43" s="151" t="s">
        <v>275</v>
      </c>
      <c r="U43" s="151" t="s">
        <v>276</v>
      </c>
      <c r="V43" s="151" t="s">
        <v>277</v>
      </c>
      <c r="W43" s="151" t="s">
        <v>278</v>
      </c>
    </row>
    <row r="44" spans="1:23" ht="14.25" customHeight="1" thickBot="1" x14ac:dyDescent="0.3">
      <c r="A44" s="1472"/>
      <c r="Q44" s="1182">
        <v>17728</v>
      </c>
      <c r="R44" s="154">
        <f>D51</f>
        <v>10000</v>
      </c>
      <c r="S44" s="1184">
        <v>0.40909090909090912</v>
      </c>
      <c r="T44" s="1184">
        <v>0.59090909090909094</v>
      </c>
      <c r="U44" s="220">
        <f>R44*S44</f>
        <v>4090.909090909091</v>
      </c>
      <c r="V44" s="157">
        <f>R44*T44</f>
        <v>5909.090909090909</v>
      </c>
      <c r="W44" s="157">
        <f>Q44-U44</f>
        <v>13637.090909090908</v>
      </c>
    </row>
    <row r="45" spans="1:23" x14ac:dyDescent="0.25">
      <c r="A45" s="1472"/>
    </row>
    <row r="46" spans="1:23" x14ac:dyDescent="0.25">
      <c r="A46" s="1472"/>
    </row>
    <row r="47" spans="1:23" x14ac:dyDescent="0.25">
      <c r="A47" s="1472"/>
    </row>
    <row r="48" spans="1:23" x14ac:dyDescent="0.25">
      <c r="A48" s="1472"/>
    </row>
    <row r="49" spans="1:10" x14ac:dyDescent="0.25">
      <c r="A49" s="1472"/>
    </row>
    <row r="50" spans="1:10" x14ac:dyDescent="0.25">
      <c r="A50" s="1472"/>
      <c r="B50" s="326"/>
      <c r="C50" s="159" t="s">
        <v>233</v>
      </c>
      <c r="D50" s="159" t="s">
        <v>279</v>
      </c>
      <c r="E50" s="84"/>
      <c r="F50" s="84"/>
      <c r="G50" s="126" t="s">
        <v>280</v>
      </c>
      <c r="H50" s="126" t="s">
        <v>233</v>
      </c>
      <c r="I50" s="159" t="s">
        <v>281</v>
      </c>
      <c r="J50" s="159" t="s">
        <v>282</v>
      </c>
    </row>
    <row r="51" spans="1:10" ht="14.25" customHeight="1" x14ac:dyDescent="0.25">
      <c r="A51" s="1472"/>
      <c r="B51" s="161" t="s">
        <v>283</v>
      </c>
      <c r="C51" s="162">
        <f>10/$K$1</f>
        <v>10.1010101010101</v>
      </c>
      <c r="D51" s="163">
        <f>$C$1*10</f>
        <v>10000</v>
      </c>
      <c r="E51" s="164"/>
      <c r="F51" s="84"/>
      <c r="G51" s="161" t="s">
        <v>283</v>
      </c>
      <c r="H51" s="254">
        <f>I51/$D$5</f>
        <v>10</v>
      </c>
      <c r="I51" s="162">
        <f>J51/$R$1</f>
        <v>23113.713405238828</v>
      </c>
      <c r="J51" s="162">
        <f>$W$44</f>
        <v>13637.090909090908</v>
      </c>
    </row>
    <row r="52" spans="1:10" ht="14.25" customHeight="1" x14ac:dyDescent="0.25">
      <c r="A52" s="1472"/>
      <c r="B52" s="209" t="s">
        <v>262</v>
      </c>
      <c r="C52" s="210">
        <f>$I$1</f>
        <v>14.467236467236471</v>
      </c>
      <c r="D52" s="211">
        <f>$E$1</f>
        <v>14322.564102564107</v>
      </c>
      <c r="E52" s="84"/>
      <c r="F52" s="84"/>
      <c r="G52" s="129" t="s">
        <v>262</v>
      </c>
      <c r="H52" s="190">
        <f>I52/$D$5</f>
        <v>14.321800273216194</v>
      </c>
      <c r="I52" s="157">
        <f>J52/$R$1</f>
        <v>33102.998696219023</v>
      </c>
      <c r="J52" s="165">
        <f>$S$32</f>
        <v>19530.769230769223</v>
      </c>
    </row>
    <row r="53" spans="1:10" ht="14.25" customHeight="1" x14ac:dyDescent="0.25">
      <c r="A53" s="1472"/>
      <c r="B53" s="209" t="s">
        <v>284</v>
      </c>
      <c r="C53" s="212">
        <f>MIN(C52, C51)</f>
        <v>10.1010101010101</v>
      </c>
      <c r="D53" s="211">
        <f>(C53*$K$1)*$C$1</f>
        <v>10000</v>
      </c>
      <c r="E53" s="84"/>
      <c r="F53" s="84"/>
      <c r="G53" s="129" t="s">
        <v>284</v>
      </c>
      <c r="H53" s="168">
        <f>MIN(H52,H51)</f>
        <v>10</v>
      </c>
      <c r="I53" s="157">
        <f>J53/$R$1</f>
        <v>23113.713405238828</v>
      </c>
      <c r="J53" s="157">
        <f>MIN(J52,J51)</f>
        <v>13637.090909090908</v>
      </c>
    </row>
    <row r="54" spans="1:10" ht="14.25" customHeight="1" x14ac:dyDescent="0.25">
      <c r="A54" s="1472"/>
      <c r="B54" s="209" t="s">
        <v>285</v>
      </c>
      <c r="C54" s="212">
        <f>MIN(MAX(C52-C53,0),C51)</f>
        <v>4.3662263662263712</v>
      </c>
      <c r="D54" s="211">
        <f>(C54*$K$1)*$C$1</f>
        <v>4322.5641025641071</v>
      </c>
      <c r="E54" s="84"/>
      <c r="F54" s="84"/>
      <c r="G54" s="129" t="s">
        <v>285</v>
      </c>
      <c r="H54" s="168">
        <f>MIN(MAX(H52-H53),H51)</f>
        <v>4.3218002732161942</v>
      </c>
      <c r="I54" s="157">
        <f>J54/$R$1</f>
        <v>9989.285290980195</v>
      </c>
      <c r="J54" s="157">
        <f>MIN(MAX(J52-J53),J51)</f>
        <v>5893.6783216783151</v>
      </c>
    </row>
    <row r="55" spans="1:10" ht="14.25" customHeight="1" x14ac:dyDescent="0.25">
      <c r="A55" s="1472"/>
      <c r="B55" s="209" t="s">
        <v>286</v>
      </c>
      <c r="C55" s="212">
        <f>MIN(MAX(C52-C53-C54,0),C51)</f>
        <v>0</v>
      </c>
      <c r="D55" s="211">
        <f>(C55*$K$1)*$C$1</f>
        <v>0</v>
      </c>
      <c r="E55" s="84"/>
      <c r="F55" s="84"/>
      <c r="G55" s="126" t="s">
        <v>286</v>
      </c>
      <c r="H55" s="168">
        <f>MIN(MAX(H52-H53-H54),H51)</f>
        <v>0</v>
      </c>
      <c r="I55" s="157">
        <f>J55/$R$1</f>
        <v>0</v>
      </c>
      <c r="J55" s="157">
        <f>MIN(MAX(J52-J53-J54),J51)</f>
        <v>0</v>
      </c>
    </row>
    <row r="56" spans="1:10" ht="14.25" customHeight="1" x14ac:dyDescent="0.25">
      <c r="A56" s="1472"/>
    </row>
    <row r="57" spans="1:10" x14ac:dyDescent="0.25">
      <c r="A57" s="1472"/>
    </row>
    <row r="58" spans="1:10" x14ac:dyDescent="0.25">
      <c r="A58" s="1472"/>
    </row>
    <row r="59" spans="1:10" x14ac:dyDescent="0.25">
      <c r="A59" s="1472"/>
    </row>
    <row r="60" spans="1:10" x14ac:dyDescent="0.25">
      <c r="A60" s="1472"/>
    </row>
    <row r="61" spans="1:10" x14ac:dyDescent="0.25">
      <c r="A61" s="1472"/>
    </row>
    <row r="62" spans="1:10" ht="14.25" customHeight="1" x14ac:dyDescent="0.25">
      <c r="A62" s="1473"/>
      <c r="B62" s="1634" t="str">
        <f>"دجاج بكريمة الطماطم   1 / " &amp; COUNTIF($C$53:$C$55, "&gt;0")</f>
        <v>دجاج بكريمة الطماطم   1 / 2</v>
      </c>
      <c r="C62" s="1635"/>
      <c r="D62" s="1635"/>
      <c r="E62" s="1635"/>
      <c r="F62" s="1635"/>
      <c r="G62" s="1635"/>
      <c r="H62" s="1635"/>
    </row>
    <row r="63" spans="1:10" ht="18" customHeight="1" x14ac:dyDescent="0.25">
      <c r="A63" s="1473"/>
      <c r="B63" s="1634" t="str">
        <f>"Pink Chicken  1 / " &amp; COUNTIF($C$53:$C$55, "&gt;0")</f>
        <v>Pink Chicken  1 / 2</v>
      </c>
      <c r="C63" s="1635"/>
      <c r="D63" s="1635"/>
      <c r="E63" s="1635"/>
      <c r="F63" s="1635"/>
      <c r="G63" s="1635"/>
      <c r="H63" s="1635"/>
    </row>
    <row r="64" spans="1:10" ht="37.5" customHeight="1" x14ac:dyDescent="0.2">
      <c r="A64" s="1457"/>
      <c r="B64" s="221" t="s">
        <v>241</v>
      </c>
      <c r="C64" s="222" t="s">
        <v>242</v>
      </c>
      <c r="D64" s="223" t="s">
        <v>231</v>
      </c>
      <c r="E64" s="197" t="s">
        <v>234</v>
      </c>
      <c r="F64" s="197" t="s">
        <v>243</v>
      </c>
      <c r="G64" s="223" t="s">
        <v>244</v>
      </c>
      <c r="H64" s="197" t="s">
        <v>245</v>
      </c>
    </row>
    <row r="65" spans="1:8" ht="12.75" x14ac:dyDescent="0.2">
      <c r="A65" s="1459"/>
      <c r="B65" s="105" t="str">
        <f t="shared" ref="B65:D82" si="14">B5</f>
        <v>Chicken - دجاج</v>
      </c>
      <c r="C65" s="105" t="str">
        <f t="shared" si="14"/>
        <v>gm</v>
      </c>
      <c r="D65" s="240">
        <f t="shared" si="14"/>
        <v>2311.3713405238827</v>
      </c>
      <c r="E65" s="201">
        <f>H53</f>
        <v>10</v>
      </c>
      <c r="F65" s="276">
        <f t="shared" ref="F65:F82" si="15">F5</f>
        <v>1</v>
      </c>
      <c r="G65" s="101">
        <f t="shared" ref="G65:G82" si="16">D65*E65</f>
        <v>23113.713405238828</v>
      </c>
      <c r="H65" s="187">
        <f t="shared" ref="H65:H70" si="17">G65*F65</f>
        <v>23113.713405238828</v>
      </c>
    </row>
    <row r="66" spans="1:8" ht="14.25" customHeight="1" x14ac:dyDescent="0.25">
      <c r="A66" s="1471"/>
      <c r="B66" s="105" t="str">
        <f t="shared" si="14"/>
        <v>Onion - بصل</v>
      </c>
      <c r="C66" s="105" t="str">
        <f t="shared" si="14"/>
        <v>gm</v>
      </c>
      <c r="D66" s="105">
        <f t="shared" si="14"/>
        <v>100</v>
      </c>
      <c r="E66" s="201">
        <f t="shared" ref="E66:E82" si="18">$C$53</f>
        <v>10.1010101010101</v>
      </c>
      <c r="F66" s="276">
        <f t="shared" si="15"/>
        <v>0.95</v>
      </c>
      <c r="G66" s="101">
        <f t="shared" si="16"/>
        <v>1010.10101010101</v>
      </c>
      <c r="H66" s="187">
        <f t="shared" si="17"/>
        <v>959.59595959595947</v>
      </c>
    </row>
    <row r="67" spans="1:8" ht="14.25" customHeight="1" x14ac:dyDescent="0.25">
      <c r="A67" s="1471"/>
      <c r="B67" s="105" t="str">
        <f t="shared" si="14"/>
        <v>Garlic - ثوم مقشر</v>
      </c>
      <c r="C67" s="105" t="str">
        <f t="shared" si="14"/>
        <v>gm</v>
      </c>
      <c r="D67" s="105">
        <f t="shared" si="14"/>
        <v>20</v>
      </c>
      <c r="E67" s="201">
        <f t="shared" si="18"/>
        <v>10.1010101010101</v>
      </c>
      <c r="F67" s="276">
        <f t="shared" si="15"/>
        <v>1</v>
      </c>
      <c r="G67" s="101">
        <f t="shared" si="16"/>
        <v>202.02020202020202</v>
      </c>
      <c r="H67" s="187">
        <f t="shared" si="17"/>
        <v>202.02020202020202</v>
      </c>
    </row>
    <row r="68" spans="1:8" ht="14.25" customHeight="1" x14ac:dyDescent="0.25">
      <c r="A68" s="1471"/>
      <c r="B68" s="105" t="str">
        <f t="shared" si="14"/>
        <v>Tomato - طماطم</v>
      </c>
      <c r="C68" s="105" t="str">
        <f t="shared" si="14"/>
        <v>gm</v>
      </c>
      <c r="D68" s="105">
        <f t="shared" si="14"/>
        <v>500</v>
      </c>
      <c r="E68" s="201">
        <f t="shared" si="18"/>
        <v>10.1010101010101</v>
      </c>
      <c r="F68" s="276">
        <f t="shared" si="15"/>
        <v>0.9</v>
      </c>
      <c r="G68" s="101">
        <f t="shared" si="16"/>
        <v>5050.5050505050503</v>
      </c>
      <c r="H68" s="187">
        <f t="shared" si="17"/>
        <v>4545.454545454545</v>
      </c>
    </row>
    <row r="69" spans="1:8" ht="14.25" customHeight="1" x14ac:dyDescent="0.25">
      <c r="A69" s="1471"/>
      <c r="B69" s="105" t="str">
        <f t="shared" si="14"/>
        <v>Dry Thyme - زعتر مجفف</v>
      </c>
      <c r="C69" s="105" t="str">
        <f t="shared" si="14"/>
        <v>gm</v>
      </c>
      <c r="D69" s="105">
        <f t="shared" si="14"/>
        <v>0.5</v>
      </c>
      <c r="E69" s="201">
        <f t="shared" si="18"/>
        <v>10.1010101010101</v>
      </c>
      <c r="F69" s="276">
        <f t="shared" si="15"/>
        <v>0.75</v>
      </c>
      <c r="G69" s="101">
        <f t="shared" si="16"/>
        <v>5.0505050505050502</v>
      </c>
      <c r="H69" s="187">
        <f t="shared" si="17"/>
        <v>3.7878787878787876</v>
      </c>
    </row>
    <row r="70" spans="1:8" ht="14.25" customHeight="1" x14ac:dyDescent="0.25">
      <c r="A70" s="1471"/>
      <c r="B70" s="105" t="str">
        <f t="shared" si="14"/>
        <v>Dry Basil - ريحان مجفف</v>
      </c>
      <c r="C70" s="105" t="str">
        <f t="shared" si="14"/>
        <v>gm</v>
      </c>
      <c r="D70" s="105">
        <f t="shared" si="14"/>
        <v>0.5</v>
      </c>
      <c r="E70" s="201">
        <f t="shared" si="18"/>
        <v>10.1010101010101</v>
      </c>
      <c r="F70" s="276">
        <f t="shared" si="15"/>
        <v>0.9</v>
      </c>
      <c r="G70" s="101">
        <f t="shared" si="16"/>
        <v>5.0505050505050502</v>
      </c>
      <c r="H70" s="187">
        <f t="shared" si="17"/>
        <v>4.545454545454545</v>
      </c>
    </row>
    <row r="71" spans="1:8" ht="14.25" customHeight="1" x14ac:dyDescent="0.25">
      <c r="A71" s="1471"/>
      <c r="B71" s="105" t="str">
        <f t="shared" si="14"/>
        <v>Dry Oregano - أوريجانو مجفف</v>
      </c>
      <c r="C71" s="105" t="str">
        <f t="shared" si="14"/>
        <v>gm</v>
      </c>
      <c r="D71" s="105">
        <f t="shared" si="14"/>
        <v>0.5</v>
      </c>
      <c r="E71" s="201">
        <f t="shared" si="18"/>
        <v>10.1010101010101</v>
      </c>
      <c r="F71" s="276">
        <f t="shared" si="15"/>
        <v>0.9</v>
      </c>
      <c r="G71" s="101">
        <f t="shared" si="16"/>
        <v>5.0505050505050502</v>
      </c>
      <c r="H71" s="187">
        <v>20</v>
      </c>
    </row>
    <row r="72" spans="1:8" ht="14.25" customHeight="1" x14ac:dyDescent="0.25">
      <c r="A72" s="1471"/>
      <c r="B72" s="105" t="str">
        <f t="shared" si="14"/>
        <v>Salt - ملح</v>
      </c>
      <c r="C72" s="105" t="str">
        <f t="shared" si="14"/>
        <v>gm</v>
      </c>
      <c r="D72" s="105">
        <f t="shared" si="14"/>
        <v>10</v>
      </c>
      <c r="E72" s="201">
        <f t="shared" si="18"/>
        <v>10.1010101010101</v>
      </c>
      <c r="F72" s="276">
        <f t="shared" si="15"/>
        <v>0.75</v>
      </c>
      <c r="G72" s="101">
        <f t="shared" si="16"/>
        <v>101.01010101010101</v>
      </c>
      <c r="H72" s="187">
        <f t="shared" ref="H72:H82" si="19">G72*F72</f>
        <v>75.757575757575751</v>
      </c>
    </row>
    <row r="73" spans="1:8" ht="14.25" customHeight="1" x14ac:dyDescent="0.25">
      <c r="A73" s="1471"/>
      <c r="B73" s="105" t="str">
        <f t="shared" si="14"/>
        <v>Black Pepper Powder - فلفل أسود مطحون</v>
      </c>
      <c r="C73" s="105" t="str">
        <f t="shared" si="14"/>
        <v>gm</v>
      </c>
      <c r="D73" s="105">
        <f t="shared" si="14"/>
        <v>1</v>
      </c>
      <c r="E73" s="201">
        <f t="shared" si="18"/>
        <v>10.1010101010101</v>
      </c>
      <c r="F73" s="276">
        <f t="shared" si="15"/>
        <v>0.75</v>
      </c>
      <c r="G73" s="101">
        <f t="shared" si="16"/>
        <v>10.1010101010101</v>
      </c>
      <c r="H73" s="187">
        <f t="shared" si="19"/>
        <v>7.5757575757575752</v>
      </c>
    </row>
    <row r="74" spans="1:8" ht="14.25" customHeight="1" x14ac:dyDescent="0.25">
      <c r="A74" s="1471"/>
      <c r="B74" s="105" t="str">
        <f t="shared" si="14"/>
        <v>Honey - عسل</v>
      </c>
      <c r="C74" s="105" t="str">
        <f t="shared" si="14"/>
        <v>gm</v>
      </c>
      <c r="D74" s="105">
        <f t="shared" si="14"/>
        <v>20</v>
      </c>
      <c r="E74" s="201">
        <f t="shared" si="18"/>
        <v>10.1010101010101</v>
      </c>
      <c r="F74" s="276">
        <f t="shared" si="15"/>
        <v>0.75</v>
      </c>
      <c r="G74" s="101">
        <f t="shared" si="16"/>
        <v>202.02020202020202</v>
      </c>
      <c r="H74" s="187">
        <f t="shared" si="19"/>
        <v>151.5151515151515</v>
      </c>
    </row>
    <row r="75" spans="1:8" ht="14.25" customHeight="1" x14ac:dyDescent="0.25">
      <c r="A75" s="1471"/>
      <c r="B75" s="105" t="str">
        <f t="shared" si="14"/>
        <v>Butter - زبدة</v>
      </c>
      <c r="C75" s="105" t="str">
        <f t="shared" si="14"/>
        <v>gm</v>
      </c>
      <c r="D75" s="105">
        <f t="shared" si="14"/>
        <v>30</v>
      </c>
      <c r="E75" s="201">
        <f t="shared" si="18"/>
        <v>10.1010101010101</v>
      </c>
      <c r="F75" s="276">
        <f t="shared" si="15"/>
        <v>1</v>
      </c>
      <c r="G75" s="101">
        <f t="shared" si="16"/>
        <v>303.030303030303</v>
      </c>
      <c r="H75" s="187">
        <f t="shared" si="19"/>
        <v>303.030303030303</v>
      </c>
    </row>
    <row r="76" spans="1:8" ht="14.25" customHeight="1" x14ac:dyDescent="0.25">
      <c r="A76" s="1471"/>
      <c r="B76" s="105" t="str">
        <f t="shared" si="14"/>
        <v>Flour - دقيق</v>
      </c>
      <c r="C76" s="105" t="str">
        <f t="shared" si="14"/>
        <v>gm</v>
      </c>
      <c r="D76" s="105">
        <f t="shared" si="14"/>
        <v>10</v>
      </c>
      <c r="E76" s="201">
        <f t="shared" si="18"/>
        <v>10.1010101010101</v>
      </c>
      <c r="F76" s="276">
        <f t="shared" si="15"/>
        <v>1</v>
      </c>
      <c r="G76" s="101">
        <f t="shared" si="16"/>
        <v>101.01010101010101</v>
      </c>
      <c r="H76" s="187">
        <f t="shared" si="19"/>
        <v>101.01010101010101</v>
      </c>
    </row>
    <row r="77" spans="1:8" ht="14.25" customHeight="1" x14ac:dyDescent="0.25">
      <c r="A77" s="1471"/>
      <c r="B77" s="105" t="str">
        <f t="shared" si="14"/>
        <v>Cooking Cream - كريمة طبخ</v>
      </c>
      <c r="C77" s="105" t="str">
        <f t="shared" si="14"/>
        <v>ml</v>
      </c>
      <c r="D77" s="105">
        <f t="shared" si="14"/>
        <v>280</v>
      </c>
      <c r="E77" s="201">
        <f t="shared" si="18"/>
        <v>10.1010101010101</v>
      </c>
      <c r="F77" s="276">
        <f t="shared" si="15"/>
        <v>1</v>
      </c>
      <c r="G77" s="101">
        <f t="shared" si="16"/>
        <v>2828.2828282828282</v>
      </c>
      <c r="H77" s="187">
        <f t="shared" si="19"/>
        <v>2828.2828282828282</v>
      </c>
    </row>
    <row r="78" spans="1:8" ht="14.25" customHeight="1" x14ac:dyDescent="0.25">
      <c r="A78" s="1471"/>
      <c r="B78" s="105" t="str">
        <f t="shared" si="14"/>
        <v>Milk - حليب</v>
      </c>
      <c r="C78" s="105" t="str">
        <f t="shared" si="14"/>
        <v>ml</v>
      </c>
      <c r="D78" s="105">
        <f t="shared" si="14"/>
        <v>400</v>
      </c>
      <c r="E78" s="201">
        <f t="shared" si="18"/>
        <v>10.1010101010101</v>
      </c>
      <c r="F78" s="276">
        <f t="shared" si="15"/>
        <v>1</v>
      </c>
      <c r="G78" s="101">
        <f t="shared" si="16"/>
        <v>4040.4040404040402</v>
      </c>
      <c r="H78" s="187">
        <f t="shared" si="19"/>
        <v>4040.4040404040402</v>
      </c>
    </row>
    <row r="79" spans="1:8" ht="14.25" customHeight="1" x14ac:dyDescent="0.25">
      <c r="A79" s="1471"/>
      <c r="B79" s="105" t="str">
        <f t="shared" si="14"/>
        <v>Orange Color - لون برتقالي</v>
      </c>
      <c r="C79" s="105" t="str">
        <f t="shared" si="14"/>
        <v>gm</v>
      </c>
      <c r="D79" s="105">
        <f t="shared" si="14"/>
        <v>1</v>
      </c>
      <c r="E79" s="201">
        <f t="shared" si="18"/>
        <v>10.1010101010101</v>
      </c>
      <c r="F79" s="276">
        <f t="shared" si="15"/>
        <v>1</v>
      </c>
      <c r="G79" s="101">
        <f t="shared" si="16"/>
        <v>10.1010101010101</v>
      </c>
      <c r="H79" s="187">
        <f t="shared" si="19"/>
        <v>10.1010101010101</v>
      </c>
    </row>
    <row r="80" spans="1:8" ht="14.25" customHeight="1" x14ac:dyDescent="0.25">
      <c r="A80" s="1471"/>
      <c r="B80" s="105" t="str">
        <f t="shared" si="14"/>
        <v>Parmesan Cheese Powder - بديل البارميزان</v>
      </c>
      <c r="C80" s="105" t="str">
        <f t="shared" si="14"/>
        <v>gm</v>
      </c>
      <c r="D80" s="105">
        <f t="shared" si="14"/>
        <v>50</v>
      </c>
      <c r="E80" s="201">
        <f t="shared" si="18"/>
        <v>10.1010101010101</v>
      </c>
      <c r="F80" s="276">
        <f t="shared" si="15"/>
        <v>1</v>
      </c>
      <c r="G80" s="101">
        <f t="shared" si="16"/>
        <v>505.05050505050502</v>
      </c>
      <c r="H80" s="187">
        <f t="shared" si="19"/>
        <v>505.05050505050502</v>
      </c>
    </row>
    <row r="81" spans="1:8" ht="14.25" customHeight="1" x14ac:dyDescent="0.25">
      <c r="A81" s="1471"/>
      <c r="B81" s="105" t="str">
        <f t="shared" si="14"/>
        <v>Maggi Cubes - مكعبات ماجي</v>
      </c>
      <c r="C81" s="105" t="str">
        <f t="shared" si="14"/>
        <v>gm</v>
      </c>
      <c r="D81" s="105">
        <f t="shared" si="14"/>
        <v>5</v>
      </c>
      <c r="E81" s="201">
        <f t="shared" si="18"/>
        <v>10.1010101010101</v>
      </c>
      <c r="F81" s="276">
        <f t="shared" si="15"/>
        <v>1</v>
      </c>
      <c r="G81" s="101">
        <f t="shared" si="16"/>
        <v>50.505050505050505</v>
      </c>
      <c r="H81" s="187">
        <f t="shared" si="19"/>
        <v>50.505050505050505</v>
      </c>
    </row>
    <row r="82" spans="1:8" ht="14.25" customHeight="1" x14ac:dyDescent="0.25">
      <c r="A82" s="1471"/>
      <c r="B82" s="105" t="str">
        <f t="shared" si="14"/>
        <v>Tomato Ketchup - كاتشب طماطم</v>
      </c>
      <c r="C82" s="105" t="str">
        <f t="shared" si="14"/>
        <v>ml</v>
      </c>
      <c r="D82" s="105">
        <f t="shared" si="14"/>
        <v>50</v>
      </c>
      <c r="E82" s="201">
        <f t="shared" si="18"/>
        <v>10.1010101010101</v>
      </c>
      <c r="F82" s="276">
        <f t="shared" si="15"/>
        <v>1</v>
      </c>
      <c r="G82" s="101">
        <f t="shared" si="16"/>
        <v>505.05050505050502</v>
      </c>
      <c r="H82" s="187">
        <f t="shared" si="19"/>
        <v>505.05050505050502</v>
      </c>
    </row>
    <row r="83" spans="1:8" ht="21" customHeight="1" x14ac:dyDescent="0.25">
      <c r="A83" s="1458"/>
      <c r="B83" s="178" t="s">
        <v>287</v>
      </c>
      <c r="C83" s="180" t="s">
        <v>273</v>
      </c>
      <c r="E83" s="180" t="s">
        <v>288</v>
      </c>
      <c r="G83" s="804" t="s">
        <v>264</v>
      </c>
      <c r="H83" s="804" t="s">
        <v>673</v>
      </c>
    </row>
    <row r="84" spans="1:8" ht="20.25" customHeight="1" x14ac:dyDescent="0.3">
      <c r="A84" s="1458"/>
      <c r="B84" s="179">
        <f>$J$53</f>
        <v>13637.090909090908</v>
      </c>
      <c r="C84" s="179">
        <f>E84+G84</f>
        <v>10000</v>
      </c>
      <c r="D84" s="189"/>
      <c r="E84" s="181">
        <f>$D$53*$S$44</f>
        <v>4090.909090909091</v>
      </c>
      <c r="F84" s="84"/>
      <c r="G84" s="182">
        <f>$D$53*$T$44</f>
        <v>5909.090909090909</v>
      </c>
      <c r="H84" s="182">
        <f>B84+E84</f>
        <v>17728</v>
      </c>
    </row>
    <row r="85" spans="1:8" ht="14.25" customHeight="1" x14ac:dyDescent="0.25">
      <c r="A85" s="1472"/>
      <c r="B85" s="84"/>
      <c r="E85" s="84"/>
      <c r="F85" s="84"/>
    </row>
    <row r="86" spans="1:8" ht="14.25" customHeight="1" x14ac:dyDescent="0.25">
      <c r="A86" s="1473"/>
      <c r="B86" s="1634" t="str">
        <f>"دجاج بكريمة الطماطم   2 / " &amp; COUNTIF($C$53:$C$55, "&gt;0")</f>
        <v>دجاج بكريمة الطماطم   2 / 2</v>
      </c>
      <c r="C86" s="1635"/>
      <c r="D86" s="1635"/>
      <c r="E86" s="1635"/>
      <c r="F86" s="1635"/>
      <c r="G86" s="1635"/>
      <c r="H86" s="1635"/>
    </row>
    <row r="87" spans="1:8" ht="18" customHeight="1" x14ac:dyDescent="0.25">
      <c r="A87" s="1473"/>
      <c r="B87" s="1634" t="str">
        <f>"Pink Chicken  2 / " &amp; COUNTIF($C$53:$C$55, "&gt;0")</f>
        <v>Pink Chicken  2 / 2</v>
      </c>
      <c r="C87" s="1635"/>
      <c r="D87" s="1635"/>
      <c r="E87" s="1635"/>
      <c r="F87" s="1635"/>
      <c r="G87" s="1635"/>
      <c r="H87" s="1635"/>
    </row>
    <row r="88" spans="1:8" ht="39.75" customHeight="1" x14ac:dyDescent="0.2">
      <c r="A88" s="1457"/>
      <c r="B88" s="221" t="s">
        <v>241</v>
      </c>
      <c r="C88" s="222" t="s">
        <v>242</v>
      </c>
      <c r="D88" s="223" t="s">
        <v>231</v>
      </c>
      <c r="E88" s="197" t="s">
        <v>234</v>
      </c>
      <c r="F88" s="197" t="s">
        <v>243</v>
      </c>
      <c r="G88" s="223" t="s">
        <v>244</v>
      </c>
      <c r="H88" s="197" t="s">
        <v>245</v>
      </c>
    </row>
    <row r="89" spans="1:8" x14ac:dyDescent="0.25">
      <c r="A89" s="1471"/>
      <c r="B89" s="105" t="str">
        <f t="shared" ref="B89:D106" si="20">B5</f>
        <v>Chicken - دجاج</v>
      </c>
      <c r="C89" s="105" t="str">
        <f t="shared" si="20"/>
        <v>gm</v>
      </c>
      <c r="D89" s="240">
        <f t="shared" si="20"/>
        <v>2311.3713405238827</v>
      </c>
      <c r="E89" s="201">
        <f>H54</f>
        <v>4.3218002732161942</v>
      </c>
      <c r="F89" s="276">
        <f t="shared" ref="F89:F106" si="21">F5</f>
        <v>1</v>
      </c>
      <c r="G89" s="101">
        <f t="shared" ref="G89:G106" si="22">D89*E89</f>
        <v>9989.2852909801968</v>
      </c>
      <c r="H89" s="187">
        <f t="shared" ref="H89:H94" si="23">G89*F89</f>
        <v>9989.2852909801968</v>
      </c>
    </row>
    <row r="90" spans="1:8" ht="14.25" customHeight="1" x14ac:dyDescent="0.25">
      <c r="A90" s="1471"/>
      <c r="B90" s="105" t="str">
        <f t="shared" si="20"/>
        <v>Onion - بصل</v>
      </c>
      <c r="C90" s="105" t="str">
        <f t="shared" si="20"/>
        <v>gm</v>
      </c>
      <c r="D90" s="105">
        <f t="shared" si="20"/>
        <v>100</v>
      </c>
      <c r="E90" s="201">
        <f t="shared" ref="E90:E106" si="24">$C$54</f>
        <v>4.3662263662263712</v>
      </c>
      <c r="F90" s="276">
        <f t="shared" si="21"/>
        <v>0.95</v>
      </c>
      <c r="G90" s="101">
        <f t="shared" si="22"/>
        <v>436.62263662263712</v>
      </c>
      <c r="H90" s="187">
        <f t="shared" si="23"/>
        <v>414.79150479150525</v>
      </c>
    </row>
    <row r="91" spans="1:8" ht="14.25" customHeight="1" x14ac:dyDescent="0.25">
      <c r="A91" s="1471"/>
      <c r="B91" s="105" t="str">
        <f t="shared" si="20"/>
        <v>Garlic - ثوم مقشر</v>
      </c>
      <c r="C91" s="105" t="str">
        <f t="shared" si="20"/>
        <v>gm</v>
      </c>
      <c r="D91" s="105">
        <f t="shared" si="20"/>
        <v>20</v>
      </c>
      <c r="E91" s="201">
        <f t="shared" si="24"/>
        <v>4.3662263662263712</v>
      </c>
      <c r="F91" s="276">
        <f t="shared" si="21"/>
        <v>1</v>
      </c>
      <c r="G91" s="101">
        <f t="shared" si="22"/>
        <v>87.324527324527423</v>
      </c>
      <c r="H91" s="187">
        <f t="shared" si="23"/>
        <v>87.324527324527423</v>
      </c>
    </row>
    <row r="92" spans="1:8" ht="14.25" customHeight="1" x14ac:dyDescent="0.25">
      <c r="A92" s="1471"/>
      <c r="B92" s="105" t="str">
        <f t="shared" si="20"/>
        <v>Tomato - طماطم</v>
      </c>
      <c r="C92" s="105" t="str">
        <f t="shared" si="20"/>
        <v>gm</v>
      </c>
      <c r="D92" s="105">
        <f t="shared" si="20"/>
        <v>500</v>
      </c>
      <c r="E92" s="201">
        <f t="shared" si="24"/>
        <v>4.3662263662263712</v>
      </c>
      <c r="F92" s="276">
        <f t="shared" si="21"/>
        <v>0.9</v>
      </c>
      <c r="G92" s="101">
        <f t="shared" si="22"/>
        <v>2183.1131831131856</v>
      </c>
      <c r="H92" s="187">
        <f t="shared" si="23"/>
        <v>1964.8018648018672</v>
      </c>
    </row>
    <row r="93" spans="1:8" ht="14.25" customHeight="1" x14ac:dyDescent="0.25">
      <c r="A93" s="1471"/>
      <c r="B93" s="105" t="str">
        <f t="shared" si="20"/>
        <v>Dry Thyme - زعتر مجفف</v>
      </c>
      <c r="C93" s="105" t="str">
        <f t="shared" si="20"/>
        <v>gm</v>
      </c>
      <c r="D93" s="105">
        <f t="shared" si="20"/>
        <v>0.5</v>
      </c>
      <c r="E93" s="201">
        <f t="shared" si="24"/>
        <v>4.3662263662263712</v>
      </c>
      <c r="F93" s="276">
        <f t="shared" si="21"/>
        <v>0.75</v>
      </c>
      <c r="G93" s="101">
        <f t="shared" si="22"/>
        <v>2.1831131831131856</v>
      </c>
      <c r="H93" s="187">
        <f t="shared" si="23"/>
        <v>1.6373348873348892</v>
      </c>
    </row>
    <row r="94" spans="1:8" ht="14.25" customHeight="1" x14ac:dyDescent="0.25">
      <c r="A94" s="1471"/>
      <c r="B94" s="105" t="str">
        <f t="shared" si="20"/>
        <v>Dry Basil - ريحان مجفف</v>
      </c>
      <c r="C94" s="105" t="str">
        <f t="shared" si="20"/>
        <v>gm</v>
      </c>
      <c r="D94" s="105">
        <f t="shared" si="20"/>
        <v>0.5</v>
      </c>
      <c r="E94" s="201">
        <f t="shared" si="24"/>
        <v>4.3662263662263712</v>
      </c>
      <c r="F94" s="276">
        <f t="shared" si="21"/>
        <v>0.9</v>
      </c>
      <c r="G94" s="101">
        <f t="shared" si="22"/>
        <v>2.1831131831131856</v>
      </c>
      <c r="H94" s="187">
        <f t="shared" si="23"/>
        <v>1.964801864801867</v>
      </c>
    </row>
    <row r="95" spans="1:8" ht="14.25" customHeight="1" x14ac:dyDescent="0.25">
      <c r="A95" s="1471"/>
      <c r="B95" s="105" t="str">
        <f t="shared" si="20"/>
        <v>Dry Oregano - أوريجانو مجفف</v>
      </c>
      <c r="C95" s="105" t="str">
        <f t="shared" si="20"/>
        <v>gm</v>
      </c>
      <c r="D95" s="105">
        <f t="shared" si="20"/>
        <v>0.5</v>
      </c>
      <c r="E95" s="201">
        <f t="shared" si="24"/>
        <v>4.3662263662263712</v>
      </c>
      <c r="F95" s="276">
        <f t="shared" si="21"/>
        <v>0.9</v>
      </c>
      <c r="G95" s="101">
        <f t="shared" si="22"/>
        <v>2.1831131831131856</v>
      </c>
      <c r="H95" s="187">
        <v>20</v>
      </c>
    </row>
    <row r="96" spans="1:8" ht="14.25" customHeight="1" x14ac:dyDescent="0.25">
      <c r="A96" s="1471"/>
      <c r="B96" s="105" t="str">
        <f t="shared" si="20"/>
        <v>Salt - ملح</v>
      </c>
      <c r="C96" s="105" t="str">
        <f t="shared" si="20"/>
        <v>gm</v>
      </c>
      <c r="D96" s="105">
        <f t="shared" si="20"/>
        <v>10</v>
      </c>
      <c r="E96" s="201">
        <f t="shared" si="24"/>
        <v>4.3662263662263712</v>
      </c>
      <c r="F96" s="276">
        <f t="shared" si="21"/>
        <v>0.75</v>
      </c>
      <c r="G96" s="101">
        <f t="shared" si="22"/>
        <v>43.662263662263712</v>
      </c>
      <c r="H96" s="187">
        <f t="shared" ref="H96:H106" si="25">G96*F96</f>
        <v>32.746697746697784</v>
      </c>
    </row>
    <row r="97" spans="1:8" ht="14.25" customHeight="1" x14ac:dyDescent="0.25">
      <c r="A97" s="1471"/>
      <c r="B97" s="105" t="str">
        <f t="shared" si="20"/>
        <v>Black Pepper Powder - فلفل أسود مطحون</v>
      </c>
      <c r="C97" s="105" t="str">
        <f t="shared" si="20"/>
        <v>gm</v>
      </c>
      <c r="D97" s="105">
        <f t="shared" si="20"/>
        <v>1</v>
      </c>
      <c r="E97" s="201">
        <f t="shared" si="24"/>
        <v>4.3662263662263712</v>
      </c>
      <c r="F97" s="276">
        <f t="shared" si="21"/>
        <v>0.75</v>
      </c>
      <c r="G97" s="101">
        <f t="shared" si="22"/>
        <v>4.3662263662263712</v>
      </c>
      <c r="H97" s="187">
        <f t="shared" si="25"/>
        <v>3.2746697746697784</v>
      </c>
    </row>
    <row r="98" spans="1:8" ht="14.25" customHeight="1" x14ac:dyDescent="0.25">
      <c r="A98" s="1471"/>
      <c r="B98" s="105" t="str">
        <f t="shared" si="20"/>
        <v>Honey - عسل</v>
      </c>
      <c r="C98" s="105" t="str">
        <f t="shared" si="20"/>
        <v>gm</v>
      </c>
      <c r="D98" s="105">
        <f t="shared" si="20"/>
        <v>20</v>
      </c>
      <c r="E98" s="201">
        <f t="shared" si="24"/>
        <v>4.3662263662263712</v>
      </c>
      <c r="F98" s="276">
        <f t="shared" si="21"/>
        <v>0.75</v>
      </c>
      <c r="G98" s="101">
        <f t="shared" si="22"/>
        <v>87.324527324527423</v>
      </c>
      <c r="H98" s="187">
        <f t="shared" si="25"/>
        <v>65.493395493395568</v>
      </c>
    </row>
    <row r="99" spans="1:8" ht="14.25" customHeight="1" x14ac:dyDescent="0.25">
      <c r="A99" s="1471"/>
      <c r="B99" s="105" t="str">
        <f t="shared" si="20"/>
        <v>Butter - زبدة</v>
      </c>
      <c r="C99" s="105" t="str">
        <f t="shared" si="20"/>
        <v>gm</v>
      </c>
      <c r="D99" s="105">
        <f t="shared" si="20"/>
        <v>30</v>
      </c>
      <c r="E99" s="201">
        <f t="shared" si="24"/>
        <v>4.3662263662263712</v>
      </c>
      <c r="F99" s="276">
        <f t="shared" si="21"/>
        <v>1</v>
      </c>
      <c r="G99" s="101">
        <f t="shared" si="22"/>
        <v>130.98679098679114</v>
      </c>
      <c r="H99" s="187">
        <f t="shared" si="25"/>
        <v>130.98679098679114</v>
      </c>
    </row>
    <row r="100" spans="1:8" ht="14.25" customHeight="1" x14ac:dyDescent="0.25">
      <c r="A100" s="1471"/>
      <c r="B100" s="105" t="str">
        <f t="shared" si="20"/>
        <v>Flour - دقيق</v>
      </c>
      <c r="C100" s="105" t="str">
        <f t="shared" si="20"/>
        <v>gm</v>
      </c>
      <c r="D100" s="105">
        <f t="shared" si="20"/>
        <v>10</v>
      </c>
      <c r="E100" s="201">
        <f t="shared" si="24"/>
        <v>4.3662263662263712</v>
      </c>
      <c r="F100" s="276">
        <f t="shared" si="21"/>
        <v>1</v>
      </c>
      <c r="G100" s="101">
        <f t="shared" si="22"/>
        <v>43.662263662263712</v>
      </c>
      <c r="H100" s="187">
        <f t="shared" si="25"/>
        <v>43.662263662263712</v>
      </c>
    </row>
    <row r="101" spans="1:8" ht="14.25" customHeight="1" x14ac:dyDescent="0.25">
      <c r="A101" s="1471"/>
      <c r="B101" s="105" t="str">
        <f t="shared" si="20"/>
        <v>Cooking Cream - كريمة طبخ</v>
      </c>
      <c r="C101" s="105" t="str">
        <f t="shared" si="20"/>
        <v>ml</v>
      </c>
      <c r="D101" s="105">
        <f t="shared" si="20"/>
        <v>280</v>
      </c>
      <c r="E101" s="201">
        <f t="shared" si="24"/>
        <v>4.3662263662263712</v>
      </c>
      <c r="F101" s="276">
        <f t="shared" si="21"/>
        <v>1</v>
      </c>
      <c r="G101" s="101">
        <f t="shared" si="22"/>
        <v>1222.5433825433838</v>
      </c>
      <c r="H101" s="187">
        <f t="shared" si="25"/>
        <v>1222.5433825433838</v>
      </c>
    </row>
    <row r="102" spans="1:8" ht="14.25" customHeight="1" x14ac:dyDescent="0.25">
      <c r="A102" s="1471"/>
      <c r="B102" s="105" t="str">
        <f t="shared" si="20"/>
        <v>Milk - حليب</v>
      </c>
      <c r="C102" s="105" t="str">
        <f t="shared" si="20"/>
        <v>ml</v>
      </c>
      <c r="D102" s="105">
        <f t="shared" si="20"/>
        <v>400</v>
      </c>
      <c r="E102" s="201">
        <f t="shared" si="24"/>
        <v>4.3662263662263712</v>
      </c>
      <c r="F102" s="276">
        <f t="shared" si="21"/>
        <v>1</v>
      </c>
      <c r="G102" s="101">
        <f t="shared" si="22"/>
        <v>1746.4905464905485</v>
      </c>
      <c r="H102" s="187">
        <f t="shared" si="25"/>
        <v>1746.4905464905485</v>
      </c>
    </row>
    <row r="103" spans="1:8" ht="14.25" customHeight="1" x14ac:dyDescent="0.25">
      <c r="A103" s="1471"/>
      <c r="B103" s="105" t="str">
        <f t="shared" si="20"/>
        <v>Orange Color - لون برتقالي</v>
      </c>
      <c r="C103" s="105" t="str">
        <f t="shared" si="20"/>
        <v>gm</v>
      </c>
      <c r="D103" s="105">
        <f t="shared" si="20"/>
        <v>1</v>
      </c>
      <c r="E103" s="201">
        <f t="shared" si="24"/>
        <v>4.3662263662263712</v>
      </c>
      <c r="F103" s="276">
        <f t="shared" si="21"/>
        <v>1</v>
      </c>
      <c r="G103" s="101">
        <f t="shared" si="22"/>
        <v>4.3662263662263712</v>
      </c>
      <c r="H103" s="187">
        <f t="shared" si="25"/>
        <v>4.3662263662263712</v>
      </c>
    </row>
    <row r="104" spans="1:8" ht="14.25" customHeight="1" x14ac:dyDescent="0.25">
      <c r="A104" s="1471"/>
      <c r="B104" s="105" t="str">
        <f t="shared" si="20"/>
        <v>Parmesan Cheese Powder - بديل البارميزان</v>
      </c>
      <c r="C104" s="105" t="str">
        <f t="shared" si="20"/>
        <v>gm</v>
      </c>
      <c r="D104" s="105">
        <f t="shared" si="20"/>
        <v>50</v>
      </c>
      <c r="E104" s="201">
        <f t="shared" si="24"/>
        <v>4.3662263662263712</v>
      </c>
      <c r="F104" s="276">
        <f t="shared" si="21"/>
        <v>1</v>
      </c>
      <c r="G104" s="101">
        <f t="shared" si="22"/>
        <v>218.31131831131856</v>
      </c>
      <c r="H104" s="187">
        <f t="shared" si="25"/>
        <v>218.31131831131856</v>
      </c>
    </row>
    <row r="105" spans="1:8" ht="14.25" customHeight="1" x14ac:dyDescent="0.25">
      <c r="A105" s="1471"/>
      <c r="B105" s="105" t="str">
        <f t="shared" si="20"/>
        <v>Maggi Cubes - مكعبات ماجي</v>
      </c>
      <c r="C105" s="105" t="str">
        <f t="shared" si="20"/>
        <v>gm</v>
      </c>
      <c r="D105" s="105">
        <f t="shared" si="20"/>
        <v>5</v>
      </c>
      <c r="E105" s="201">
        <f t="shared" si="24"/>
        <v>4.3662263662263712</v>
      </c>
      <c r="F105" s="276">
        <f t="shared" si="21"/>
        <v>1</v>
      </c>
      <c r="G105" s="101">
        <f t="shared" si="22"/>
        <v>21.831131831131856</v>
      </c>
      <c r="H105" s="187">
        <f t="shared" si="25"/>
        <v>21.831131831131856</v>
      </c>
    </row>
    <row r="106" spans="1:8" ht="14.25" customHeight="1" x14ac:dyDescent="0.25">
      <c r="A106" s="1471"/>
      <c r="B106" s="105" t="str">
        <f t="shared" si="20"/>
        <v>Tomato Ketchup - كاتشب طماطم</v>
      </c>
      <c r="C106" s="105" t="str">
        <f t="shared" si="20"/>
        <v>ml</v>
      </c>
      <c r="D106" s="105">
        <f t="shared" si="20"/>
        <v>50</v>
      </c>
      <c r="E106" s="201">
        <f t="shared" si="24"/>
        <v>4.3662263662263712</v>
      </c>
      <c r="F106" s="276">
        <f t="shared" si="21"/>
        <v>1</v>
      </c>
      <c r="G106" s="101">
        <f t="shared" si="22"/>
        <v>218.31131831131856</v>
      </c>
      <c r="H106" s="187">
        <f t="shared" si="25"/>
        <v>218.31131831131856</v>
      </c>
    </row>
    <row r="107" spans="1:8" ht="24" customHeight="1" x14ac:dyDescent="0.25">
      <c r="A107" s="1458"/>
      <c r="B107" s="178" t="s">
        <v>287</v>
      </c>
      <c r="C107" s="180" t="s">
        <v>273</v>
      </c>
      <c r="E107" s="180" t="s">
        <v>288</v>
      </c>
      <c r="G107" s="804" t="s">
        <v>264</v>
      </c>
      <c r="H107" s="804" t="s">
        <v>673</v>
      </c>
    </row>
    <row r="108" spans="1:8" ht="20.25" customHeight="1" x14ac:dyDescent="0.3">
      <c r="A108" s="1458"/>
      <c r="B108" s="179">
        <f>$J$54</f>
        <v>5893.6783216783151</v>
      </c>
      <c r="C108" s="181">
        <f>E108+G108</f>
        <v>4322.5641025641071</v>
      </c>
      <c r="D108" s="189"/>
      <c r="E108" s="181">
        <f>$D$54*$S$44</f>
        <v>1768.3216783216803</v>
      </c>
      <c r="F108" s="84"/>
      <c r="G108" s="182">
        <f>$D$54*$T$44</f>
        <v>2554.2424242424272</v>
      </c>
      <c r="H108" s="182">
        <f>B108+E108</f>
        <v>7661.9999999999955</v>
      </c>
    </row>
    <row r="109" spans="1:8" x14ac:dyDescent="0.25">
      <c r="A109" s="1472"/>
    </row>
    <row r="110" spans="1:8" x14ac:dyDescent="0.25">
      <c r="A110" s="1472"/>
    </row>
    <row r="111" spans="1:8" x14ac:dyDescent="0.25">
      <c r="A111" s="1472"/>
    </row>
    <row r="112" spans="1:8" x14ac:dyDescent="0.25">
      <c r="A112" s="1472"/>
    </row>
    <row r="113" spans="1:1" x14ac:dyDescent="0.25">
      <c r="A113" s="1472"/>
    </row>
    <row r="114" spans="1:1" x14ac:dyDescent="0.25">
      <c r="A114" s="1472"/>
    </row>
    <row r="115" spans="1:1" x14ac:dyDescent="0.25">
      <c r="A115" s="1472"/>
    </row>
    <row r="116" spans="1:1" x14ac:dyDescent="0.25">
      <c r="A116" s="1472"/>
    </row>
    <row r="117" spans="1:1" x14ac:dyDescent="0.25">
      <c r="A117" s="1472"/>
    </row>
    <row r="118" spans="1:1" x14ac:dyDescent="0.25">
      <c r="A118" s="1472"/>
    </row>
    <row r="119" spans="1:1" x14ac:dyDescent="0.25">
      <c r="A119" s="1472"/>
    </row>
    <row r="120" spans="1:1" x14ac:dyDescent="0.25">
      <c r="A120" s="1472"/>
    </row>
    <row r="121" spans="1:1" x14ac:dyDescent="0.25">
      <c r="A121" s="1472"/>
    </row>
    <row r="122" spans="1:1" x14ac:dyDescent="0.25">
      <c r="A122" s="1472"/>
    </row>
    <row r="123" spans="1:1" x14ac:dyDescent="0.25">
      <c r="A123" s="1472"/>
    </row>
    <row r="124" spans="1:1" x14ac:dyDescent="0.25">
      <c r="A124" s="1472"/>
    </row>
    <row r="125" spans="1:1" x14ac:dyDescent="0.25">
      <c r="A125" s="1472"/>
    </row>
    <row r="126" spans="1:1" x14ac:dyDescent="0.25">
      <c r="A126" s="1472"/>
    </row>
    <row r="127" spans="1:1" x14ac:dyDescent="0.25">
      <c r="A127" s="1472"/>
    </row>
    <row r="128" spans="1:1" x14ac:dyDescent="0.25">
      <c r="A128" s="1472"/>
    </row>
    <row r="129" spans="1:1" x14ac:dyDescent="0.25">
      <c r="A129" s="1472"/>
    </row>
    <row r="130" spans="1:1" x14ac:dyDescent="0.25">
      <c r="A130" s="1472"/>
    </row>
    <row r="131" spans="1:1" x14ac:dyDescent="0.25">
      <c r="A131" s="1472"/>
    </row>
    <row r="132" spans="1:1" x14ac:dyDescent="0.25">
      <c r="A132" s="1472"/>
    </row>
    <row r="133" spans="1:1" x14ac:dyDescent="0.25">
      <c r="A133" s="1472"/>
    </row>
    <row r="134" spans="1:1" x14ac:dyDescent="0.25">
      <c r="A134" s="1472"/>
    </row>
    <row r="135" spans="1:1" x14ac:dyDescent="0.25">
      <c r="A135" s="1472"/>
    </row>
    <row r="136" spans="1:1" x14ac:dyDescent="0.25">
      <c r="A136" s="1472"/>
    </row>
    <row r="137" spans="1:1" x14ac:dyDescent="0.25">
      <c r="A137" s="1472"/>
    </row>
    <row r="138" spans="1:1" x14ac:dyDescent="0.25">
      <c r="A138" s="1472"/>
    </row>
    <row r="139" spans="1:1" x14ac:dyDescent="0.25">
      <c r="A139" s="1472"/>
    </row>
    <row r="140" spans="1:1" x14ac:dyDescent="0.25">
      <c r="A140" s="1472"/>
    </row>
    <row r="141" spans="1:1" x14ac:dyDescent="0.25">
      <c r="A141" s="1472"/>
    </row>
    <row r="142" spans="1:1" x14ac:dyDescent="0.25">
      <c r="A142" s="1472"/>
    </row>
    <row r="143" spans="1:1" x14ac:dyDescent="0.25">
      <c r="A143" s="1472"/>
    </row>
    <row r="144" spans="1:1"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2">
    <mergeCell ref="AE2:AG3"/>
    <mergeCell ref="B87:H87"/>
    <mergeCell ref="R26:U26"/>
    <mergeCell ref="AN2:AN3"/>
    <mergeCell ref="B86:H86"/>
    <mergeCell ref="R25:U25"/>
    <mergeCell ref="B63:H63"/>
    <mergeCell ref="F2:F3"/>
    <mergeCell ref="B62:H62"/>
    <mergeCell ref="AK2:AM2"/>
    <mergeCell ref="C27:G27"/>
    <mergeCell ref="B35:F35"/>
  </mergeCells>
  <printOptions horizontalCentered="1"/>
  <pageMargins left="0.4" right="0.4" top="1" bottom="0.5" header="0.3" footer="0.511811023622047"/>
  <pageSetup paperSize="9" scale="46" orientation="landscape" r:id="rId1"/>
  <legacyDrawing r:id="rId2"/>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0">
    <tabColor rgb="FF333F50"/>
    <pageSetUpPr fitToPage="1"/>
  </sheetPr>
  <dimension ref="A1:AT174"/>
  <sheetViews>
    <sheetView zoomScale="70" zoomScaleNormal="70" workbookViewId="0">
      <selection activeCell="A6" sqref="A6:A8"/>
    </sheetView>
  </sheetViews>
  <sheetFormatPr defaultColWidth="12.5" defaultRowHeight="15" x14ac:dyDescent="0.25"/>
  <cols>
    <col min="1" max="1" width="12.5" style="63" customWidth="1"/>
    <col min="2" max="2" width="36" style="27"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875" style="14" customWidth="1"/>
    <col min="15" max="17" width="12.5" style="14" customWidth="1"/>
    <col min="18" max="18" width="32.125" style="14" customWidth="1"/>
    <col min="19" max="28" width="12.5" style="14" customWidth="1"/>
    <col min="29" max="29" width="11.875" style="14" bestFit="1" customWidth="1"/>
    <col min="30" max="30" width="10.875" style="14" customWidth="1"/>
    <col min="31" max="31" width="10" style="14" bestFit="1" customWidth="1"/>
    <col min="32" max="32" width="11.625" style="14" bestFit="1" customWidth="1"/>
    <col min="33" max="34" width="4.75" style="14" customWidth="1"/>
    <col min="35" max="35" width="12.5" style="14" customWidth="1"/>
    <col min="36" max="36" width="30.5" style="14" customWidth="1"/>
    <col min="37" max="37" width="12.5" style="14" customWidth="1"/>
    <col min="38" max="16384" width="12.5" style="14"/>
  </cols>
  <sheetData>
    <row r="1" spans="1:46" ht="35.25" customHeight="1" x14ac:dyDescent="0.25">
      <c r="B1" s="277" t="s">
        <v>231</v>
      </c>
      <c r="C1" s="65">
        <v>1000</v>
      </c>
      <c r="D1" s="66" t="s">
        <v>232</v>
      </c>
      <c r="E1" s="99">
        <f>T32</f>
        <v>20978.974358974367</v>
      </c>
      <c r="F1" s="64" t="s">
        <v>233</v>
      </c>
      <c r="G1" s="65">
        <f>E1/C1</f>
        <v>20.978974358974366</v>
      </c>
      <c r="H1" s="64" t="s">
        <v>234</v>
      </c>
      <c r="I1" s="227">
        <f>(G1/K1)</f>
        <v>21.407116692830986</v>
      </c>
      <c r="J1" s="70" t="s">
        <v>235</v>
      </c>
      <c r="K1" s="65">
        <v>0.98</v>
      </c>
      <c r="L1" s="84"/>
      <c r="M1" s="73"/>
      <c r="N1" s="74"/>
      <c r="O1" s="75" t="s">
        <v>236</v>
      </c>
      <c r="P1" s="76" t="s">
        <v>237</v>
      </c>
      <c r="Q1" s="77" t="s">
        <v>238</v>
      </c>
      <c r="R1" s="76">
        <v>0.59</v>
      </c>
      <c r="Y1" s="75" t="s">
        <v>453</v>
      </c>
      <c r="Z1" s="766">
        <v>36690</v>
      </c>
      <c r="AA1" s="75" t="s">
        <v>556</v>
      </c>
      <c r="AB1" s="766">
        <v>500</v>
      </c>
      <c r="AC1" s="75" t="s">
        <v>546</v>
      </c>
      <c r="AD1" s="766">
        <v>254</v>
      </c>
      <c r="AE1" s="228"/>
      <c r="AF1" s="230"/>
      <c r="AG1" s="76"/>
      <c r="AI1" s="63"/>
      <c r="AJ1" s="78" t="s">
        <v>250</v>
      </c>
      <c r="AK1" s="78">
        <v>10000</v>
      </c>
      <c r="AL1" s="561" t="s">
        <v>483</v>
      </c>
      <c r="AM1" s="562">
        <f>$S$32</f>
        <v>28607.692307692298</v>
      </c>
      <c r="AN1" s="78" t="s">
        <v>239</v>
      </c>
      <c r="AO1" s="305">
        <f>((S32)/$R$1)/$AK$1</f>
        <v>4.8487614080834405</v>
      </c>
      <c r="AP1" s="79"/>
    </row>
    <row r="2" spans="1:46" ht="12.75" customHeight="1" x14ac:dyDescent="0.25">
      <c r="A2" s="81"/>
      <c r="B2" s="537"/>
      <c r="C2" s="82"/>
      <c r="D2" s="82"/>
      <c r="E2" s="82"/>
      <c r="F2" s="1632" t="s">
        <v>462</v>
      </c>
      <c r="G2" s="82"/>
      <c r="H2" s="82"/>
      <c r="I2" s="82"/>
      <c r="J2" s="82"/>
      <c r="K2" s="82"/>
      <c r="L2" s="270"/>
      <c r="M2" s="84"/>
      <c r="N2" s="84"/>
      <c r="O2" s="84"/>
      <c r="P2" s="84"/>
      <c r="Q2" s="84"/>
      <c r="R2" s="84"/>
      <c r="AC2" s="83"/>
      <c r="AD2" s="83"/>
      <c r="AE2" s="1652"/>
      <c r="AF2" s="1655"/>
      <c r="AG2" s="1655"/>
      <c r="AI2" s="63"/>
      <c r="AJ2" s="85"/>
      <c r="AK2" s="1631" t="s">
        <v>463</v>
      </c>
      <c r="AL2" s="1631"/>
      <c r="AM2" s="1631"/>
      <c r="AN2" s="1631"/>
      <c r="AO2" s="85"/>
      <c r="AP2" s="85"/>
    </row>
    <row r="3" spans="1:46" ht="12.75" customHeight="1" x14ac:dyDescent="0.25">
      <c r="A3" s="81"/>
      <c r="B3" s="538"/>
      <c r="C3" s="87"/>
      <c r="D3" s="87"/>
      <c r="E3" s="87"/>
      <c r="F3" s="1633"/>
      <c r="G3" s="87"/>
      <c r="H3" s="87"/>
      <c r="I3" s="87"/>
      <c r="J3" s="87"/>
      <c r="K3" s="87"/>
      <c r="L3" s="270"/>
      <c r="O3" s="84"/>
      <c r="P3" s="84"/>
      <c r="Q3" s="84"/>
      <c r="R3" s="84"/>
      <c r="AC3" s="83"/>
      <c r="AD3" s="83"/>
      <c r="AE3" s="1655"/>
      <c r="AF3" s="1655"/>
      <c r="AG3" s="1655"/>
      <c r="AI3" s="63"/>
      <c r="AJ3" s="85"/>
      <c r="AK3" s="85"/>
      <c r="AL3" s="85"/>
      <c r="AM3" s="85"/>
      <c r="AN3" s="1631"/>
      <c r="AO3" s="85"/>
      <c r="AP3" s="85"/>
    </row>
    <row r="4" spans="1:46" ht="46.5" customHeight="1" x14ac:dyDescent="0.25">
      <c r="A4" s="75" t="s">
        <v>903</v>
      </c>
      <c r="B4" s="75" t="s">
        <v>241</v>
      </c>
      <c r="C4" s="90" t="s">
        <v>242</v>
      </c>
      <c r="D4" s="75" t="s">
        <v>231</v>
      </c>
      <c r="E4" s="91" t="s">
        <v>234</v>
      </c>
      <c r="F4" s="91" t="s">
        <v>243</v>
      </c>
      <c r="G4" s="75" t="s">
        <v>244</v>
      </c>
      <c r="H4" s="307" t="s">
        <v>335</v>
      </c>
      <c r="I4" s="75" t="s">
        <v>246</v>
      </c>
      <c r="J4" s="75" t="s">
        <v>247</v>
      </c>
      <c r="K4" s="75" t="s">
        <v>248</v>
      </c>
      <c r="L4" s="75" t="s">
        <v>249</v>
      </c>
      <c r="O4" s="84"/>
      <c r="P4" s="84"/>
      <c r="AA4" s="229"/>
      <c r="AB4" s="229"/>
      <c r="AC4" s="229"/>
      <c r="AD4" s="231"/>
      <c r="AE4" s="229"/>
      <c r="AF4" s="229"/>
      <c r="AG4" s="229"/>
      <c r="AI4" s="63"/>
      <c r="AJ4" s="78" t="s">
        <v>241</v>
      </c>
      <c r="AK4" s="493" t="s">
        <v>242</v>
      </c>
      <c r="AL4" s="78" t="s">
        <v>250</v>
      </c>
      <c r="AM4" s="78" t="s">
        <v>234</v>
      </c>
      <c r="AN4" s="78" t="s">
        <v>243</v>
      </c>
      <c r="AO4" s="78" t="s">
        <v>244</v>
      </c>
      <c r="AP4" s="78" t="s">
        <v>335</v>
      </c>
      <c r="AQ4" s="75" t="s">
        <v>246</v>
      </c>
      <c r="AR4" s="75" t="s">
        <v>247</v>
      </c>
      <c r="AS4" s="75" t="s">
        <v>248</v>
      </c>
      <c r="AT4" s="75" t="s">
        <v>249</v>
      </c>
    </row>
    <row r="5" spans="1:46" x14ac:dyDescent="0.25">
      <c r="A5" s="1474"/>
      <c r="B5" s="286" t="s">
        <v>220</v>
      </c>
      <c r="C5" s="97" t="s">
        <v>14</v>
      </c>
      <c r="D5" s="245">
        <f>I51/10</f>
        <v>2311.3713405238827</v>
      </c>
      <c r="E5" s="108">
        <f>H52</f>
        <v>20.977855540012222</v>
      </c>
      <c r="F5" s="276">
        <v>1</v>
      </c>
      <c r="G5" s="101">
        <f t="shared" ref="G5:G24" si="0">D5*E5</f>
        <v>48487.614080834406</v>
      </c>
      <c r="H5" s="187">
        <f t="shared" ref="H5:H24" si="1">G5*F5</f>
        <v>48487.614080834406</v>
      </c>
      <c r="I5" s="65">
        <f>VLOOKUP(B5,All_Ingredients!$A$1:$F$156,6,FALSE())</f>
        <v>0.86</v>
      </c>
      <c r="J5" s="101">
        <f>VLOOKUP(B5,All_Ingredients!$A$1:$J$156,10,FALSE())</f>
        <v>17.100000000000001</v>
      </c>
      <c r="K5" s="104">
        <f t="shared" ref="K5" si="2">(H5/I5)/1000</f>
        <v>56.380946605621403</v>
      </c>
      <c r="L5" s="104">
        <f t="shared" ref="L5" si="3">K5*J5</f>
        <v>964.1141869561261</v>
      </c>
      <c r="O5" s="84"/>
      <c r="P5" s="84"/>
      <c r="AA5" s="76"/>
      <c r="AB5" s="76"/>
      <c r="AC5" s="76"/>
      <c r="AD5" s="114"/>
      <c r="AE5" s="232"/>
      <c r="AF5" s="116"/>
      <c r="AG5" s="117"/>
      <c r="AI5" s="63"/>
      <c r="AJ5" s="350" t="s">
        <v>220</v>
      </c>
      <c r="AK5" s="539" t="s">
        <v>227</v>
      </c>
      <c r="AL5" s="540">
        <v>10</v>
      </c>
      <c r="AM5" s="541">
        <f t="shared" ref="AM5:AM12" si="4">$AO$1</f>
        <v>4.8487614080834405</v>
      </c>
      <c r="AN5" s="542">
        <v>1</v>
      </c>
      <c r="AO5" s="543">
        <f t="shared" ref="AO5:AO12" si="5">AL5*AM5</f>
        <v>48.487614080834405</v>
      </c>
      <c r="AP5" s="544">
        <f t="shared" ref="AP5:AP12" si="6">AO5*AN5</f>
        <v>48.487614080834405</v>
      </c>
      <c r="AQ5" s="272"/>
      <c r="AR5" s="1017"/>
      <c r="AS5" s="156"/>
      <c r="AT5" s="1018"/>
    </row>
    <row r="6" spans="1:46" x14ac:dyDescent="0.25">
      <c r="A6" s="1471" t="s">
        <v>919</v>
      </c>
      <c r="B6" s="244" t="s">
        <v>12</v>
      </c>
      <c r="C6" s="97" t="s">
        <v>14</v>
      </c>
      <c r="D6" s="107">
        <v>150</v>
      </c>
      <c r="E6" s="177">
        <f t="shared" ref="E6:E24" si="7">$I$1</f>
        <v>21.407116692830986</v>
      </c>
      <c r="F6" s="276">
        <v>0.95</v>
      </c>
      <c r="G6" s="101">
        <f t="shared" si="0"/>
        <v>3211.067503924648</v>
      </c>
      <c r="H6" s="187">
        <f t="shared" si="1"/>
        <v>3050.5141287284155</v>
      </c>
      <c r="I6" s="65">
        <f>VLOOKUP(B6,All_Ingredients!$A$1:$F$156,6,FALSE())</f>
        <v>0.9</v>
      </c>
      <c r="J6" s="101">
        <f>VLOOKUP(B6,All_Ingredients!$A$1:$J$156,10,FALSE())</f>
        <v>3</v>
      </c>
      <c r="K6" s="104">
        <f t="shared" ref="K6:K24" si="8">(H6/I6)/1000</f>
        <v>3.3894601430315725</v>
      </c>
      <c r="L6" s="104">
        <f t="shared" ref="L6:L24" si="9">K6*J6</f>
        <v>10.168380429094718</v>
      </c>
      <c r="AI6" s="63" t="s">
        <v>55</v>
      </c>
      <c r="AJ6" s="249" t="s">
        <v>54</v>
      </c>
      <c r="AK6" s="106" t="s">
        <v>14</v>
      </c>
      <c r="AL6" s="107">
        <v>300</v>
      </c>
      <c r="AM6" s="108">
        <f t="shared" si="4"/>
        <v>4.8487614080834405</v>
      </c>
      <c r="AN6" s="109">
        <v>1</v>
      </c>
      <c r="AO6" s="101">
        <f t="shared" si="5"/>
        <v>1454.6284224250321</v>
      </c>
      <c r="AP6" s="331">
        <f t="shared" si="6"/>
        <v>1454.6284224250321</v>
      </c>
      <c r="AQ6" s="1018">
        <f>VLOOKUP(AJ6,Marination_Ordering!$A:$J,6,FALSE)</f>
        <v>0.87</v>
      </c>
      <c r="AR6" s="1018">
        <f>VLOOKUP(AJ6,Marination_Ordering!$A:$J,10,FALSE)</f>
        <v>7</v>
      </c>
      <c r="AS6" s="156">
        <f>AP6/AQ6</f>
        <v>1671.9866924425658</v>
      </c>
      <c r="AT6" s="1018">
        <f>AR6*(AS6/1000)</f>
        <v>11.70390684709796</v>
      </c>
    </row>
    <row r="7" spans="1:46" ht="15" customHeight="1" x14ac:dyDescent="0.25">
      <c r="A7" s="1471" t="s">
        <v>986</v>
      </c>
      <c r="B7" s="244" t="s">
        <v>17</v>
      </c>
      <c r="C7" s="97" t="s">
        <v>14</v>
      </c>
      <c r="D7" s="107">
        <v>450</v>
      </c>
      <c r="E7" s="177">
        <f t="shared" si="7"/>
        <v>21.407116692830986</v>
      </c>
      <c r="F7" s="276">
        <v>1</v>
      </c>
      <c r="G7" s="101">
        <f t="shared" si="0"/>
        <v>9633.2025117739431</v>
      </c>
      <c r="H7" s="187">
        <f t="shared" si="1"/>
        <v>9633.2025117739431</v>
      </c>
      <c r="I7" s="65">
        <f>VLOOKUP(B7,All_Ingredients!$A$1:$F$156,6,FALSE())</f>
        <v>0.98</v>
      </c>
      <c r="J7" s="101">
        <f>VLOOKUP(B7,All_Ingredients!$A$1:$J$156,10,FALSE())</f>
        <v>3.5</v>
      </c>
      <c r="K7" s="104">
        <f t="shared" si="8"/>
        <v>9.8297984814019834</v>
      </c>
      <c r="L7" s="104">
        <f t="shared" si="9"/>
        <v>34.404294684906944</v>
      </c>
      <c r="AI7" s="63" t="s">
        <v>13</v>
      </c>
      <c r="AJ7" s="249" t="s">
        <v>727</v>
      </c>
      <c r="AK7" s="106" t="s">
        <v>14</v>
      </c>
      <c r="AL7" s="107">
        <v>100</v>
      </c>
      <c r="AM7" s="108">
        <f t="shared" si="4"/>
        <v>4.8487614080834405</v>
      </c>
      <c r="AN7" s="109">
        <v>1</v>
      </c>
      <c r="AO7" s="101">
        <f t="shared" si="5"/>
        <v>484.87614080834408</v>
      </c>
      <c r="AP7" s="331">
        <f t="shared" si="6"/>
        <v>484.87614080834408</v>
      </c>
      <c r="AQ7" s="1018">
        <f>VLOOKUP(AJ7,Marination_Ordering!$A:$J,6,FALSE)</f>
        <v>1</v>
      </c>
      <c r="AR7" s="1018">
        <f>VLOOKUP(AJ7,Marination_Ordering!$A:$J,10,FALSE)</f>
        <v>10.5</v>
      </c>
      <c r="AS7" s="156">
        <f t="shared" ref="AS7:AS8" si="10">AP7/AQ7</f>
        <v>484.87614080834408</v>
      </c>
      <c r="AT7" s="1018">
        <f t="shared" ref="AT7:AT8" si="11">AR7*(AS7/1000)</f>
        <v>5.0911994784876127</v>
      </c>
    </row>
    <row r="8" spans="1:46" x14ac:dyDescent="0.25">
      <c r="A8" s="1471" t="s">
        <v>906</v>
      </c>
      <c r="B8" s="244" t="s">
        <v>54</v>
      </c>
      <c r="C8" s="97" t="s">
        <v>14</v>
      </c>
      <c r="D8" s="107">
        <v>25</v>
      </c>
      <c r="E8" s="177">
        <f t="shared" si="7"/>
        <v>21.407116692830986</v>
      </c>
      <c r="F8" s="276">
        <v>0.9</v>
      </c>
      <c r="G8" s="101">
        <f t="shared" si="0"/>
        <v>535.17791732077467</v>
      </c>
      <c r="H8" s="187">
        <f t="shared" si="1"/>
        <v>481.66012558869721</v>
      </c>
      <c r="I8" s="65">
        <f>VLOOKUP(B8,All_Ingredients!$A$1:$F$156,6,FALSE())</f>
        <v>0.87</v>
      </c>
      <c r="J8" s="101">
        <f>VLOOKUP(B8,All_Ingredients!$A$1:$J$156,10,FALSE())</f>
        <v>7</v>
      </c>
      <c r="K8" s="104">
        <f t="shared" si="8"/>
        <v>0.55363232826287034</v>
      </c>
      <c r="L8" s="104">
        <f t="shared" si="9"/>
        <v>3.8754262978400922</v>
      </c>
      <c r="AI8" s="63" t="s">
        <v>204</v>
      </c>
      <c r="AJ8" s="249" t="s">
        <v>212</v>
      </c>
      <c r="AK8" s="106" t="s">
        <v>160</v>
      </c>
      <c r="AL8" s="107">
        <v>350</v>
      </c>
      <c r="AM8" s="108">
        <f t="shared" si="4"/>
        <v>4.8487614080834405</v>
      </c>
      <c r="AN8" s="109">
        <v>1</v>
      </c>
      <c r="AO8" s="101">
        <f t="shared" si="5"/>
        <v>1697.0664928292042</v>
      </c>
      <c r="AP8" s="331">
        <f t="shared" si="6"/>
        <v>1697.0664928292042</v>
      </c>
      <c r="AQ8" s="1018">
        <f>VLOOKUP(AJ8,Marination_Ordering!$A:$J,6,FALSE)</f>
        <v>1</v>
      </c>
      <c r="AR8" s="1018">
        <f>VLOOKUP(AJ8,Marination_Ordering!$A:$J,10,FALSE)</f>
        <v>5</v>
      </c>
      <c r="AS8" s="156">
        <f t="shared" si="10"/>
        <v>1697.0664928292042</v>
      </c>
      <c r="AT8" s="1018">
        <f t="shared" si="11"/>
        <v>8.4853324641460208</v>
      </c>
    </row>
    <row r="9" spans="1:46" x14ac:dyDescent="0.25">
      <c r="A9" s="1471"/>
      <c r="B9" s="244" t="s">
        <v>727</v>
      </c>
      <c r="C9" s="97" t="s">
        <v>14</v>
      </c>
      <c r="D9" s="107">
        <v>25</v>
      </c>
      <c r="E9" s="177">
        <f t="shared" si="7"/>
        <v>21.407116692830986</v>
      </c>
      <c r="F9" s="276">
        <v>0.9</v>
      </c>
      <c r="G9" s="101">
        <f t="shared" si="0"/>
        <v>535.17791732077467</v>
      </c>
      <c r="H9" s="187">
        <f t="shared" si="1"/>
        <v>481.66012558869721</v>
      </c>
      <c r="I9" s="65">
        <f>VLOOKUP(B9,All_Ingredients!$A$1:$F$156,6,FALSE())</f>
        <v>1</v>
      </c>
      <c r="J9" s="101">
        <f>VLOOKUP(B9,All_Ingredients!$A$1:$J$156,10,FALSE())</f>
        <v>10.5</v>
      </c>
      <c r="K9" s="104">
        <f t="shared" si="8"/>
        <v>0.4816601255886972</v>
      </c>
      <c r="L9" s="104">
        <f t="shared" si="9"/>
        <v>5.0574313186813207</v>
      </c>
      <c r="AI9" s="63" t="s">
        <v>204</v>
      </c>
      <c r="AJ9" s="249" t="s">
        <v>208</v>
      </c>
      <c r="AK9" s="106" t="s">
        <v>160</v>
      </c>
      <c r="AL9" s="107">
        <v>70</v>
      </c>
      <c r="AM9" s="108">
        <f t="shared" si="4"/>
        <v>4.8487614080834405</v>
      </c>
      <c r="AN9" s="109">
        <v>1</v>
      </c>
      <c r="AO9" s="101">
        <f t="shared" si="5"/>
        <v>339.41329856584082</v>
      </c>
      <c r="AP9" s="331">
        <f t="shared" si="6"/>
        <v>339.41329856584082</v>
      </c>
      <c r="AQ9" s="1018">
        <f>VLOOKUP(AJ9,Marination_Ordering!$A:$J,6,FALSE)</f>
        <v>1</v>
      </c>
      <c r="AR9" s="1018">
        <f>VLOOKUP(AJ9,Marination_Ordering!$A:$J,10,FALSE)</f>
        <v>2.1621621621621623</v>
      </c>
      <c r="AS9" s="156">
        <f t="shared" ref="AS9:AS12" si="12">AP9/AQ9</f>
        <v>339.41329856584082</v>
      </c>
      <c r="AT9" s="1018">
        <f t="shared" ref="AT9:AT12" si="13">AR9*(AS9/1000)</f>
        <v>0.73386659149370992</v>
      </c>
    </row>
    <row r="10" spans="1:46" x14ac:dyDescent="0.25">
      <c r="A10" s="1471"/>
      <c r="B10" s="244" t="s">
        <v>34</v>
      </c>
      <c r="C10" s="97" t="s">
        <v>14</v>
      </c>
      <c r="D10" s="107">
        <v>5</v>
      </c>
      <c r="E10" s="177">
        <f t="shared" si="7"/>
        <v>21.407116692830986</v>
      </c>
      <c r="F10" s="276">
        <v>0.75</v>
      </c>
      <c r="G10" s="101">
        <f t="shared" si="0"/>
        <v>107.03558346415493</v>
      </c>
      <c r="H10" s="187">
        <f t="shared" si="1"/>
        <v>80.276687598116197</v>
      </c>
      <c r="I10" s="65">
        <f>VLOOKUP(B10,All_Ingredients!$A$1:$F$156,6,FALSE())</f>
        <v>0.86</v>
      </c>
      <c r="J10" s="101">
        <f>VLOOKUP(B10,All_Ingredients!$A$1:$J$156,10,FALSE())</f>
        <v>14</v>
      </c>
      <c r="K10" s="104">
        <f t="shared" si="8"/>
        <v>9.3344985579204884E-2</v>
      </c>
      <c r="L10" s="104">
        <f t="shared" si="9"/>
        <v>1.3068297981088683</v>
      </c>
      <c r="AI10" s="63" t="s">
        <v>94</v>
      </c>
      <c r="AJ10" s="249" t="s">
        <v>93</v>
      </c>
      <c r="AK10" s="106" t="s">
        <v>14</v>
      </c>
      <c r="AL10" s="107">
        <v>5</v>
      </c>
      <c r="AM10" s="108">
        <f t="shared" si="4"/>
        <v>4.8487614080834405</v>
      </c>
      <c r="AN10" s="109">
        <v>1</v>
      </c>
      <c r="AO10" s="101">
        <f t="shared" si="5"/>
        <v>24.243807040417202</v>
      </c>
      <c r="AP10" s="331">
        <f t="shared" si="6"/>
        <v>24.243807040417202</v>
      </c>
      <c r="AQ10" s="1018">
        <f>VLOOKUP(AJ10,Marination_Ordering!$A:$J,6,FALSE)</f>
        <v>1</v>
      </c>
      <c r="AR10" s="1018">
        <f>VLOOKUP(AJ10,Marination_Ordering!$A:$J,10,FALSE)</f>
        <v>0.74</v>
      </c>
      <c r="AS10" s="156">
        <f t="shared" si="12"/>
        <v>24.243807040417202</v>
      </c>
      <c r="AT10" s="1018">
        <f t="shared" si="13"/>
        <v>1.7940417209908729E-2</v>
      </c>
    </row>
    <row r="11" spans="1:46" x14ac:dyDescent="0.25">
      <c r="A11" s="1471"/>
      <c r="B11" s="244" t="s">
        <v>105</v>
      </c>
      <c r="C11" s="97" t="s">
        <v>14</v>
      </c>
      <c r="D11" s="107">
        <v>5</v>
      </c>
      <c r="E11" s="177">
        <f t="shared" si="7"/>
        <v>21.407116692830986</v>
      </c>
      <c r="F11" s="276">
        <v>1</v>
      </c>
      <c r="G11" s="101">
        <f t="shared" si="0"/>
        <v>107.03558346415493</v>
      </c>
      <c r="H11" s="187">
        <f t="shared" si="1"/>
        <v>107.03558346415493</v>
      </c>
      <c r="I11" s="65">
        <f>VLOOKUP(B11,All_Ingredients!$A$1:$F$156,6,FALSE())</f>
        <v>1</v>
      </c>
      <c r="J11" s="101">
        <f>VLOOKUP(B11,All_Ingredients!$A$1:$J$156,10,FALSE())</f>
        <v>15</v>
      </c>
      <c r="K11" s="104">
        <f t="shared" si="8"/>
        <v>0.10703558346415493</v>
      </c>
      <c r="L11" s="104">
        <f t="shared" si="9"/>
        <v>1.6055337519623238</v>
      </c>
      <c r="AI11" s="63" t="s">
        <v>94</v>
      </c>
      <c r="AJ11" s="249" t="s">
        <v>99</v>
      </c>
      <c r="AK11" s="106" t="s">
        <v>14</v>
      </c>
      <c r="AL11" s="107">
        <v>3</v>
      </c>
      <c r="AM11" s="108">
        <f t="shared" si="4"/>
        <v>4.8487614080834405</v>
      </c>
      <c r="AN11" s="109">
        <v>1</v>
      </c>
      <c r="AO11" s="101">
        <f t="shared" si="5"/>
        <v>14.546284224250321</v>
      </c>
      <c r="AP11" s="331">
        <f t="shared" si="6"/>
        <v>14.546284224250321</v>
      </c>
      <c r="AQ11" s="1018">
        <f>VLOOKUP(AJ11,Marination_Ordering!$A:$J,6,FALSE)</f>
        <v>1</v>
      </c>
      <c r="AR11" s="1018">
        <f>VLOOKUP(AJ11,Marination_Ordering!$A:$J,10,FALSE)</f>
        <v>31</v>
      </c>
      <c r="AS11" s="156">
        <f t="shared" si="12"/>
        <v>14.546284224250321</v>
      </c>
      <c r="AT11" s="1018">
        <f t="shared" si="13"/>
        <v>0.45093481095175997</v>
      </c>
    </row>
    <row r="12" spans="1:46" ht="16.5" customHeight="1" x14ac:dyDescent="0.25">
      <c r="A12" s="1471"/>
      <c r="B12" s="244" t="s">
        <v>113</v>
      </c>
      <c r="C12" s="97" t="s">
        <v>14</v>
      </c>
      <c r="D12" s="107">
        <v>3</v>
      </c>
      <c r="E12" s="177">
        <f t="shared" si="7"/>
        <v>21.407116692830986</v>
      </c>
      <c r="F12" s="276">
        <v>0.75</v>
      </c>
      <c r="G12" s="101">
        <f t="shared" si="0"/>
        <v>64.221350078492961</v>
      </c>
      <c r="H12" s="187">
        <f t="shared" si="1"/>
        <v>48.166012558869724</v>
      </c>
      <c r="I12" s="65">
        <f>VLOOKUP(B12,All_Ingredients!$A$1:$F$156,6,FALSE())</f>
        <v>1</v>
      </c>
      <c r="J12" s="101">
        <f>VLOOKUP(B12,All_Ingredients!$A$1:$J$156,10,FALSE())</f>
        <v>20</v>
      </c>
      <c r="K12" s="104">
        <f t="shared" si="8"/>
        <v>4.8166012558869722E-2</v>
      </c>
      <c r="L12" s="104">
        <f t="shared" si="9"/>
        <v>0.96332025117739439</v>
      </c>
      <c r="AI12" s="63" t="s">
        <v>213</v>
      </c>
      <c r="AJ12" s="249" t="s">
        <v>837</v>
      </c>
      <c r="AK12" s="106" t="s">
        <v>14</v>
      </c>
      <c r="AL12" s="107">
        <v>5</v>
      </c>
      <c r="AM12" s="108">
        <f t="shared" si="4"/>
        <v>4.8487614080834405</v>
      </c>
      <c r="AN12" s="109">
        <v>1</v>
      </c>
      <c r="AO12" s="101">
        <f t="shared" si="5"/>
        <v>24.243807040417202</v>
      </c>
      <c r="AP12" s="331">
        <f t="shared" si="6"/>
        <v>24.243807040417202</v>
      </c>
      <c r="AQ12" s="1018">
        <f>VLOOKUP(AJ12,Marination_Ordering!$A:$J,6,FALSE)</f>
        <v>1</v>
      </c>
      <c r="AR12" s="1018">
        <f>VLOOKUP(AJ12,Marination_Ordering!$A:$J,10,FALSE)</f>
        <v>22.5</v>
      </c>
      <c r="AS12" s="156">
        <f t="shared" si="12"/>
        <v>24.243807040417202</v>
      </c>
      <c r="AT12" s="1018">
        <f t="shared" si="13"/>
        <v>0.54548565840938712</v>
      </c>
    </row>
    <row r="13" spans="1:46" x14ac:dyDescent="0.25">
      <c r="A13" s="1471"/>
      <c r="B13" s="244" t="s">
        <v>139</v>
      </c>
      <c r="C13" s="97" t="s">
        <v>14</v>
      </c>
      <c r="D13" s="107">
        <v>7</v>
      </c>
      <c r="E13" s="177">
        <f t="shared" si="7"/>
        <v>21.407116692830986</v>
      </c>
      <c r="F13" s="276">
        <v>0.75</v>
      </c>
      <c r="G13" s="101">
        <f t="shared" si="0"/>
        <v>149.8498168498169</v>
      </c>
      <c r="H13" s="187">
        <f t="shared" si="1"/>
        <v>112.38736263736268</v>
      </c>
      <c r="I13" s="65">
        <f>VLOOKUP(B13,All_Ingredients!$A$1:$F$156,6,FALSE())</f>
        <v>1</v>
      </c>
      <c r="J13" s="101">
        <f>VLOOKUP(B13,All_Ingredients!$A$1:$J$156,10,FALSE())</f>
        <v>15.277777777777779</v>
      </c>
      <c r="K13" s="104">
        <f t="shared" si="8"/>
        <v>0.11238736263736268</v>
      </c>
      <c r="L13" s="104">
        <f t="shared" si="9"/>
        <v>1.7170291514041522</v>
      </c>
    </row>
    <row r="14" spans="1:46" x14ac:dyDescent="0.25">
      <c r="A14" s="1471"/>
      <c r="B14" s="244" t="s">
        <v>724</v>
      </c>
      <c r="C14" s="97" t="s">
        <v>14</v>
      </c>
      <c r="D14" s="107">
        <v>1</v>
      </c>
      <c r="E14" s="177">
        <f t="shared" si="7"/>
        <v>21.407116692830986</v>
      </c>
      <c r="F14" s="276">
        <v>0.75</v>
      </c>
      <c r="G14" s="101">
        <f t="shared" si="0"/>
        <v>21.407116692830986</v>
      </c>
      <c r="H14" s="187">
        <f t="shared" si="1"/>
        <v>16.05533751962324</v>
      </c>
      <c r="I14" s="65">
        <f>VLOOKUP(B14,All_Ingredients!$A$1:$F$156,6,FALSE())</f>
        <v>1</v>
      </c>
      <c r="J14" s="101">
        <f>VLOOKUP(B14,All_Ingredients!$A$1:$J$156,10,FALSE())</f>
        <v>52</v>
      </c>
      <c r="K14" s="104">
        <f t="shared" si="8"/>
        <v>1.605533751962324E-2</v>
      </c>
      <c r="L14" s="104">
        <f t="shared" si="9"/>
        <v>0.8348775510204085</v>
      </c>
    </row>
    <row r="15" spans="1:46" x14ac:dyDescent="0.25">
      <c r="A15" s="1471"/>
      <c r="B15" s="244" t="s">
        <v>166</v>
      </c>
      <c r="C15" s="97" t="s">
        <v>160</v>
      </c>
      <c r="D15" s="107">
        <v>300</v>
      </c>
      <c r="E15" s="177">
        <f t="shared" si="7"/>
        <v>21.407116692830986</v>
      </c>
      <c r="F15" s="276">
        <v>1</v>
      </c>
      <c r="G15" s="101">
        <f t="shared" si="0"/>
        <v>6422.135007849296</v>
      </c>
      <c r="H15" s="187">
        <f t="shared" si="1"/>
        <v>6422.135007849296</v>
      </c>
      <c r="I15" s="65">
        <f>VLOOKUP(B15,All_Ingredients!$A$1:$F$156,6,FALSE())</f>
        <v>1</v>
      </c>
      <c r="J15" s="101">
        <f>VLOOKUP(B15,All_Ingredients!$A$1:$J$156,10,FALSE())</f>
        <v>12.666666666666666</v>
      </c>
      <c r="K15" s="104">
        <f t="shared" si="8"/>
        <v>6.4221350078492963</v>
      </c>
      <c r="L15" s="104">
        <f t="shared" si="9"/>
        <v>81.347043432757744</v>
      </c>
    </row>
    <row r="16" spans="1:46" x14ac:dyDescent="0.25">
      <c r="A16" s="1471"/>
      <c r="B16" s="244" t="s">
        <v>203</v>
      </c>
      <c r="C16" s="97" t="s">
        <v>160</v>
      </c>
      <c r="D16" s="107">
        <v>100</v>
      </c>
      <c r="E16" s="177">
        <f t="shared" si="7"/>
        <v>21.407116692830986</v>
      </c>
      <c r="F16" s="276">
        <v>1</v>
      </c>
      <c r="G16" s="101">
        <f t="shared" si="0"/>
        <v>2140.7116692830987</v>
      </c>
      <c r="H16" s="187">
        <f t="shared" si="1"/>
        <v>2140.7116692830987</v>
      </c>
      <c r="I16" s="65">
        <f>VLOOKUP(B16,All_Ingredients!$A$1:$F$156,6,FALSE())</f>
        <v>1</v>
      </c>
      <c r="J16" s="101">
        <f>VLOOKUP(B16,All_Ingredients!$A$1:$J$156,10,FALSE())</f>
        <v>0</v>
      </c>
      <c r="K16" s="104">
        <f t="shared" si="8"/>
        <v>2.1407116692830988</v>
      </c>
      <c r="L16" s="104">
        <f t="shared" si="9"/>
        <v>0</v>
      </c>
    </row>
    <row r="17" spans="1:32" ht="14.25" customHeight="1" x14ac:dyDescent="0.25">
      <c r="A17" s="1471"/>
      <c r="B17" s="244" t="s">
        <v>107</v>
      </c>
      <c r="C17" s="97" t="s">
        <v>14</v>
      </c>
      <c r="D17" s="107">
        <v>5</v>
      </c>
      <c r="E17" s="177">
        <f t="shared" si="7"/>
        <v>21.407116692830986</v>
      </c>
      <c r="F17" s="276">
        <v>1</v>
      </c>
      <c r="G17" s="101">
        <f t="shared" si="0"/>
        <v>107.03558346415493</v>
      </c>
      <c r="H17" s="187">
        <f t="shared" si="1"/>
        <v>107.03558346415493</v>
      </c>
      <c r="I17" s="65">
        <f>VLOOKUP(B17,All_Ingredients!$A$1:$F$156,6,FALSE())</f>
        <v>1</v>
      </c>
      <c r="J17" s="101">
        <f>VLOOKUP(B17,All_Ingredients!$A$1:$J$156,10,FALSE())</f>
        <v>8</v>
      </c>
      <c r="K17" s="104">
        <f t="shared" si="8"/>
        <v>0.10703558346415493</v>
      </c>
      <c r="L17" s="104">
        <f t="shared" si="9"/>
        <v>0.85628466771323941</v>
      </c>
    </row>
    <row r="18" spans="1:32" ht="14.25" customHeight="1" x14ac:dyDescent="0.25">
      <c r="A18" s="1471"/>
      <c r="B18" s="244" t="s">
        <v>837</v>
      </c>
      <c r="C18" s="97" t="s">
        <v>14</v>
      </c>
      <c r="D18" s="107">
        <v>1</v>
      </c>
      <c r="E18" s="177">
        <f t="shared" si="7"/>
        <v>21.407116692830986</v>
      </c>
      <c r="F18" s="276">
        <v>1</v>
      </c>
      <c r="G18" s="101">
        <f t="shared" si="0"/>
        <v>21.407116692830986</v>
      </c>
      <c r="H18" s="187">
        <f t="shared" si="1"/>
        <v>21.407116692830986</v>
      </c>
      <c r="I18" s="65">
        <f>VLOOKUP(B18,All_Ingredients!$A$1:$F$156,6,FALSE())</f>
        <v>1</v>
      </c>
      <c r="J18" s="101">
        <f>VLOOKUP(B18,All_Ingredients!$A$1:$J$156,10,FALSE())</f>
        <v>22.5</v>
      </c>
      <c r="K18" s="104">
        <f t="shared" si="8"/>
        <v>2.1407116692830987E-2</v>
      </c>
      <c r="L18" s="104">
        <f t="shared" si="9"/>
        <v>0.4816601255886972</v>
      </c>
    </row>
    <row r="19" spans="1:32" ht="14.25" customHeight="1" x14ac:dyDescent="0.25">
      <c r="A19" s="1471"/>
      <c r="B19" s="244" t="s">
        <v>93</v>
      </c>
      <c r="C19" s="97" t="s">
        <v>14</v>
      </c>
      <c r="D19" s="107">
        <v>5</v>
      </c>
      <c r="E19" s="177">
        <f t="shared" si="7"/>
        <v>21.407116692830986</v>
      </c>
      <c r="F19" s="276">
        <v>0.75</v>
      </c>
      <c r="G19" s="101">
        <f t="shared" si="0"/>
        <v>107.03558346415493</v>
      </c>
      <c r="H19" s="187">
        <f t="shared" si="1"/>
        <v>80.276687598116197</v>
      </c>
      <c r="I19" s="65">
        <f>VLOOKUP(B19,All_Ingredients!$A$1:$F$156,6,FALSE())</f>
        <v>1</v>
      </c>
      <c r="J19" s="101">
        <f>VLOOKUP(B19,All_Ingredients!$A$1:$J$156,10,FALSE())</f>
        <v>0.74</v>
      </c>
      <c r="K19" s="104">
        <f t="shared" si="8"/>
        <v>8.0276687598116195E-2</v>
      </c>
      <c r="L19" s="104">
        <f t="shared" si="9"/>
        <v>5.9404748822605984E-2</v>
      </c>
    </row>
    <row r="20" spans="1:32" ht="14.25" customHeight="1" x14ac:dyDescent="0.25">
      <c r="A20" s="1471"/>
      <c r="B20" s="244" t="s">
        <v>152</v>
      </c>
      <c r="C20" s="97" t="s">
        <v>14</v>
      </c>
      <c r="D20" s="107">
        <v>40</v>
      </c>
      <c r="E20" s="177">
        <f t="shared" si="7"/>
        <v>21.407116692830986</v>
      </c>
      <c r="F20" s="276">
        <v>1</v>
      </c>
      <c r="G20" s="101">
        <f t="shared" si="0"/>
        <v>856.2846677132394</v>
      </c>
      <c r="H20" s="187">
        <f t="shared" si="1"/>
        <v>856.2846677132394</v>
      </c>
      <c r="I20" s="65">
        <f>VLOOKUP(B20,All_Ingredients!$A$1:$F$156,6,FALSE())</f>
        <v>1</v>
      </c>
      <c r="J20" s="101">
        <f>VLOOKUP(B20,All_Ingredients!$A$1:$J$156,10,FALSE())</f>
        <v>30</v>
      </c>
      <c r="K20" s="104">
        <f t="shared" si="8"/>
        <v>0.85628466771323941</v>
      </c>
      <c r="L20" s="104">
        <f t="shared" si="9"/>
        <v>25.688540031397181</v>
      </c>
    </row>
    <row r="21" spans="1:32" ht="14.25" customHeight="1" x14ac:dyDescent="0.25">
      <c r="A21" s="1471"/>
      <c r="B21" s="20" t="s">
        <v>698</v>
      </c>
      <c r="C21" s="97" t="s">
        <v>14</v>
      </c>
      <c r="D21" s="107">
        <v>20</v>
      </c>
      <c r="E21" s="177">
        <f t="shared" si="7"/>
        <v>21.407116692830986</v>
      </c>
      <c r="F21" s="276">
        <v>1</v>
      </c>
      <c r="G21" s="101">
        <f t="shared" si="0"/>
        <v>428.1423338566197</v>
      </c>
      <c r="H21" s="187">
        <f t="shared" si="1"/>
        <v>428.1423338566197</v>
      </c>
      <c r="I21" s="65">
        <f>VLOOKUP(B21,All_Ingredients!$A$1:$F$156,6,FALSE())</f>
        <v>1</v>
      </c>
      <c r="J21" s="101">
        <f>VLOOKUP(B21,All_Ingredients!$A$1:$J$156,10,FALSE())</f>
        <v>8.1520833333333336</v>
      </c>
      <c r="K21" s="104">
        <f t="shared" si="8"/>
        <v>0.42814233385661971</v>
      </c>
      <c r="L21" s="104">
        <f t="shared" si="9"/>
        <v>3.4902519841269855</v>
      </c>
    </row>
    <row r="22" spans="1:32" ht="14.25" customHeight="1" x14ac:dyDescent="0.25">
      <c r="A22" s="1471"/>
      <c r="B22" s="20" t="s">
        <v>163</v>
      </c>
      <c r="C22" s="97" t="s">
        <v>14</v>
      </c>
      <c r="D22" s="107">
        <v>100</v>
      </c>
      <c r="E22" s="177">
        <f t="shared" si="7"/>
        <v>21.407116692830986</v>
      </c>
      <c r="F22" s="276">
        <v>1</v>
      </c>
      <c r="G22" s="101">
        <f t="shared" si="0"/>
        <v>2140.7116692830987</v>
      </c>
      <c r="H22" s="187">
        <f t="shared" si="1"/>
        <v>2140.7116692830987</v>
      </c>
      <c r="I22" s="65">
        <f>VLOOKUP(B22,All_Ingredients!$A$1:$F$156,6,FALSE())</f>
        <v>1</v>
      </c>
      <c r="J22" s="101">
        <f>VLOOKUP(B22,All_Ingredients!$A$1:$J$156,10,FALSE())</f>
        <v>6.6959999999999997</v>
      </c>
      <c r="K22" s="104">
        <f t="shared" si="8"/>
        <v>2.1407116692830988</v>
      </c>
      <c r="L22" s="104">
        <f t="shared" si="9"/>
        <v>14.334205337519629</v>
      </c>
      <c r="M22" s="112"/>
      <c r="N22" s="112"/>
    </row>
    <row r="23" spans="1:32" ht="14.25" customHeight="1" x14ac:dyDescent="0.25">
      <c r="A23" s="1475"/>
      <c r="B23" s="413" t="s">
        <v>118</v>
      </c>
      <c r="C23" s="529" t="s">
        <v>14</v>
      </c>
      <c r="D23" s="545">
        <v>5</v>
      </c>
      <c r="E23" s="391">
        <f t="shared" si="7"/>
        <v>21.407116692830986</v>
      </c>
      <c r="F23" s="546">
        <v>0.75</v>
      </c>
      <c r="G23" s="422">
        <f t="shared" si="0"/>
        <v>107.03558346415493</v>
      </c>
      <c r="H23" s="532">
        <f t="shared" si="1"/>
        <v>80.276687598116197</v>
      </c>
      <c r="I23" s="65">
        <f>VLOOKUP(B23,All_Ingredients!$A$1:$F$156,6,FALSE())</f>
        <v>1</v>
      </c>
      <c r="J23" s="101">
        <f>VLOOKUP(B23,All_Ingredients!$A$1:$J$156,10,FALSE())</f>
        <v>15</v>
      </c>
      <c r="K23" s="104">
        <f t="shared" si="8"/>
        <v>8.0276687598116195E-2</v>
      </c>
      <c r="L23" s="104">
        <f t="shared" si="9"/>
        <v>1.2041503139717429</v>
      </c>
      <c r="M23" s="112"/>
      <c r="N23" s="112"/>
      <c r="P23"/>
    </row>
    <row r="24" spans="1:32" ht="14.25" customHeight="1" x14ac:dyDescent="0.25">
      <c r="A24" s="1476"/>
      <c r="B24" s="105" t="s">
        <v>187</v>
      </c>
      <c r="C24" s="106" t="s">
        <v>14</v>
      </c>
      <c r="D24" s="111">
        <v>20</v>
      </c>
      <c r="E24" s="108">
        <f t="shared" si="7"/>
        <v>21.407116692830986</v>
      </c>
      <c r="F24" s="109">
        <v>1</v>
      </c>
      <c r="G24" s="101">
        <f t="shared" si="0"/>
        <v>428.1423338566197</v>
      </c>
      <c r="H24" s="102">
        <f t="shared" si="1"/>
        <v>428.1423338566197</v>
      </c>
      <c r="I24" s="65">
        <f>VLOOKUP(B24,All_Ingredients!$A$1:$F$156,6,FALSE())</f>
        <v>0.9</v>
      </c>
      <c r="J24" s="103">
        <f>VLOOKUP(B24,All_Ingredients!$A$1:$J$156,10,FALSE())</f>
        <v>2.3199999999999998</v>
      </c>
      <c r="K24" s="104">
        <f t="shared" si="8"/>
        <v>0.47571370428513299</v>
      </c>
      <c r="L24" s="104">
        <f t="shared" si="9"/>
        <v>1.1036557939415084</v>
      </c>
      <c r="M24" s="112"/>
      <c r="N24" s="112"/>
      <c r="Z24" s="1073"/>
    </row>
    <row r="25" spans="1:32" ht="14.25" customHeight="1" x14ac:dyDescent="0.25">
      <c r="A25" s="1472"/>
      <c r="B25" s="325"/>
      <c r="C25" s="228"/>
      <c r="D25" s="192"/>
      <c r="E25" s="273"/>
      <c r="F25" s="498"/>
      <c r="G25" s="118"/>
      <c r="H25" s="499"/>
      <c r="I25" s="76"/>
      <c r="J25" s="120"/>
      <c r="K25" s="76"/>
      <c r="L25" s="118"/>
      <c r="M25" s="112"/>
      <c r="N25" s="112"/>
      <c r="R25" s="1640" t="s">
        <v>463</v>
      </c>
      <c r="S25" s="1633"/>
      <c r="T25" s="1633"/>
      <c r="U25" s="1633"/>
      <c r="V25" s="997"/>
      <c r="Z25" s="122" t="s">
        <v>252</v>
      </c>
      <c r="AA25" s="123">
        <v>200</v>
      </c>
      <c r="AB25" s="122" t="s">
        <v>249</v>
      </c>
      <c r="AC25" s="1195">
        <f>(AA25*(4/3))*AF30+(AA30*(AB28/R1))</f>
        <v>6.3489859649203524</v>
      </c>
    </row>
    <row r="26" spans="1:32" ht="14.25" customHeight="1" x14ac:dyDescent="0.25">
      <c r="A26" s="1472"/>
      <c r="I26" s="76"/>
      <c r="J26" s="120"/>
      <c r="K26" s="76"/>
      <c r="L26" s="118"/>
      <c r="M26" s="112"/>
      <c r="N26" s="112"/>
      <c r="R26" s="1638" t="s">
        <v>253</v>
      </c>
      <c r="S26" s="1639"/>
      <c r="T26" s="1639"/>
      <c r="U26" s="1639"/>
      <c r="V26" s="997"/>
    </row>
    <row r="27" spans="1:32" ht="14.25" customHeight="1" thickBot="1" x14ac:dyDescent="0.3">
      <c r="A27" s="1472"/>
      <c r="I27" s="76"/>
      <c r="J27" s="120"/>
      <c r="K27" s="76"/>
      <c r="L27" s="118"/>
      <c r="M27" s="112"/>
      <c r="N27" s="112"/>
      <c r="R27" s="126" t="s">
        <v>254</v>
      </c>
      <c r="S27" s="127" t="s">
        <v>255</v>
      </c>
      <c r="T27" s="127" t="s">
        <v>256</v>
      </c>
      <c r="U27" s="127" t="s">
        <v>257</v>
      </c>
      <c r="V27" s="127" t="s">
        <v>772</v>
      </c>
      <c r="W27" s="127" t="s">
        <v>779</v>
      </c>
      <c r="Z27" s="122" t="s">
        <v>258</v>
      </c>
      <c r="AA27" s="1031" t="s">
        <v>312</v>
      </c>
      <c r="AB27" s="128" t="s">
        <v>259</v>
      </c>
      <c r="AC27" s="128" t="s">
        <v>260</v>
      </c>
      <c r="AD27" s="128" t="s">
        <v>261</v>
      </c>
      <c r="AE27" s="1032" t="s">
        <v>779</v>
      </c>
      <c r="AF27" s="128" t="s">
        <v>262</v>
      </c>
    </row>
    <row r="28" spans="1:32" ht="14.25" customHeight="1" thickBot="1" x14ac:dyDescent="0.3">
      <c r="A28" s="1472"/>
      <c r="I28" s="76"/>
      <c r="J28" s="120"/>
      <c r="K28" s="76"/>
      <c r="L28" s="118"/>
      <c r="M28" s="112"/>
      <c r="N28" s="112"/>
      <c r="R28" s="129" t="s">
        <v>263</v>
      </c>
      <c r="S28" s="690">
        <f>U28*S40</f>
        <v>28223.076923076915</v>
      </c>
      <c r="T28" s="690">
        <f>U28*U40</f>
        <v>8466.9230769230853</v>
      </c>
      <c r="U28" s="696">
        <f>Z1</f>
        <v>36690</v>
      </c>
      <c r="V28" s="130">
        <f>SUM(AP6:AP12)</f>
        <v>4039.0182529335061</v>
      </c>
      <c r="W28" s="130">
        <f>SUM(H37:H38)</f>
        <v>271.77999999999997</v>
      </c>
      <c r="Z28" s="132"/>
      <c r="AA28" s="1034"/>
      <c r="AB28" s="133">
        <f>AA25*$S$40</f>
        <v>153.84615384615381</v>
      </c>
      <c r="AC28" s="133">
        <f>AA25*$U$40</f>
        <v>46.153846153846203</v>
      </c>
      <c r="AD28" s="134">
        <f>AA25*(1/3)</f>
        <v>66.666666666666657</v>
      </c>
      <c r="AE28" s="1034"/>
      <c r="AF28" s="135">
        <f>SUM(AB28:AD28)</f>
        <v>266.66666666666663</v>
      </c>
    </row>
    <row r="29" spans="1:32" ht="14.25" customHeight="1" thickBot="1" x14ac:dyDescent="0.3">
      <c r="A29" s="1472"/>
      <c r="B29" s="325"/>
      <c r="C29" s="228"/>
      <c r="D29" s="192"/>
      <c r="E29" s="273"/>
      <c r="F29" s="498"/>
      <c r="G29" s="118"/>
      <c r="H29" s="499"/>
      <c r="I29" s="76"/>
      <c r="J29" s="120"/>
      <c r="K29" s="76"/>
      <c r="L29" s="118"/>
      <c r="M29" s="112"/>
      <c r="N29" s="112"/>
      <c r="R29" s="129" t="s">
        <v>264</v>
      </c>
      <c r="S29" s="136"/>
      <c r="T29" s="1147">
        <f>U28*(1/3)</f>
        <v>12230</v>
      </c>
      <c r="U29" s="690">
        <f>T29</f>
        <v>12230</v>
      </c>
      <c r="V29" s="130"/>
      <c r="W29" s="130"/>
      <c r="Z29" s="132"/>
      <c r="AA29" s="1038"/>
      <c r="AB29" s="137">
        <f>AB28/$AF$28</f>
        <v>0.57692307692307687</v>
      </c>
      <c r="AC29" s="137">
        <f>AC28/$AF$28</f>
        <v>0.17307692307692329</v>
      </c>
      <c r="AD29" s="137">
        <f>AD28/$AF$28</f>
        <v>0.25</v>
      </c>
      <c r="AE29" s="1038"/>
      <c r="AF29" s="137">
        <f>AF28/$AF$28</f>
        <v>1</v>
      </c>
    </row>
    <row r="30" spans="1:32" ht="14.25" customHeight="1" thickBot="1" x14ac:dyDescent="0.3">
      <c r="A30" s="1472"/>
      <c r="I30" s="76"/>
      <c r="J30" s="120"/>
      <c r="K30" s="76"/>
      <c r="L30" s="118"/>
      <c r="M30" s="112"/>
      <c r="N30" s="112"/>
      <c r="R30" s="129" t="s">
        <v>265</v>
      </c>
      <c r="S30" s="1162">
        <f>U30*S40</f>
        <v>384.61538461538453</v>
      </c>
      <c r="T30" s="690">
        <f>(U30*U40)+(U30*(1/3))</f>
        <v>282.05128205128216</v>
      </c>
      <c r="U30" s="696">
        <f>AB1</f>
        <v>500</v>
      </c>
      <c r="V30" s="989"/>
      <c r="W30" s="989"/>
      <c r="Z30" s="122" t="s">
        <v>266</v>
      </c>
      <c r="AA30" s="1042">
        <f>V35/(S32/R1)</f>
        <v>5.574344454799627E-4</v>
      </c>
      <c r="AB30" s="138">
        <f>S35/(S32)</f>
        <v>3.3701221915648408E-2</v>
      </c>
      <c r="AC30" s="139">
        <f>T35/T32</f>
        <v>8.9324988280912072E-3</v>
      </c>
      <c r="AD30" s="139">
        <f>T35/T32</f>
        <v>8.9324988280912072E-3</v>
      </c>
      <c r="AE30" s="1045">
        <f>W35/U32</f>
        <v>4.1471290876372891E-5</v>
      </c>
      <c r="AF30" s="1047">
        <f>SUMPRODUCT(AB30:AD30,AB29:AD29)+AE30</f>
        <v>2.3263618054096734E-2</v>
      </c>
    </row>
    <row r="31" spans="1:32" ht="14.25" customHeight="1" thickBot="1" x14ac:dyDescent="0.3">
      <c r="A31" s="1472"/>
      <c r="I31" s="76"/>
      <c r="J31" s="120"/>
      <c r="K31" s="76"/>
      <c r="L31" s="118"/>
      <c r="M31" s="112"/>
      <c r="N31" s="112"/>
      <c r="R31" s="129" t="s">
        <v>267</v>
      </c>
      <c r="S31" s="136"/>
      <c r="T31" s="130"/>
      <c r="U31" s="130"/>
      <c r="V31" s="130"/>
      <c r="W31" s="130"/>
    </row>
    <row r="32" spans="1:32" ht="14.25" customHeight="1" thickBot="1" x14ac:dyDescent="0.3">
      <c r="A32" s="1472"/>
      <c r="I32" s="76"/>
      <c r="J32" s="120"/>
      <c r="K32" s="76"/>
      <c r="L32" s="118"/>
      <c r="M32" s="112"/>
      <c r="N32" s="112"/>
      <c r="R32" s="141" t="s">
        <v>257</v>
      </c>
      <c r="S32" s="130">
        <f>SUM(S28:S30)</f>
        <v>28607.692307692298</v>
      </c>
      <c r="T32" s="130">
        <f>SUM(T28:T30)</f>
        <v>20978.974358974367</v>
      </c>
      <c r="U32" s="130">
        <f>SUM(S32:T32)</f>
        <v>49586.666666666664</v>
      </c>
      <c r="V32" s="130"/>
      <c r="W32" s="130">
        <f>SUM(W28:W30)</f>
        <v>271.77999999999997</v>
      </c>
    </row>
    <row r="33" spans="1:23" ht="14.25" customHeight="1" thickBot="1" x14ac:dyDescent="0.3">
      <c r="A33" s="1472"/>
      <c r="I33" s="76"/>
      <c r="J33" s="120"/>
      <c r="K33" s="76"/>
      <c r="L33" s="118"/>
      <c r="M33" s="112"/>
      <c r="N33" s="112"/>
      <c r="S33" s="152"/>
      <c r="T33" s="152"/>
      <c r="U33" s="152"/>
      <c r="V33" s="136"/>
      <c r="W33" s="136"/>
    </row>
    <row r="34" spans="1:23" ht="14.25" customHeight="1" thickBot="1" x14ac:dyDescent="0.3">
      <c r="A34" s="1472"/>
      <c r="I34" s="76"/>
      <c r="J34" s="120"/>
      <c r="K34" s="76"/>
      <c r="L34" s="118"/>
      <c r="M34" s="112"/>
      <c r="N34" s="112"/>
      <c r="R34" s="143"/>
      <c r="S34" s="136"/>
      <c r="T34" s="130"/>
      <c r="U34" s="136"/>
      <c r="V34" s="136"/>
      <c r="W34" s="136"/>
    </row>
    <row r="35" spans="1:23" ht="14.25" customHeight="1" thickBot="1" x14ac:dyDescent="0.3">
      <c r="A35" s="1472"/>
      <c r="B35" s="1641" t="s">
        <v>670</v>
      </c>
      <c r="C35" s="1641"/>
      <c r="D35" s="1641"/>
      <c r="E35" s="1641"/>
      <c r="F35" s="1641"/>
      <c r="G35" s="803"/>
      <c r="H35" s="803"/>
      <c r="I35" s="803"/>
      <c r="J35" s="803"/>
      <c r="K35" s="803"/>
      <c r="L35" s="803"/>
      <c r="M35" s="112"/>
      <c r="N35" s="112"/>
      <c r="R35" s="144" t="s">
        <v>249</v>
      </c>
      <c r="S35" s="990">
        <f>$L$5</f>
        <v>964.1141869561261</v>
      </c>
      <c r="T35" s="990">
        <f>SUM(L6:L23)</f>
        <v>187.394663876094</v>
      </c>
      <c r="U35" s="990">
        <f>S35+T35+V35+W35</f>
        <v>1180.5939401769394</v>
      </c>
      <c r="V35" s="990">
        <f>SUM(AT6:AT12)</f>
        <v>27.028666267796357</v>
      </c>
      <c r="W35" s="130">
        <f>SUM(L37:L38)</f>
        <v>2.0564230769230769</v>
      </c>
    </row>
    <row r="36" spans="1:23" ht="14.25" customHeight="1" x14ac:dyDescent="0.25">
      <c r="A36" s="1472"/>
      <c r="B36" s="776" t="s">
        <v>241</v>
      </c>
      <c r="C36" s="776" t="s">
        <v>317</v>
      </c>
      <c r="D36" s="778" t="s">
        <v>622</v>
      </c>
      <c r="E36" s="775" t="s">
        <v>623</v>
      </c>
      <c r="F36" s="778" t="s">
        <v>624</v>
      </c>
      <c r="G36" s="797"/>
      <c r="H36" s="778" t="s">
        <v>624</v>
      </c>
      <c r="I36" s="778" t="s">
        <v>246</v>
      </c>
      <c r="J36" s="778" t="s">
        <v>247</v>
      </c>
      <c r="K36" s="778" t="s">
        <v>248</v>
      </c>
      <c r="L36" s="778" t="s">
        <v>249</v>
      </c>
      <c r="M36" s="112"/>
      <c r="N36" s="112"/>
    </row>
    <row r="37" spans="1:23" ht="14.25" customHeight="1" x14ac:dyDescent="0.25">
      <c r="A37" s="1472"/>
      <c r="B37" s="772" t="s">
        <v>686</v>
      </c>
      <c r="C37" s="773" t="s">
        <v>14</v>
      </c>
      <c r="D37" s="774">
        <v>7.0000000000000007E-2</v>
      </c>
      <c r="E37" s="772">
        <f>$AD$1</f>
        <v>254</v>
      </c>
      <c r="F37" s="772">
        <f>D37*E37</f>
        <v>17.78</v>
      </c>
      <c r="G37" s="796"/>
      <c r="H37" s="772">
        <f>F37</f>
        <v>17.78</v>
      </c>
      <c r="I37" s="772">
        <f>VLOOKUP(B37,All_Ingredients!$A$1:$F$156,6,FALSE())</f>
        <v>0.65</v>
      </c>
      <c r="J37" s="772">
        <f>VLOOKUP(B37,All_Ingredients!$A$1:$J$156,10,FALSE())</f>
        <v>45</v>
      </c>
      <c r="K37" s="772">
        <f>(H37/I37)/1000</f>
        <v>2.7353846153846156E-2</v>
      </c>
      <c r="L37" s="772">
        <f>K37*J37</f>
        <v>1.230923076923077</v>
      </c>
      <c r="M37" s="112"/>
      <c r="N37" s="112"/>
    </row>
    <row r="38" spans="1:23" ht="14.25" customHeight="1" x14ac:dyDescent="0.25">
      <c r="A38" s="1472"/>
      <c r="B38" s="772" t="s">
        <v>19</v>
      </c>
      <c r="C38" s="773" t="s">
        <v>14</v>
      </c>
      <c r="D38" s="774">
        <v>1</v>
      </c>
      <c r="E38" s="772">
        <f>$AD$1</f>
        <v>254</v>
      </c>
      <c r="F38" s="772">
        <f>D38*E38</f>
        <v>254</v>
      </c>
      <c r="G38" s="796"/>
      <c r="H38" s="772">
        <f>F38</f>
        <v>254</v>
      </c>
      <c r="I38" s="772">
        <f>VLOOKUP(B38,All_Ingredients!$A$1:$F$156,6,FALSE())</f>
        <v>0.8</v>
      </c>
      <c r="J38" s="772">
        <f>VLOOKUP(B38,All_Ingredients!$A$1:$J$156,10,FALSE())</f>
        <v>2.6</v>
      </c>
      <c r="K38" s="772">
        <f>(H38/I38)/1000</f>
        <v>0.3175</v>
      </c>
      <c r="L38" s="772">
        <f>K38*J38</f>
        <v>0.82550000000000001</v>
      </c>
      <c r="M38" s="112"/>
      <c r="N38" s="112"/>
    </row>
    <row r="39" spans="1:23" ht="14.25" customHeight="1" x14ac:dyDescent="0.25">
      <c r="A39" s="1472"/>
      <c r="B39" s="325"/>
      <c r="C39" s="228"/>
      <c r="D39" s="192"/>
      <c r="E39" s="273"/>
      <c r="F39" s="498"/>
      <c r="G39" s="118"/>
      <c r="H39" s="499"/>
      <c r="I39" s="76"/>
      <c r="J39" s="120"/>
      <c r="K39" s="76"/>
      <c r="L39" s="118"/>
      <c r="M39" s="112"/>
      <c r="N39" s="112"/>
    </row>
    <row r="40" spans="1:23" ht="15.75" customHeight="1" x14ac:dyDescent="0.25">
      <c r="A40" s="1472"/>
      <c r="B40" s="325"/>
      <c r="C40" s="228"/>
      <c r="D40" s="192"/>
      <c r="E40" s="273"/>
      <c r="F40" s="498"/>
      <c r="G40" s="118"/>
      <c r="H40" s="499"/>
      <c r="I40" s="76"/>
      <c r="J40" s="120"/>
      <c r="K40" s="76"/>
      <c r="L40" s="118"/>
      <c r="M40" s="112"/>
      <c r="N40" s="112"/>
      <c r="R40" s="146" t="s">
        <v>270</v>
      </c>
      <c r="S40" s="147">
        <v>0.76923076923076905</v>
      </c>
      <c r="T40" s="146" t="s">
        <v>271</v>
      </c>
      <c r="U40" s="148">
        <v>0.230769230769231</v>
      </c>
      <c r="V40" s="149">
        <f>S40+U40</f>
        <v>1</v>
      </c>
    </row>
    <row r="41" spans="1:23" ht="14.25" customHeight="1" x14ac:dyDescent="0.25">
      <c r="A41" s="1472"/>
      <c r="B41" s="325"/>
      <c r="C41" s="228"/>
      <c r="D41" s="192"/>
      <c r="E41" s="273"/>
      <c r="F41" s="498"/>
      <c r="G41" s="118"/>
      <c r="H41" s="499"/>
      <c r="I41" s="76"/>
      <c r="J41" s="120"/>
      <c r="K41" s="76"/>
      <c r="L41" s="118"/>
      <c r="M41" s="112"/>
      <c r="N41" s="112"/>
      <c r="U41" s="150"/>
    </row>
    <row r="42" spans="1:23" ht="14.25" customHeight="1" x14ac:dyDescent="0.25">
      <c r="A42" s="1472"/>
      <c r="B42" s="325"/>
      <c r="C42" s="228"/>
      <c r="D42" s="192"/>
      <c r="E42" s="273"/>
      <c r="F42" s="498"/>
      <c r="G42" s="118"/>
      <c r="H42" s="499"/>
      <c r="I42" s="76"/>
      <c r="J42" s="120"/>
      <c r="K42" s="76"/>
      <c r="L42" s="118"/>
      <c r="M42" s="112"/>
      <c r="N42" s="112"/>
    </row>
    <row r="43" spans="1:23" ht="14.25" customHeight="1" thickBot="1" x14ac:dyDescent="0.3">
      <c r="A43" s="1472"/>
      <c r="B43" s="325"/>
      <c r="C43" s="228"/>
      <c r="D43" s="192"/>
      <c r="E43" s="273"/>
      <c r="F43" s="498"/>
      <c r="G43" s="118"/>
      <c r="H43" s="499"/>
      <c r="I43" s="76"/>
      <c r="J43" s="120"/>
      <c r="K43" s="76"/>
      <c r="L43" s="118"/>
      <c r="M43" s="112"/>
      <c r="N43" s="112"/>
      <c r="Q43" s="151" t="s">
        <v>272</v>
      </c>
      <c r="R43" s="151" t="s">
        <v>273</v>
      </c>
      <c r="S43" s="151" t="s">
        <v>274</v>
      </c>
      <c r="T43" s="151" t="s">
        <v>275</v>
      </c>
      <c r="U43" s="151" t="s">
        <v>276</v>
      </c>
      <c r="V43" s="151" t="s">
        <v>277</v>
      </c>
      <c r="W43" s="151" t="s">
        <v>278</v>
      </c>
    </row>
    <row r="44" spans="1:23" ht="14.25" customHeight="1" thickBot="1" x14ac:dyDescent="0.3">
      <c r="A44" s="1472"/>
      <c r="B44" s="325"/>
      <c r="C44" s="228"/>
      <c r="D44" s="192"/>
      <c r="E44" s="273"/>
      <c r="F44" s="498"/>
      <c r="G44" s="118"/>
      <c r="H44" s="499"/>
      <c r="I44" s="76"/>
      <c r="J44" s="120"/>
      <c r="K44" s="76"/>
      <c r="L44" s="118"/>
      <c r="M44" s="112"/>
      <c r="N44" s="112"/>
      <c r="Q44" s="1182">
        <v>17728</v>
      </c>
      <c r="R44" s="154">
        <f>D51</f>
        <v>10000</v>
      </c>
      <c r="S44" s="1184">
        <v>0.40909090909090912</v>
      </c>
      <c r="T44" s="1184">
        <v>0.59090909090909094</v>
      </c>
      <c r="U44" s="220">
        <f>R44*S44</f>
        <v>4090.909090909091</v>
      </c>
      <c r="V44" s="157">
        <f>R44*T44</f>
        <v>5909.090909090909</v>
      </c>
      <c r="W44" s="157">
        <f>Q44-U44</f>
        <v>13637.090909090908</v>
      </c>
    </row>
    <row r="45" spans="1:23" ht="14.25" customHeight="1" x14ac:dyDescent="0.25">
      <c r="A45" s="1472"/>
      <c r="B45" s="325"/>
      <c r="C45" s="228"/>
      <c r="D45" s="192"/>
      <c r="E45" s="273"/>
      <c r="F45" s="498"/>
      <c r="G45" s="118"/>
      <c r="H45" s="499"/>
      <c r="I45" s="76"/>
      <c r="J45" s="120"/>
      <c r="K45" s="76"/>
      <c r="L45" s="118"/>
      <c r="M45" s="112"/>
      <c r="N45" s="112"/>
    </row>
    <row r="46" spans="1:23" ht="14.25" customHeight="1" x14ac:dyDescent="0.25">
      <c r="A46" s="1472"/>
      <c r="B46" s="325"/>
      <c r="C46" s="228"/>
      <c r="D46" s="192"/>
      <c r="E46" s="273"/>
      <c r="F46" s="498"/>
      <c r="G46" s="118"/>
      <c r="H46" s="499"/>
      <c r="I46" s="76"/>
      <c r="J46" s="120"/>
      <c r="K46" s="76"/>
      <c r="L46" s="118"/>
      <c r="M46" s="112"/>
      <c r="N46" s="112"/>
    </row>
    <row r="47" spans="1:23" ht="14.25" customHeight="1" x14ac:dyDescent="0.25">
      <c r="A47" s="1472"/>
      <c r="B47" s="325"/>
      <c r="C47" s="228"/>
      <c r="D47" s="192"/>
      <c r="E47" s="273"/>
      <c r="F47" s="498"/>
      <c r="G47" s="118"/>
      <c r="H47" s="499"/>
      <c r="I47" s="76"/>
      <c r="J47" s="120"/>
      <c r="K47" s="76"/>
      <c r="L47" s="118"/>
      <c r="M47" s="112"/>
      <c r="N47" s="112"/>
    </row>
    <row r="48" spans="1:23" ht="14.25" customHeight="1" x14ac:dyDescent="0.25">
      <c r="A48" s="1472"/>
      <c r="B48" s="325"/>
      <c r="C48" s="228"/>
      <c r="D48" s="192"/>
      <c r="E48" s="273"/>
      <c r="F48" s="498"/>
      <c r="G48" s="118"/>
      <c r="H48" s="499"/>
      <c r="I48" s="76"/>
      <c r="J48" s="120"/>
      <c r="K48" s="76"/>
      <c r="L48" s="118"/>
      <c r="M48" s="112"/>
      <c r="N48" s="112"/>
    </row>
    <row r="49" spans="1:14" ht="14.25" customHeight="1" x14ac:dyDescent="0.25">
      <c r="A49" s="1472"/>
      <c r="B49" s="325"/>
      <c r="C49" s="228"/>
      <c r="D49" s="192"/>
      <c r="E49" s="273"/>
      <c r="F49" s="498"/>
      <c r="G49" s="118"/>
      <c r="H49" s="499"/>
      <c r="I49" s="76"/>
      <c r="J49" s="120"/>
      <c r="K49" s="76"/>
      <c r="L49" s="118"/>
      <c r="M49" s="112"/>
      <c r="N49" s="112"/>
    </row>
    <row r="50" spans="1:14" ht="14.25" customHeight="1" x14ac:dyDescent="0.25">
      <c r="A50" s="1472"/>
      <c r="B50" s="547"/>
      <c r="C50" s="159" t="s">
        <v>233</v>
      </c>
      <c r="D50" s="159" t="s">
        <v>279</v>
      </c>
      <c r="E50" s="84"/>
      <c r="F50" s="84"/>
      <c r="G50" s="159" t="s">
        <v>280</v>
      </c>
      <c r="H50" s="159" t="s">
        <v>233</v>
      </c>
      <c r="I50" s="159" t="s">
        <v>281</v>
      </c>
      <c r="J50" s="159" t="s">
        <v>282</v>
      </c>
      <c r="K50" s="76"/>
      <c r="L50" s="118"/>
      <c r="M50" s="112"/>
      <c r="N50" s="112"/>
    </row>
    <row r="51" spans="1:14" ht="14.25" customHeight="1" x14ac:dyDescent="0.25">
      <c r="A51" s="1472"/>
      <c r="B51" s="161" t="s">
        <v>283</v>
      </c>
      <c r="C51" s="162">
        <f>10/$K$1</f>
        <v>10.204081632653061</v>
      </c>
      <c r="D51" s="163">
        <f>$C$1*10</f>
        <v>10000</v>
      </c>
      <c r="E51" s="164"/>
      <c r="F51" s="84"/>
      <c r="G51" s="161" t="s">
        <v>283</v>
      </c>
      <c r="H51" s="254">
        <f>I51/$D$5</f>
        <v>10</v>
      </c>
      <c r="I51" s="162">
        <f>J51/$R$1</f>
        <v>23113.713405238828</v>
      </c>
      <c r="J51" s="162">
        <f>$W$44</f>
        <v>13637.090909090908</v>
      </c>
      <c r="K51" s="76"/>
      <c r="L51" s="118"/>
      <c r="M51" s="112"/>
      <c r="N51" s="112"/>
    </row>
    <row r="52" spans="1:14" ht="14.25" customHeight="1" x14ac:dyDescent="0.25">
      <c r="A52" s="1472"/>
      <c r="B52" s="209" t="s">
        <v>262</v>
      </c>
      <c r="C52" s="210">
        <f>$I$1</f>
        <v>21.407116692830986</v>
      </c>
      <c r="D52" s="211">
        <f>$E$1</f>
        <v>20978.974358974367</v>
      </c>
      <c r="E52" s="84"/>
      <c r="F52" s="84"/>
      <c r="G52" s="129" t="s">
        <v>262</v>
      </c>
      <c r="H52" s="190">
        <f>I52/$D$5</f>
        <v>20.977855540012222</v>
      </c>
      <c r="I52" s="157">
        <f>J52/$R$1</f>
        <v>48487.614080834406</v>
      </c>
      <c r="J52" s="165">
        <f>$S$32</f>
        <v>28607.692307692298</v>
      </c>
      <c r="K52" s="76"/>
      <c r="L52" s="118"/>
      <c r="M52" s="112"/>
      <c r="N52" s="112"/>
    </row>
    <row r="53" spans="1:14" ht="14.25" customHeight="1" x14ac:dyDescent="0.25">
      <c r="A53" s="1472"/>
      <c r="B53" s="209" t="s">
        <v>284</v>
      </c>
      <c r="C53" s="212">
        <f>MIN(C52, C51)</f>
        <v>10.204081632653061</v>
      </c>
      <c r="D53" s="211">
        <f>(C53*$K$1)*$C$1</f>
        <v>10000</v>
      </c>
      <c r="E53" s="84"/>
      <c r="F53" s="84"/>
      <c r="G53" s="129" t="s">
        <v>284</v>
      </c>
      <c r="H53" s="168">
        <f>MIN(H52,H51)</f>
        <v>10</v>
      </c>
      <c r="I53" s="157">
        <f>J53/$R$1</f>
        <v>23113.713405238828</v>
      </c>
      <c r="J53" s="157">
        <f>MIN(J52,J51)</f>
        <v>13637.090909090908</v>
      </c>
      <c r="L53" s="274"/>
    </row>
    <row r="54" spans="1:14" ht="14.25" customHeight="1" x14ac:dyDescent="0.25">
      <c r="A54" s="1472"/>
      <c r="B54" s="209" t="s">
        <v>285</v>
      </c>
      <c r="C54" s="212">
        <f>MIN(MAX(C52-C53,0),C51)</f>
        <v>10.204081632653061</v>
      </c>
      <c r="D54" s="211">
        <f>(C54*$K$1)*$C$1</f>
        <v>10000</v>
      </c>
      <c r="E54" s="84"/>
      <c r="F54" s="84"/>
      <c r="G54" s="129" t="s">
        <v>285</v>
      </c>
      <c r="H54" s="168">
        <f>MIN(MAX(H52-H53),H51)</f>
        <v>10</v>
      </c>
      <c r="I54" s="157">
        <f>J54/$R$1</f>
        <v>23113.713405238828</v>
      </c>
      <c r="J54" s="157">
        <f>MIN(MAX(J52-J53),J51)</f>
        <v>13637.090909090908</v>
      </c>
      <c r="L54" s="274"/>
    </row>
    <row r="55" spans="1:14" ht="14.25" customHeight="1" x14ac:dyDescent="0.25">
      <c r="A55" s="1472"/>
      <c r="B55" s="209" t="s">
        <v>286</v>
      </c>
      <c r="C55" s="212">
        <f>MIN(MAX(C52-C53-C54,0),C51)</f>
        <v>0.99895342752486371</v>
      </c>
      <c r="D55" s="211">
        <f>(C55*$K$1)*$C$1</f>
        <v>978.97435897436651</v>
      </c>
      <c r="E55" s="84"/>
      <c r="F55" s="84"/>
      <c r="G55" s="126" t="s">
        <v>286</v>
      </c>
      <c r="H55" s="168">
        <f>MIN(MAX(H52-H53-H54),H51)</f>
        <v>0.97785554001222152</v>
      </c>
      <c r="I55" s="157">
        <f>J55/$R$1</f>
        <v>2260.1872703567483</v>
      </c>
      <c r="J55" s="157">
        <f>MIN(MAX(J52-J53-J54),J51)</f>
        <v>1333.5104895104814</v>
      </c>
    </row>
    <row r="56" spans="1:14" ht="14.25" customHeight="1" x14ac:dyDescent="0.25">
      <c r="A56" s="1472"/>
    </row>
    <row r="57" spans="1:14" ht="14.25" customHeight="1" x14ac:dyDescent="0.25">
      <c r="A57" s="1472"/>
    </row>
    <row r="58" spans="1:14" ht="18" customHeight="1" x14ac:dyDescent="0.25">
      <c r="A58" s="1472"/>
    </row>
    <row r="59" spans="1:14" ht="18" customHeight="1" x14ac:dyDescent="0.25">
      <c r="A59" s="1472"/>
      <c r="B59" s="548"/>
      <c r="C59" s="296"/>
      <c r="D59" s="362"/>
      <c r="E59" s="84"/>
      <c r="F59" s="84"/>
    </row>
    <row r="60" spans="1:14" ht="14.25" customHeight="1" x14ac:dyDescent="0.25">
      <c r="A60" s="1472"/>
      <c r="B60" s="548"/>
      <c r="C60" s="296"/>
      <c r="D60" s="362"/>
      <c r="E60" s="84"/>
      <c r="F60" s="84"/>
    </row>
    <row r="61" spans="1:14" x14ac:dyDescent="0.25">
      <c r="A61" s="1472"/>
    </row>
    <row r="62" spans="1:14" ht="18" customHeight="1" x14ac:dyDescent="0.25">
      <c r="A62" s="1473"/>
      <c r="B62" s="1636" t="str">
        <f>"دجاج بالزنجبيل   1 / " &amp; COUNTIF($C$53:$C$55, "&gt;0")</f>
        <v>دجاج بالزنجبيل   1 / 3</v>
      </c>
      <c r="C62" s="1637"/>
      <c r="D62" s="1637"/>
      <c r="E62" s="1637"/>
      <c r="F62" s="1637"/>
      <c r="G62" s="1637"/>
      <c r="H62" s="1637"/>
    </row>
    <row r="63" spans="1:14" ht="18" customHeight="1" x14ac:dyDescent="0.25">
      <c r="A63" s="1473"/>
      <c r="B63" s="1634" t="str">
        <f>"Ginger Chicken  1 / " &amp; COUNTIF($C$53:$C$55, "&gt;0")</f>
        <v>Ginger Chicken  1 / 3</v>
      </c>
      <c r="C63" s="1635"/>
      <c r="D63" s="1635"/>
      <c r="E63" s="1635"/>
      <c r="F63" s="1635"/>
      <c r="G63" s="1635"/>
      <c r="H63" s="1635"/>
    </row>
    <row r="64" spans="1:14" ht="36" customHeight="1" x14ac:dyDescent="0.2">
      <c r="A64" s="1477"/>
      <c r="B64" s="550" t="s">
        <v>241</v>
      </c>
      <c r="C64" s="222" t="s">
        <v>242</v>
      </c>
      <c r="D64" s="223" t="s">
        <v>231</v>
      </c>
      <c r="E64" s="197" t="s">
        <v>234</v>
      </c>
      <c r="F64" s="197" t="s">
        <v>243</v>
      </c>
      <c r="G64" s="223" t="s">
        <v>244</v>
      </c>
      <c r="H64" s="197" t="s">
        <v>245</v>
      </c>
    </row>
    <row r="65" spans="1:8" ht="14.25" customHeight="1" x14ac:dyDescent="0.25">
      <c r="A65" s="1471"/>
      <c r="B65" s="244" t="str">
        <f t="shared" ref="B65:D84" si="14">B5</f>
        <v>Chicken - دجاج</v>
      </c>
      <c r="C65" s="249" t="str">
        <f t="shared" si="14"/>
        <v>gm</v>
      </c>
      <c r="D65" s="551">
        <f t="shared" si="14"/>
        <v>2311.3713405238827</v>
      </c>
      <c r="E65" s="403">
        <f>H53</f>
        <v>10</v>
      </c>
      <c r="F65" s="276">
        <f t="shared" ref="F65:F84" si="15">F5</f>
        <v>1</v>
      </c>
      <c r="G65" s="101">
        <f t="shared" ref="G65:G83" si="16">D65*E65</f>
        <v>23113.713405238828</v>
      </c>
      <c r="H65" s="187">
        <f t="shared" ref="H65:H83" si="17">G65*F65</f>
        <v>23113.713405238828</v>
      </c>
    </row>
    <row r="66" spans="1:8" ht="14.25" customHeight="1" x14ac:dyDescent="0.25">
      <c r="A66" s="1471"/>
      <c r="B66" s="244" t="str">
        <f t="shared" si="14"/>
        <v>Onion - بصل</v>
      </c>
      <c r="C66" s="249" t="str">
        <f t="shared" si="14"/>
        <v>gm</v>
      </c>
      <c r="D66" s="249">
        <f t="shared" si="14"/>
        <v>150</v>
      </c>
      <c r="E66" s="403">
        <f t="shared" ref="E66:E84" si="18">$C$53</f>
        <v>10.204081632653061</v>
      </c>
      <c r="F66" s="276">
        <f t="shared" si="15"/>
        <v>0.95</v>
      </c>
      <c r="G66" s="101">
        <f t="shared" si="16"/>
        <v>1530.612244897959</v>
      </c>
      <c r="H66" s="187">
        <f t="shared" si="17"/>
        <v>1454.081632653061</v>
      </c>
    </row>
    <row r="67" spans="1:8" ht="14.25" customHeight="1" x14ac:dyDescent="0.25">
      <c r="A67" s="1471"/>
      <c r="B67" s="244" t="str">
        <f t="shared" si="14"/>
        <v>Tomato - طماطم</v>
      </c>
      <c r="C67" s="249" t="str">
        <f t="shared" si="14"/>
        <v>gm</v>
      </c>
      <c r="D67" s="249">
        <f t="shared" si="14"/>
        <v>450</v>
      </c>
      <c r="E67" s="403">
        <f t="shared" si="18"/>
        <v>10.204081632653061</v>
      </c>
      <c r="F67" s="276">
        <f t="shared" si="15"/>
        <v>1</v>
      </c>
      <c r="G67" s="101">
        <f t="shared" si="16"/>
        <v>4591.8367346938776</v>
      </c>
      <c r="H67" s="187">
        <f t="shared" si="17"/>
        <v>4591.8367346938776</v>
      </c>
    </row>
    <row r="68" spans="1:8" ht="14.25" customHeight="1" x14ac:dyDescent="0.25">
      <c r="A68" s="1471"/>
      <c r="B68" s="244" t="str">
        <f t="shared" si="14"/>
        <v>Ginger - زنجبيل</v>
      </c>
      <c r="C68" s="249" t="str">
        <f t="shared" si="14"/>
        <v>gm</v>
      </c>
      <c r="D68" s="249">
        <f t="shared" si="14"/>
        <v>25</v>
      </c>
      <c r="E68" s="403">
        <f t="shared" si="18"/>
        <v>10.204081632653061</v>
      </c>
      <c r="F68" s="276">
        <f t="shared" si="15"/>
        <v>0.9</v>
      </c>
      <c r="G68" s="101">
        <f t="shared" si="16"/>
        <v>255.10204081632654</v>
      </c>
      <c r="H68" s="187">
        <f t="shared" si="17"/>
        <v>229.59183673469389</v>
      </c>
    </row>
    <row r="69" spans="1:8" ht="14.25" customHeight="1" x14ac:dyDescent="0.25">
      <c r="A69" s="1471"/>
      <c r="B69" s="244" t="str">
        <f t="shared" si="14"/>
        <v>Garlic - ثوم مقشر</v>
      </c>
      <c r="C69" s="249" t="str">
        <f t="shared" si="14"/>
        <v>gm</v>
      </c>
      <c r="D69" s="249">
        <f t="shared" si="14"/>
        <v>25</v>
      </c>
      <c r="E69" s="403">
        <f t="shared" si="18"/>
        <v>10.204081632653061</v>
      </c>
      <c r="F69" s="276">
        <f t="shared" si="15"/>
        <v>0.9</v>
      </c>
      <c r="G69" s="101">
        <f t="shared" si="16"/>
        <v>255.10204081632654</v>
      </c>
      <c r="H69" s="187">
        <f t="shared" si="17"/>
        <v>229.59183673469389</v>
      </c>
    </row>
    <row r="70" spans="1:8" ht="14.25" customHeight="1" x14ac:dyDescent="0.25">
      <c r="A70" s="1471"/>
      <c r="B70" s="244" t="str">
        <f t="shared" si="14"/>
        <v>Green Chilli Pepper - فلفل أخضر حار</v>
      </c>
      <c r="C70" s="249" t="str">
        <f t="shared" si="14"/>
        <v>gm</v>
      </c>
      <c r="D70" s="249">
        <f t="shared" si="14"/>
        <v>5</v>
      </c>
      <c r="E70" s="403">
        <f t="shared" si="18"/>
        <v>10.204081632653061</v>
      </c>
      <c r="F70" s="276">
        <f t="shared" si="15"/>
        <v>0.75</v>
      </c>
      <c r="G70" s="101">
        <f t="shared" si="16"/>
        <v>51.020408163265301</v>
      </c>
      <c r="H70" s="187">
        <f t="shared" si="17"/>
        <v>38.265306122448976</v>
      </c>
    </row>
    <row r="71" spans="1:8" ht="14.25" customHeight="1" x14ac:dyDescent="0.25">
      <c r="A71" s="1471"/>
      <c r="B71" s="244" t="str">
        <f t="shared" si="14"/>
        <v>Cumin Powder - كمون مطحون</v>
      </c>
      <c r="C71" s="249" t="str">
        <f t="shared" si="14"/>
        <v>gm</v>
      </c>
      <c r="D71" s="249">
        <f t="shared" si="14"/>
        <v>5</v>
      </c>
      <c r="E71" s="403">
        <f t="shared" si="18"/>
        <v>10.204081632653061</v>
      </c>
      <c r="F71" s="276">
        <f t="shared" si="15"/>
        <v>1</v>
      </c>
      <c r="G71" s="101">
        <f t="shared" si="16"/>
        <v>51.020408163265301</v>
      </c>
      <c r="H71" s="187">
        <f t="shared" si="17"/>
        <v>51.020408163265301</v>
      </c>
    </row>
    <row r="72" spans="1:8" ht="14.25" customHeight="1" x14ac:dyDescent="0.25">
      <c r="A72" s="1471"/>
      <c r="B72" s="244" t="str">
        <f t="shared" si="14"/>
        <v>Red Chilli Powder - شطة حمراء مطحونة</v>
      </c>
      <c r="C72" s="249" t="str">
        <f t="shared" si="14"/>
        <v>gm</v>
      </c>
      <c r="D72" s="249">
        <f t="shared" si="14"/>
        <v>3</v>
      </c>
      <c r="E72" s="403">
        <f t="shared" si="18"/>
        <v>10.204081632653061</v>
      </c>
      <c r="F72" s="276">
        <f t="shared" si="15"/>
        <v>0.75</v>
      </c>
      <c r="G72" s="101">
        <f t="shared" si="16"/>
        <v>30.612244897959183</v>
      </c>
      <c r="H72" s="187">
        <f t="shared" si="17"/>
        <v>22.959183673469386</v>
      </c>
    </row>
    <row r="73" spans="1:8" ht="14.25" customHeight="1" x14ac:dyDescent="0.25">
      <c r="A73" s="1471"/>
      <c r="B73" s="244" t="str">
        <f t="shared" si="14"/>
        <v>Maggi Cubes - مكعبات ماجي</v>
      </c>
      <c r="C73" s="249" t="str">
        <f t="shared" si="14"/>
        <v>gm</v>
      </c>
      <c r="D73" s="249">
        <f t="shared" si="14"/>
        <v>7</v>
      </c>
      <c r="E73" s="403">
        <f t="shared" si="18"/>
        <v>10.204081632653061</v>
      </c>
      <c r="F73" s="276">
        <f t="shared" si="15"/>
        <v>0.75</v>
      </c>
      <c r="G73" s="101">
        <f t="shared" si="16"/>
        <v>71.428571428571431</v>
      </c>
      <c r="H73" s="187">
        <f t="shared" si="17"/>
        <v>53.571428571428569</v>
      </c>
    </row>
    <row r="74" spans="1:8" ht="14.25" customHeight="1" x14ac:dyDescent="0.25">
      <c r="A74" s="1471"/>
      <c r="B74" s="244" t="str">
        <f t="shared" si="14"/>
        <v>Kasuri Methi - ورق حلبة مجففة</v>
      </c>
      <c r="C74" s="249" t="str">
        <f t="shared" si="14"/>
        <v>gm</v>
      </c>
      <c r="D74" s="249">
        <f t="shared" si="14"/>
        <v>1</v>
      </c>
      <c r="E74" s="403">
        <f t="shared" si="18"/>
        <v>10.204081632653061</v>
      </c>
      <c r="F74" s="276">
        <f t="shared" si="15"/>
        <v>0.75</v>
      </c>
      <c r="G74" s="101">
        <f t="shared" si="16"/>
        <v>10.204081632653061</v>
      </c>
      <c r="H74" s="187">
        <f t="shared" si="17"/>
        <v>7.6530612244897958</v>
      </c>
    </row>
    <row r="75" spans="1:8" ht="14.25" customHeight="1" x14ac:dyDescent="0.25">
      <c r="A75" s="1471"/>
      <c r="B75" s="244" t="str">
        <f t="shared" si="14"/>
        <v>Cooking Cream - كريمة طبخ</v>
      </c>
      <c r="C75" s="249" t="str">
        <f t="shared" si="14"/>
        <v>ml</v>
      </c>
      <c r="D75" s="249">
        <f t="shared" si="14"/>
        <v>300</v>
      </c>
      <c r="E75" s="403">
        <f t="shared" si="18"/>
        <v>10.204081632653061</v>
      </c>
      <c r="F75" s="276">
        <f t="shared" si="15"/>
        <v>1</v>
      </c>
      <c r="G75" s="101">
        <f t="shared" si="16"/>
        <v>3061.2244897959181</v>
      </c>
      <c r="H75" s="187">
        <f t="shared" si="17"/>
        <v>3061.2244897959181</v>
      </c>
    </row>
    <row r="76" spans="1:8" ht="14.25" customHeight="1" x14ac:dyDescent="0.25">
      <c r="A76" s="1471"/>
      <c r="B76" s="244" t="str">
        <f t="shared" si="14"/>
        <v>Water - ماء</v>
      </c>
      <c r="C76" s="249" t="str">
        <f t="shared" si="14"/>
        <v>ml</v>
      </c>
      <c r="D76" s="249">
        <f t="shared" si="14"/>
        <v>100</v>
      </c>
      <c r="E76" s="403">
        <f t="shared" si="18"/>
        <v>10.204081632653061</v>
      </c>
      <c r="F76" s="276">
        <f t="shared" si="15"/>
        <v>1</v>
      </c>
      <c r="G76" s="101">
        <f t="shared" si="16"/>
        <v>1020.4081632653061</v>
      </c>
      <c r="H76" s="187">
        <f t="shared" si="17"/>
        <v>1020.4081632653061</v>
      </c>
    </row>
    <row r="77" spans="1:8" ht="14.25" customHeight="1" x14ac:dyDescent="0.25">
      <c r="A77" s="1471"/>
      <c r="B77" s="244" t="str">
        <f t="shared" si="14"/>
        <v>Coriander Powder - كزبرة مطحونة</v>
      </c>
      <c r="C77" s="249" t="str">
        <f t="shared" si="14"/>
        <v>gm</v>
      </c>
      <c r="D77" s="249">
        <f t="shared" si="14"/>
        <v>5</v>
      </c>
      <c r="E77" s="403">
        <f t="shared" si="18"/>
        <v>10.204081632653061</v>
      </c>
      <c r="F77" s="276">
        <f t="shared" si="15"/>
        <v>1</v>
      </c>
      <c r="G77" s="101">
        <f t="shared" si="16"/>
        <v>51.020408163265301</v>
      </c>
      <c r="H77" s="187">
        <f t="shared" si="17"/>
        <v>51.020408163265301</v>
      </c>
    </row>
    <row r="78" spans="1:8" ht="14.25" customHeight="1" x14ac:dyDescent="0.25">
      <c r="A78" s="1471"/>
      <c r="B78" s="244" t="str">
        <f t="shared" si="14"/>
        <v>Saffron yellow color powder - لون صفار زعفران بودر</v>
      </c>
      <c r="C78" s="249" t="str">
        <f t="shared" si="14"/>
        <v>gm</v>
      </c>
      <c r="D78" s="249">
        <f t="shared" si="14"/>
        <v>1</v>
      </c>
      <c r="E78" s="403">
        <f t="shared" si="18"/>
        <v>10.204081632653061</v>
      </c>
      <c r="F78" s="276">
        <f t="shared" si="15"/>
        <v>1</v>
      </c>
      <c r="G78" s="101">
        <f t="shared" si="16"/>
        <v>10.204081632653061</v>
      </c>
      <c r="H78" s="187">
        <f t="shared" si="17"/>
        <v>10.204081632653061</v>
      </c>
    </row>
    <row r="79" spans="1:8" ht="14.25" customHeight="1" x14ac:dyDescent="0.25">
      <c r="A79" s="1471"/>
      <c r="B79" s="244" t="str">
        <f t="shared" si="14"/>
        <v>Salt - ملح</v>
      </c>
      <c r="C79" s="249" t="str">
        <f t="shared" si="14"/>
        <v>gm</v>
      </c>
      <c r="D79" s="249">
        <f t="shared" si="14"/>
        <v>5</v>
      </c>
      <c r="E79" s="403">
        <f t="shared" si="18"/>
        <v>10.204081632653061</v>
      </c>
      <c r="F79" s="276">
        <f t="shared" si="15"/>
        <v>0.75</v>
      </c>
      <c r="G79" s="101">
        <f t="shared" si="16"/>
        <v>51.020408163265301</v>
      </c>
      <c r="H79" s="187">
        <f t="shared" si="17"/>
        <v>38.265306122448976</v>
      </c>
    </row>
    <row r="80" spans="1:8" ht="14.25" customHeight="1" x14ac:dyDescent="0.25">
      <c r="A80" s="1471"/>
      <c r="B80" s="244" t="str">
        <f t="shared" si="14"/>
        <v>Butter - زبدة</v>
      </c>
      <c r="C80" s="249" t="str">
        <f t="shared" si="14"/>
        <v>gm</v>
      </c>
      <c r="D80" s="249">
        <f t="shared" si="14"/>
        <v>40</v>
      </c>
      <c r="E80" s="403">
        <f t="shared" si="18"/>
        <v>10.204081632653061</v>
      </c>
      <c r="F80" s="276">
        <f t="shared" si="15"/>
        <v>1</v>
      </c>
      <c r="G80" s="101">
        <f t="shared" si="16"/>
        <v>408.16326530612241</v>
      </c>
      <c r="H80" s="187">
        <f t="shared" si="17"/>
        <v>408.16326530612241</v>
      </c>
    </row>
    <row r="81" spans="1:8" ht="14.25" customHeight="1" x14ac:dyDescent="0.25">
      <c r="A81" s="1471"/>
      <c r="B81" s="244" t="str">
        <f t="shared" si="14"/>
        <v>Tomato Paste - صلصة طماطم</v>
      </c>
      <c r="C81" s="249" t="str">
        <f t="shared" si="14"/>
        <v>gm</v>
      </c>
      <c r="D81" s="249">
        <f t="shared" si="14"/>
        <v>20</v>
      </c>
      <c r="E81" s="403">
        <f t="shared" si="18"/>
        <v>10.204081632653061</v>
      </c>
      <c r="F81" s="276">
        <f t="shared" si="15"/>
        <v>1</v>
      </c>
      <c r="G81" s="101">
        <f t="shared" si="16"/>
        <v>204.08163265306121</v>
      </c>
      <c r="H81" s="187">
        <f t="shared" si="17"/>
        <v>204.08163265306121</v>
      </c>
    </row>
    <row r="82" spans="1:8" ht="14.25" customHeight="1" x14ac:dyDescent="0.25">
      <c r="A82" s="1471"/>
      <c r="B82" s="244" t="str">
        <f t="shared" si="14"/>
        <v>Yogurt - زبادي</v>
      </c>
      <c r="C82" s="249" t="str">
        <f t="shared" si="14"/>
        <v>gm</v>
      </c>
      <c r="D82" s="249">
        <f t="shared" si="14"/>
        <v>100</v>
      </c>
      <c r="E82" s="403">
        <f t="shared" si="18"/>
        <v>10.204081632653061</v>
      </c>
      <c r="F82" s="276">
        <f t="shared" si="15"/>
        <v>1</v>
      </c>
      <c r="G82" s="101">
        <f t="shared" si="16"/>
        <v>1020.4081632653061</v>
      </c>
      <c r="H82" s="187">
        <f t="shared" si="17"/>
        <v>1020.4081632653061</v>
      </c>
    </row>
    <row r="83" spans="1:8" ht="14.25" customHeight="1" x14ac:dyDescent="0.25">
      <c r="A83" s="1471"/>
      <c r="B83" s="244" t="str">
        <f t="shared" si="14"/>
        <v>Turmeric - كركم</v>
      </c>
      <c r="C83" s="249" t="str">
        <f t="shared" si="14"/>
        <v>gm</v>
      </c>
      <c r="D83" s="249">
        <f t="shared" si="14"/>
        <v>5</v>
      </c>
      <c r="E83" s="403">
        <f t="shared" si="18"/>
        <v>10.204081632653061</v>
      </c>
      <c r="F83" s="276">
        <f t="shared" si="15"/>
        <v>0.75</v>
      </c>
      <c r="G83" s="101">
        <f t="shared" si="16"/>
        <v>51.020408163265301</v>
      </c>
      <c r="H83" s="187">
        <f t="shared" si="17"/>
        <v>38.265306122448976</v>
      </c>
    </row>
    <row r="84" spans="1:8" ht="20.25" customHeight="1" x14ac:dyDescent="0.25">
      <c r="A84" s="1472"/>
      <c r="B84" s="244" t="str">
        <f t="shared" si="14"/>
        <v>Corn Starch - نشا ذرة</v>
      </c>
      <c r="C84" s="249" t="str">
        <f t="shared" si="14"/>
        <v>gm</v>
      </c>
      <c r="D84" s="249">
        <f t="shared" si="14"/>
        <v>20</v>
      </c>
      <c r="E84" s="403">
        <f t="shared" si="18"/>
        <v>10.204081632653061</v>
      </c>
      <c r="F84" s="276">
        <f t="shared" si="15"/>
        <v>1</v>
      </c>
      <c r="G84" s="101">
        <f t="shared" ref="G84" si="19">D84*E84</f>
        <v>204.08163265306121</v>
      </c>
      <c r="H84" s="187">
        <f t="shared" ref="H84" si="20">G84*F84</f>
        <v>204.08163265306121</v>
      </c>
    </row>
    <row r="85" spans="1:8" ht="20.25" customHeight="1" x14ac:dyDescent="0.25">
      <c r="A85" s="1458"/>
      <c r="B85" s="178" t="s">
        <v>287</v>
      </c>
      <c r="C85" s="180" t="s">
        <v>273</v>
      </c>
      <c r="E85" s="180" t="s">
        <v>288</v>
      </c>
      <c r="G85" s="804" t="s">
        <v>264</v>
      </c>
      <c r="H85" s="804" t="s">
        <v>673</v>
      </c>
    </row>
    <row r="86" spans="1:8" ht="14.25" customHeight="1" x14ac:dyDescent="0.3">
      <c r="A86" s="1458"/>
      <c r="B86" s="179">
        <f>$J$53</f>
        <v>13637.090909090908</v>
      </c>
      <c r="C86" s="179">
        <f>E86+G86</f>
        <v>10000</v>
      </c>
      <c r="D86" s="839"/>
      <c r="E86" s="179">
        <f>$D$53*$S$44</f>
        <v>4090.909090909091</v>
      </c>
      <c r="F86" s="843"/>
      <c r="G86" s="179">
        <f>$D$53*$T$44</f>
        <v>5909.090909090909</v>
      </c>
      <c r="H86" s="179">
        <f>B86+E86</f>
        <v>17728</v>
      </c>
    </row>
    <row r="87" spans="1:8" ht="18" customHeight="1" x14ac:dyDescent="0.25">
      <c r="A87" s="1472"/>
      <c r="B87" s="84"/>
      <c r="C87" s="188"/>
      <c r="D87" s="189"/>
      <c r="E87" s="84"/>
      <c r="F87" s="84"/>
    </row>
    <row r="88" spans="1:8" ht="18" customHeight="1" x14ac:dyDescent="0.25">
      <c r="A88" s="1473"/>
      <c r="B88" s="1636" t="str">
        <f>"دجاج بالزنجبيل   2 / " &amp; COUNTIF($C$53:$C$55, "&gt;0")</f>
        <v>دجاج بالزنجبيل   2 / 3</v>
      </c>
      <c r="C88" s="1637"/>
      <c r="D88" s="1637"/>
      <c r="E88" s="1637"/>
      <c r="F88" s="1637"/>
      <c r="G88" s="1637"/>
      <c r="H88" s="1637"/>
    </row>
    <row r="89" spans="1:8" ht="41.25" customHeight="1" x14ac:dyDescent="0.25">
      <c r="A89" s="1473"/>
      <c r="B89" s="1634" t="str">
        <f>"Ginger Chicken  2 / " &amp; COUNTIF($C$53:$C$55, "&gt;0")</f>
        <v>Ginger Chicken  2 / 3</v>
      </c>
      <c r="C89" s="1635"/>
      <c r="D89" s="1635"/>
      <c r="E89" s="1635"/>
      <c r="F89" s="1635"/>
      <c r="G89" s="1635"/>
      <c r="H89" s="1635"/>
    </row>
    <row r="90" spans="1:8" ht="32.25" customHeight="1" x14ac:dyDescent="0.2">
      <c r="A90" s="1477"/>
      <c r="B90" s="550" t="s">
        <v>241</v>
      </c>
      <c r="C90" s="222" t="s">
        <v>242</v>
      </c>
      <c r="D90" s="223" t="s">
        <v>231</v>
      </c>
      <c r="E90" s="197" t="s">
        <v>234</v>
      </c>
      <c r="F90" s="197" t="s">
        <v>243</v>
      </c>
      <c r="G90" s="223" t="s">
        <v>244</v>
      </c>
      <c r="H90" s="197" t="s">
        <v>245</v>
      </c>
    </row>
    <row r="91" spans="1:8" ht="14.25" customHeight="1" x14ac:dyDescent="0.25">
      <c r="A91" s="1471"/>
      <c r="B91" s="249" t="str">
        <f t="shared" ref="B91:D110" si="21">B5</f>
        <v>Chicken - دجاج</v>
      </c>
      <c r="C91" s="249" t="str">
        <f t="shared" si="21"/>
        <v>gm</v>
      </c>
      <c r="D91" s="551">
        <f t="shared" si="21"/>
        <v>2311.3713405238827</v>
      </c>
      <c r="E91" s="177">
        <f>H54</f>
        <v>10</v>
      </c>
      <c r="F91" s="276">
        <f t="shared" ref="F91:F110" si="22">F5</f>
        <v>1</v>
      </c>
      <c r="G91" s="101">
        <f t="shared" ref="G91:G109" si="23">D91*E91</f>
        <v>23113.713405238828</v>
      </c>
      <c r="H91" s="187">
        <f t="shared" ref="H91:H109" si="24">G91*F91</f>
        <v>23113.713405238828</v>
      </c>
    </row>
    <row r="92" spans="1:8" ht="14.25" customHeight="1" x14ac:dyDescent="0.25">
      <c r="A92" s="1471"/>
      <c r="B92" s="249" t="str">
        <f t="shared" si="21"/>
        <v>Onion - بصل</v>
      </c>
      <c r="C92" s="249" t="str">
        <f t="shared" si="21"/>
        <v>gm</v>
      </c>
      <c r="D92" s="249">
        <f t="shared" si="21"/>
        <v>150</v>
      </c>
      <c r="E92" s="177">
        <f t="shared" ref="E92:E110" si="25">$C$54</f>
        <v>10.204081632653061</v>
      </c>
      <c r="F92" s="276">
        <f t="shared" si="22"/>
        <v>0.95</v>
      </c>
      <c r="G92" s="101">
        <f t="shared" si="23"/>
        <v>1530.612244897959</v>
      </c>
      <c r="H92" s="187">
        <f t="shared" si="24"/>
        <v>1454.081632653061</v>
      </c>
    </row>
    <row r="93" spans="1:8" ht="14.25" customHeight="1" x14ac:dyDescent="0.25">
      <c r="A93" s="1471"/>
      <c r="B93" s="249" t="str">
        <f t="shared" si="21"/>
        <v>Tomato - طماطم</v>
      </c>
      <c r="C93" s="249" t="str">
        <f t="shared" si="21"/>
        <v>gm</v>
      </c>
      <c r="D93" s="249">
        <f t="shared" si="21"/>
        <v>450</v>
      </c>
      <c r="E93" s="177">
        <f t="shared" si="25"/>
        <v>10.204081632653061</v>
      </c>
      <c r="F93" s="276">
        <f t="shared" si="22"/>
        <v>1</v>
      </c>
      <c r="G93" s="101">
        <f t="shared" si="23"/>
        <v>4591.8367346938776</v>
      </c>
      <c r="H93" s="187">
        <f t="shared" si="24"/>
        <v>4591.8367346938776</v>
      </c>
    </row>
    <row r="94" spans="1:8" ht="14.25" customHeight="1" x14ac:dyDescent="0.25">
      <c r="A94" s="1471"/>
      <c r="B94" s="249" t="str">
        <f t="shared" si="21"/>
        <v>Ginger - زنجبيل</v>
      </c>
      <c r="C94" s="249" t="str">
        <f t="shared" si="21"/>
        <v>gm</v>
      </c>
      <c r="D94" s="249">
        <f t="shared" si="21"/>
        <v>25</v>
      </c>
      <c r="E94" s="177">
        <f t="shared" si="25"/>
        <v>10.204081632653061</v>
      </c>
      <c r="F94" s="276">
        <f t="shared" si="22"/>
        <v>0.9</v>
      </c>
      <c r="G94" s="101">
        <f t="shared" si="23"/>
        <v>255.10204081632654</v>
      </c>
      <c r="H94" s="187">
        <f t="shared" si="24"/>
        <v>229.59183673469389</v>
      </c>
    </row>
    <row r="95" spans="1:8" ht="14.25" customHeight="1" x14ac:dyDescent="0.25">
      <c r="A95" s="1471"/>
      <c r="B95" s="249" t="str">
        <f t="shared" si="21"/>
        <v>Garlic - ثوم مقشر</v>
      </c>
      <c r="C95" s="249" t="str">
        <f t="shared" si="21"/>
        <v>gm</v>
      </c>
      <c r="D95" s="249">
        <f t="shared" si="21"/>
        <v>25</v>
      </c>
      <c r="E95" s="177">
        <f t="shared" si="25"/>
        <v>10.204081632653061</v>
      </c>
      <c r="F95" s="276">
        <f t="shared" si="22"/>
        <v>0.9</v>
      </c>
      <c r="G95" s="101">
        <f t="shared" si="23"/>
        <v>255.10204081632654</v>
      </c>
      <c r="H95" s="187">
        <f t="shared" si="24"/>
        <v>229.59183673469389</v>
      </c>
    </row>
    <row r="96" spans="1:8" ht="14.25" customHeight="1" x14ac:dyDescent="0.25">
      <c r="A96" s="1471"/>
      <c r="B96" s="249" t="str">
        <f t="shared" si="21"/>
        <v>Green Chilli Pepper - فلفل أخضر حار</v>
      </c>
      <c r="C96" s="249" t="str">
        <f t="shared" si="21"/>
        <v>gm</v>
      </c>
      <c r="D96" s="249">
        <f t="shared" si="21"/>
        <v>5</v>
      </c>
      <c r="E96" s="177">
        <f t="shared" si="25"/>
        <v>10.204081632653061</v>
      </c>
      <c r="F96" s="276">
        <f t="shared" si="22"/>
        <v>0.75</v>
      </c>
      <c r="G96" s="101">
        <f t="shared" si="23"/>
        <v>51.020408163265301</v>
      </c>
      <c r="H96" s="187">
        <f t="shared" si="24"/>
        <v>38.265306122448976</v>
      </c>
    </row>
    <row r="97" spans="1:8" ht="14.25" customHeight="1" x14ac:dyDescent="0.25">
      <c r="A97" s="1471"/>
      <c r="B97" s="249" t="str">
        <f t="shared" si="21"/>
        <v>Cumin Powder - كمون مطحون</v>
      </c>
      <c r="C97" s="249" t="str">
        <f t="shared" si="21"/>
        <v>gm</v>
      </c>
      <c r="D97" s="249">
        <f t="shared" si="21"/>
        <v>5</v>
      </c>
      <c r="E97" s="177">
        <f t="shared" si="25"/>
        <v>10.204081632653061</v>
      </c>
      <c r="F97" s="276">
        <f t="shared" si="22"/>
        <v>1</v>
      </c>
      <c r="G97" s="101">
        <f t="shared" si="23"/>
        <v>51.020408163265301</v>
      </c>
      <c r="H97" s="187">
        <f t="shared" si="24"/>
        <v>51.020408163265301</v>
      </c>
    </row>
    <row r="98" spans="1:8" ht="14.25" customHeight="1" x14ac:dyDescent="0.25">
      <c r="A98" s="1471"/>
      <c r="B98" s="249" t="str">
        <f t="shared" si="21"/>
        <v>Red Chilli Powder - شطة حمراء مطحونة</v>
      </c>
      <c r="C98" s="249" t="str">
        <f t="shared" si="21"/>
        <v>gm</v>
      </c>
      <c r="D98" s="249">
        <f t="shared" si="21"/>
        <v>3</v>
      </c>
      <c r="E98" s="177">
        <f t="shared" si="25"/>
        <v>10.204081632653061</v>
      </c>
      <c r="F98" s="276">
        <f t="shared" si="22"/>
        <v>0.75</v>
      </c>
      <c r="G98" s="101">
        <f t="shared" si="23"/>
        <v>30.612244897959183</v>
      </c>
      <c r="H98" s="187">
        <f t="shared" si="24"/>
        <v>22.959183673469386</v>
      </c>
    </row>
    <row r="99" spans="1:8" ht="14.25" customHeight="1" x14ac:dyDescent="0.25">
      <c r="A99" s="1471"/>
      <c r="B99" s="249" t="str">
        <f t="shared" si="21"/>
        <v>Maggi Cubes - مكعبات ماجي</v>
      </c>
      <c r="C99" s="249" t="str">
        <f t="shared" si="21"/>
        <v>gm</v>
      </c>
      <c r="D99" s="249">
        <f t="shared" si="21"/>
        <v>7</v>
      </c>
      <c r="E99" s="177">
        <f t="shared" si="25"/>
        <v>10.204081632653061</v>
      </c>
      <c r="F99" s="276">
        <f t="shared" si="22"/>
        <v>0.75</v>
      </c>
      <c r="G99" s="101">
        <f t="shared" si="23"/>
        <v>71.428571428571431</v>
      </c>
      <c r="H99" s="187">
        <f t="shared" si="24"/>
        <v>53.571428571428569</v>
      </c>
    </row>
    <row r="100" spans="1:8" ht="14.25" customHeight="1" x14ac:dyDescent="0.25">
      <c r="A100" s="1471"/>
      <c r="B100" s="249" t="str">
        <f t="shared" si="21"/>
        <v>Kasuri Methi - ورق حلبة مجففة</v>
      </c>
      <c r="C100" s="249" t="str">
        <f t="shared" si="21"/>
        <v>gm</v>
      </c>
      <c r="D100" s="249">
        <f t="shared" si="21"/>
        <v>1</v>
      </c>
      <c r="E100" s="177">
        <f t="shared" si="25"/>
        <v>10.204081632653061</v>
      </c>
      <c r="F100" s="276">
        <f t="shared" si="22"/>
        <v>0.75</v>
      </c>
      <c r="G100" s="101">
        <f t="shared" si="23"/>
        <v>10.204081632653061</v>
      </c>
      <c r="H100" s="187">
        <f t="shared" si="24"/>
        <v>7.6530612244897958</v>
      </c>
    </row>
    <row r="101" spans="1:8" ht="14.25" customHeight="1" x14ac:dyDescent="0.25">
      <c r="A101" s="1471"/>
      <c r="B101" s="249" t="str">
        <f t="shared" si="21"/>
        <v>Cooking Cream - كريمة طبخ</v>
      </c>
      <c r="C101" s="249" t="str">
        <f t="shared" si="21"/>
        <v>ml</v>
      </c>
      <c r="D101" s="249">
        <f t="shared" si="21"/>
        <v>300</v>
      </c>
      <c r="E101" s="177">
        <f t="shared" si="25"/>
        <v>10.204081632653061</v>
      </c>
      <c r="F101" s="276">
        <f t="shared" si="22"/>
        <v>1</v>
      </c>
      <c r="G101" s="101">
        <f t="shared" si="23"/>
        <v>3061.2244897959181</v>
      </c>
      <c r="H101" s="187">
        <f t="shared" si="24"/>
        <v>3061.2244897959181</v>
      </c>
    </row>
    <row r="102" spans="1:8" ht="14.25" customHeight="1" x14ac:dyDescent="0.25">
      <c r="A102" s="1471"/>
      <c r="B102" s="249" t="str">
        <f t="shared" si="21"/>
        <v>Water - ماء</v>
      </c>
      <c r="C102" s="249" t="str">
        <f t="shared" si="21"/>
        <v>ml</v>
      </c>
      <c r="D102" s="249">
        <f t="shared" si="21"/>
        <v>100</v>
      </c>
      <c r="E102" s="177">
        <f t="shared" si="25"/>
        <v>10.204081632653061</v>
      </c>
      <c r="F102" s="276">
        <f t="shared" si="22"/>
        <v>1</v>
      </c>
      <c r="G102" s="101">
        <f t="shared" si="23"/>
        <v>1020.4081632653061</v>
      </c>
      <c r="H102" s="187">
        <f t="shared" si="24"/>
        <v>1020.4081632653061</v>
      </c>
    </row>
    <row r="103" spans="1:8" ht="14.25" customHeight="1" x14ac:dyDescent="0.25">
      <c r="A103" s="1471"/>
      <c r="B103" s="249" t="str">
        <f t="shared" si="21"/>
        <v>Coriander Powder - كزبرة مطحونة</v>
      </c>
      <c r="C103" s="249" t="str">
        <f t="shared" si="21"/>
        <v>gm</v>
      </c>
      <c r="D103" s="249">
        <f t="shared" si="21"/>
        <v>5</v>
      </c>
      <c r="E103" s="177">
        <f t="shared" si="25"/>
        <v>10.204081632653061</v>
      </c>
      <c r="F103" s="276">
        <f t="shared" si="22"/>
        <v>1</v>
      </c>
      <c r="G103" s="101">
        <f t="shared" si="23"/>
        <v>51.020408163265301</v>
      </c>
      <c r="H103" s="187">
        <f t="shared" si="24"/>
        <v>51.020408163265301</v>
      </c>
    </row>
    <row r="104" spans="1:8" ht="14.25" customHeight="1" x14ac:dyDescent="0.25">
      <c r="A104" s="1471"/>
      <c r="B104" s="249" t="str">
        <f t="shared" si="21"/>
        <v>Saffron yellow color powder - لون صفار زعفران بودر</v>
      </c>
      <c r="C104" s="249" t="str">
        <f t="shared" si="21"/>
        <v>gm</v>
      </c>
      <c r="D104" s="249">
        <f t="shared" si="21"/>
        <v>1</v>
      </c>
      <c r="E104" s="177">
        <f t="shared" si="25"/>
        <v>10.204081632653061</v>
      </c>
      <c r="F104" s="276">
        <f t="shared" si="22"/>
        <v>1</v>
      </c>
      <c r="G104" s="101">
        <f t="shared" si="23"/>
        <v>10.204081632653061</v>
      </c>
      <c r="H104" s="187">
        <f t="shared" si="24"/>
        <v>10.204081632653061</v>
      </c>
    </row>
    <row r="105" spans="1:8" ht="14.25" customHeight="1" x14ac:dyDescent="0.25">
      <c r="A105" s="1471"/>
      <c r="B105" s="249" t="str">
        <f t="shared" si="21"/>
        <v>Salt - ملح</v>
      </c>
      <c r="C105" s="249" t="str">
        <f t="shared" si="21"/>
        <v>gm</v>
      </c>
      <c r="D105" s="249">
        <f t="shared" si="21"/>
        <v>5</v>
      </c>
      <c r="E105" s="177">
        <f t="shared" si="25"/>
        <v>10.204081632653061</v>
      </c>
      <c r="F105" s="276">
        <f t="shared" si="22"/>
        <v>0.75</v>
      </c>
      <c r="G105" s="101">
        <f t="shared" si="23"/>
        <v>51.020408163265301</v>
      </c>
      <c r="H105" s="187">
        <f t="shared" si="24"/>
        <v>38.265306122448976</v>
      </c>
    </row>
    <row r="106" spans="1:8" ht="14.25" customHeight="1" x14ac:dyDescent="0.25">
      <c r="A106" s="1471"/>
      <c r="B106" s="249" t="str">
        <f t="shared" si="21"/>
        <v>Butter - زبدة</v>
      </c>
      <c r="C106" s="249" t="str">
        <f t="shared" si="21"/>
        <v>gm</v>
      </c>
      <c r="D106" s="249">
        <f t="shared" si="21"/>
        <v>40</v>
      </c>
      <c r="E106" s="177">
        <f t="shared" si="25"/>
        <v>10.204081632653061</v>
      </c>
      <c r="F106" s="276">
        <f t="shared" si="22"/>
        <v>1</v>
      </c>
      <c r="G106" s="101">
        <f t="shared" si="23"/>
        <v>408.16326530612241</v>
      </c>
      <c r="H106" s="187">
        <f t="shared" si="24"/>
        <v>408.16326530612241</v>
      </c>
    </row>
    <row r="107" spans="1:8" ht="14.25" customHeight="1" x14ac:dyDescent="0.25">
      <c r="A107" s="1471"/>
      <c r="B107" s="249" t="str">
        <f t="shared" si="21"/>
        <v>Tomato Paste - صلصة طماطم</v>
      </c>
      <c r="C107" s="249" t="str">
        <f t="shared" si="21"/>
        <v>gm</v>
      </c>
      <c r="D107" s="249">
        <f t="shared" si="21"/>
        <v>20</v>
      </c>
      <c r="E107" s="177">
        <f t="shared" si="25"/>
        <v>10.204081632653061</v>
      </c>
      <c r="F107" s="276">
        <f t="shared" si="22"/>
        <v>1</v>
      </c>
      <c r="G107" s="101">
        <f t="shared" si="23"/>
        <v>204.08163265306121</v>
      </c>
      <c r="H107" s="187">
        <f t="shared" si="24"/>
        <v>204.08163265306121</v>
      </c>
    </row>
    <row r="108" spans="1:8" ht="14.25" customHeight="1" x14ac:dyDescent="0.25">
      <c r="A108" s="1471"/>
      <c r="B108" s="249" t="str">
        <f t="shared" si="21"/>
        <v>Yogurt - زبادي</v>
      </c>
      <c r="C108" s="249" t="str">
        <f t="shared" si="21"/>
        <v>gm</v>
      </c>
      <c r="D108" s="249">
        <f t="shared" si="21"/>
        <v>100</v>
      </c>
      <c r="E108" s="177">
        <f t="shared" si="25"/>
        <v>10.204081632653061</v>
      </c>
      <c r="F108" s="276">
        <f t="shared" si="22"/>
        <v>1</v>
      </c>
      <c r="G108" s="101">
        <f t="shared" si="23"/>
        <v>1020.4081632653061</v>
      </c>
      <c r="H108" s="187">
        <f t="shared" si="24"/>
        <v>1020.4081632653061</v>
      </c>
    </row>
    <row r="109" spans="1:8" ht="20.25" customHeight="1" x14ac:dyDescent="0.25">
      <c r="A109" s="1471"/>
      <c r="B109" s="249" t="str">
        <f t="shared" si="21"/>
        <v>Turmeric - كركم</v>
      </c>
      <c r="C109" s="249" t="str">
        <f t="shared" si="21"/>
        <v>gm</v>
      </c>
      <c r="D109" s="249">
        <f t="shared" si="21"/>
        <v>5</v>
      </c>
      <c r="E109" s="177">
        <f t="shared" si="25"/>
        <v>10.204081632653061</v>
      </c>
      <c r="F109" s="276">
        <f t="shared" si="22"/>
        <v>0.75</v>
      </c>
      <c r="G109" s="101">
        <f t="shared" si="23"/>
        <v>51.020408163265301</v>
      </c>
      <c r="H109" s="187">
        <f t="shared" si="24"/>
        <v>38.265306122448976</v>
      </c>
    </row>
    <row r="110" spans="1:8" ht="22.5" customHeight="1" x14ac:dyDescent="0.25">
      <c r="A110" s="1472"/>
      <c r="B110" s="249" t="str">
        <f t="shared" si="21"/>
        <v>Corn Starch - نشا ذرة</v>
      </c>
      <c r="C110" s="249" t="str">
        <f t="shared" si="21"/>
        <v>gm</v>
      </c>
      <c r="D110" s="249">
        <f t="shared" si="21"/>
        <v>20</v>
      </c>
      <c r="E110" s="177">
        <f t="shared" si="25"/>
        <v>10.204081632653061</v>
      </c>
      <c r="F110" s="276">
        <f t="shared" si="22"/>
        <v>1</v>
      </c>
      <c r="G110" s="101">
        <f t="shared" ref="G110" si="26">D110*E110</f>
        <v>204.08163265306121</v>
      </c>
      <c r="H110" s="187">
        <f t="shared" ref="H110" si="27">G110*F110</f>
        <v>204.08163265306121</v>
      </c>
    </row>
    <row r="111" spans="1:8" ht="18" x14ac:dyDescent="0.25">
      <c r="A111" s="1458"/>
      <c r="B111" s="178" t="s">
        <v>287</v>
      </c>
      <c r="C111" s="180" t="s">
        <v>273</v>
      </c>
      <c r="E111" s="180" t="s">
        <v>288</v>
      </c>
      <c r="G111" s="804" t="s">
        <v>264</v>
      </c>
      <c r="H111" s="804" t="s">
        <v>673</v>
      </c>
    </row>
    <row r="112" spans="1:8" ht="20.25" x14ac:dyDescent="0.3">
      <c r="A112" s="1458"/>
      <c r="B112" s="179">
        <f>$J$54</f>
        <v>13637.090909090908</v>
      </c>
      <c r="C112" s="840">
        <f>E112+G112</f>
        <v>10000</v>
      </c>
      <c r="D112" s="841"/>
      <c r="E112" s="840">
        <f>$D$54*$S$44</f>
        <v>4090.909090909091</v>
      </c>
      <c r="F112" s="842"/>
      <c r="G112" s="840">
        <f>$D$54*$T$44</f>
        <v>5909.090909090909</v>
      </c>
      <c r="H112" s="840">
        <f>B112+E112</f>
        <v>17728</v>
      </c>
    </row>
    <row r="113" spans="1:8" ht="18" customHeight="1" x14ac:dyDescent="0.25">
      <c r="A113" s="1472"/>
    </row>
    <row r="114" spans="1:8" ht="18" customHeight="1" x14ac:dyDescent="0.25">
      <c r="A114" s="1472"/>
    </row>
    <row r="115" spans="1:8" x14ac:dyDescent="0.25">
      <c r="A115" s="1473"/>
      <c r="B115" s="1636" t="str">
        <f>"دجاج بالزنجبيل   3 / " &amp; COUNTIF($C$53:$C$55, "&gt;0")</f>
        <v>دجاج بالزنجبيل   3 / 3</v>
      </c>
      <c r="C115" s="1637"/>
      <c r="D115" s="1637"/>
      <c r="E115" s="1637"/>
      <c r="F115" s="1637"/>
      <c r="G115" s="1637"/>
      <c r="H115" s="1637"/>
    </row>
    <row r="116" spans="1:8" ht="14.25" customHeight="1" x14ac:dyDescent="0.25">
      <c r="A116" s="1473"/>
      <c r="B116" s="1634" t="str">
        <f>"Ginger Chicken  3 / " &amp; COUNTIF($C$53:$C$55, "&gt;0")</f>
        <v>Ginger Chicken  3 / 3</v>
      </c>
      <c r="C116" s="1635"/>
      <c r="D116" s="1635"/>
      <c r="E116" s="1635"/>
      <c r="F116" s="1635"/>
      <c r="G116" s="1635"/>
      <c r="H116" s="1635"/>
    </row>
    <row r="117" spans="1:8" ht="34.5" customHeight="1" x14ac:dyDescent="0.2">
      <c r="A117" s="1477"/>
      <c r="B117" s="550" t="s">
        <v>241</v>
      </c>
      <c r="C117" s="222" t="s">
        <v>242</v>
      </c>
      <c r="D117" s="223" t="s">
        <v>231</v>
      </c>
      <c r="E117" s="197" t="s">
        <v>234</v>
      </c>
      <c r="F117" s="197" t="s">
        <v>243</v>
      </c>
      <c r="G117" s="223" t="s">
        <v>244</v>
      </c>
      <c r="H117" s="197" t="s">
        <v>245</v>
      </c>
    </row>
    <row r="118" spans="1:8" ht="14.25" customHeight="1" x14ac:dyDescent="0.25">
      <c r="A118" s="1471"/>
      <c r="B118" s="249" t="str">
        <f t="shared" ref="B118:D137" si="28">B5</f>
        <v>Chicken - دجاج</v>
      </c>
      <c r="C118" s="249" t="str">
        <f t="shared" si="28"/>
        <v>gm</v>
      </c>
      <c r="D118" s="249">
        <f t="shared" si="28"/>
        <v>2311.3713405238827</v>
      </c>
      <c r="E118" s="327">
        <f>$H$55</f>
        <v>0.97785554001222152</v>
      </c>
      <c r="F118" s="276">
        <f t="shared" ref="F118:F137" si="29">F5</f>
        <v>1</v>
      </c>
      <c r="G118" s="101">
        <f t="shared" ref="G118:G136" si="30">D118*E118</f>
        <v>2260.1872703567537</v>
      </c>
      <c r="H118" s="187">
        <f t="shared" ref="H118:H136" si="31">G118*F118</f>
        <v>2260.1872703567537</v>
      </c>
    </row>
    <row r="119" spans="1:8" ht="14.25" customHeight="1" x14ac:dyDescent="0.25">
      <c r="A119" s="1471"/>
      <c r="B119" s="249" t="str">
        <f t="shared" si="28"/>
        <v>Onion - بصل</v>
      </c>
      <c r="C119" s="249" t="str">
        <f t="shared" si="28"/>
        <v>gm</v>
      </c>
      <c r="D119" s="249">
        <f t="shared" si="28"/>
        <v>150</v>
      </c>
      <c r="E119" s="327">
        <f t="shared" ref="E119:E137" si="32">$C$55</f>
        <v>0.99895342752486371</v>
      </c>
      <c r="F119" s="276">
        <f t="shared" si="29"/>
        <v>0.95</v>
      </c>
      <c r="G119" s="101">
        <f t="shared" si="30"/>
        <v>149.84301412872955</v>
      </c>
      <c r="H119" s="187">
        <f t="shared" si="31"/>
        <v>142.35086342229306</v>
      </c>
    </row>
    <row r="120" spans="1:8" ht="14.25" customHeight="1" x14ac:dyDescent="0.25">
      <c r="A120" s="1471"/>
      <c r="B120" s="249" t="str">
        <f t="shared" si="28"/>
        <v>Tomato - طماطم</v>
      </c>
      <c r="C120" s="249" t="str">
        <f t="shared" si="28"/>
        <v>gm</v>
      </c>
      <c r="D120" s="249">
        <f t="shared" si="28"/>
        <v>450</v>
      </c>
      <c r="E120" s="327">
        <f t="shared" si="32"/>
        <v>0.99895342752486371</v>
      </c>
      <c r="F120" s="276">
        <f t="shared" si="29"/>
        <v>1</v>
      </c>
      <c r="G120" s="101">
        <f t="shared" si="30"/>
        <v>449.52904238618868</v>
      </c>
      <c r="H120" s="187">
        <f t="shared" si="31"/>
        <v>449.52904238618868</v>
      </c>
    </row>
    <row r="121" spans="1:8" ht="14.25" customHeight="1" x14ac:dyDescent="0.25">
      <c r="A121" s="1471"/>
      <c r="B121" s="249" t="str">
        <f t="shared" si="28"/>
        <v>Ginger - زنجبيل</v>
      </c>
      <c r="C121" s="249" t="str">
        <f t="shared" si="28"/>
        <v>gm</v>
      </c>
      <c r="D121" s="249">
        <f t="shared" si="28"/>
        <v>25</v>
      </c>
      <c r="E121" s="327">
        <f t="shared" si="32"/>
        <v>0.99895342752486371</v>
      </c>
      <c r="F121" s="276">
        <f t="shared" si="29"/>
        <v>0.9</v>
      </c>
      <c r="G121" s="101">
        <f t="shared" si="30"/>
        <v>24.973835688121593</v>
      </c>
      <c r="H121" s="187">
        <f t="shared" si="31"/>
        <v>22.476452119309435</v>
      </c>
    </row>
    <row r="122" spans="1:8" ht="14.25" customHeight="1" x14ac:dyDescent="0.25">
      <c r="A122" s="1471"/>
      <c r="B122" s="249" t="str">
        <f t="shared" si="28"/>
        <v>Garlic - ثوم مقشر</v>
      </c>
      <c r="C122" s="249" t="str">
        <f t="shared" si="28"/>
        <v>gm</v>
      </c>
      <c r="D122" s="249">
        <f t="shared" si="28"/>
        <v>25</v>
      </c>
      <c r="E122" s="327">
        <f t="shared" si="32"/>
        <v>0.99895342752486371</v>
      </c>
      <c r="F122" s="276">
        <f t="shared" si="29"/>
        <v>0.9</v>
      </c>
      <c r="G122" s="101">
        <f t="shared" si="30"/>
        <v>24.973835688121593</v>
      </c>
      <c r="H122" s="187">
        <f t="shared" si="31"/>
        <v>22.476452119309435</v>
      </c>
    </row>
    <row r="123" spans="1:8" ht="14.25" customHeight="1" x14ac:dyDescent="0.25">
      <c r="A123" s="1471"/>
      <c r="B123" s="249" t="str">
        <f t="shared" si="28"/>
        <v>Green Chilli Pepper - فلفل أخضر حار</v>
      </c>
      <c r="C123" s="249" t="str">
        <f t="shared" si="28"/>
        <v>gm</v>
      </c>
      <c r="D123" s="249">
        <f t="shared" si="28"/>
        <v>5</v>
      </c>
      <c r="E123" s="327">
        <f t="shared" si="32"/>
        <v>0.99895342752486371</v>
      </c>
      <c r="F123" s="276">
        <f t="shared" si="29"/>
        <v>0.75</v>
      </c>
      <c r="G123" s="101">
        <f t="shared" si="30"/>
        <v>4.9947671376243186</v>
      </c>
      <c r="H123" s="187">
        <f t="shared" si="31"/>
        <v>3.7460753532182389</v>
      </c>
    </row>
    <row r="124" spans="1:8" ht="14.25" customHeight="1" x14ac:dyDescent="0.25">
      <c r="A124" s="1471"/>
      <c r="B124" s="249" t="str">
        <f t="shared" si="28"/>
        <v>Cumin Powder - كمون مطحون</v>
      </c>
      <c r="C124" s="249" t="str">
        <f t="shared" si="28"/>
        <v>gm</v>
      </c>
      <c r="D124" s="249">
        <f t="shared" si="28"/>
        <v>5</v>
      </c>
      <c r="E124" s="327">
        <f t="shared" si="32"/>
        <v>0.99895342752486371</v>
      </c>
      <c r="F124" s="276">
        <f t="shared" si="29"/>
        <v>1</v>
      </c>
      <c r="G124" s="101">
        <f t="shared" si="30"/>
        <v>4.9947671376243186</v>
      </c>
      <c r="H124" s="187">
        <f t="shared" si="31"/>
        <v>4.9947671376243186</v>
      </c>
    </row>
    <row r="125" spans="1:8" ht="14.25" customHeight="1" x14ac:dyDescent="0.25">
      <c r="A125" s="1471"/>
      <c r="B125" s="249" t="str">
        <f t="shared" si="28"/>
        <v>Red Chilli Powder - شطة حمراء مطحونة</v>
      </c>
      <c r="C125" s="249" t="str">
        <f t="shared" si="28"/>
        <v>gm</v>
      </c>
      <c r="D125" s="249">
        <f t="shared" si="28"/>
        <v>3</v>
      </c>
      <c r="E125" s="327">
        <f t="shared" si="32"/>
        <v>0.99895342752486371</v>
      </c>
      <c r="F125" s="276">
        <f t="shared" si="29"/>
        <v>0.75</v>
      </c>
      <c r="G125" s="101">
        <f t="shared" si="30"/>
        <v>2.9968602825745911</v>
      </c>
      <c r="H125" s="187">
        <f t="shared" si="31"/>
        <v>2.2476452119309434</v>
      </c>
    </row>
    <row r="126" spans="1:8" ht="14.25" customHeight="1" x14ac:dyDescent="0.25">
      <c r="A126" s="1471"/>
      <c r="B126" s="249" t="str">
        <f t="shared" si="28"/>
        <v>Maggi Cubes - مكعبات ماجي</v>
      </c>
      <c r="C126" s="249" t="str">
        <f t="shared" si="28"/>
        <v>gm</v>
      </c>
      <c r="D126" s="249">
        <f t="shared" si="28"/>
        <v>7</v>
      </c>
      <c r="E126" s="327">
        <f t="shared" si="32"/>
        <v>0.99895342752486371</v>
      </c>
      <c r="F126" s="276">
        <f t="shared" si="29"/>
        <v>0.75</v>
      </c>
      <c r="G126" s="101">
        <f t="shared" si="30"/>
        <v>6.992673992674046</v>
      </c>
      <c r="H126" s="187">
        <f t="shared" si="31"/>
        <v>5.2445054945055345</v>
      </c>
    </row>
    <row r="127" spans="1:8" ht="14.25" customHeight="1" x14ac:dyDescent="0.25">
      <c r="A127" s="1471"/>
      <c r="B127" s="249" t="str">
        <f t="shared" si="28"/>
        <v>Kasuri Methi - ورق حلبة مجففة</v>
      </c>
      <c r="C127" s="249" t="str">
        <f t="shared" si="28"/>
        <v>gm</v>
      </c>
      <c r="D127" s="249">
        <f t="shared" si="28"/>
        <v>1</v>
      </c>
      <c r="E127" s="327">
        <f t="shared" si="32"/>
        <v>0.99895342752486371</v>
      </c>
      <c r="F127" s="276">
        <f t="shared" si="29"/>
        <v>0.75</v>
      </c>
      <c r="G127" s="101">
        <f t="shared" si="30"/>
        <v>0.99895342752486371</v>
      </c>
      <c r="H127" s="187">
        <f t="shared" si="31"/>
        <v>0.74921507064364778</v>
      </c>
    </row>
    <row r="128" spans="1:8" ht="14.25" customHeight="1" x14ac:dyDescent="0.25">
      <c r="A128" s="1471"/>
      <c r="B128" s="249" t="str">
        <f t="shared" si="28"/>
        <v>Cooking Cream - كريمة طبخ</v>
      </c>
      <c r="C128" s="249" t="str">
        <f t="shared" si="28"/>
        <v>ml</v>
      </c>
      <c r="D128" s="249">
        <f t="shared" si="28"/>
        <v>300</v>
      </c>
      <c r="E128" s="327">
        <f t="shared" si="32"/>
        <v>0.99895342752486371</v>
      </c>
      <c r="F128" s="276">
        <f t="shared" si="29"/>
        <v>1</v>
      </c>
      <c r="G128" s="101">
        <f t="shared" si="30"/>
        <v>299.6860282574591</v>
      </c>
      <c r="H128" s="187">
        <f t="shared" si="31"/>
        <v>299.6860282574591</v>
      </c>
    </row>
    <row r="129" spans="1:8" ht="18" customHeight="1" x14ac:dyDescent="0.25">
      <c r="A129" s="1471"/>
      <c r="B129" s="249" t="str">
        <f t="shared" si="28"/>
        <v>Water - ماء</v>
      </c>
      <c r="C129" s="249" t="str">
        <f t="shared" si="28"/>
        <v>ml</v>
      </c>
      <c r="D129" s="249">
        <f t="shared" si="28"/>
        <v>100</v>
      </c>
      <c r="E129" s="327">
        <f t="shared" si="32"/>
        <v>0.99895342752486371</v>
      </c>
      <c r="F129" s="276">
        <f t="shared" si="29"/>
        <v>1</v>
      </c>
      <c r="G129" s="101">
        <f t="shared" si="30"/>
        <v>99.895342752486371</v>
      </c>
      <c r="H129" s="187">
        <f t="shared" si="31"/>
        <v>99.895342752486371</v>
      </c>
    </row>
    <row r="130" spans="1:8" ht="14.25" customHeight="1" x14ac:dyDescent="0.25">
      <c r="A130" s="1471"/>
      <c r="B130" s="249" t="str">
        <f t="shared" si="28"/>
        <v>Coriander Powder - كزبرة مطحونة</v>
      </c>
      <c r="C130" s="249" t="str">
        <f t="shared" si="28"/>
        <v>gm</v>
      </c>
      <c r="D130" s="249">
        <f t="shared" si="28"/>
        <v>5</v>
      </c>
      <c r="E130" s="327">
        <f t="shared" si="32"/>
        <v>0.99895342752486371</v>
      </c>
      <c r="F130" s="276">
        <f t="shared" si="29"/>
        <v>1</v>
      </c>
      <c r="G130" s="101">
        <f t="shared" si="30"/>
        <v>4.9947671376243186</v>
      </c>
      <c r="H130" s="187">
        <f t="shared" si="31"/>
        <v>4.9947671376243186</v>
      </c>
    </row>
    <row r="131" spans="1:8" ht="14.25" customHeight="1" x14ac:dyDescent="0.25">
      <c r="A131" s="1471"/>
      <c r="B131" s="249" t="str">
        <f t="shared" si="28"/>
        <v>Saffron yellow color powder - لون صفار زعفران بودر</v>
      </c>
      <c r="C131" s="249" t="str">
        <f t="shared" si="28"/>
        <v>gm</v>
      </c>
      <c r="D131" s="249">
        <f t="shared" si="28"/>
        <v>1</v>
      </c>
      <c r="E131" s="327">
        <f t="shared" si="32"/>
        <v>0.99895342752486371</v>
      </c>
      <c r="F131" s="276">
        <f t="shared" si="29"/>
        <v>1</v>
      </c>
      <c r="G131" s="101">
        <f t="shared" si="30"/>
        <v>0.99895342752486371</v>
      </c>
      <c r="H131" s="187">
        <f t="shared" si="31"/>
        <v>0.99895342752486371</v>
      </c>
    </row>
    <row r="132" spans="1:8" ht="14.25" customHeight="1" x14ac:dyDescent="0.25">
      <c r="A132" s="1471"/>
      <c r="B132" s="249" t="str">
        <f t="shared" si="28"/>
        <v>Salt - ملح</v>
      </c>
      <c r="C132" s="249" t="str">
        <f t="shared" si="28"/>
        <v>gm</v>
      </c>
      <c r="D132" s="249">
        <f t="shared" si="28"/>
        <v>5</v>
      </c>
      <c r="E132" s="327">
        <f t="shared" si="32"/>
        <v>0.99895342752486371</v>
      </c>
      <c r="F132" s="276">
        <f t="shared" si="29"/>
        <v>0.75</v>
      </c>
      <c r="G132" s="101">
        <f t="shared" si="30"/>
        <v>4.9947671376243186</v>
      </c>
      <c r="H132" s="187">
        <f t="shared" si="31"/>
        <v>3.7460753532182389</v>
      </c>
    </row>
    <row r="133" spans="1:8" ht="14.25" customHeight="1" x14ac:dyDescent="0.25">
      <c r="A133" s="1471"/>
      <c r="B133" s="249" t="str">
        <f t="shared" si="28"/>
        <v>Butter - زبدة</v>
      </c>
      <c r="C133" s="249" t="str">
        <f t="shared" si="28"/>
        <v>gm</v>
      </c>
      <c r="D133" s="249">
        <f t="shared" si="28"/>
        <v>40</v>
      </c>
      <c r="E133" s="327">
        <f t="shared" si="32"/>
        <v>0.99895342752486371</v>
      </c>
      <c r="F133" s="276">
        <f t="shared" si="29"/>
        <v>1</v>
      </c>
      <c r="G133" s="101">
        <f t="shared" si="30"/>
        <v>39.958137100994549</v>
      </c>
      <c r="H133" s="187">
        <f t="shared" si="31"/>
        <v>39.958137100994549</v>
      </c>
    </row>
    <row r="134" spans="1:8" ht="14.25" customHeight="1" x14ac:dyDescent="0.25">
      <c r="A134" s="1471"/>
      <c r="B134" s="249" t="str">
        <f t="shared" si="28"/>
        <v>Tomato Paste - صلصة طماطم</v>
      </c>
      <c r="C134" s="249" t="str">
        <f t="shared" si="28"/>
        <v>gm</v>
      </c>
      <c r="D134" s="249">
        <f t="shared" si="28"/>
        <v>20</v>
      </c>
      <c r="E134" s="327">
        <f t="shared" si="32"/>
        <v>0.99895342752486371</v>
      </c>
      <c r="F134" s="276">
        <f t="shared" si="29"/>
        <v>1</v>
      </c>
      <c r="G134" s="101">
        <f t="shared" si="30"/>
        <v>19.979068550497274</v>
      </c>
      <c r="H134" s="187">
        <f t="shared" si="31"/>
        <v>19.979068550497274</v>
      </c>
    </row>
    <row r="135" spans="1:8" ht="20.25" customHeight="1" x14ac:dyDescent="0.25">
      <c r="A135" s="1471"/>
      <c r="B135" s="249" t="str">
        <f t="shared" si="28"/>
        <v>Yogurt - زبادي</v>
      </c>
      <c r="C135" s="249" t="str">
        <f t="shared" si="28"/>
        <v>gm</v>
      </c>
      <c r="D135" s="249">
        <f t="shared" si="28"/>
        <v>100</v>
      </c>
      <c r="E135" s="327">
        <f t="shared" si="32"/>
        <v>0.99895342752486371</v>
      </c>
      <c r="F135" s="276">
        <f t="shared" si="29"/>
        <v>1</v>
      </c>
      <c r="G135" s="101">
        <f t="shared" si="30"/>
        <v>99.895342752486371</v>
      </c>
      <c r="H135" s="187">
        <f t="shared" si="31"/>
        <v>99.895342752486371</v>
      </c>
    </row>
    <row r="136" spans="1:8" x14ac:dyDescent="0.25">
      <c r="A136" s="1471"/>
      <c r="B136" s="249" t="str">
        <f t="shared" si="28"/>
        <v>Turmeric - كركم</v>
      </c>
      <c r="C136" s="249" t="str">
        <f t="shared" si="28"/>
        <v>gm</v>
      </c>
      <c r="D136" s="249">
        <f t="shared" si="28"/>
        <v>5</v>
      </c>
      <c r="E136" s="327">
        <f t="shared" si="32"/>
        <v>0.99895342752486371</v>
      </c>
      <c r="F136" s="276">
        <f t="shared" si="29"/>
        <v>0.75</v>
      </c>
      <c r="G136" s="101">
        <f t="shared" si="30"/>
        <v>4.9947671376243186</v>
      </c>
      <c r="H136" s="187">
        <f t="shared" si="31"/>
        <v>3.7460753532182389</v>
      </c>
    </row>
    <row r="137" spans="1:8" x14ac:dyDescent="0.25">
      <c r="A137" s="1472"/>
      <c r="B137" s="249" t="str">
        <f t="shared" si="28"/>
        <v>Corn Starch - نشا ذرة</v>
      </c>
      <c r="C137" s="249" t="str">
        <f t="shared" si="28"/>
        <v>gm</v>
      </c>
      <c r="D137" s="249">
        <f t="shared" si="28"/>
        <v>20</v>
      </c>
      <c r="E137" s="327">
        <f t="shared" si="32"/>
        <v>0.99895342752486371</v>
      </c>
      <c r="F137" s="276">
        <f t="shared" si="29"/>
        <v>1</v>
      </c>
      <c r="G137" s="101">
        <f t="shared" ref="G137" si="33">D137*E137</f>
        <v>19.979068550497274</v>
      </c>
      <c r="H137" s="187">
        <f t="shared" ref="H137" si="34">G137*F137</f>
        <v>19.979068550497274</v>
      </c>
    </row>
    <row r="138" spans="1:8" ht="18" x14ac:dyDescent="0.25">
      <c r="A138" s="1458"/>
      <c r="B138" s="178" t="s">
        <v>287</v>
      </c>
      <c r="C138" s="180" t="s">
        <v>273</v>
      </c>
      <c r="E138" s="180" t="s">
        <v>288</v>
      </c>
      <c r="G138" s="804" t="s">
        <v>264</v>
      </c>
      <c r="H138" s="804" t="s">
        <v>673</v>
      </c>
    </row>
    <row r="139" spans="1:8" ht="20.25" x14ac:dyDescent="0.3">
      <c r="A139" s="1458"/>
      <c r="B139" s="179">
        <f>$J$55</f>
        <v>1333.5104895104814</v>
      </c>
      <c r="C139" s="179">
        <f>E139+G139</f>
        <v>978.97435897436651</v>
      </c>
      <c r="D139" s="839"/>
      <c r="E139" s="179">
        <f>$D$55*$S$44</f>
        <v>400.48951048951358</v>
      </c>
      <c r="F139" s="84"/>
      <c r="G139" s="840">
        <f>$D$55*$T$44</f>
        <v>578.48484848485293</v>
      </c>
      <c r="H139" s="840">
        <f>B139+E139</f>
        <v>1733.999999999995</v>
      </c>
    </row>
    <row r="140" spans="1:8" x14ac:dyDescent="0.25">
      <c r="A140" s="1472"/>
    </row>
    <row r="141" spans="1:8" x14ac:dyDescent="0.25">
      <c r="A141" s="1472"/>
    </row>
    <row r="142" spans="1:8" x14ac:dyDescent="0.25">
      <c r="A142" s="1472"/>
    </row>
    <row r="143" spans="1:8" x14ac:dyDescent="0.25">
      <c r="A143" s="1472"/>
    </row>
    <row r="144" spans="1:8" x14ac:dyDescent="0.25">
      <c r="A144" s="1472"/>
    </row>
    <row r="145" spans="1:1" x14ac:dyDescent="0.25">
      <c r="A145" s="1472"/>
    </row>
    <row r="146" spans="1:1" x14ac:dyDescent="0.25">
      <c r="A146" s="1472"/>
    </row>
    <row r="147" spans="1:1" x14ac:dyDescent="0.25">
      <c r="A147" s="1472"/>
    </row>
    <row r="148" spans="1:1" x14ac:dyDescent="0.25">
      <c r="A148" s="1472"/>
    </row>
    <row r="149" spans="1:1" x14ac:dyDescent="0.25">
      <c r="A149" s="1472"/>
    </row>
    <row r="150" spans="1:1" x14ac:dyDescent="0.25">
      <c r="A150" s="1472"/>
    </row>
    <row r="151" spans="1:1" x14ac:dyDescent="0.25">
      <c r="A151" s="1472"/>
    </row>
    <row r="152" spans="1:1" x14ac:dyDescent="0.25">
      <c r="A152" s="1472"/>
    </row>
    <row r="153" spans="1:1" x14ac:dyDescent="0.25">
      <c r="A153" s="1472"/>
    </row>
    <row r="154" spans="1:1" x14ac:dyDescent="0.25">
      <c r="A154" s="1472"/>
    </row>
    <row r="155" spans="1:1" x14ac:dyDescent="0.25">
      <c r="A155" s="1472"/>
    </row>
    <row r="156" spans="1:1" x14ac:dyDescent="0.25">
      <c r="A156" s="1472"/>
    </row>
    <row r="157" spans="1:1" x14ac:dyDescent="0.25">
      <c r="A157" s="1472"/>
    </row>
    <row r="158" spans="1:1" x14ac:dyDescent="0.25">
      <c r="A158" s="1472"/>
    </row>
    <row r="159" spans="1:1" x14ac:dyDescent="0.25">
      <c r="A159" s="1472"/>
    </row>
    <row r="160" spans="1:1" x14ac:dyDescent="0.25">
      <c r="A160" s="1472"/>
    </row>
    <row r="161" spans="1:1" x14ac:dyDescent="0.25">
      <c r="A161" s="1472"/>
    </row>
    <row r="162" spans="1:1" x14ac:dyDescent="0.25">
      <c r="A162" s="1472"/>
    </row>
    <row r="163" spans="1:1" x14ac:dyDescent="0.25">
      <c r="A163" s="1472"/>
    </row>
    <row r="164" spans="1:1" x14ac:dyDescent="0.25">
      <c r="A164" s="1472"/>
    </row>
    <row r="165" spans="1:1" x14ac:dyDescent="0.25">
      <c r="A165" s="1472"/>
    </row>
    <row r="166" spans="1:1" x14ac:dyDescent="0.25">
      <c r="A166" s="1472"/>
    </row>
    <row r="167" spans="1:1" x14ac:dyDescent="0.25">
      <c r="A167" s="1472"/>
    </row>
    <row r="168" spans="1:1" x14ac:dyDescent="0.25">
      <c r="A168" s="1472"/>
    </row>
    <row r="169" spans="1:1" x14ac:dyDescent="0.25">
      <c r="A169" s="1472"/>
    </row>
    <row r="170" spans="1:1" x14ac:dyDescent="0.25">
      <c r="A170" s="1472"/>
    </row>
    <row r="171" spans="1:1" x14ac:dyDescent="0.25">
      <c r="A171" s="1472"/>
    </row>
    <row r="172" spans="1:1" x14ac:dyDescent="0.25">
      <c r="A172" s="1472"/>
    </row>
    <row r="173" spans="1:1" x14ac:dyDescent="0.25">
      <c r="A173" s="1472"/>
    </row>
    <row r="174" spans="1:1" x14ac:dyDescent="0.25">
      <c r="A174" s="1472"/>
    </row>
  </sheetData>
  <mergeCells count="13">
    <mergeCell ref="AN2:AN3"/>
    <mergeCell ref="B88:H88"/>
    <mergeCell ref="R25:U25"/>
    <mergeCell ref="B62:H62"/>
    <mergeCell ref="F2:F3"/>
    <mergeCell ref="AK2:AM2"/>
    <mergeCell ref="B116:H116"/>
    <mergeCell ref="B63:H63"/>
    <mergeCell ref="AE2:AG3"/>
    <mergeCell ref="B89:H89"/>
    <mergeCell ref="R26:U26"/>
    <mergeCell ref="B115:H115"/>
    <mergeCell ref="B35:F35"/>
  </mergeCells>
  <printOptions horizontalCentered="1"/>
  <pageMargins left="0.4" right="0.4" top="1" bottom="0.5" header="0.3" footer="0.511811023622047"/>
  <pageSetup paperSize="9" scale="41" orientation="landscape" r:id="rId1"/>
  <legacyDrawing r:id="rId2"/>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A7C4-3626-4FFC-8D5D-B007BD701B88}">
  <sheetPr codeName="Sheet71">
    <tabColor theme="3" tint="-0.249977111117893"/>
    <pageSetUpPr fitToPage="1"/>
  </sheetPr>
  <dimension ref="A1:AT112"/>
  <sheetViews>
    <sheetView zoomScale="85" zoomScaleNormal="55" workbookViewId="0">
      <selection activeCell="A6" sqref="A6:A7"/>
    </sheetView>
  </sheetViews>
  <sheetFormatPr defaultColWidth="12.5" defaultRowHeight="15" x14ac:dyDescent="0.25"/>
  <cols>
    <col min="1" max="1" width="12.5" style="1" customWidth="1"/>
    <col min="2" max="2" width="37.875" customWidth="1"/>
    <col min="3" max="3" width="23.875" customWidth="1"/>
    <col min="4" max="4" width="19" customWidth="1"/>
    <col min="5" max="5" width="16.125" customWidth="1"/>
    <col min="6" max="6" width="23.125" customWidth="1"/>
    <col min="7" max="7" width="25.125" customWidth="1"/>
    <col min="8" max="8" width="36.125" customWidth="1"/>
    <col min="12" max="12" width="8.375" customWidth="1"/>
    <col min="13" max="14" width="6.125" customWidth="1"/>
    <col min="18" max="18" width="33.875" customWidth="1"/>
    <col min="23" max="23" width="37.375" bestFit="1" customWidth="1"/>
    <col min="28" max="28" width="18.125" customWidth="1"/>
    <col min="29" max="29" width="11.875" bestFit="1" customWidth="1"/>
    <col min="30" max="30" width="13.375" bestFit="1" customWidth="1"/>
    <col min="31" max="31" width="10" bestFit="1" customWidth="1"/>
    <col min="32" max="32" width="11.625" bestFit="1" customWidth="1"/>
    <col min="33" max="34" width="5.625" customWidth="1"/>
    <col min="36" max="36" width="27.875" customWidth="1"/>
  </cols>
  <sheetData>
    <row r="1" spans="1:46" ht="35.25" customHeight="1" x14ac:dyDescent="0.25">
      <c r="B1" s="64" t="s">
        <v>231</v>
      </c>
      <c r="C1" s="65">
        <v>1000</v>
      </c>
      <c r="D1" s="66" t="s">
        <v>232</v>
      </c>
      <c r="E1" s="99">
        <f>T32</f>
        <v>11304.61538461539</v>
      </c>
      <c r="F1" s="64" t="s">
        <v>233</v>
      </c>
      <c r="G1" s="103">
        <f>E1/C1</f>
        <v>11.30461538461539</v>
      </c>
      <c r="H1" s="64" t="s">
        <v>234</v>
      </c>
      <c r="I1" s="259">
        <f>G1/K1</f>
        <v>11.418803418803424</v>
      </c>
      <c r="J1" s="70" t="s">
        <v>235</v>
      </c>
      <c r="K1" s="76">
        <v>0.99</v>
      </c>
      <c r="L1" s="552">
        <f>4.2/4.6</f>
        <v>0.91304347826086962</v>
      </c>
      <c r="M1" s="73"/>
      <c r="N1" s="303"/>
      <c r="O1" s="75" t="s">
        <v>236</v>
      </c>
      <c r="P1" s="76" t="s">
        <v>299</v>
      </c>
      <c r="Q1" s="77" t="s">
        <v>238</v>
      </c>
      <c r="R1" s="76">
        <v>0.57999999999999996</v>
      </c>
      <c r="Y1" s="75" t="s">
        <v>453</v>
      </c>
      <c r="Z1" s="766">
        <v>20040</v>
      </c>
      <c r="AA1" s="75" t="s">
        <v>556</v>
      </c>
      <c r="AB1" s="766">
        <v>0</v>
      </c>
      <c r="AC1" s="75" t="s">
        <v>546</v>
      </c>
      <c r="AD1" s="766">
        <v>136</v>
      </c>
      <c r="AE1" s="228"/>
      <c r="AF1" s="230"/>
      <c r="AG1" s="76"/>
      <c r="AI1" s="1"/>
      <c r="AJ1" s="78" t="s">
        <v>250</v>
      </c>
      <c r="AK1" s="78">
        <v>10000</v>
      </c>
      <c r="AL1" s="561" t="s">
        <v>502</v>
      </c>
      <c r="AM1" s="562">
        <f>$S$32</f>
        <v>15415.384615384612</v>
      </c>
      <c r="AN1" s="78" t="s">
        <v>239</v>
      </c>
      <c r="AO1" s="305">
        <f>((S32)/$R$1)/$AK$1</f>
        <v>2.6578249336870021</v>
      </c>
      <c r="AP1" s="79"/>
    </row>
    <row r="2" spans="1:46" ht="12.75" customHeight="1" x14ac:dyDescent="0.25">
      <c r="A2" s="242"/>
      <c r="B2" s="1645" t="s">
        <v>151</v>
      </c>
      <c r="C2" s="1653"/>
      <c r="D2" s="1653"/>
      <c r="E2" s="1653"/>
      <c r="F2" s="1653"/>
      <c r="G2" s="1653"/>
      <c r="H2" s="1653"/>
      <c r="I2" s="1653"/>
      <c r="J2" s="1653"/>
      <c r="K2" s="1653"/>
      <c r="L2" s="270"/>
      <c r="M2" s="84"/>
      <c r="N2" s="84"/>
      <c r="O2" s="84"/>
      <c r="P2" s="84"/>
      <c r="Q2" s="84"/>
      <c r="R2" s="84"/>
      <c r="AC2" s="83"/>
      <c r="AD2" s="83"/>
      <c r="AE2" s="1652"/>
      <c r="AF2" s="1653"/>
      <c r="AG2" s="1653"/>
      <c r="AI2" s="1"/>
      <c r="AJ2" s="85"/>
      <c r="AK2" s="1631" t="s">
        <v>466</v>
      </c>
      <c r="AL2" s="1631"/>
      <c r="AM2" s="1631"/>
      <c r="AN2" s="1631"/>
      <c r="AO2" s="85"/>
      <c r="AP2" s="85"/>
    </row>
    <row r="3" spans="1:46" ht="12.75" customHeight="1" x14ac:dyDescent="0.25">
      <c r="A3" s="242"/>
      <c r="B3" s="1633"/>
      <c r="C3" s="1633"/>
      <c r="D3" s="1633"/>
      <c r="E3" s="1633"/>
      <c r="F3" s="1633"/>
      <c r="G3" s="1633"/>
      <c r="H3" s="1633"/>
      <c r="I3" s="1633"/>
      <c r="J3" s="1633"/>
      <c r="K3" s="1633"/>
      <c r="L3" s="270"/>
      <c r="M3" s="84"/>
      <c r="N3" s="84"/>
      <c r="O3" s="84"/>
      <c r="P3" s="84"/>
      <c r="Q3" s="84"/>
      <c r="R3" s="84"/>
      <c r="AC3" s="83"/>
      <c r="AD3" s="83"/>
      <c r="AE3" s="1653"/>
      <c r="AF3" s="1653"/>
      <c r="AG3" s="1653"/>
      <c r="AI3" s="1"/>
      <c r="AJ3" s="85"/>
      <c r="AK3" s="85"/>
      <c r="AL3" s="85"/>
      <c r="AM3" s="85"/>
      <c r="AN3" s="1653"/>
      <c r="AO3" s="85"/>
      <c r="AP3" s="85"/>
    </row>
    <row r="4" spans="1:46" ht="46.5" customHeight="1" x14ac:dyDescent="0.25">
      <c r="A4" s="1523"/>
      <c r="B4" s="1523" t="s">
        <v>241</v>
      </c>
      <c r="C4" s="90" t="s">
        <v>242</v>
      </c>
      <c r="D4" s="75" t="s">
        <v>464</v>
      </c>
      <c r="E4" s="1524" t="s">
        <v>234</v>
      </c>
      <c r="F4" s="91" t="s">
        <v>243</v>
      </c>
      <c r="G4" s="75" t="s">
        <v>465</v>
      </c>
      <c r="H4" s="92" t="s">
        <v>335</v>
      </c>
      <c r="I4" s="75" t="s">
        <v>246</v>
      </c>
      <c r="J4" s="75" t="s">
        <v>247</v>
      </c>
      <c r="K4" s="75" t="s">
        <v>248</v>
      </c>
      <c r="L4" s="75" t="s">
        <v>249</v>
      </c>
      <c r="M4" s="84"/>
      <c r="N4" s="84"/>
      <c r="O4" s="84"/>
      <c r="P4" s="84"/>
      <c r="AA4" s="229"/>
      <c r="AB4" s="231"/>
      <c r="AC4" s="229"/>
      <c r="AD4" s="229"/>
      <c r="AE4" s="229"/>
      <c r="AF4" s="229"/>
      <c r="AG4" s="229"/>
      <c r="AI4" s="1"/>
      <c r="AJ4" s="78" t="s">
        <v>241</v>
      </c>
      <c r="AK4" s="493" t="s">
        <v>242</v>
      </c>
      <c r="AL4" s="78" t="s">
        <v>250</v>
      </c>
      <c r="AM4" s="78" t="s">
        <v>234</v>
      </c>
      <c r="AN4" s="78" t="s">
        <v>243</v>
      </c>
      <c r="AO4" s="78" t="s">
        <v>244</v>
      </c>
      <c r="AP4" s="78" t="s">
        <v>335</v>
      </c>
      <c r="AQ4" s="75" t="s">
        <v>246</v>
      </c>
      <c r="AR4" s="75" t="s">
        <v>247</v>
      </c>
      <c r="AS4" s="75" t="s">
        <v>248</v>
      </c>
      <c r="AT4" s="75" t="s">
        <v>249</v>
      </c>
    </row>
    <row r="5" spans="1:46" ht="14.25" customHeight="1" x14ac:dyDescent="0.25">
      <c r="A5" s="1525"/>
      <c r="B5" s="20" t="s">
        <v>226</v>
      </c>
      <c r="C5" s="97" t="s">
        <v>14</v>
      </c>
      <c r="D5" s="245">
        <f>I51/10</f>
        <v>2351.2225705329156</v>
      </c>
      <c r="E5" s="108">
        <f>H52</f>
        <v>11.304012503948504</v>
      </c>
      <c r="F5" s="109">
        <v>1</v>
      </c>
      <c r="G5" s="103">
        <f t="shared" ref="G5:G15" si="0">D5*E5</f>
        <v>26578.249336870023</v>
      </c>
      <c r="H5" s="102">
        <f t="shared" ref="H5:H15" si="1">G5*F5</f>
        <v>26578.249336870023</v>
      </c>
      <c r="I5" s="65">
        <f>VLOOKUP(B5,All_Ingredients!$A$1:$F$156,6,FALSE())</f>
        <v>0.99</v>
      </c>
      <c r="J5" s="101">
        <f>VLOOKUP(B5,All_Ingredients!$A$1:$J$156,10,FALSE())</f>
        <v>11.75</v>
      </c>
      <c r="K5" s="104">
        <f t="shared" ref="K5" si="2">(H5/I5)/1000</f>
        <v>26.846716501888913</v>
      </c>
      <c r="L5" s="104">
        <f t="shared" ref="L5" si="3">K5*J5</f>
        <v>315.44891889719474</v>
      </c>
      <c r="M5" s="84"/>
      <c r="N5" s="84"/>
      <c r="O5" s="84"/>
      <c r="P5" s="84"/>
      <c r="AA5" s="76"/>
      <c r="AB5" s="114"/>
      <c r="AC5" s="232"/>
      <c r="AD5" s="116"/>
      <c r="AE5" s="116"/>
      <c r="AF5" s="116"/>
      <c r="AG5" s="117"/>
      <c r="AI5" s="1"/>
      <c r="AJ5" s="20" t="s">
        <v>226</v>
      </c>
      <c r="AK5" s="106" t="s">
        <v>227</v>
      </c>
      <c r="AL5" s="107">
        <v>10</v>
      </c>
      <c r="AM5" s="201">
        <f t="shared" ref="AM5:AM13" si="4">$AO$1</f>
        <v>2.6578249336870021</v>
      </c>
      <c r="AN5" s="109">
        <v>1</v>
      </c>
      <c r="AO5" s="103">
        <f t="shared" ref="AO5:AO13" si="5">AL5*AM5</f>
        <v>26.578249336870023</v>
      </c>
      <c r="AP5" s="102">
        <f t="shared" ref="AP5:AP13" si="6">AO5*AN5</f>
        <v>26.578249336870023</v>
      </c>
      <c r="AQ5" s="272"/>
      <c r="AR5" s="1017"/>
      <c r="AS5" s="156"/>
      <c r="AT5" s="1018"/>
    </row>
    <row r="6" spans="1:46" ht="14.25" customHeight="1" x14ac:dyDescent="0.25">
      <c r="A6" s="247" t="s">
        <v>987</v>
      </c>
      <c r="B6" s="20" t="s">
        <v>40</v>
      </c>
      <c r="C6" s="106" t="s">
        <v>14</v>
      </c>
      <c r="D6" s="107">
        <v>150</v>
      </c>
      <c r="E6" s="201">
        <f t="shared" ref="E6:E15" si="7">$I$1</f>
        <v>11.418803418803424</v>
      </c>
      <c r="F6" s="109">
        <v>1</v>
      </c>
      <c r="G6" s="103">
        <f t="shared" si="0"/>
        <v>1712.8205128205136</v>
      </c>
      <c r="H6" s="102">
        <f t="shared" si="1"/>
        <v>1712.8205128205136</v>
      </c>
      <c r="I6" s="65">
        <f>VLOOKUP(B6,All_Ingredients!$A$1:$F$156,6,FALSE())</f>
        <v>0.84</v>
      </c>
      <c r="J6" s="101">
        <f>VLOOKUP(B6,All_Ingredients!$A$1:$J$156,10,FALSE())</f>
        <v>2.9629629629629628</v>
      </c>
      <c r="K6" s="104">
        <f t="shared" ref="K6:K9" si="8">(H6/I6)/1000</f>
        <v>2.0390720390720403</v>
      </c>
      <c r="L6" s="104">
        <f t="shared" ref="L6:L9" si="9">K6*J6</f>
        <v>6.041694930583823</v>
      </c>
      <c r="AI6" s="1" t="s">
        <v>94</v>
      </c>
      <c r="AJ6" s="299" t="s">
        <v>144</v>
      </c>
      <c r="AK6" s="310" t="s">
        <v>14</v>
      </c>
      <c r="AL6" s="107">
        <v>50</v>
      </c>
      <c r="AM6" s="201">
        <f t="shared" si="4"/>
        <v>2.6578249336870021</v>
      </c>
      <c r="AN6" s="109">
        <v>1</v>
      </c>
      <c r="AO6" s="103">
        <f t="shared" si="5"/>
        <v>132.89124668435011</v>
      </c>
      <c r="AP6" s="102">
        <f t="shared" si="6"/>
        <v>132.89124668435011</v>
      </c>
      <c r="AQ6" s="1018">
        <f>VLOOKUP(AJ6,Marination_Ordering!$A:$J,6,FALSE)</f>
        <v>1</v>
      </c>
      <c r="AR6" s="1018">
        <f>VLOOKUP(AJ6,Marination_Ordering!$A:$J,10,FALSE)</f>
        <v>18</v>
      </c>
      <c r="AS6" s="156">
        <f>AP6/AQ6</f>
        <v>132.89124668435011</v>
      </c>
      <c r="AT6" s="1018">
        <f>AR6*(AS6/1000)</f>
        <v>2.3920424403183018</v>
      </c>
    </row>
    <row r="7" spans="1:46" ht="14.25" customHeight="1" x14ac:dyDescent="0.25">
      <c r="A7" s="247" t="s">
        <v>907</v>
      </c>
      <c r="B7" s="20" t="s">
        <v>727</v>
      </c>
      <c r="C7" s="106" t="s">
        <v>14</v>
      </c>
      <c r="D7" s="107">
        <v>30</v>
      </c>
      <c r="E7" s="201">
        <f t="shared" si="7"/>
        <v>11.418803418803424</v>
      </c>
      <c r="F7" s="109">
        <v>1</v>
      </c>
      <c r="G7" s="103">
        <f t="shared" si="0"/>
        <v>342.56410256410271</v>
      </c>
      <c r="H7" s="102">
        <f t="shared" si="1"/>
        <v>342.56410256410271</v>
      </c>
      <c r="I7" s="65">
        <f>VLOOKUP(B7,All_Ingredients!$A$1:$F$156,6,FALSE())</f>
        <v>1</v>
      </c>
      <c r="J7" s="101">
        <f>VLOOKUP(B7,All_Ingredients!$A$1:$J$156,10,FALSE())</f>
        <v>10.5</v>
      </c>
      <c r="K7" s="104">
        <f t="shared" si="8"/>
        <v>0.34256410256410269</v>
      </c>
      <c r="L7" s="104">
        <f t="shared" si="9"/>
        <v>3.5969230769230784</v>
      </c>
      <c r="AI7" s="1" t="s">
        <v>94</v>
      </c>
      <c r="AJ7" s="299" t="s">
        <v>149</v>
      </c>
      <c r="AK7" s="310" t="s">
        <v>14</v>
      </c>
      <c r="AL7" s="107">
        <v>50</v>
      </c>
      <c r="AM7" s="201">
        <f t="shared" si="4"/>
        <v>2.6578249336870021</v>
      </c>
      <c r="AN7" s="109">
        <v>1</v>
      </c>
      <c r="AO7" s="103">
        <f t="shared" si="5"/>
        <v>132.89124668435011</v>
      </c>
      <c r="AP7" s="102">
        <f t="shared" si="6"/>
        <v>132.89124668435011</v>
      </c>
      <c r="AQ7" s="1018">
        <f>VLOOKUP(AJ7,Marination_Ordering!$A:$J,6,FALSE)</f>
        <v>1</v>
      </c>
      <c r="AR7" s="1018">
        <f>VLOOKUP(AJ7,Marination_Ordering!$A:$J,10,FALSE)</f>
        <v>10</v>
      </c>
      <c r="AS7" s="156">
        <f t="shared" ref="AS7:AS13" si="10">AP7/AQ7</f>
        <v>132.89124668435011</v>
      </c>
      <c r="AT7" s="1018">
        <f t="shared" ref="AT7:AT13" si="11">AR7*(AS7/1000)</f>
        <v>1.3289124668435011</v>
      </c>
    </row>
    <row r="8" spans="1:46" ht="14.25" customHeight="1" x14ac:dyDescent="0.25">
      <c r="A8" s="247"/>
      <c r="B8" s="20" t="s">
        <v>101</v>
      </c>
      <c r="C8" s="106" t="s">
        <v>14</v>
      </c>
      <c r="D8" s="107">
        <v>6</v>
      </c>
      <c r="E8" s="201">
        <f t="shared" si="7"/>
        <v>11.418803418803424</v>
      </c>
      <c r="F8" s="109">
        <v>0.75</v>
      </c>
      <c r="G8" s="103">
        <f t="shared" si="0"/>
        <v>68.512820512820554</v>
      </c>
      <c r="H8" s="102">
        <f t="shared" si="1"/>
        <v>51.384615384615415</v>
      </c>
      <c r="I8" s="65">
        <f>VLOOKUP(B8,All_Ingredients!$A$1:$F$156,6,FALSE())</f>
        <v>1</v>
      </c>
      <c r="J8" s="101">
        <f>VLOOKUP(B8,All_Ingredients!$A$1:$J$156,10,FALSE())</f>
        <v>47</v>
      </c>
      <c r="K8" s="104">
        <f t="shared" si="8"/>
        <v>5.1384615384615417E-2</v>
      </c>
      <c r="L8" s="104">
        <f t="shared" si="9"/>
        <v>2.4150769230769247</v>
      </c>
      <c r="AI8" s="1" t="s">
        <v>94</v>
      </c>
      <c r="AJ8" s="299" t="s">
        <v>105</v>
      </c>
      <c r="AK8" s="310" t="s">
        <v>14</v>
      </c>
      <c r="AL8" s="107">
        <v>50</v>
      </c>
      <c r="AM8" s="201">
        <f t="shared" si="4"/>
        <v>2.6578249336870021</v>
      </c>
      <c r="AN8" s="109">
        <v>1</v>
      </c>
      <c r="AO8" s="103">
        <f t="shared" si="5"/>
        <v>132.89124668435011</v>
      </c>
      <c r="AP8" s="102">
        <f t="shared" si="6"/>
        <v>132.89124668435011</v>
      </c>
      <c r="AQ8" s="1018">
        <f>VLOOKUP(AJ8,Marination_Ordering!$A:$J,6,FALSE)</f>
        <v>1</v>
      </c>
      <c r="AR8" s="1018">
        <f>VLOOKUP(AJ8,Marination_Ordering!$A:$J,10,FALSE)</f>
        <v>15</v>
      </c>
      <c r="AS8" s="156">
        <f t="shared" si="10"/>
        <v>132.89124668435011</v>
      </c>
      <c r="AT8" s="1018">
        <f t="shared" si="11"/>
        <v>1.9933687002652514</v>
      </c>
    </row>
    <row r="9" spans="1:46" ht="14.25" customHeight="1" x14ac:dyDescent="0.25">
      <c r="A9" s="247"/>
      <c r="B9" s="20" t="s">
        <v>139</v>
      </c>
      <c r="C9" s="106" t="s">
        <v>14</v>
      </c>
      <c r="D9" s="107">
        <v>10</v>
      </c>
      <c r="E9" s="201">
        <f t="shared" si="7"/>
        <v>11.418803418803424</v>
      </c>
      <c r="F9" s="109">
        <v>0.9</v>
      </c>
      <c r="G9" s="103">
        <f t="shared" si="0"/>
        <v>114.18803418803424</v>
      </c>
      <c r="H9" s="102">
        <f t="shared" si="1"/>
        <v>102.76923076923082</v>
      </c>
      <c r="I9" s="65">
        <f>VLOOKUP(B9,All_Ingredients!$A$1:$F$156,6,FALSE())</f>
        <v>1</v>
      </c>
      <c r="J9" s="101">
        <f>VLOOKUP(B9,All_Ingredients!$A$1:$J$156,10,FALSE())</f>
        <v>15.277777777777779</v>
      </c>
      <c r="K9" s="104">
        <f t="shared" si="8"/>
        <v>0.10276923076923082</v>
      </c>
      <c r="L9" s="104">
        <f t="shared" si="9"/>
        <v>1.5700854700854709</v>
      </c>
      <c r="AI9" s="1" t="s">
        <v>94</v>
      </c>
      <c r="AJ9" s="299" t="s">
        <v>725</v>
      </c>
      <c r="AK9" s="310" t="s">
        <v>14</v>
      </c>
      <c r="AL9" s="107">
        <v>100</v>
      </c>
      <c r="AM9" s="201">
        <f t="shared" si="4"/>
        <v>2.6578249336870021</v>
      </c>
      <c r="AN9" s="109">
        <v>1</v>
      </c>
      <c r="AO9" s="103">
        <f t="shared" si="5"/>
        <v>265.78249336870022</v>
      </c>
      <c r="AP9" s="102">
        <f t="shared" si="6"/>
        <v>265.78249336870022</v>
      </c>
      <c r="AQ9" s="1018">
        <f>VLOOKUP(AJ9,Marination_Ordering!$A:$J,6,FALSE)</f>
        <v>1</v>
      </c>
      <c r="AR9" s="1018">
        <f>VLOOKUP(AJ9,Marination_Ordering!$A:$J,10,FALSE)</f>
        <v>43.333333333333336</v>
      </c>
      <c r="AS9" s="156">
        <f t="shared" si="10"/>
        <v>265.78249336870022</v>
      </c>
      <c r="AT9" s="1018">
        <f t="shared" si="11"/>
        <v>11.517241379310342</v>
      </c>
    </row>
    <row r="10" spans="1:46" ht="14.25" customHeight="1" x14ac:dyDescent="0.25">
      <c r="A10" s="247"/>
      <c r="B10" s="20" t="s">
        <v>159</v>
      </c>
      <c r="C10" s="106" t="s">
        <v>160</v>
      </c>
      <c r="D10" s="107">
        <v>600</v>
      </c>
      <c r="E10" s="201">
        <f t="shared" si="7"/>
        <v>11.418803418803424</v>
      </c>
      <c r="F10" s="109">
        <v>1</v>
      </c>
      <c r="G10" s="101">
        <f t="shared" si="0"/>
        <v>6851.2820512820545</v>
      </c>
      <c r="H10" s="102">
        <f t="shared" si="1"/>
        <v>6851.2820512820545</v>
      </c>
      <c r="I10" s="65">
        <f>VLOOKUP(B10,All_Ingredients!$A$1:$F$156,6,FALSE())</f>
        <v>1</v>
      </c>
      <c r="J10" s="101">
        <f>VLOOKUP(B10,All_Ingredients!$A$1:$J$156,10,FALSE())</f>
        <v>4.2033333333333331</v>
      </c>
      <c r="K10" s="104">
        <f t="shared" ref="K10:K15" si="12">(H10/I10)/1000</f>
        <v>6.8512820512820545</v>
      </c>
      <c r="L10" s="104">
        <f t="shared" ref="L10:L15" si="13">K10*J10</f>
        <v>28.798222222222233</v>
      </c>
      <c r="AI10" s="1" t="s">
        <v>94</v>
      </c>
      <c r="AJ10" s="299" t="s">
        <v>93</v>
      </c>
      <c r="AK10" s="310" t="s">
        <v>14</v>
      </c>
      <c r="AL10" s="107">
        <v>25</v>
      </c>
      <c r="AM10" s="201">
        <f t="shared" si="4"/>
        <v>2.6578249336870021</v>
      </c>
      <c r="AN10" s="109">
        <v>1</v>
      </c>
      <c r="AO10" s="103">
        <f t="shared" si="5"/>
        <v>66.445623342175054</v>
      </c>
      <c r="AP10" s="102">
        <f t="shared" si="6"/>
        <v>66.445623342175054</v>
      </c>
      <c r="AQ10" s="1018">
        <f>VLOOKUP(AJ10,Marination_Ordering!$A:$J,6,FALSE)</f>
        <v>1</v>
      </c>
      <c r="AR10" s="1018">
        <f>VLOOKUP(AJ10,Marination_Ordering!$A:$J,10,FALSE)</f>
        <v>0.74</v>
      </c>
      <c r="AS10" s="156">
        <f t="shared" si="10"/>
        <v>66.445623342175054</v>
      </c>
      <c r="AT10" s="1018">
        <f t="shared" si="11"/>
        <v>4.9169761273209538E-2</v>
      </c>
    </row>
    <row r="11" spans="1:46" ht="14.25" customHeight="1" x14ac:dyDescent="0.25">
      <c r="A11" s="247"/>
      <c r="B11" s="20" t="s">
        <v>166</v>
      </c>
      <c r="C11" s="106" t="s">
        <v>160</v>
      </c>
      <c r="D11" s="107">
        <v>600</v>
      </c>
      <c r="E11" s="201">
        <f t="shared" si="7"/>
        <v>11.418803418803424</v>
      </c>
      <c r="F11" s="109">
        <v>1</v>
      </c>
      <c r="G11" s="101">
        <f t="shared" si="0"/>
        <v>6851.2820512820545</v>
      </c>
      <c r="H11" s="102">
        <f t="shared" si="1"/>
        <v>6851.2820512820545</v>
      </c>
      <c r="I11" s="65">
        <f>VLOOKUP(B11,All_Ingredients!$A$1:$F$156,6,FALSE())</f>
        <v>1</v>
      </c>
      <c r="J11" s="101">
        <f>VLOOKUP(B11,All_Ingredients!$A$1:$J$156,10,FALSE())</f>
        <v>12.666666666666666</v>
      </c>
      <c r="K11" s="104">
        <f t="shared" si="12"/>
        <v>6.8512820512820545</v>
      </c>
      <c r="L11" s="104">
        <f t="shared" si="13"/>
        <v>86.782905982906016</v>
      </c>
      <c r="AI11" s="1" t="s">
        <v>94</v>
      </c>
      <c r="AJ11" s="299" t="s">
        <v>99</v>
      </c>
      <c r="AK11" s="310" t="s">
        <v>14</v>
      </c>
      <c r="AL11" s="107">
        <v>25</v>
      </c>
      <c r="AM11" s="201">
        <f t="shared" si="4"/>
        <v>2.6578249336870021</v>
      </c>
      <c r="AN11" s="109">
        <v>1</v>
      </c>
      <c r="AO11" s="103">
        <f t="shared" si="5"/>
        <v>66.445623342175054</v>
      </c>
      <c r="AP11" s="102">
        <f t="shared" si="6"/>
        <v>66.445623342175054</v>
      </c>
      <c r="AQ11" s="1018">
        <f>VLOOKUP(AJ11,Marination_Ordering!$A:$J,6,FALSE)</f>
        <v>1</v>
      </c>
      <c r="AR11" s="1018">
        <f>VLOOKUP(AJ11,Marination_Ordering!$A:$J,10,FALSE)</f>
        <v>31</v>
      </c>
      <c r="AS11" s="156">
        <f t="shared" si="10"/>
        <v>66.445623342175054</v>
      </c>
      <c r="AT11" s="1018">
        <f t="shared" si="11"/>
        <v>2.0598143236074264</v>
      </c>
    </row>
    <row r="12" spans="1:46" ht="14.25" customHeight="1" x14ac:dyDescent="0.25">
      <c r="A12" s="247"/>
      <c r="B12" s="20" t="s">
        <v>93</v>
      </c>
      <c r="C12" s="106" t="s">
        <v>14</v>
      </c>
      <c r="D12" s="107">
        <v>5</v>
      </c>
      <c r="E12" s="201">
        <f t="shared" si="7"/>
        <v>11.418803418803424</v>
      </c>
      <c r="F12" s="109">
        <v>1</v>
      </c>
      <c r="G12" s="103">
        <f t="shared" si="0"/>
        <v>57.094017094017119</v>
      </c>
      <c r="H12" s="102">
        <f t="shared" si="1"/>
        <v>57.094017094017119</v>
      </c>
      <c r="I12" s="65">
        <f>VLOOKUP(B12,All_Ingredients!$A$1:$F$156,6,FALSE())</f>
        <v>1</v>
      </c>
      <c r="J12" s="101">
        <f>VLOOKUP(B12,All_Ingredients!$A$1:$J$156,10,FALSE())</f>
        <v>0.74</v>
      </c>
      <c r="K12" s="104">
        <f t="shared" si="12"/>
        <v>5.7094017094017117E-2</v>
      </c>
      <c r="L12" s="104">
        <f t="shared" si="13"/>
        <v>4.2249572649572666E-2</v>
      </c>
      <c r="AI12" s="1" t="s">
        <v>94</v>
      </c>
      <c r="AJ12" s="299" t="s">
        <v>107</v>
      </c>
      <c r="AK12" s="310" t="s">
        <v>14</v>
      </c>
      <c r="AL12" s="107">
        <v>50</v>
      </c>
      <c r="AM12" s="201">
        <f t="shared" si="4"/>
        <v>2.6578249336870021</v>
      </c>
      <c r="AN12" s="109">
        <v>1</v>
      </c>
      <c r="AO12" s="103">
        <f t="shared" si="5"/>
        <v>132.89124668435011</v>
      </c>
      <c r="AP12" s="102">
        <f t="shared" si="6"/>
        <v>132.89124668435011</v>
      </c>
      <c r="AQ12" s="1018">
        <f>VLOOKUP(AJ12,Marination_Ordering!$A:$J,6,FALSE)</f>
        <v>1</v>
      </c>
      <c r="AR12" s="1018">
        <f>VLOOKUP(AJ12,Marination_Ordering!$A:$J,10,FALSE)</f>
        <v>8</v>
      </c>
      <c r="AS12" s="156">
        <f t="shared" si="10"/>
        <v>132.89124668435011</v>
      </c>
      <c r="AT12" s="1018">
        <f t="shared" si="11"/>
        <v>1.0631299734748008</v>
      </c>
    </row>
    <row r="13" spans="1:46" ht="14.25" customHeight="1" x14ac:dyDescent="0.25">
      <c r="A13" s="247"/>
      <c r="B13" s="20" t="s">
        <v>185</v>
      </c>
      <c r="C13" s="106" t="s">
        <v>14</v>
      </c>
      <c r="D13" s="107">
        <v>50</v>
      </c>
      <c r="E13" s="201">
        <f t="shared" si="7"/>
        <v>11.418803418803424</v>
      </c>
      <c r="F13" s="109">
        <v>1</v>
      </c>
      <c r="G13" s="103">
        <f t="shared" si="0"/>
        <v>570.94017094017124</v>
      </c>
      <c r="H13" s="102">
        <f t="shared" si="1"/>
        <v>570.94017094017124</v>
      </c>
      <c r="I13" s="65">
        <f>VLOOKUP(B13,All_Ingredients!$A$1:$F$156,6,FALSE())</f>
        <v>1</v>
      </c>
      <c r="J13" s="101">
        <f>VLOOKUP(B13,All_Ingredients!$A$1:$J$156,10,FALSE())</f>
        <v>1.7</v>
      </c>
      <c r="K13" s="104">
        <f t="shared" si="12"/>
        <v>0.57094017094017124</v>
      </c>
      <c r="L13" s="104">
        <f t="shared" si="13"/>
        <v>0.97059829059829106</v>
      </c>
      <c r="AI13" s="1" t="s">
        <v>94</v>
      </c>
      <c r="AJ13" s="299" t="s">
        <v>118</v>
      </c>
      <c r="AK13" s="310" t="s">
        <v>14</v>
      </c>
      <c r="AL13" s="107">
        <v>50</v>
      </c>
      <c r="AM13" s="201">
        <f t="shared" si="4"/>
        <v>2.6578249336870021</v>
      </c>
      <c r="AN13" s="109">
        <v>1</v>
      </c>
      <c r="AO13" s="103">
        <f t="shared" si="5"/>
        <v>132.89124668435011</v>
      </c>
      <c r="AP13" s="102">
        <f t="shared" si="6"/>
        <v>132.89124668435011</v>
      </c>
      <c r="AQ13" s="1018">
        <f>VLOOKUP(AJ13,Marination_Ordering!$A:$J,6,FALSE)</f>
        <v>1</v>
      </c>
      <c r="AR13" s="1018">
        <f>VLOOKUP(AJ13,Marination_Ordering!$A:$J,10,FALSE)</f>
        <v>15</v>
      </c>
      <c r="AS13" s="156">
        <f t="shared" si="10"/>
        <v>132.89124668435011</v>
      </c>
      <c r="AT13" s="1018">
        <f t="shared" si="11"/>
        <v>1.9933687002652514</v>
      </c>
    </row>
    <row r="14" spans="1:46" ht="14.25" customHeight="1" x14ac:dyDescent="0.25">
      <c r="A14" s="247"/>
      <c r="B14" s="20" t="s">
        <v>726</v>
      </c>
      <c r="C14" s="106" t="s">
        <v>14</v>
      </c>
      <c r="D14" s="107">
        <v>45</v>
      </c>
      <c r="E14" s="201">
        <f t="shared" si="7"/>
        <v>11.418803418803424</v>
      </c>
      <c r="F14" s="109">
        <v>1</v>
      </c>
      <c r="G14" s="103">
        <f t="shared" si="0"/>
        <v>513.84615384615415</v>
      </c>
      <c r="H14" s="102">
        <f t="shared" si="1"/>
        <v>513.84615384615415</v>
      </c>
      <c r="I14" s="65">
        <f>VLOOKUP(B14,All_Ingredients!$A$1:$F$156,6,FALSE())</f>
        <v>1</v>
      </c>
      <c r="J14" s="101">
        <f>VLOOKUP(B14,All_Ingredients!$A$1:$J$156,10,FALSE())</f>
        <v>67.91483113069016</v>
      </c>
      <c r="K14" s="104">
        <f t="shared" si="12"/>
        <v>0.51384615384615417</v>
      </c>
      <c r="L14" s="104">
        <f t="shared" si="13"/>
        <v>34.897774765616198</v>
      </c>
    </row>
    <row r="15" spans="1:46" ht="14.25" customHeight="1" x14ac:dyDescent="0.25">
      <c r="A15" s="247"/>
      <c r="B15" s="244" t="s">
        <v>152</v>
      </c>
      <c r="C15" s="106" t="s">
        <v>14</v>
      </c>
      <c r="D15" s="107">
        <v>20</v>
      </c>
      <c r="E15" s="201">
        <f t="shared" si="7"/>
        <v>11.418803418803424</v>
      </c>
      <c r="F15" s="109">
        <v>1</v>
      </c>
      <c r="G15" s="103">
        <f t="shared" si="0"/>
        <v>228.37606837606847</v>
      </c>
      <c r="H15" s="102">
        <f t="shared" si="1"/>
        <v>228.37606837606847</v>
      </c>
      <c r="I15" s="65">
        <f>VLOOKUP(B15,All_Ingredients!$A$1:$F$156,6,FALSE())</f>
        <v>1</v>
      </c>
      <c r="J15" s="101">
        <f>VLOOKUP(B15,All_Ingredients!$A$1:$J$156,10,FALSE())</f>
        <v>30</v>
      </c>
      <c r="K15" s="104">
        <f t="shared" si="12"/>
        <v>0.22837606837606847</v>
      </c>
      <c r="L15" s="104">
        <f t="shared" si="13"/>
        <v>6.8512820512820545</v>
      </c>
    </row>
    <row r="18" spans="2:32" ht="14.25" customHeight="1" x14ac:dyDescent="0.25">
      <c r="L18" s="189"/>
    </row>
    <row r="19" spans="2:32" ht="14.25" customHeight="1" x14ac:dyDescent="0.25">
      <c r="L19" s="189"/>
    </row>
    <row r="20" spans="2:32" ht="14.25" customHeight="1" x14ac:dyDescent="0.25">
      <c r="L20" s="189"/>
      <c r="R20" s="5"/>
    </row>
    <row r="21" spans="2:32" ht="14.25" customHeight="1" x14ac:dyDescent="0.25">
      <c r="L21" s="189"/>
    </row>
    <row r="22" spans="2:32" ht="14.25" customHeight="1" x14ac:dyDescent="0.25">
      <c r="L22" s="189"/>
    </row>
    <row r="23" spans="2:32" ht="14.25" customHeight="1" x14ac:dyDescent="0.25">
      <c r="L23" s="189"/>
    </row>
    <row r="24" spans="2:32" ht="14.25" customHeight="1" x14ac:dyDescent="0.25">
      <c r="L24" s="189"/>
      <c r="Z24" s="1124"/>
    </row>
    <row r="25" spans="2:32" ht="14.25" customHeight="1" x14ac:dyDescent="0.25">
      <c r="L25" s="189"/>
      <c r="R25" s="1640" t="s">
        <v>466</v>
      </c>
      <c r="S25" s="1633"/>
      <c r="T25" s="1633"/>
      <c r="U25" s="1633"/>
      <c r="V25" s="997"/>
      <c r="Z25" s="122" t="s">
        <v>252</v>
      </c>
      <c r="AA25" s="123">
        <v>1</v>
      </c>
      <c r="AB25" s="122" t="s">
        <v>249</v>
      </c>
      <c r="AC25" s="124">
        <f>(AA25*(4/3))*AF30+(AA30*(AB28/R1))</f>
        <v>2.5726486024376074E-2</v>
      </c>
      <c r="AD25" s="14"/>
    </row>
    <row r="26" spans="2:32" ht="14.25" customHeight="1" x14ac:dyDescent="0.25">
      <c r="L26" s="189"/>
      <c r="R26" s="1654" t="s">
        <v>253</v>
      </c>
      <c r="S26" s="1633"/>
      <c r="T26" s="1633"/>
      <c r="U26" s="1633"/>
      <c r="V26" s="997"/>
      <c r="Z26" s="14"/>
      <c r="AA26" s="14"/>
      <c r="AB26" s="14"/>
      <c r="AC26" s="14"/>
      <c r="AD26" s="14"/>
    </row>
    <row r="27" spans="2:32" ht="14.25" customHeight="1" thickBot="1" x14ac:dyDescent="0.3">
      <c r="B27" s="84"/>
      <c r="E27" s="84"/>
      <c r="F27" s="84"/>
      <c r="R27" s="126" t="s">
        <v>254</v>
      </c>
      <c r="S27" s="127" t="s">
        <v>379</v>
      </c>
      <c r="T27" s="127" t="s">
        <v>256</v>
      </c>
      <c r="U27" s="127" t="s">
        <v>257</v>
      </c>
      <c r="V27" s="127" t="s">
        <v>772</v>
      </c>
      <c r="W27" s="127" t="s">
        <v>779</v>
      </c>
      <c r="Z27" s="122" t="s">
        <v>258</v>
      </c>
      <c r="AA27" s="1031" t="s">
        <v>312</v>
      </c>
      <c r="AB27" s="128" t="s">
        <v>259</v>
      </c>
      <c r="AC27" s="128" t="s">
        <v>260</v>
      </c>
      <c r="AD27" s="128" t="s">
        <v>261</v>
      </c>
      <c r="AE27" s="1032" t="s">
        <v>779</v>
      </c>
      <c r="AF27" s="128" t="s">
        <v>262</v>
      </c>
    </row>
    <row r="28" spans="2:32" ht="14.25" customHeight="1" thickBot="1" x14ac:dyDescent="0.3">
      <c r="B28" s="84"/>
      <c r="E28" s="84"/>
      <c r="F28" s="84"/>
      <c r="R28" s="129" t="s">
        <v>263</v>
      </c>
      <c r="S28" s="690">
        <f>U28*S40</f>
        <v>15415.384615384612</v>
      </c>
      <c r="T28" s="690">
        <f>U28*U40</f>
        <v>4624.6153846153893</v>
      </c>
      <c r="U28" s="696">
        <f>Z1</f>
        <v>20040</v>
      </c>
      <c r="V28" s="130">
        <f>SUM(AP5:AP13)</f>
        <v>1089.708222811671</v>
      </c>
      <c r="W28" s="130">
        <f>SUM(F37:F38)</f>
        <v>272</v>
      </c>
      <c r="Z28" s="132"/>
      <c r="AA28" s="1034"/>
      <c r="AB28" s="133">
        <f>AA25*$S$40</f>
        <v>0.76923076923076905</v>
      </c>
      <c r="AC28" s="133">
        <f>AA25*$U$40</f>
        <v>0.230769230769231</v>
      </c>
      <c r="AD28" s="134">
        <f>AA25*(1/3)</f>
        <v>0.33333333333333331</v>
      </c>
      <c r="AE28" s="1034"/>
      <c r="AF28" s="135">
        <f>SUM(AB28:AD28)</f>
        <v>1.3333333333333333</v>
      </c>
    </row>
    <row r="29" spans="2:32" ht="14.25" customHeight="1" thickBot="1" x14ac:dyDescent="0.3">
      <c r="B29" s="84"/>
      <c r="E29" s="84"/>
      <c r="F29" s="84"/>
      <c r="R29" s="129" t="s">
        <v>264</v>
      </c>
      <c r="S29" s="692"/>
      <c r="T29" s="130">
        <f>U28*(1/3)</f>
        <v>6680</v>
      </c>
      <c r="U29" s="690">
        <f>T29</f>
        <v>6680</v>
      </c>
      <c r="V29" s="130"/>
      <c r="W29" s="130"/>
      <c r="Z29" s="132"/>
      <c r="AA29" s="1038"/>
      <c r="AB29" s="137">
        <f>AB28/$AF$28</f>
        <v>0.57692307692307687</v>
      </c>
      <c r="AC29" s="137">
        <f>AC28/$AF$28</f>
        <v>0.17307692307692327</v>
      </c>
      <c r="AD29" s="137">
        <f>AD28/$AF$28</f>
        <v>0.25</v>
      </c>
      <c r="AE29" s="1038"/>
      <c r="AF29" s="137">
        <f>AF28/$AF$28</f>
        <v>1</v>
      </c>
    </row>
    <row r="30" spans="2:32" ht="14.25" customHeight="1" thickBot="1" x14ac:dyDescent="0.3">
      <c r="R30" s="129" t="s">
        <v>265</v>
      </c>
      <c r="S30" s="1187">
        <f>U30*S40</f>
        <v>0</v>
      </c>
      <c r="T30" s="690">
        <f>(U30*U40)+(U30*(1/3))</f>
        <v>0</v>
      </c>
      <c r="U30" s="1173">
        <f>AB1</f>
        <v>0</v>
      </c>
      <c r="V30" s="989"/>
      <c r="W30" s="989"/>
      <c r="Z30" s="122" t="s">
        <v>266</v>
      </c>
      <c r="AA30" s="1042">
        <f>V35/(S32/R1)</f>
        <v>8.4268333333333315E-4</v>
      </c>
      <c r="AB30" s="138">
        <f>S35/(S32)</f>
        <v>2.0463253221873916E-2</v>
      </c>
      <c r="AC30" s="139">
        <f>T35/T32</f>
        <v>1.5212088818163218E-2</v>
      </c>
      <c r="AD30" s="139">
        <f>T35/T32</f>
        <v>1.5212088818163218E-2</v>
      </c>
      <c r="AE30" s="1045">
        <f>W35/U32</f>
        <v>2.1504491017964073E-4</v>
      </c>
      <c r="AF30" s="1047">
        <f>SUMPRODUCT(AB30:AD30,AB29:AD29)+AE30</f>
        <v>1.8456651653560571E-2</v>
      </c>
    </row>
    <row r="31" spans="2:32" ht="14.25" customHeight="1" thickBot="1" x14ac:dyDescent="0.3">
      <c r="B31" s="84"/>
      <c r="E31" s="84"/>
      <c r="F31" s="84"/>
      <c r="R31" s="129" t="s">
        <v>267</v>
      </c>
      <c r="S31" s="136"/>
      <c r="T31" s="130"/>
      <c r="U31" s="130"/>
      <c r="V31" s="130"/>
      <c r="W31" s="130"/>
    </row>
    <row r="32" spans="2:32" ht="14.25" customHeight="1" thickBot="1" x14ac:dyDescent="0.3">
      <c r="B32" s="84"/>
      <c r="E32" s="84"/>
      <c r="F32" s="84"/>
      <c r="R32" s="141" t="s">
        <v>257</v>
      </c>
      <c r="S32" s="130">
        <f>SUM(S28:S30)</f>
        <v>15415.384615384612</v>
      </c>
      <c r="T32" s="130">
        <f>SUM(T28:T30)</f>
        <v>11304.61538461539</v>
      </c>
      <c r="U32" s="130">
        <f>SUM(S32:T32)</f>
        <v>26720</v>
      </c>
      <c r="V32" s="130"/>
      <c r="W32" s="130">
        <f>SUM(W28:W30)</f>
        <v>272</v>
      </c>
    </row>
    <row r="33" spans="2:23" ht="14.25" customHeight="1" thickBot="1" x14ac:dyDescent="0.3">
      <c r="B33" s="84"/>
      <c r="E33" s="84"/>
      <c r="F33" s="84"/>
      <c r="R33" s="142" t="s">
        <v>268</v>
      </c>
      <c r="S33" s="136"/>
      <c r="T33" s="136"/>
      <c r="U33" s="136"/>
      <c r="V33" s="136"/>
      <c r="W33" s="136"/>
    </row>
    <row r="34" spans="2:23" ht="14.25" customHeight="1" thickBot="1" x14ac:dyDescent="0.3">
      <c r="B34" s="84"/>
      <c r="E34" s="84"/>
      <c r="F34" s="84"/>
      <c r="R34" s="143" t="s">
        <v>269</v>
      </c>
      <c r="S34" s="136"/>
      <c r="T34" s="130"/>
      <c r="U34" s="136"/>
      <c r="V34" s="136"/>
      <c r="W34" s="136"/>
    </row>
    <row r="35" spans="2:23" ht="14.25" customHeight="1" thickBot="1" x14ac:dyDescent="0.3">
      <c r="B35" s="1641" t="s">
        <v>671</v>
      </c>
      <c r="C35" s="1641"/>
      <c r="D35" s="1641"/>
      <c r="E35" s="1641"/>
      <c r="F35" s="1641"/>
      <c r="G35" s="803"/>
      <c r="H35" s="803"/>
      <c r="I35" s="803"/>
      <c r="J35" s="803"/>
      <c r="K35" s="803"/>
      <c r="L35" s="803"/>
      <c r="R35" s="144" t="s">
        <v>249</v>
      </c>
      <c r="S35" s="990">
        <f>$L$5</f>
        <v>315.44891889719474</v>
      </c>
      <c r="T35" s="1141">
        <f>SUM(L6:L15)</f>
        <v>171.96681328594366</v>
      </c>
      <c r="U35" s="1049">
        <f>S35+T35+V35+W35</f>
        <v>515.55877992849651</v>
      </c>
      <c r="V35" s="1049">
        <f>SUM(AT6:AT13)</f>
        <v>22.397047745358083</v>
      </c>
      <c r="W35" s="1063">
        <f>SUM(L37:L38)</f>
        <v>5.7460000000000004</v>
      </c>
    </row>
    <row r="36" spans="2:23" ht="47.25" x14ac:dyDescent="0.25">
      <c r="B36" s="776" t="s">
        <v>241</v>
      </c>
      <c r="C36" s="776" t="s">
        <v>317</v>
      </c>
      <c r="D36" s="778" t="s">
        <v>622</v>
      </c>
      <c r="E36" s="775" t="s">
        <v>623</v>
      </c>
      <c r="F36" s="778" t="s">
        <v>624</v>
      </c>
      <c r="G36" s="797"/>
      <c r="H36" s="778" t="s">
        <v>624</v>
      </c>
      <c r="I36" s="778" t="s">
        <v>246</v>
      </c>
      <c r="J36" s="778" t="s">
        <v>247</v>
      </c>
      <c r="K36" s="778" t="s">
        <v>248</v>
      </c>
      <c r="L36" s="778" t="s">
        <v>249</v>
      </c>
    </row>
    <row r="37" spans="2:23" x14ac:dyDescent="0.25">
      <c r="B37" s="772" t="s">
        <v>176</v>
      </c>
      <c r="C37" s="773" t="s">
        <v>14</v>
      </c>
      <c r="D37" s="774">
        <v>1</v>
      </c>
      <c r="E37" s="772">
        <f>$AD$1</f>
        <v>136</v>
      </c>
      <c r="F37" s="772">
        <f>D37*E37</f>
        <v>136</v>
      </c>
      <c r="G37" s="796"/>
      <c r="H37" s="772">
        <f>F37</f>
        <v>136</v>
      </c>
      <c r="I37" s="772">
        <f>VLOOKUP(B37,All_Ingredients!$A$1:$F$156,6,FALSE())</f>
        <v>1</v>
      </c>
      <c r="J37" s="772">
        <f>VLOOKUP(B37,All_Ingredients!$A$1:$J$156,10,FALSE())</f>
        <v>39</v>
      </c>
      <c r="K37" s="772">
        <f t="shared" ref="K37" si="14">(H37/I37)/1000</f>
        <v>0.13600000000000001</v>
      </c>
      <c r="L37" s="772">
        <f t="shared" ref="L37" si="15">K37*J37</f>
        <v>5.3040000000000003</v>
      </c>
    </row>
    <row r="38" spans="2:23" x14ac:dyDescent="0.25">
      <c r="B38" s="772" t="s">
        <v>19</v>
      </c>
      <c r="C38" s="773" t="s">
        <v>14</v>
      </c>
      <c r="D38" s="774">
        <v>1</v>
      </c>
      <c r="E38" s="772">
        <f>$AD$1</f>
        <v>136</v>
      </c>
      <c r="F38" s="772">
        <f>D38*E38</f>
        <v>136</v>
      </c>
      <c r="G38" s="796"/>
      <c r="H38" s="772">
        <f>F38</f>
        <v>136</v>
      </c>
      <c r="I38" s="772">
        <f>VLOOKUP(B38,All_Ingredients!$A$1:$F$156,6,FALSE())</f>
        <v>0.8</v>
      </c>
      <c r="J38" s="772">
        <f>VLOOKUP(B38,All_Ingredients!$A$1:$J$156,10,FALSE())</f>
        <v>2.6</v>
      </c>
      <c r="K38" s="772">
        <f t="shared" ref="K38" si="16">(H38/I38)/1000</f>
        <v>0.17</v>
      </c>
      <c r="L38" s="772">
        <f t="shared" ref="L38" si="17">K38*J38</f>
        <v>0.44200000000000006</v>
      </c>
    </row>
    <row r="40" spans="2:23" ht="15.75" customHeight="1" x14ac:dyDescent="0.25">
      <c r="Q40" s="14"/>
      <c r="R40" s="146" t="s">
        <v>270</v>
      </c>
      <c r="S40" s="147">
        <v>0.76923076923076905</v>
      </c>
      <c r="T40" s="146" t="s">
        <v>271</v>
      </c>
      <c r="U40" s="148">
        <v>0.230769230769231</v>
      </c>
      <c r="V40" s="149">
        <f>S40+U40</f>
        <v>1</v>
      </c>
      <c r="W40" s="14"/>
    </row>
    <row r="41" spans="2:23" ht="14.25" customHeight="1" x14ac:dyDescent="0.25">
      <c r="Q41" s="14"/>
      <c r="R41" s="14"/>
      <c r="S41" s="14"/>
      <c r="T41" s="14"/>
      <c r="U41" s="150"/>
      <c r="V41" s="14"/>
      <c r="W41" s="14"/>
    </row>
    <row r="42" spans="2:23" ht="14.25" customHeight="1" x14ac:dyDescent="0.25">
      <c r="Q42" s="14"/>
      <c r="R42" s="14"/>
      <c r="S42" s="14"/>
      <c r="T42" s="14"/>
      <c r="U42" s="14"/>
      <c r="V42" s="14"/>
      <c r="W42" s="14"/>
    </row>
    <row r="43" spans="2:23" ht="14.25" customHeight="1" thickBot="1" x14ac:dyDescent="0.3">
      <c r="Q43" s="151" t="s">
        <v>272</v>
      </c>
      <c r="R43" s="151" t="s">
        <v>273</v>
      </c>
      <c r="S43" s="151" t="s">
        <v>274</v>
      </c>
      <c r="T43" s="151" t="s">
        <v>275</v>
      </c>
      <c r="U43" s="151" t="s">
        <v>276</v>
      </c>
      <c r="V43" s="151" t="s">
        <v>277</v>
      </c>
      <c r="W43" s="151" t="s">
        <v>278</v>
      </c>
    </row>
    <row r="44" spans="2:23" ht="12.75" customHeight="1" thickBot="1" x14ac:dyDescent="0.3">
      <c r="Q44" s="1182">
        <v>17728</v>
      </c>
      <c r="R44" s="154">
        <f>D51</f>
        <v>10000</v>
      </c>
      <c r="S44" s="1184">
        <v>0.40909090909090912</v>
      </c>
      <c r="T44" s="1184">
        <v>0.59090909090909094</v>
      </c>
      <c r="U44" s="220">
        <f>R44*S44</f>
        <v>4090.909090909091</v>
      </c>
      <c r="V44" s="157">
        <f>R44*T44</f>
        <v>5909.090909090909</v>
      </c>
      <c r="W44" s="157">
        <f>Q44-U44</f>
        <v>13637.090909090908</v>
      </c>
    </row>
    <row r="50" spans="1:10" x14ac:dyDescent="0.25">
      <c r="B50" s="253"/>
      <c r="C50" s="126" t="s">
        <v>233</v>
      </c>
      <c r="D50" s="126" t="s">
        <v>279</v>
      </c>
      <c r="E50" s="84"/>
      <c r="F50" s="84"/>
      <c r="G50" s="126" t="s">
        <v>280</v>
      </c>
      <c r="H50" s="126" t="s">
        <v>233</v>
      </c>
      <c r="I50" s="126" t="s">
        <v>281</v>
      </c>
      <c r="J50" s="126" t="s">
        <v>282</v>
      </c>
    </row>
    <row r="51" spans="1:10" ht="14.25" customHeight="1" x14ac:dyDescent="0.25">
      <c r="B51" s="161" t="s">
        <v>283</v>
      </c>
      <c r="C51" s="162">
        <f>10/$K$1</f>
        <v>10.1010101010101</v>
      </c>
      <c r="D51" s="163">
        <f>$C$1*10</f>
        <v>10000</v>
      </c>
      <c r="E51" s="164"/>
      <c r="F51" s="84"/>
      <c r="G51" s="161" t="s">
        <v>283</v>
      </c>
      <c r="H51" s="254">
        <f>I51/$D$5</f>
        <v>10</v>
      </c>
      <c r="I51" s="162">
        <f>J51/$R$1</f>
        <v>23512.225705329154</v>
      </c>
      <c r="J51" s="162">
        <f>$W$44</f>
        <v>13637.090909090908</v>
      </c>
    </row>
    <row r="52" spans="1:10" ht="14.25" customHeight="1" x14ac:dyDescent="0.25">
      <c r="B52" s="209" t="s">
        <v>262</v>
      </c>
      <c r="C52" s="210">
        <f>$I$1</f>
        <v>11.418803418803424</v>
      </c>
      <c r="D52" s="211">
        <f>$E$1</f>
        <v>11304.61538461539</v>
      </c>
      <c r="E52" s="84"/>
      <c r="F52" s="84"/>
      <c r="G52" s="129" t="s">
        <v>262</v>
      </c>
      <c r="H52" s="190">
        <f>I52/$D$5</f>
        <v>11.304012503948504</v>
      </c>
      <c r="I52" s="157">
        <f>J52/$R$1</f>
        <v>26578.249336870023</v>
      </c>
      <c r="J52" s="165">
        <f>$S$32</f>
        <v>15415.384615384612</v>
      </c>
    </row>
    <row r="53" spans="1:10" ht="14.25" customHeight="1" x14ac:dyDescent="0.25">
      <c r="B53" s="209" t="s">
        <v>284</v>
      </c>
      <c r="C53" s="212">
        <f>MIN(C52, C51)</f>
        <v>10.1010101010101</v>
      </c>
      <c r="D53" s="211">
        <f>(C53*$K$1)*$C$1</f>
        <v>10000</v>
      </c>
      <c r="E53" s="84"/>
      <c r="F53" s="84"/>
      <c r="G53" s="129" t="s">
        <v>284</v>
      </c>
      <c r="H53" s="168">
        <f>MIN(H52,H51)</f>
        <v>10</v>
      </c>
      <c r="I53" s="157">
        <f>J53/$R$1</f>
        <v>23512.225705329154</v>
      </c>
      <c r="J53" s="157">
        <f>MIN(J52,J51)</f>
        <v>13637.090909090908</v>
      </c>
    </row>
    <row r="54" spans="1:10" ht="14.25" customHeight="1" x14ac:dyDescent="0.25">
      <c r="B54" s="209" t="s">
        <v>285</v>
      </c>
      <c r="C54" s="212">
        <f>MIN(MAX(C52-C53,0),C51)</f>
        <v>1.3177933177933241</v>
      </c>
      <c r="D54" s="211">
        <f>(C54*$K$1)*$C$1</f>
        <v>1304.6153846153909</v>
      </c>
      <c r="E54" s="84"/>
      <c r="F54" s="84"/>
      <c r="G54" s="129" t="s">
        <v>285</v>
      </c>
      <c r="H54" s="168">
        <f>MIN(MAX(H52-H53),H51)</f>
        <v>1.3040125039485044</v>
      </c>
      <c r="I54" s="157">
        <f>J54/$R$1</f>
        <v>3066.0236315408683</v>
      </c>
      <c r="J54" s="157">
        <f>MIN(MAX(J52-J53),J51)</f>
        <v>1778.2937062937035</v>
      </c>
    </row>
    <row r="55" spans="1:10" ht="14.25" customHeight="1" x14ac:dyDescent="0.25">
      <c r="B55" s="209" t="s">
        <v>286</v>
      </c>
      <c r="C55" s="212">
        <f>MIN(MAX(C52-C53-C54,0),C51)</f>
        <v>0</v>
      </c>
      <c r="D55" s="211">
        <f>(C55*$K$1)*$C$1</f>
        <v>0</v>
      </c>
      <c r="E55" s="84"/>
      <c r="F55" s="84"/>
      <c r="G55" s="126" t="s">
        <v>286</v>
      </c>
      <c r="H55" s="168">
        <f>MIN(MAX(H52-H53-H54),H51)</f>
        <v>0</v>
      </c>
      <c r="I55" s="157">
        <f>J55/$R$1</f>
        <v>0</v>
      </c>
      <c r="J55" s="157">
        <f>MIN(MAX(J52-J53-J54),J51)</f>
        <v>0</v>
      </c>
    </row>
    <row r="56" spans="1:10" ht="14.25" customHeight="1" x14ac:dyDescent="0.25"/>
    <row r="62" spans="1:10" ht="18" customHeight="1" x14ac:dyDescent="0.25">
      <c r="A62" s="1526"/>
      <c r="B62" s="1636" t="str">
        <f>"كرات اللحم الفرنسية   1 / " &amp; COUNTIF($C$53:$C$55, "&gt;0")</f>
        <v>كرات اللحم الفرنسية   1 / 2</v>
      </c>
      <c r="C62" s="1637"/>
      <c r="D62" s="1637"/>
      <c r="E62" s="1637"/>
      <c r="F62" s="1637"/>
      <c r="G62" s="1637"/>
      <c r="H62" s="1637"/>
    </row>
    <row r="63" spans="1:10" ht="18" customHeight="1" x14ac:dyDescent="0.25">
      <c r="A63" s="1526"/>
      <c r="B63" s="1634" t="str">
        <f>"French Meatball   1 / " &amp; COUNTIF($C$53:$C$55, "&gt;0")</f>
        <v>French Meatball   1 / 2</v>
      </c>
      <c r="C63" s="1635"/>
      <c r="D63" s="1635"/>
      <c r="E63" s="1635"/>
      <c r="F63" s="1635"/>
      <c r="G63" s="1635"/>
      <c r="H63" s="1635"/>
    </row>
    <row r="64" spans="1:10" ht="41.25" customHeight="1" x14ac:dyDescent="0.2">
      <c r="A64" s="75"/>
      <c r="B64" s="75" t="s">
        <v>241</v>
      </c>
      <c r="C64" s="90" t="s">
        <v>242</v>
      </c>
      <c r="D64" s="75" t="s">
        <v>231</v>
      </c>
      <c r="E64" s="91" t="s">
        <v>234</v>
      </c>
      <c r="F64" s="91" t="s">
        <v>243</v>
      </c>
      <c r="G64" s="75" t="s">
        <v>244</v>
      </c>
      <c r="H64" s="197" t="s">
        <v>245</v>
      </c>
    </row>
    <row r="65" spans="1:8" ht="14.25" customHeight="1" x14ac:dyDescent="0.25">
      <c r="A65" s="247" t="s">
        <v>221</v>
      </c>
      <c r="B65" s="106" t="str">
        <f t="shared" ref="B65:D75" si="18">B5</f>
        <v>Indian Meat Tammam Mafroom - مفروم هندى</v>
      </c>
      <c r="C65" s="106" t="str">
        <f t="shared" si="18"/>
        <v>gm</v>
      </c>
      <c r="D65" s="102">
        <f t="shared" si="18"/>
        <v>2351.2225705329156</v>
      </c>
      <c r="E65" s="177">
        <f>H53</f>
        <v>10</v>
      </c>
      <c r="F65" s="109">
        <f t="shared" ref="F65:F75" si="19">F5</f>
        <v>1</v>
      </c>
      <c r="G65" s="101">
        <f t="shared" ref="G65:G75" si="20">D65*E65</f>
        <v>23512.225705329154</v>
      </c>
      <c r="H65" s="102">
        <f t="shared" ref="H65:H75" si="21">G65*F65</f>
        <v>23512.225705329154</v>
      </c>
    </row>
    <row r="66" spans="1:8" ht="14.25" customHeight="1" x14ac:dyDescent="0.25">
      <c r="A66" s="247" t="s">
        <v>13</v>
      </c>
      <c r="B66" s="106" t="str">
        <f t="shared" si="18"/>
        <v>Green Onion - بصل أخضر</v>
      </c>
      <c r="C66" s="106" t="str">
        <f t="shared" si="18"/>
        <v>gm</v>
      </c>
      <c r="D66" s="106">
        <f t="shared" si="18"/>
        <v>150</v>
      </c>
      <c r="E66" s="177">
        <f t="shared" ref="E66:E75" si="22">$C$53</f>
        <v>10.1010101010101</v>
      </c>
      <c r="F66" s="109">
        <f t="shared" si="19"/>
        <v>1</v>
      </c>
      <c r="G66" s="101">
        <f t="shared" si="20"/>
        <v>1515.151515151515</v>
      </c>
      <c r="H66" s="102">
        <f t="shared" si="21"/>
        <v>1515.151515151515</v>
      </c>
    </row>
    <row r="67" spans="1:8" ht="14.25" customHeight="1" x14ac:dyDescent="0.25">
      <c r="A67" s="247" t="s">
        <v>13</v>
      </c>
      <c r="B67" s="106" t="str">
        <f t="shared" si="18"/>
        <v>Garlic - ثوم مقشر</v>
      </c>
      <c r="C67" s="106" t="str">
        <f t="shared" si="18"/>
        <v>gm</v>
      </c>
      <c r="D67" s="106">
        <f t="shared" si="18"/>
        <v>30</v>
      </c>
      <c r="E67" s="177">
        <f t="shared" si="22"/>
        <v>10.1010101010101</v>
      </c>
      <c r="F67" s="109">
        <f t="shared" si="19"/>
        <v>1</v>
      </c>
      <c r="G67" s="101">
        <f t="shared" si="20"/>
        <v>303.030303030303</v>
      </c>
      <c r="H67" s="102">
        <f t="shared" si="21"/>
        <v>303.030303030303</v>
      </c>
    </row>
    <row r="68" spans="1:8" ht="14.25" customHeight="1" x14ac:dyDescent="0.25">
      <c r="A68" s="247" t="s">
        <v>94</v>
      </c>
      <c r="B68" s="106" t="str">
        <f t="shared" si="18"/>
        <v>White Pepper - فلفل أبيض</v>
      </c>
      <c r="C68" s="106" t="str">
        <f t="shared" si="18"/>
        <v>gm</v>
      </c>
      <c r="D68" s="106">
        <f t="shared" si="18"/>
        <v>6</v>
      </c>
      <c r="E68" s="177">
        <f t="shared" si="22"/>
        <v>10.1010101010101</v>
      </c>
      <c r="F68" s="109">
        <f t="shared" si="19"/>
        <v>0.75</v>
      </c>
      <c r="G68" s="101">
        <f t="shared" si="20"/>
        <v>60.606060606060602</v>
      </c>
      <c r="H68" s="102">
        <f t="shared" si="21"/>
        <v>45.454545454545453</v>
      </c>
    </row>
    <row r="69" spans="1:8" ht="14.25" customHeight="1" x14ac:dyDescent="0.25">
      <c r="A69" s="247" t="s">
        <v>94</v>
      </c>
      <c r="B69" s="106" t="str">
        <f t="shared" si="18"/>
        <v>Maggi Cubes - مكعبات ماجي</v>
      </c>
      <c r="C69" s="106" t="str">
        <f t="shared" si="18"/>
        <v>gm</v>
      </c>
      <c r="D69" s="106">
        <f t="shared" si="18"/>
        <v>10</v>
      </c>
      <c r="E69" s="177">
        <f t="shared" si="22"/>
        <v>10.1010101010101</v>
      </c>
      <c r="F69" s="109">
        <f t="shared" si="19"/>
        <v>0.9</v>
      </c>
      <c r="G69" s="101">
        <f t="shared" si="20"/>
        <v>101.01010101010101</v>
      </c>
      <c r="H69" s="102">
        <f t="shared" si="21"/>
        <v>90.909090909090907</v>
      </c>
    </row>
    <row r="70" spans="1:8" ht="14.25" customHeight="1" x14ac:dyDescent="0.25">
      <c r="A70" s="247" t="s">
        <v>153</v>
      </c>
      <c r="B70" s="106" t="str">
        <f t="shared" si="18"/>
        <v>Milk - حليب</v>
      </c>
      <c r="C70" s="106" t="str">
        <f t="shared" si="18"/>
        <v>ml</v>
      </c>
      <c r="D70" s="106">
        <f t="shared" si="18"/>
        <v>600</v>
      </c>
      <c r="E70" s="177">
        <f t="shared" si="22"/>
        <v>10.1010101010101</v>
      </c>
      <c r="F70" s="109">
        <f t="shared" si="19"/>
        <v>1</v>
      </c>
      <c r="G70" s="101">
        <f t="shared" si="20"/>
        <v>6060.6060606060601</v>
      </c>
      <c r="H70" s="102">
        <f t="shared" si="21"/>
        <v>6060.6060606060601</v>
      </c>
    </row>
    <row r="71" spans="1:8" ht="14.25" customHeight="1" x14ac:dyDescent="0.25">
      <c r="A71" s="247" t="s">
        <v>153</v>
      </c>
      <c r="B71" s="106" t="str">
        <f t="shared" si="18"/>
        <v>Cooking Cream - كريمة طبخ</v>
      </c>
      <c r="C71" s="106" t="str">
        <f t="shared" si="18"/>
        <v>ml</v>
      </c>
      <c r="D71" s="106">
        <f t="shared" si="18"/>
        <v>600</v>
      </c>
      <c r="E71" s="177">
        <f t="shared" si="22"/>
        <v>10.1010101010101</v>
      </c>
      <c r="F71" s="109">
        <f t="shared" si="19"/>
        <v>1</v>
      </c>
      <c r="G71" s="101">
        <f t="shared" si="20"/>
        <v>6060.6060606060601</v>
      </c>
      <c r="H71" s="102">
        <f t="shared" si="21"/>
        <v>6060.6060606060601</v>
      </c>
    </row>
    <row r="72" spans="1:8" ht="14.25" customHeight="1" x14ac:dyDescent="0.25">
      <c r="A72" s="247" t="s">
        <v>94</v>
      </c>
      <c r="B72" s="106" t="str">
        <f t="shared" si="18"/>
        <v>Salt - ملح</v>
      </c>
      <c r="C72" s="106" t="str">
        <f t="shared" si="18"/>
        <v>gm</v>
      </c>
      <c r="D72" s="106">
        <f t="shared" si="18"/>
        <v>5</v>
      </c>
      <c r="E72" s="177">
        <f t="shared" si="22"/>
        <v>10.1010101010101</v>
      </c>
      <c r="F72" s="109">
        <f t="shared" si="19"/>
        <v>1</v>
      </c>
      <c r="G72" s="101">
        <f t="shared" si="20"/>
        <v>50.505050505050505</v>
      </c>
      <c r="H72" s="102">
        <f t="shared" si="21"/>
        <v>50.505050505050505</v>
      </c>
    </row>
    <row r="73" spans="1:8" ht="14.25" customHeight="1" x14ac:dyDescent="0.25">
      <c r="A73" s="247" t="s">
        <v>186</v>
      </c>
      <c r="B73" s="106" t="str">
        <f t="shared" si="18"/>
        <v>Flour - دقيق</v>
      </c>
      <c r="C73" s="106" t="str">
        <f t="shared" si="18"/>
        <v>gm</v>
      </c>
      <c r="D73" s="106">
        <f t="shared" si="18"/>
        <v>50</v>
      </c>
      <c r="E73" s="177">
        <f t="shared" si="22"/>
        <v>10.1010101010101</v>
      </c>
      <c r="F73" s="109">
        <f t="shared" si="19"/>
        <v>1</v>
      </c>
      <c r="G73" s="101">
        <f t="shared" si="20"/>
        <v>505.05050505050502</v>
      </c>
      <c r="H73" s="102">
        <f t="shared" si="21"/>
        <v>505.05050505050502</v>
      </c>
    </row>
    <row r="74" spans="1:8" ht="14.25" customHeight="1" x14ac:dyDescent="0.25">
      <c r="A74" s="247" t="s">
        <v>153</v>
      </c>
      <c r="B74" s="106" t="str">
        <f t="shared" si="18"/>
        <v>Parmesan Cheese Powder - بديل البارميزان</v>
      </c>
      <c r="C74" s="106" t="str">
        <f t="shared" si="18"/>
        <v>gm</v>
      </c>
      <c r="D74" s="106">
        <f t="shared" si="18"/>
        <v>45</v>
      </c>
      <c r="E74" s="177">
        <f t="shared" si="22"/>
        <v>10.1010101010101</v>
      </c>
      <c r="F74" s="109">
        <f t="shared" si="19"/>
        <v>1</v>
      </c>
      <c r="G74" s="101">
        <f t="shared" si="20"/>
        <v>454.5454545454545</v>
      </c>
      <c r="H74" s="102">
        <f t="shared" si="21"/>
        <v>454.5454545454545</v>
      </c>
    </row>
    <row r="75" spans="1:8" ht="14.25" customHeight="1" x14ac:dyDescent="0.25">
      <c r="A75" s="247" t="s">
        <v>153</v>
      </c>
      <c r="B75" s="106" t="str">
        <f t="shared" si="18"/>
        <v>Butter - زبدة</v>
      </c>
      <c r="C75" s="106" t="str">
        <f t="shared" si="18"/>
        <v>gm</v>
      </c>
      <c r="D75" s="106">
        <f t="shared" si="18"/>
        <v>20</v>
      </c>
      <c r="E75" s="177">
        <f t="shared" si="22"/>
        <v>10.1010101010101</v>
      </c>
      <c r="F75" s="109">
        <f t="shared" si="19"/>
        <v>1</v>
      </c>
      <c r="G75" s="101">
        <f t="shared" si="20"/>
        <v>202.02020202020202</v>
      </c>
      <c r="H75" s="102">
        <f t="shared" si="21"/>
        <v>202.02020202020202</v>
      </c>
    </row>
    <row r="76" spans="1:8" ht="20.25" customHeight="1" x14ac:dyDescent="0.25">
      <c r="A76" s="191"/>
      <c r="B76" s="178" t="s">
        <v>287</v>
      </c>
      <c r="C76" s="180" t="s">
        <v>273</v>
      </c>
      <c r="D76" s="14"/>
      <c r="E76" s="180" t="s">
        <v>288</v>
      </c>
      <c r="F76" s="14"/>
      <c r="G76" s="804" t="s">
        <v>264</v>
      </c>
      <c r="H76" s="804" t="s">
        <v>673</v>
      </c>
    </row>
    <row r="77" spans="1:8" ht="21" customHeight="1" x14ac:dyDescent="0.3">
      <c r="A77" s="191"/>
      <c r="B77" s="179">
        <f>$J$53</f>
        <v>13637.090909090908</v>
      </c>
      <c r="C77" s="179">
        <f>E77+G77</f>
        <v>10000</v>
      </c>
      <c r="D77" s="839"/>
      <c r="E77" s="179">
        <f>$D$53*$S$44</f>
        <v>4090.909090909091</v>
      </c>
      <c r="F77" s="843"/>
      <c r="G77" s="179">
        <f>$D$53*$T$44</f>
        <v>5909.090909090909</v>
      </c>
      <c r="H77" s="179">
        <f>B77+E77</f>
        <v>17728</v>
      </c>
    </row>
    <row r="78" spans="1:8" ht="14.25" customHeight="1" x14ac:dyDescent="0.25">
      <c r="B78" s="84"/>
      <c r="C78" s="188"/>
      <c r="D78" s="189"/>
      <c r="E78" s="84"/>
      <c r="F78" s="84"/>
    </row>
    <row r="79" spans="1:8" ht="18" customHeight="1" x14ac:dyDescent="0.25">
      <c r="A79" s="1526"/>
      <c r="B79" s="1636" t="str">
        <f>"كرات اللحم الفرنسية   2 / " &amp; COUNTIF($C$53:$C$55, "&gt;0")</f>
        <v>كرات اللحم الفرنسية   2 / 2</v>
      </c>
      <c r="C79" s="1637"/>
      <c r="D79" s="1637"/>
      <c r="E79" s="1637"/>
      <c r="F79" s="1637"/>
      <c r="G79" s="1637"/>
      <c r="H79" s="1637"/>
    </row>
    <row r="80" spans="1:8" ht="18" customHeight="1" x14ac:dyDescent="0.25">
      <c r="A80" s="1526"/>
      <c r="B80" s="1634" t="str">
        <f>"French Meatball   2 / " &amp; COUNTIF($C$53:$C$55, "&gt;0")</f>
        <v>French Meatball   2 / 2</v>
      </c>
      <c r="C80" s="1635"/>
      <c r="D80" s="1635"/>
      <c r="E80" s="1635"/>
      <c r="F80" s="1635"/>
      <c r="G80" s="1635"/>
      <c r="H80" s="1635"/>
    </row>
    <row r="81" spans="1:10" ht="51.75" customHeight="1" x14ac:dyDescent="0.2">
      <c r="A81" s="75"/>
      <c r="B81" s="75" t="s">
        <v>241</v>
      </c>
      <c r="C81" s="90" t="s">
        <v>242</v>
      </c>
      <c r="D81" s="75" t="s">
        <v>231</v>
      </c>
      <c r="E81" s="91" t="s">
        <v>234</v>
      </c>
      <c r="F81" s="91" t="s">
        <v>243</v>
      </c>
      <c r="G81" s="75" t="s">
        <v>244</v>
      </c>
      <c r="H81" s="197" t="s">
        <v>245</v>
      </c>
    </row>
    <row r="82" spans="1:10" ht="14.25" customHeight="1" x14ac:dyDescent="0.25">
      <c r="A82" s="247" t="s">
        <v>221</v>
      </c>
      <c r="B82" s="106" t="str">
        <f t="shared" ref="B82:D92" si="23">B5</f>
        <v>Indian Meat Tammam Mafroom - مفروم هندى</v>
      </c>
      <c r="C82" s="106" t="str">
        <f t="shared" si="23"/>
        <v>gm</v>
      </c>
      <c r="D82" s="102">
        <f t="shared" si="23"/>
        <v>2351.2225705329156</v>
      </c>
      <c r="E82" s="201">
        <f>H54</f>
        <v>1.3040125039485044</v>
      </c>
      <c r="F82" s="109">
        <f t="shared" ref="F82:F92" si="24">F5</f>
        <v>1</v>
      </c>
      <c r="G82" s="101">
        <f t="shared" ref="G82:G92" si="25">D82*E82</f>
        <v>3066.0236315408665</v>
      </c>
      <c r="H82" s="102">
        <f t="shared" ref="H82:H92" si="26">G82*F82</f>
        <v>3066.0236315408665</v>
      </c>
    </row>
    <row r="83" spans="1:10" ht="14.25" customHeight="1" x14ac:dyDescent="0.25">
      <c r="A83" s="247" t="s">
        <v>13</v>
      </c>
      <c r="B83" s="106" t="str">
        <f t="shared" si="23"/>
        <v>Green Onion - بصل أخضر</v>
      </c>
      <c r="C83" s="106" t="str">
        <f t="shared" si="23"/>
        <v>gm</v>
      </c>
      <c r="D83" s="106">
        <f t="shared" si="23"/>
        <v>150</v>
      </c>
      <c r="E83" s="201">
        <f t="shared" ref="E83:E92" si="27">$C$54</f>
        <v>1.3177933177933241</v>
      </c>
      <c r="F83" s="109">
        <f t="shared" si="24"/>
        <v>1</v>
      </c>
      <c r="G83" s="101">
        <f t="shared" si="25"/>
        <v>197.6689976689986</v>
      </c>
      <c r="H83" s="102">
        <f t="shared" si="26"/>
        <v>197.6689976689986</v>
      </c>
    </row>
    <row r="84" spans="1:10" ht="14.25" customHeight="1" x14ac:dyDescent="0.25">
      <c r="A84" s="247" t="s">
        <v>13</v>
      </c>
      <c r="B84" s="106" t="str">
        <f t="shared" si="23"/>
        <v>Garlic - ثوم مقشر</v>
      </c>
      <c r="C84" s="106" t="str">
        <f t="shared" si="23"/>
        <v>gm</v>
      </c>
      <c r="D84" s="106">
        <f t="shared" si="23"/>
        <v>30</v>
      </c>
      <c r="E84" s="201">
        <f t="shared" si="27"/>
        <v>1.3177933177933241</v>
      </c>
      <c r="F84" s="109">
        <f t="shared" si="24"/>
        <v>1</v>
      </c>
      <c r="G84" s="101">
        <f t="shared" si="25"/>
        <v>39.533799533799723</v>
      </c>
      <c r="H84" s="102">
        <f t="shared" si="26"/>
        <v>39.533799533799723</v>
      </c>
    </row>
    <row r="85" spans="1:10" ht="14.25" customHeight="1" x14ac:dyDescent="0.25">
      <c r="A85" s="247" t="s">
        <v>94</v>
      </c>
      <c r="B85" s="106" t="str">
        <f t="shared" si="23"/>
        <v>White Pepper - فلفل أبيض</v>
      </c>
      <c r="C85" s="106" t="str">
        <f t="shared" si="23"/>
        <v>gm</v>
      </c>
      <c r="D85" s="106">
        <f t="shared" si="23"/>
        <v>6</v>
      </c>
      <c r="E85" s="201">
        <f t="shared" si="27"/>
        <v>1.3177933177933241</v>
      </c>
      <c r="F85" s="109">
        <f t="shared" si="24"/>
        <v>0.75</v>
      </c>
      <c r="G85" s="101">
        <f t="shared" si="25"/>
        <v>7.9067599067599446</v>
      </c>
      <c r="H85" s="102">
        <f t="shared" si="26"/>
        <v>5.9300699300699584</v>
      </c>
    </row>
    <row r="86" spans="1:10" ht="14.25" customHeight="1" x14ac:dyDescent="0.25">
      <c r="A86" s="247" t="s">
        <v>94</v>
      </c>
      <c r="B86" s="106" t="str">
        <f t="shared" si="23"/>
        <v>Maggi Cubes - مكعبات ماجي</v>
      </c>
      <c r="C86" s="106" t="str">
        <f t="shared" si="23"/>
        <v>gm</v>
      </c>
      <c r="D86" s="106">
        <f t="shared" si="23"/>
        <v>10</v>
      </c>
      <c r="E86" s="201">
        <f t="shared" si="27"/>
        <v>1.3177933177933241</v>
      </c>
      <c r="F86" s="109">
        <f t="shared" si="24"/>
        <v>0.9</v>
      </c>
      <c r="G86" s="101">
        <f t="shared" si="25"/>
        <v>13.177933177933241</v>
      </c>
      <c r="H86" s="102">
        <f t="shared" si="26"/>
        <v>11.860139860139917</v>
      </c>
    </row>
    <row r="87" spans="1:10" ht="14.25" customHeight="1" x14ac:dyDescent="0.25">
      <c r="A87" s="247" t="s">
        <v>153</v>
      </c>
      <c r="B87" s="106" t="str">
        <f t="shared" si="23"/>
        <v>Milk - حليب</v>
      </c>
      <c r="C87" s="106" t="str">
        <f t="shared" si="23"/>
        <v>ml</v>
      </c>
      <c r="D87" s="106">
        <f t="shared" si="23"/>
        <v>600</v>
      </c>
      <c r="E87" s="201">
        <f t="shared" si="27"/>
        <v>1.3177933177933241</v>
      </c>
      <c r="F87" s="109">
        <f t="shared" si="24"/>
        <v>1</v>
      </c>
      <c r="G87" s="101">
        <f t="shared" si="25"/>
        <v>790.6759906759944</v>
      </c>
      <c r="H87" s="102">
        <f t="shared" si="26"/>
        <v>790.6759906759944</v>
      </c>
    </row>
    <row r="88" spans="1:10" ht="14.25" customHeight="1" x14ac:dyDescent="0.25">
      <c r="A88" s="247" t="s">
        <v>153</v>
      </c>
      <c r="B88" s="106" t="str">
        <f t="shared" si="23"/>
        <v>Cooking Cream - كريمة طبخ</v>
      </c>
      <c r="C88" s="106" t="str">
        <f t="shared" si="23"/>
        <v>ml</v>
      </c>
      <c r="D88" s="106">
        <f t="shared" si="23"/>
        <v>600</v>
      </c>
      <c r="E88" s="201">
        <f t="shared" si="27"/>
        <v>1.3177933177933241</v>
      </c>
      <c r="F88" s="109">
        <f t="shared" si="24"/>
        <v>1</v>
      </c>
      <c r="G88" s="101">
        <f t="shared" si="25"/>
        <v>790.6759906759944</v>
      </c>
      <c r="H88" s="102">
        <f t="shared" si="26"/>
        <v>790.6759906759944</v>
      </c>
    </row>
    <row r="89" spans="1:10" ht="14.25" customHeight="1" x14ac:dyDescent="0.25">
      <c r="A89" s="247" t="s">
        <v>94</v>
      </c>
      <c r="B89" s="106" t="str">
        <f t="shared" si="23"/>
        <v>Salt - ملح</v>
      </c>
      <c r="C89" s="106" t="str">
        <f t="shared" si="23"/>
        <v>gm</v>
      </c>
      <c r="D89" s="106">
        <f t="shared" si="23"/>
        <v>5</v>
      </c>
      <c r="E89" s="201">
        <f t="shared" si="27"/>
        <v>1.3177933177933241</v>
      </c>
      <c r="F89" s="109">
        <f t="shared" si="24"/>
        <v>1</v>
      </c>
      <c r="G89" s="101">
        <f t="shared" si="25"/>
        <v>6.5889665889666205</v>
      </c>
      <c r="H89" s="102">
        <f t="shared" si="26"/>
        <v>6.5889665889666205</v>
      </c>
    </row>
    <row r="90" spans="1:10" ht="14.25" customHeight="1" x14ac:dyDescent="0.25">
      <c r="A90" s="247" t="s">
        <v>186</v>
      </c>
      <c r="B90" s="106" t="str">
        <f t="shared" si="23"/>
        <v>Flour - دقيق</v>
      </c>
      <c r="C90" s="106" t="str">
        <f t="shared" si="23"/>
        <v>gm</v>
      </c>
      <c r="D90" s="106">
        <f t="shared" si="23"/>
        <v>50</v>
      </c>
      <c r="E90" s="201">
        <f t="shared" si="27"/>
        <v>1.3177933177933241</v>
      </c>
      <c r="F90" s="109">
        <f t="shared" si="24"/>
        <v>1</v>
      </c>
      <c r="G90" s="101">
        <f t="shared" si="25"/>
        <v>65.889665889666205</v>
      </c>
      <c r="H90" s="102">
        <f t="shared" si="26"/>
        <v>65.889665889666205</v>
      </c>
    </row>
    <row r="91" spans="1:10" ht="14.25" customHeight="1" x14ac:dyDescent="0.25">
      <c r="A91" s="247" t="s">
        <v>153</v>
      </c>
      <c r="B91" s="106" t="str">
        <f t="shared" si="23"/>
        <v>Parmesan Cheese Powder - بديل البارميزان</v>
      </c>
      <c r="C91" s="106" t="str">
        <f t="shared" si="23"/>
        <v>gm</v>
      </c>
      <c r="D91" s="106">
        <f t="shared" si="23"/>
        <v>45</v>
      </c>
      <c r="E91" s="201">
        <f t="shared" si="27"/>
        <v>1.3177933177933241</v>
      </c>
      <c r="F91" s="109">
        <f t="shared" si="24"/>
        <v>1</v>
      </c>
      <c r="G91" s="101">
        <f t="shared" si="25"/>
        <v>59.300699300699584</v>
      </c>
      <c r="H91" s="102">
        <f t="shared" si="26"/>
        <v>59.300699300699584</v>
      </c>
    </row>
    <row r="92" spans="1:10" ht="14.25" customHeight="1" x14ac:dyDescent="0.25">
      <c r="A92" s="247" t="s">
        <v>153</v>
      </c>
      <c r="B92" s="106" t="str">
        <f t="shared" si="23"/>
        <v>Butter - زبدة</v>
      </c>
      <c r="C92" s="106" t="str">
        <f t="shared" si="23"/>
        <v>gm</v>
      </c>
      <c r="D92" s="106">
        <f t="shared" si="23"/>
        <v>20</v>
      </c>
      <c r="E92" s="201">
        <f t="shared" si="27"/>
        <v>1.3177933177933241</v>
      </c>
      <c r="F92" s="109">
        <f t="shared" si="24"/>
        <v>1</v>
      </c>
      <c r="G92" s="101">
        <f t="shared" si="25"/>
        <v>26.355866355866482</v>
      </c>
      <c r="H92" s="102">
        <f t="shared" si="26"/>
        <v>26.355866355866482</v>
      </c>
    </row>
    <row r="93" spans="1:10" ht="20.25" customHeight="1" x14ac:dyDescent="0.3">
      <c r="A93" s="191"/>
      <c r="B93" s="178" t="s">
        <v>287</v>
      </c>
      <c r="C93" s="180" t="s">
        <v>273</v>
      </c>
      <c r="D93" s="14"/>
      <c r="E93" s="180" t="s">
        <v>288</v>
      </c>
      <c r="F93" s="14"/>
      <c r="G93" s="804" t="s">
        <v>264</v>
      </c>
      <c r="H93" s="804" t="s">
        <v>673</v>
      </c>
      <c r="I93" s="184"/>
      <c r="J93" s="183"/>
    </row>
    <row r="94" spans="1:10" ht="20.25" x14ac:dyDescent="0.3">
      <c r="A94" s="191"/>
      <c r="B94" s="179">
        <f>$J$54</f>
        <v>1778.2937062937035</v>
      </c>
      <c r="C94" s="179">
        <f>E94+G94</f>
        <v>1304.6153846153909</v>
      </c>
      <c r="D94" s="839"/>
      <c r="E94" s="179">
        <f>$D$54*$S$44</f>
        <v>533.70629370629626</v>
      </c>
      <c r="F94" s="843"/>
      <c r="G94" s="179">
        <f>$D$54*$T$44</f>
        <v>770.90909090909463</v>
      </c>
      <c r="H94" s="179">
        <f>B94+E94</f>
        <v>2312</v>
      </c>
    </row>
    <row r="97" spans="1:8" x14ac:dyDescent="0.25">
      <c r="A97" s="1526"/>
      <c r="B97" s="1636" t="str">
        <f>"كرات اللحم الفرنسية   3 / " &amp; COUNTIF($C$53:$C$55, "&gt;0")</f>
        <v>كرات اللحم الفرنسية   3 / 2</v>
      </c>
      <c r="C97" s="1637"/>
      <c r="D97" s="1637"/>
      <c r="E97" s="1637"/>
      <c r="F97" s="1637"/>
      <c r="G97" s="1637"/>
      <c r="H97" s="1637"/>
    </row>
    <row r="98" spans="1:8" x14ac:dyDescent="0.25">
      <c r="A98" s="1526"/>
      <c r="B98" s="1634" t="str">
        <f>"French Meatball   3 / " &amp; COUNTIF($C$53:$C$55, "&gt;0")</f>
        <v>French Meatball   3 / 2</v>
      </c>
      <c r="C98" s="1635"/>
      <c r="D98" s="1635"/>
      <c r="E98" s="1635"/>
      <c r="F98" s="1635"/>
      <c r="G98" s="1635"/>
      <c r="H98" s="1635"/>
    </row>
    <row r="99" spans="1:8" ht="25.5" x14ac:dyDescent="0.2">
      <c r="A99" s="75"/>
      <c r="B99" s="75" t="s">
        <v>241</v>
      </c>
      <c r="C99" s="90" t="s">
        <v>242</v>
      </c>
      <c r="D99" s="75" t="s">
        <v>231</v>
      </c>
      <c r="E99" s="91" t="s">
        <v>234</v>
      </c>
      <c r="F99" s="91" t="s">
        <v>243</v>
      </c>
      <c r="G99" s="75" t="s">
        <v>244</v>
      </c>
      <c r="H99" s="197" t="s">
        <v>245</v>
      </c>
    </row>
    <row r="100" spans="1:8" x14ac:dyDescent="0.25">
      <c r="A100" s="247" t="s">
        <v>221</v>
      </c>
      <c r="B100" s="106" t="str">
        <f>B5</f>
        <v>Indian Meat Tammam Mafroom - مفروم هندى</v>
      </c>
      <c r="C100" s="106" t="str">
        <f t="shared" ref="C100:D100" si="28">C5</f>
        <v>gm</v>
      </c>
      <c r="D100" s="102">
        <f t="shared" si="28"/>
        <v>2351.2225705329156</v>
      </c>
      <c r="E100" s="1527">
        <f>$H$55</f>
        <v>0</v>
      </c>
      <c r="F100" s="1528">
        <f>F5</f>
        <v>1</v>
      </c>
      <c r="G100" s="101">
        <f t="shared" ref="G100:G110" si="29">D100*E100</f>
        <v>0</v>
      </c>
      <c r="H100" s="102">
        <f t="shared" ref="H100:H110" si="30">G100*F100</f>
        <v>0</v>
      </c>
    </row>
    <row r="101" spans="1:8" x14ac:dyDescent="0.25">
      <c r="A101" s="247" t="s">
        <v>13</v>
      </c>
      <c r="B101" s="106" t="str">
        <f t="shared" ref="B101:D110" si="31">B6</f>
        <v>Green Onion - بصل أخضر</v>
      </c>
      <c r="C101" s="106" t="str">
        <f t="shared" si="31"/>
        <v>gm</v>
      </c>
      <c r="D101" s="106">
        <f t="shared" si="31"/>
        <v>150</v>
      </c>
      <c r="E101" s="1527">
        <f t="shared" ref="E101:E110" si="32">$C$55</f>
        <v>0</v>
      </c>
      <c r="F101" s="1528">
        <f t="shared" ref="F101:F110" si="33">F6</f>
        <v>1</v>
      </c>
      <c r="G101" s="101">
        <f t="shared" si="29"/>
        <v>0</v>
      </c>
      <c r="H101" s="102">
        <f t="shared" si="30"/>
        <v>0</v>
      </c>
    </row>
    <row r="102" spans="1:8" x14ac:dyDescent="0.25">
      <c r="A102" s="247" t="s">
        <v>13</v>
      </c>
      <c r="B102" s="106" t="str">
        <f t="shared" si="31"/>
        <v>Garlic - ثوم مقشر</v>
      </c>
      <c r="C102" s="106" t="str">
        <f t="shared" si="31"/>
        <v>gm</v>
      </c>
      <c r="D102" s="106">
        <f t="shared" si="31"/>
        <v>30</v>
      </c>
      <c r="E102" s="1527">
        <f t="shared" si="32"/>
        <v>0</v>
      </c>
      <c r="F102" s="1528">
        <f t="shared" si="33"/>
        <v>1</v>
      </c>
      <c r="G102" s="101">
        <f t="shared" si="29"/>
        <v>0</v>
      </c>
      <c r="H102" s="102">
        <f t="shared" si="30"/>
        <v>0</v>
      </c>
    </row>
    <row r="103" spans="1:8" x14ac:dyDescent="0.25">
      <c r="A103" s="247" t="s">
        <v>94</v>
      </c>
      <c r="B103" s="106" t="str">
        <f t="shared" si="31"/>
        <v>White Pepper - فلفل أبيض</v>
      </c>
      <c r="C103" s="106" t="str">
        <f t="shared" si="31"/>
        <v>gm</v>
      </c>
      <c r="D103" s="106">
        <f t="shared" si="31"/>
        <v>6</v>
      </c>
      <c r="E103" s="1527">
        <f t="shared" si="32"/>
        <v>0</v>
      </c>
      <c r="F103" s="1528">
        <f t="shared" si="33"/>
        <v>0.75</v>
      </c>
      <c r="G103" s="101">
        <f t="shared" si="29"/>
        <v>0</v>
      </c>
      <c r="H103" s="102">
        <f t="shared" si="30"/>
        <v>0</v>
      </c>
    </row>
    <row r="104" spans="1:8" x14ac:dyDescent="0.25">
      <c r="A104" s="247" t="s">
        <v>94</v>
      </c>
      <c r="B104" s="106" t="str">
        <f t="shared" si="31"/>
        <v>Maggi Cubes - مكعبات ماجي</v>
      </c>
      <c r="C104" s="106" t="str">
        <f t="shared" si="31"/>
        <v>gm</v>
      </c>
      <c r="D104" s="106">
        <f t="shared" si="31"/>
        <v>10</v>
      </c>
      <c r="E104" s="1527">
        <f t="shared" si="32"/>
        <v>0</v>
      </c>
      <c r="F104" s="1528">
        <f t="shared" si="33"/>
        <v>0.9</v>
      </c>
      <c r="G104" s="101">
        <f t="shared" si="29"/>
        <v>0</v>
      </c>
      <c r="H104" s="102">
        <f t="shared" si="30"/>
        <v>0</v>
      </c>
    </row>
    <row r="105" spans="1:8" x14ac:dyDescent="0.25">
      <c r="A105" s="247" t="s">
        <v>153</v>
      </c>
      <c r="B105" s="106" t="str">
        <f t="shared" si="31"/>
        <v>Milk - حليب</v>
      </c>
      <c r="C105" s="106" t="str">
        <f t="shared" si="31"/>
        <v>ml</v>
      </c>
      <c r="D105" s="106">
        <f t="shared" si="31"/>
        <v>600</v>
      </c>
      <c r="E105" s="1527">
        <f t="shared" si="32"/>
        <v>0</v>
      </c>
      <c r="F105" s="1528">
        <f t="shared" si="33"/>
        <v>1</v>
      </c>
      <c r="G105" s="101">
        <f t="shared" si="29"/>
        <v>0</v>
      </c>
      <c r="H105" s="102">
        <f t="shared" si="30"/>
        <v>0</v>
      </c>
    </row>
    <row r="106" spans="1:8" x14ac:dyDescent="0.25">
      <c r="A106" s="247" t="s">
        <v>153</v>
      </c>
      <c r="B106" s="106" t="str">
        <f t="shared" si="31"/>
        <v>Cooking Cream - كريمة طبخ</v>
      </c>
      <c r="C106" s="106" t="str">
        <f t="shared" si="31"/>
        <v>ml</v>
      </c>
      <c r="D106" s="106">
        <f t="shared" si="31"/>
        <v>600</v>
      </c>
      <c r="E106" s="1527">
        <f t="shared" si="32"/>
        <v>0</v>
      </c>
      <c r="F106" s="1528">
        <f t="shared" si="33"/>
        <v>1</v>
      </c>
      <c r="G106" s="101">
        <f t="shared" si="29"/>
        <v>0</v>
      </c>
      <c r="H106" s="102">
        <f t="shared" si="30"/>
        <v>0</v>
      </c>
    </row>
    <row r="107" spans="1:8" x14ac:dyDescent="0.25">
      <c r="A107" s="247" t="s">
        <v>94</v>
      </c>
      <c r="B107" s="106" t="str">
        <f t="shared" si="31"/>
        <v>Salt - ملح</v>
      </c>
      <c r="C107" s="106" t="str">
        <f t="shared" si="31"/>
        <v>gm</v>
      </c>
      <c r="D107" s="106">
        <f t="shared" si="31"/>
        <v>5</v>
      </c>
      <c r="E107" s="1527">
        <f t="shared" si="32"/>
        <v>0</v>
      </c>
      <c r="F107" s="1528">
        <f t="shared" si="33"/>
        <v>1</v>
      </c>
      <c r="G107" s="101">
        <f t="shared" si="29"/>
        <v>0</v>
      </c>
      <c r="H107" s="102">
        <f t="shared" si="30"/>
        <v>0</v>
      </c>
    </row>
    <row r="108" spans="1:8" x14ac:dyDescent="0.25">
      <c r="A108" s="247" t="s">
        <v>186</v>
      </c>
      <c r="B108" s="106" t="str">
        <f t="shared" si="31"/>
        <v>Flour - دقيق</v>
      </c>
      <c r="C108" s="106" t="str">
        <f t="shared" si="31"/>
        <v>gm</v>
      </c>
      <c r="D108" s="106">
        <f t="shared" si="31"/>
        <v>50</v>
      </c>
      <c r="E108" s="1527">
        <f t="shared" si="32"/>
        <v>0</v>
      </c>
      <c r="F108" s="1528">
        <f t="shared" si="33"/>
        <v>1</v>
      </c>
      <c r="G108" s="101">
        <f t="shared" si="29"/>
        <v>0</v>
      </c>
      <c r="H108" s="102">
        <f t="shared" si="30"/>
        <v>0</v>
      </c>
    </row>
    <row r="109" spans="1:8" x14ac:dyDescent="0.25">
      <c r="A109" s="247" t="s">
        <v>153</v>
      </c>
      <c r="B109" s="106" t="str">
        <f t="shared" si="31"/>
        <v>Parmesan Cheese Powder - بديل البارميزان</v>
      </c>
      <c r="C109" s="106" t="str">
        <f t="shared" si="31"/>
        <v>gm</v>
      </c>
      <c r="D109" s="106">
        <f t="shared" si="31"/>
        <v>45</v>
      </c>
      <c r="E109" s="1527">
        <f t="shared" si="32"/>
        <v>0</v>
      </c>
      <c r="F109" s="1528">
        <f t="shared" si="33"/>
        <v>1</v>
      </c>
      <c r="G109" s="101">
        <f t="shared" si="29"/>
        <v>0</v>
      </c>
      <c r="H109" s="102">
        <f t="shared" si="30"/>
        <v>0</v>
      </c>
    </row>
    <row r="110" spans="1:8" x14ac:dyDescent="0.25">
      <c r="A110" s="247" t="s">
        <v>153</v>
      </c>
      <c r="B110" s="106" t="str">
        <f t="shared" si="31"/>
        <v>Butter - زبدة</v>
      </c>
      <c r="C110" s="106" t="str">
        <f t="shared" si="31"/>
        <v>gm</v>
      </c>
      <c r="D110" s="106">
        <f t="shared" si="31"/>
        <v>20</v>
      </c>
      <c r="E110" s="1527">
        <f t="shared" si="32"/>
        <v>0</v>
      </c>
      <c r="F110" s="1528">
        <f t="shared" si="33"/>
        <v>1</v>
      </c>
      <c r="G110" s="101">
        <f t="shared" si="29"/>
        <v>0</v>
      </c>
      <c r="H110" s="102">
        <f t="shared" si="30"/>
        <v>0</v>
      </c>
    </row>
    <row r="111" spans="1:8" ht="18" x14ac:dyDescent="0.25">
      <c r="A111" s="191"/>
      <c r="B111" s="178" t="s">
        <v>287</v>
      </c>
      <c r="C111" s="180" t="s">
        <v>273</v>
      </c>
      <c r="D111" s="14"/>
      <c r="E111" s="180" t="s">
        <v>288</v>
      </c>
      <c r="F111" s="14"/>
      <c r="G111" s="804" t="s">
        <v>264</v>
      </c>
      <c r="H111" s="804" t="s">
        <v>673</v>
      </c>
    </row>
    <row r="112" spans="1:8" ht="20.25" x14ac:dyDescent="0.3">
      <c r="A112" s="191"/>
      <c r="B112" s="179">
        <f>J55</f>
        <v>0</v>
      </c>
      <c r="C112" s="179">
        <f>E112+G112</f>
        <v>0</v>
      </c>
      <c r="D112" s="839"/>
      <c r="E112" s="179">
        <f>$D$55*$S$44</f>
        <v>0</v>
      </c>
      <c r="F112" s="843"/>
      <c r="G112" s="179">
        <f>$D$55*$T$44</f>
        <v>0</v>
      </c>
      <c r="H112" s="179">
        <f>B112+E112</f>
        <v>0</v>
      </c>
    </row>
  </sheetData>
  <mergeCells count="13">
    <mergeCell ref="B98:H98"/>
    <mergeCell ref="B35:F35"/>
    <mergeCell ref="B62:H62"/>
    <mergeCell ref="B63:H63"/>
    <mergeCell ref="B79:H79"/>
    <mergeCell ref="B80:H80"/>
    <mergeCell ref="B97:H97"/>
    <mergeCell ref="R26:U26"/>
    <mergeCell ref="B2:K3"/>
    <mergeCell ref="AE2:AG3"/>
    <mergeCell ref="AK2:AM2"/>
    <mergeCell ref="AN2:AN3"/>
    <mergeCell ref="R25:U25"/>
  </mergeCells>
  <printOptions horizontalCentered="1"/>
  <pageMargins left="0.4" right="0.4" top="1" bottom="0.5" header="0.3" footer="0.511811023622047"/>
  <pageSetup paperSize="9" scale="46" orientation="landscape" r:id="rId1"/>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C8B27-7260-44B0-82D7-873B2A97F626}">
  <sheetPr codeName="Sheet72">
    <tabColor rgb="FF333F50"/>
    <pageSetUpPr fitToPage="1"/>
  </sheetPr>
  <dimension ref="A1:AT118"/>
  <sheetViews>
    <sheetView zoomScale="85" zoomScaleNormal="85" workbookViewId="0">
      <selection activeCell="A22" sqref="A22"/>
    </sheetView>
  </sheetViews>
  <sheetFormatPr defaultColWidth="12.5" defaultRowHeight="15" x14ac:dyDescent="0.25"/>
  <cols>
    <col min="1" max="1" width="11.625" style="63" bestFit="1" customWidth="1"/>
    <col min="2" max="2" width="30.5" style="1534" customWidth="1"/>
    <col min="3" max="3" width="19" style="14" customWidth="1"/>
    <col min="4" max="4" width="15.875" style="14" customWidth="1"/>
    <col min="5" max="5" width="14.5" style="14" customWidth="1"/>
    <col min="6" max="6" width="13.125" style="14" customWidth="1"/>
    <col min="7" max="7" width="19.75" style="14" customWidth="1"/>
    <col min="8" max="8" width="18.625" style="14" customWidth="1"/>
    <col min="9" max="9" width="12.125" style="14" customWidth="1"/>
    <col min="10" max="10" width="10.375" style="14" customWidth="1"/>
    <col min="11" max="11" width="10.5" style="14" customWidth="1"/>
    <col min="12" max="12" width="8.375" style="14" customWidth="1"/>
    <col min="13" max="13" width="11" style="14" customWidth="1"/>
    <col min="14" max="14" width="8.875" style="14" customWidth="1"/>
    <col min="15" max="15" width="14.5" style="14" customWidth="1"/>
    <col min="16" max="16" width="12.5" style="14" customWidth="1"/>
    <col min="17" max="17" width="14.875" style="14" customWidth="1"/>
    <col min="18" max="18" width="30.5" style="14" customWidth="1"/>
    <col min="19" max="19" width="15.625" style="14" customWidth="1"/>
    <col min="20" max="20" width="19.125" style="14" customWidth="1"/>
    <col min="21" max="21" width="15.625" style="14" customWidth="1"/>
    <col min="22" max="22" width="14.5" style="14" customWidth="1"/>
    <col min="23" max="23" width="12.5" style="14" customWidth="1"/>
    <col min="24" max="24" width="8.875" style="14" bestFit="1" customWidth="1"/>
    <col min="25" max="25" width="12.5" style="14" customWidth="1"/>
    <col min="26" max="26" width="12.5" style="14"/>
    <col min="27" max="27" width="10.875" style="14" bestFit="1" customWidth="1"/>
    <col min="28" max="29" width="11.625" style="14" bestFit="1" customWidth="1"/>
    <col min="30" max="30" width="13.125" style="14" bestFit="1" customWidth="1"/>
    <col min="31" max="31" width="9.875" style="14" bestFit="1" customWidth="1"/>
    <col min="32" max="32" width="8.625" style="14" bestFit="1" customWidth="1"/>
    <col min="33" max="34" width="7.25" style="14" customWidth="1"/>
    <col min="35" max="35" width="12.5" style="14"/>
    <col min="36" max="36" width="31.75" style="14" customWidth="1"/>
    <col min="37" max="37" width="12.5" style="14"/>
    <col min="38" max="38" width="15.625" style="14" customWidth="1"/>
    <col min="39" max="16384" width="12.5" style="14"/>
  </cols>
  <sheetData>
    <row r="1" spans="1:46" ht="30.75" customHeight="1" x14ac:dyDescent="0.25">
      <c r="B1" s="1523" t="s">
        <v>231</v>
      </c>
      <c r="C1" s="65">
        <v>1000</v>
      </c>
      <c r="D1" s="66" t="s">
        <v>232</v>
      </c>
      <c r="E1" s="67">
        <f>T32</f>
        <v>8455.8974358974392</v>
      </c>
      <c r="F1" s="64" t="s">
        <v>233</v>
      </c>
      <c r="G1" s="68">
        <f>E1/1000</f>
        <v>8.4558974358974393</v>
      </c>
      <c r="H1" s="64" t="s">
        <v>234</v>
      </c>
      <c r="I1" s="69">
        <f>(G1/K1)</f>
        <v>8.628466771323918</v>
      </c>
      <c r="J1" s="70" t="s">
        <v>235</v>
      </c>
      <c r="K1" s="69">
        <v>0.98</v>
      </c>
      <c r="L1" s="361"/>
      <c r="M1" s="73"/>
      <c r="N1" s="74"/>
      <c r="O1" s="75" t="s">
        <v>236</v>
      </c>
      <c r="P1" s="76" t="s">
        <v>237</v>
      </c>
      <c r="Q1" s="77" t="s">
        <v>238</v>
      </c>
      <c r="R1" s="76">
        <v>0.59</v>
      </c>
      <c r="U1" s="84"/>
      <c r="Y1" s="75" t="s">
        <v>453</v>
      </c>
      <c r="Z1" s="766">
        <v>14490</v>
      </c>
      <c r="AA1" s="75" t="s">
        <v>556</v>
      </c>
      <c r="AB1" s="766">
        <v>500</v>
      </c>
      <c r="AC1" s="75" t="s">
        <v>546</v>
      </c>
      <c r="AD1" s="766">
        <v>104</v>
      </c>
      <c r="AE1" s="228"/>
      <c r="AF1" s="230"/>
      <c r="AG1" s="76"/>
      <c r="AI1" s="63"/>
      <c r="AJ1" s="78" t="s">
        <v>250</v>
      </c>
      <c r="AK1" s="78">
        <v>10000</v>
      </c>
      <c r="AL1" s="561" t="s">
        <v>483</v>
      </c>
      <c r="AM1" s="562">
        <f>$S$32</f>
        <v>11530.769230769229</v>
      </c>
      <c r="AN1" s="78" t="s">
        <v>239</v>
      </c>
      <c r="AO1" s="305">
        <f>((S32)/$R$1)/$AK$1</f>
        <v>1.9543676662320726</v>
      </c>
      <c r="AP1" s="79"/>
    </row>
    <row r="2" spans="1:46" ht="12.75" customHeight="1" x14ac:dyDescent="0.25">
      <c r="A2" s="81"/>
      <c r="B2" s="1529"/>
      <c r="C2" s="82"/>
      <c r="D2" s="82"/>
      <c r="E2" s="82"/>
      <c r="F2" s="1632" t="s">
        <v>155</v>
      </c>
      <c r="G2" s="82"/>
      <c r="H2" s="82"/>
      <c r="I2" s="82"/>
      <c r="J2" s="82"/>
      <c r="K2" s="82"/>
      <c r="L2" s="82"/>
      <c r="M2" s="83"/>
      <c r="N2" s="83"/>
      <c r="O2" s="84"/>
      <c r="P2" s="84"/>
      <c r="Q2" s="84"/>
      <c r="R2" s="84"/>
      <c r="S2" s="84"/>
      <c r="T2" s="84"/>
      <c r="U2" s="84"/>
      <c r="AC2" s="83"/>
      <c r="AD2" s="83"/>
      <c r="AE2" s="1652"/>
      <c r="AF2" s="1655"/>
      <c r="AG2" s="1655"/>
      <c r="AI2" s="63"/>
      <c r="AJ2" s="85"/>
      <c r="AK2" s="85"/>
      <c r="AL2" s="1631" t="s">
        <v>467</v>
      </c>
      <c r="AM2" s="1631"/>
      <c r="AN2" s="1631"/>
      <c r="AO2" s="85"/>
      <c r="AP2" s="85"/>
    </row>
    <row r="3" spans="1:46" ht="12.75" customHeight="1" x14ac:dyDescent="0.25">
      <c r="A3" s="81"/>
      <c r="B3" s="1530"/>
      <c r="C3" s="87"/>
      <c r="D3" s="87"/>
      <c r="E3" s="87"/>
      <c r="F3" s="1633"/>
      <c r="G3" s="87"/>
      <c r="H3" s="87"/>
      <c r="I3" s="87"/>
      <c r="J3" s="87"/>
      <c r="K3" s="87"/>
      <c r="L3" s="82"/>
      <c r="M3" s="83"/>
      <c r="N3" s="83"/>
      <c r="O3" s="84"/>
      <c r="P3" s="84"/>
      <c r="Q3" s="84"/>
      <c r="R3" s="84"/>
      <c r="S3" s="84"/>
      <c r="T3" s="84"/>
      <c r="U3" s="84"/>
      <c r="AC3" s="83"/>
      <c r="AD3" s="83"/>
      <c r="AE3" s="1655"/>
      <c r="AF3" s="1655"/>
      <c r="AG3" s="1655"/>
      <c r="AI3" s="63"/>
      <c r="AJ3" s="85"/>
      <c r="AK3" s="85"/>
      <c r="AL3" s="85"/>
      <c r="AM3" s="85"/>
      <c r="AN3" s="85"/>
      <c r="AO3" s="85"/>
      <c r="AP3" s="85"/>
    </row>
    <row r="4" spans="1:46" ht="46.5" customHeight="1" x14ac:dyDescent="0.25">
      <c r="A4" s="1523"/>
      <c r="B4" s="1523" t="s">
        <v>241</v>
      </c>
      <c r="C4" s="90" t="s">
        <v>242</v>
      </c>
      <c r="D4" s="75" t="s">
        <v>464</v>
      </c>
      <c r="E4" s="1524" t="s">
        <v>234</v>
      </c>
      <c r="F4" s="91" t="s">
        <v>243</v>
      </c>
      <c r="G4" s="75" t="s">
        <v>465</v>
      </c>
      <c r="H4" s="92" t="s">
        <v>335</v>
      </c>
      <c r="I4" s="75" t="s">
        <v>246</v>
      </c>
      <c r="J4" s="75" t="s">
        <v>247</v>
      </c>
      <c r="K4" s="75" t="s">
        <v>248</v>
      </c>
      <c r="L4" s="75" t="s">
        <v>249</v>
      </c>
      <c r="M4" s="347"/>
      <c r="N4" s="347"/>
      <c r="O4" s="84"/>
      <c r="P4" s="84"/>
      <c r="Q4" s="84"/>
      <c r="R4" s="84"/>
      <c r="S4" s="84"/>
      <c r="T4" s="84"/>
      <c r="U4" s="84"/>
      <c r="AC4" s="229"/>
      <c r="AD4" s="231"/>
      <c r="AE4" s="229"/>
      <c r="AF4" s="229"/>
      <c r="AG4" s="229"/>
      <c r="AI4" s="63"/>
      <c r="AJ4" s="78" t="s">
        <v>241</v>
      </c>
      <c r="AK4" s="493" t="s">
        <v>242</v>
      </c>
      <c r="AL4" s="78" t="s">
        <v>250</v>
      </c>
      <c r="AM4" s="78" t="s">
        <v>234</v>
      </c>
      <c r="AN4" s="78" t="s">
        <v>243</v>
      </c>
      <c r="AO4" s="78" t="s">
        <v>244</v>
      </c>
      <c r="AP4" s="78" t="s">
        <v>335</v>
      </c>
      <c r="AQ4" s="75" t="s">
        <v>246</v>
      </c>
      <c r="AR4" s="75" t="s">
        <v>247</v>
      </c>
      <c r="AS4" s="75" t="s">
        <v>248</v>
      </c>
      <c r="AT4" s="75" t="s">
        <v>249</v>
      </c>
    </row>
    <row r="5" spans="1:46" ht="14.25" customHeight="1" x14ac:dyDescent="0.25">
      <c r="A5" s="1525"/>
      <c r="B5" s="286" t="s">
        <v>220</v>
      </c>
      <c r="C5" s="97" t="s">
        <v>14</v>
      </c>
      <c r="D5" s="245">
        <f>I51/10</f>
        <v>2311.3713405238827</v>
      </c>
      <c r="E5" s="108">
        <f>H52</f>
        <v>8.4554464787519006</v>
      </c>
      <c r="F5" s="276">
        <v>1</v>
      </c>
      <c r="G5" s="101">
        <f t="shared" ref="G5:G27" si="0">D5*E5</f>
        <v>19543.676662320726</v>
      </c>
      <c r="H5" s="187">
        <f t="shared" ref="H5:H27" si="1">G5*F5</f>
        <v>19543.676662320726</v>
      </c>
      <c r="I5" s="65">
        <f>VLOOKUP(B5,All_Ingredients!$A$1:$F$156,6,FALSE())</f>
        <v>0.86</v>
      </c>
      <c r="J5" s="101">
        <f>VLOOKUP(B5,All_Ingredients!$A$1:$J$156,10,FALSE())</f>
        <v>17.100000000000001</v>
      </c>
      <c r="K5" s="104">
        <f t="shared" ref="K5" si="2">(H5/I5)/1000</f>
        <v>22.725205421303169</v>
      </c>
      <c r="L5" s="104">
        <f t="shared" ref="L5" si="3">K5*J5</f>
        <v>388.60101270428424</v>
      </c>
      <c r="M5" s="112"/>
      <c r="N5" s="112"/>
      <c r="O5" s="112"/>
      <c r="P5" s="112"/>
      <c r="Q5" s="84"/>
      <c r="R5" s="84"/>
      <c r="S5" s="84"/>
      <c r="T5" s="84"/>
      <c r="U5" s="84"/>
      <c r="AC5" s="76"/>
      <c r="AD5" s="114"/>
      <c r="AE5" s="232"/>
      <c r="AF5" s="116"/>
      <c r="AG5" s="117"/>
      <c r="AI5" s="63"/>
      <c r="AJ5" s="350" t="s">
        <v>220</v>
      </c>
      <c r="AK5" s="106" t="s">
        <v>227</v>
      </c>
      <c r="AL5" s="98">
        <v>10</v>
      </c>
      <c r="AM5" s="108">
        <f t="shared" ref="AM5:AM19" si="4">$AO$1</f>
        <v>1.9543676662320726</v>
      </c>
      <c r="AN5" s="276">
        <v>1</v>
      </c>
      <c r="AO5" s="101">
        <f t="shared" ref="AO5:AO19" si="5">AL5*AM5</f>
        <v>19.543676662320728</v>
      </c>
      <c r="AP5" s="187">
        <f t="shared" ref="AP5:AP19" si="6">AO5*AN5</f>
        <v>19.543676662320728</v>
      </c>
      <c r="AQ5" s="272"/>
      <c r="AR5" s="1017"/>
      <c r="AS5" s="156"/>
      <c r="AT5" s="1018"/>
    </row>
    <row r="6" spans="1:46" ht="14.25" customHeight="1" x14ac:dyDescent="0.25">
      <c r="A6" s="1531"/>
      <c r="B6" s="1532" t="s">
        <v>108</v>
      </c>
      <c r="C6" s="97" t="s">
        <v>14</v>
      </c>
      <c r="D6" s="107">
        <v>6</v>
      </c>
      <c r="E6" s="108">
        <f t="shared" ref="E6:E27" si="7">$I$1</f>
        <v>8.628466771323918</v>
      </c>
      <c r="F6" s="276">
        <v>0.95</v>
      </c>
      <c r="G6" s="101">
        <f t="shared" si="0"/>
        <v>51.770800627943508</v>
      </c>
      <c r="H6" s="187">
        <f t="shared" si="1"/>
        <v>49.182260596546328</v>
      </c>
      <c r="I6" s="65">
        <f>VLOOKUP(B6,All_Ingredients!$A$1:$F$156,6,FALSE())</f>
        <v>1</v>
      </c>
      <c r="J6" s="101">
        <f>VLOOKUP(B6,All_Ingredients!$A$1:$J$156,10,FALSE())</f>
        <v>26.5</v>
      </c>
      <c r="K6" s="104">
        <f t="shared" ref="K6:K27" si="8">(H6/I6)/1000</f>
        <v>4.9182260596546332E-2</v>
      </c>
      <c r="L6" s="104">
        <f t="shared" ref="L6:L27" si="9">K6*J6</f>
        <v>1.3033299058084777</v>
      </c>
      <c r="M6" s="112"/>
      <c r="N6" s="112"/>
      <c r="O6" s="314"/>
      <c r="P6" s="314"/>
      <c r="AI6" s="63" t="s">
        <v>94</v>
      </c>
      <c r="AJ6" s="299" t="s">
        <v>105</v>
      </c>
      <c r="AK6" s="310" t="s">
        <v>14</v>
      </c>
      <c r="AL6" s="98">
        <v>20</v>
      </c>
      <c r="AM6" s="108">
        <f t="shared" si="4"/>
        <v>1.9543676662320726</v>
      </c>
      <c r="AN6" s="276">
        <v>1</v>
      </c>
      <c r="AO6" s="101">
        <f t="shared" si="5"/>
        <v>39.087353324641455</v>
      </c>
      <c r="AP6" s="187">
        <f t="shared" si="6"/>
        <v>39.087353324641455</v>
      </c>
      <c r="AQ6" s="1018">
        <f>VLOOKUP(AJ6,Marination_Ordering!$A:$J,6,FALSE)</f>
        <v>1</v>
      </c>
      <c r="AR6" s="1018">
        <f>VLOOKUP(AJ6,Marination_Ordering!$A:$J,10,FALSE)</f>
        <v>15</v>
      </c>
      <c r="AS6" s="156">
        <f>AP6/AQ6</f>
        <v>39.087353324641455</v>
      </c>
      <c r="AT6" s="1018">
        <f>AR6*(AS6/1000)</f>
        <v>0.58631029986962191</v>
      </c>
    </row>
    <row r="7" spans="1:46" ht="14.25" customHeight="1" x14ac:dyDescent="0.25">
      <c r="A7" s="1531"/>
      <c r="B7" s="1532" t="s">
        <v>93</v>
      </c>
      <c r="C7" s="97" t="s">
        <v>14</v>
      </c>
      <c r="D7" s="107">
        <v>11</v>
      </c>
      <c r="E7" s="108">
        <f t="shared" si="7"/>
        <v>8.628466771323918</v>
      </c>
      <c r="F7" s="276">
        <v>0.75</v>
      </c>
      <c r="G7" s="101">
        <f t="shared" si="0"/>
        <v>94.913134484563102</v>
      </c>
      <c r="H7" s="187">
        <f t="shared" si="1"/>
        <v>71.184850863422326</v>
      </c>
      <c r="I7" s="65">
        <f>VLOOKUP(B7,All_Ingredients!$A$1:$F$156,6,FALSE())</f>
        <v>1</v>
      </c>
      <c r="J7" s="101">
        <f>VLOOKUP(B7,All_Ingredients!$A$1:$J$156,10,FALSE())</f>
        <v>0.74</v>
      </c>
      <c r="K7" s="104">
        <f t="shared" si="8"/>
        <v>7.1184850863422328E-2</v>
      </c>
      <c r="L7" s="104">
        <f t="shared" si="9"/>
        <v>5.267678963893252E-2</v>
      </c>
      <c r="M7" s="112"/>
      <c r="N7" s="112"/>
      <c r="O7" s="314"/>
      <c r="P7" s="314"/>
      <c r="AI7" s="63" t="s">
        <v>94</v>
      </c>
      <c r="AJ7" s="299" t="s">
        <v>107</v>
      </c>
      <c r="AK7" s="310" t="s">
        <v>14</v>
      </c>
      <c r="AL7" s="98">
        <v>10</v>
      </c>
      <c r="AM7" s="108">
        <f t="shared" si="4"/>
        <v>1.9543676662320726</v>
      </c>
      <c r="AN7" s="276">
        <v>1</v>
      </c>
      <c r="AO7" s="101">
        <f t="shared" si="5"/>
        <v>19.543676662320728</v>
      </c>
      <c r="AP7" s="187">
        <f t="shared" si="6"/>
        <v>19.543676662320728</v>
      </c>
      <c r="AQ7" s="1018">
        <f>VLOOKUP(AJ7,Marination_Ordering!$A:$J,6,FALSE)</f>
        <v>1</v>
      </c>
      <c r="AR7" s="1018">
        <f>VLOOKUP(AJ7,Marination_Ordering!$A:$J,10,FALSE)</f>
        <v>8</v>
      </c>
      <c r="AS7" s="156">
        <f t="shared" ref="AS7:AS19" si="10">AP7/AQ7</f>
        <v>19.543676662320728</v>
      </c>
      <c r="AT7" s="1018">
        <f t="shared" ref="AT7:AT19" si="11">AR7*(AS7/1000)</f>
        <v>0.15634941329856583</v>
      </c>
    </row>
    <row r="8" spans="1:46" ht="14.25" customHeight="1" x14ac:dyDescent="0.25">
      <c r="A8" s="1531"/>
      <c r="B8" s="1532" t="s">
        <v>174</v>
      </c>
      <c r="C8" s="97" t="s">
        <v>160</v>
      </c>
      <c r="D8" s="107">
        <v>250</v>
      </c>
      <c r="E8" s="108">
        <f t="shared" si="7"/>
        <v>8.628466771323918</v>
      </c>
      <c r="F8" s="276">
        <v>1</v>
      </c>
      <c r="G8" s="101">
        <f t="shared" si="0"/>
        <v>2157.1166928309794</v>
      </c>
      <c r="H8" s="187">
        <f t="shared" si="1"/>
        <v>2157.1166928309794</v>
      </c>
      <c r="I8" s="65">
        <f>VLOOKUP(B8,All_Ingredients!$A$1:$F$156,6,FALSE())</f>
        <v>1</v>
      </c>
      <c r="J8" s="101">
        <f>VLOOKUP(B8,All_Ingredients!$A$1:$J$156,10,FALSE())</f>
        <v>9.8958333333333339</v>
      </c>
      <c r="K8" s="104">
        <f t="shared" si="8"/>
        <v>2.1571166928309795</v>
      </c>
      <c r="L8" s="104">
        <f t="shared" si="9"/>
        <v>21.346467272806571</v>
      </c>
      <c r="M8" s="112"/>
      <c r="N8" s="112"/>
      <c r="O8" s="314"/>
      <c r="P8" s="314"/>
      <c r="AI8" s="63" t="s">
        <v>153</v>
      </c>
      <c r="AJ8" s="299" t="s">
        <v>174</v>
      </c>
      <c r="AK8" s="310" t="s">
        <v>160</v>
      </c>
      <c r="AL8" s="201">
        <v>100</v>
      </c>
      <c r="AM8" s="108">
        <f t="shared" si="4"/>
        <v>1.9543676662320726</v>
      </c>
      <c r="AN8" s="276">
        <v>1</v>
      </c>
      <c r="AO8" s="101">
        <f t="shared" si="5"/>
        <v>195.43676662320726</v>
      </c>
      <c r="AP8" s="187">
        <f t="shared" si="6"/>
        <v>195.43676662320726</v>
      </c>
      <c r="AQ8" s="1018">
        <f>VLOOKUP(AJ8,Marination_Ordering!$A:$J,6,FALSE)</f>
        <v>1</v>
      </c>
      <c r="AR8" s="1018">
        <f>VLOOKUP(AJ8,Marination_Ordering!$A:$J,10,FALSE)</f>
        <v>9.8958333333333339</v>
      </c>
      <c r="AS8" s="156">
        <f t="shared" si="10"/>
        <v>195.43676662320726</v>
      </c>
      <c r="AT8" s="1018">
        <f t="shared" si="11"/>
        <v>1.934009669708822</v>
      </c>
    </row>
    <row r="9" spans="1:46" ht="14.25" customHeight="1" x14ac:dyDescent="0.25">
      <c r="A9" s="1531" t="s">
        <v>988</v>
      </c>
      <c r="B9" s="1532" t="s">
        <v>757</v>
      </c>
      <c r="C9" s="97" t="s">
        <v>14</v>
      </c>
      <c r="D9" s="107">
        <v>5</v>
      </c>
      <c r="E9" s="108">
        <f t="shared" si="7"/>
        <v>8.628466771323918</v>
      </c>
      <c r="F9" s="276">
        <v>0.9</v>
      </c>
      <c r="G9" s="101">
        <f t="shared" si="0"/>
        <v>43.142333856619587</v>
      </c>
      <c r="H9" s="187">
        <f t="shared" si="1"/>
        <v>38.828100470957629</v>
      </c>
      <c r="I9" s="65">
        <f>VLOOKUP(B9,All_Ingredients!$A$1:$F$156,6,FALSE())</f>
        <v>0.9</v>
      </c>
      <c r="J9" s="101">
        <f>VLOOKUP(B9,All_Ingredients!$A$1:$J$156,10,FALSE())</f>
        <v>30</v>
      </c>
      <c r="K9" s="104">
        <f t="shared" si="8"/>
        <v>4.3142333856619586E-2</v>
      </c>
      <c r="L9" s="104">
        <f t="shared" si="9"/>
        <v>1.2942700156985876</v>
      </c>
      <c r="M9" s="112"/>
      <c r="N9" s="112"/>
      <c r="O9" s="314"/>
      <c r="P9" s="314"/>
      <c r="AI9" s="63" t="s">
        <v>94</v>
      </c>
      <c r="AJ9" s="299" t="s">
        <v>113</v>
      </c>
      <c r="AK9" s="310" t="s">
        <v>14</v>
      </c>
      <c r="AL9" s="98">
        <v>3</v>
      </c>
      <c r="AM9" s="108">
        <f t="shared" si="4"/>
        <v>1.9543676662320726</v>
      </c>
      <c r="AN9" s="276">
        <v>1</v>
      </c>
      <c r="AO9" s="101">
        <f t="shared" si="5"/>
        <v>5.8631029986962178</v>
      </c>
      <c r="AP9" s="187">
        <f t="shared" si="6"/>
        <v>5.8631029986962178</v>
      </c>
      <c r="AQ9" s="1018">
        <f>VLOOKUP(AJ9,Marination_Ordering!$A:$J,6,FALSE)</f>
        <v>1</v>
      </c>
      <c r="AR9" s="1018">
        <f>VLOOKUP(AJ9,Marination_Ordering!$A:$J,10,FALSE)</f>
        <v>20</v>
      </c>
      <c r="AS9" s="156">
        <f t="shared" si="10"/>
        <v>5.8631029986962178</v>
      </c>
      <c r="AT9" s="1018">
        <f t="shared" si="11"/>
        <v>0.11726205997392436</v>
      </c>
    </row>
    <row r="10" spans="1:46" ht="14.25" customHeight="1" x14ac:dyDescent="0.25">
      <c r="A10" s="1531"/>
      <c r="B10" s="1532" t="s">
        <v>758</v>
      </c>
      <c r="C10" s="97" t="s">
        <v>14</v>
      </c>
      <c r="D10" s="107">
        <v>3</v>
      </c>
      <c r="E10" s="108">
        <f t="shared" si="7"/>
        <v>8.628466771323918</v>
      </c>
      <c r="F10" s="276">
        <v>0.75</v>
      </c>
      <c r="G10" s="101">
        <f t="shared" si="0"/>
        <v>25.885400313971754</v>
      </c>
      <c r="H10" s="187">
        <f t="shared" si="1"/>
        <v>19.414050235478815</v>
      </c>
      <c r="I10" s="65">
        <f>VLOOKUP(B10,All_Ingredients!$A$1:$F$156,6,FALSE())</f>
        <v>0.85</v>
      </c>
      <c r="J10" s="101">
        <f>VLOOKUP(B10,All_Ingredients!$A$1:$J$156,10,FALSE())</f>
        <v>30</v>
      </c>
      <c r="K10" s="104">
        <f t="shared" si="8"/>
        <v>2.2840059100563314E-2</v>
      </c>
      <c r="L10" s="104">
        <f t="shared" si="9"/>
        <v>0.68520177301689944</v>
      </c>
      <c r="M10" s="112"/>
      <c r="N10" s="112"/>
      <c r="O10" s="314"/>
      <c r="P10" s="314"/>
      <c r="AI10" s="63" t="s">
        <v>94</v>
      </c>
      <c r="AJ10" s="299" t="s">
        <v>118</v>
      </c>
      <c r="AK10" s="310" t="s">
        <v>14</v>
      </c>
      <c r="AL10" s="98">
        <v>10</v>
      </c>
      <c r="AM10" s="108">
        <f t="shared" si="4"/>
        <v>1.9543676662320726</v>
      </c>
      <c r="AN10" s="276">
        <v>1</v>
      </c>
      <c r="AO10" s="101">
        <f t="shared" si="5"/>
        <v>19.543676662320728</v>
      </c>
      <c r="AP10" s="187">
        <f t="shared" si="6"/>
        <v>19.543676662320728</v>
      </c>
      <c r="AQ10" s="1018">
        <f>VLOOKUP(AJ10,Marination_Ordering!$A:$J,6,FALSE)</f>
        <v>1</v>
      </c>
      <c r="AR10" s="1018">
        <f>VLOOKUP(AJ10,Marination_Ordering!$A:$J,10,FALSE)</f>
        <v>15</v>
      </c>
      <c r="AS10" s="156">
        <f t="shared" si="10"/>
        <v>19.543676662320728</v>
      </c>
      <c r="AT10" s="1018">
        <f t="shared" si="11"/>
        <v>0.29315514993481095</v>
      </c>
    </row>
    <row r="11" spans="1:46" ht="14.25" customHeight="1" x14ac:dyDescent="0.25">
      <c r="A11" s="1531"/>
      <c r="B11" s="1532" t="s">
        <v>34</v>
      </c>
      <c r="C11" s="97" t="s">
        <v>14</v>
      </c>
      <c r="D11" s="107">
        <v>2</v>
      </c>
      <c r="E11" s="108">
        <f t="shared" si="7"/>
        <v>8.628466771323918</v>
      </c>
      <c r="F11" s="276">
        <v>0.75</v>
      </c>
      <c r="G11" s="101">
        <f t="shared" si="0"/>
        <v>17.256933542647836</v>
      </c>
      <c r="H11" s="187">
        <f t="shared" si="1"/>
        <v>12.942700156985877</v>
      </c>
      <c r="I11" s="65">
        <f>VLOOKUP(B11,All_Ingredients!$A$1:$F$156,6,FALSE())</f>
        <v>0.86</v>
      </c>
      <c r="J11" s="101">
        <f>VLOOKUP(B11,All_Ingredients!$A$1:$J$156,10,FALSE())</f>
        <v>14</v>
      </c>
      <c r="K11" s="104">
        <f t="shared" si="8"/>
        <v>1.5049651345332416E-2</v>
      </c>
      <c r="L11" s="104">
        <f t="shared" si="9"/>
        <v>0.21069511883465383</v>
      </c>
      <c r="M11" s="112"/>
      <c r="N11" s="112"/>
      <c r="O11" s="314"/>
      <c r="P11" s="314"/>
      <c r="AI11" s="63" t="s">
        <v>94</v>
      </c>
      <c r="AJ11" s="299" t="s">
        <v>99</v>
      </c>
      <c r="AK11" s="310" t="s">
        <v>14</v>
      </c>
      <c r="AL11" s="98">
        <v>3</v>
      </c>
      <c r="AM11" s="108">
        <f t="shared" si="4"/>
        <v>1.9543676662320726</v>
      </c>
      <c r="AN11" s="276">
        <v>1</v>
      </c>
      <c r="AO11" s="101">
        <f t="shared" si="5"/>
        <v>5.8631029986962178</v>
      </c>
      <c r="AP11" s="187">
        <f t="shared" si="6"/>
        <v>5.8631029986962178</v>
      </c>
      <c r="AQ11" s="1018">
        <f>VLOOKUP(AJ11,Marination_Ordering!$A:$J,6,FALSE)</f>
        <v>1</v>
      </c>
      <c r="AR11" s="1018">
        <f>VLOOKUP(AJ11,Marination_Ordering!$A:$J,10,FALSE)</f>
        <v>31</v>
      </c>
      <c r="AS11" s="156">
        <f t="shared" si="10"/>
        <v>5.8631029986962178</v>
      </c>
      <c r="AT11" s="1018">
        <f t="shared" si="11"/>
        <v>0.18175619295958276</v>
      </c>
    </row>
    <row r="12" spans="1:46" ht="14.25" customHeight="1" x14ac:dyDescent="0.25">
      <c r="A12" s="1531" t="s">
        <v>908</v>
      </c>
      <c r="B12" s="1532" t="s">
        <v>60</v>
      </c>
      <c r="C12" s="97" t="s">
        <v>14</v>
      </c>
      <c r="D12" s="107">
        <v>10</v>
      </c>
      <c r="E12" s="108">
        <f t="shared" si="7"/>
        <v>8.628466771323918</v>
      </c>
      <c r="F12" s="276">
        <v>0.9</v>
      </c>
      <c r="G12" s="101">
        <f t="shared" si="0"/>
        <v>86.284667713239173</v>
      </c>
      <c r="H12" s="187">
        <f t="shared" si="1"/>
        <v>77.656200941915259</v>
      </c>
      <c r="I12" s="65">
        <f>VLOOKUP(B12,All_Ingredients!$A$1:$F$156,6,FALSE())</f>
        <v>0.94</v>
      </c>
      <c r="J12" s="101">
        <f>VLOOKUP(B12,All_Ingredients!$A$1:$J$156,10,FALSE())</f>
        <v>3.6363636363636367</v>
      </c>
      <c r="K12" s="104">
        <f t="shared" si="8"/>
        <v>8.2612979725441779E-2</v>
      </c>
      <c r="L12" s="104">
        <f t="shared" si="9"/>
        <v>0.30041083536524288</v>
      </c>
      <c r="M12" s="112"/>
      <c r="N12" s="112"/>
      <c r="O12" s="314"/>
      <c r="P12" s="314"/>
      <c r="AI12" s="63" t="s">
        <v>94</v>
      </c>
      <c r="AJ12" s="299" t="s">
        <v>93</v>
      </c>
      <c r="AK12" s="310" t="s">
        <v>14</v>
      </c>
      <c r="AL12" s="107">
        <v>5</v>
      </c>
      <c r="AM12" s="108">
        <f t="shared" si="4"/>
        <v>1.9543676662320726</v>
      </c>
      <c r="AN12" s="276">
        <v>1</v>
      </c>
      <c r="AO12" s="101">
        <f t="shared" si="5"/>
        <v>9.7718383311603638</v>
      </c>
      <c r="AP12" s="187">
        <f t="shared" si="6"/>
        <v>9.7718383311603638</v>
      </c>
      <c r="AQ12" s="1018">
        <f>VLOOKUP(AJ12,Marination_Ordering!$A:$J,6,FALSE)</f>
        <v>1</v>
      </c>
      <c r="AR12" s="1018">
        <f>VLOOKUP(AJ12,Marination_Ordering!$A:$J,10,FALSE)</f>
        <v>0.74</v>
      </c>
      <c r="AS12" s="156">
        <f t="shared" si="10"/>
        <v>9.7718383311603638</v>
      </c>
      <c r="AT12" s="1018">
        <f t="shared" si="11"/>
        <v>7.2311603650586694E-3</v>
      </c>
    </row>
    <row r="13" spans="1:46" ht="14.25" customHeight="1" x14ac:dyDescent="0.25">
      <c r="A13" s="1531"/>
      <c r="B13" s="1532" t="s">
        <v>105</v>
      </c>
      <c r="C13" s="97" t="s">
        <v>14</v>
      </c>
      <c r="D13" s="107">
        <v>5</v>
      </c>
      <c r="E13" s="108">
        <f t="shared" si="7"/>
        <v>8.628466771323918</v>
      </c>
      <c r="F13" s="276">
        <v>0.75</v>
      </c>
      <c r="G13" s="101">
        <f t="shared" si="0"/>
        <v>43.142333856619587</v>
      </c>
      <c r="H13" s="187">
        <f t="shared" si="1"/>
        <v>32.35675039246469</v>
      </c>
      <c r="I13" s="65">
        <f>VLOOKUP(B13,All_Ingredients!$A$1:$F$156,6,FALSE())</f>
        <v>1</v>
      </c>
      <c r="J13" s="101">
        <f>VLOOKUP(B13,All_Ingredients!$A$1:$J$156,10,FALSE())</f>
        <v>15</v>
      </c>
      <c r="K13" s="104">
        <f t="shared" si="8"/>
        <v>3.2356750392464689E-2</v>
      </c>
      <c r="L13" s="104">
        <f t="shared" si="9"/>
        <v>0.48535125588697037</v>
      </c>
      <c r="M13" s="112"/>
      <c r="N13" s="112"/>
      <c r="O13" s="314"/>
      <c r="P13" s="314"/>
      <c r="AI13" s="63" t="s">
        <v>213</v>
      </c>
      <c r="AJ13" s="299" t="s">
        <v>837</v>
      </c>
      <c r="AK13" s="310" t="s">
        <v>14</v>
      </c>
      <c r="AL13" s="98">
        <v>5</v>
      </c>
      <c r="AM13" s="108">
        <f t="shared" si="4"/>
        <v>1.9543676662320726</v>
      </c>
      <c r="AN13" s="276">
        <v>1</v>
      </c>
      <c r="AO13" s="101">
        <f t="shared" si="5"/>
        <v>9.7718383311603638</v>
      </c>
      <c r="AP13" s="187">
        <f t="shared" si="6"/>
        <v>9.7718383311603638</v>
      </c>
      <c r="AQ13" s="1018">
        <f>VLOOKUP(AJ13,Marination_Ordering!$A:$J,6,FALSE)</f>
        <v>1</v>
      </c>
      <c r="AR13" s="1018">
        <f>VLOOKUP(AJ13,Marination_Ordering!$A:$J,10,FALSE)</f>
        <v>22.5</v>
      </c>
      <c r="AS13" s="156">
        <f t="shared" si="10"/>
        <v>9.7718383311603638</v>
      </c>
      <c r="AT13" s="1018">
        <f t="shared" si="11"/>
        <v>0.21986636245110819</v>
      </c>
    </row>
    <row r="14" spans="1:46" ht="14.25" customHeight="1" x14ac:dyDescent="0.25">
      <c r="A14" s="1531"/>
      <c r="B14" s="1532" t="s">
        <v>107</v>
      </c>
      <c r="C14" s="97" t="s">
        <v>14</v>
      </c>
      <c r="D14" s="107">
        <v>5</v>
      </c>
      <c r="E14" s="108">
        <f t="shared" si="7"/>
        <v>8.628466771323918</v>
      </c>
      <c r="F14" s="276">
        <v>0.75</v>
      </c>
      <c r="G14" s="101">
        <f t="shared" si="0"/>
        <v>43.142333856619587</v>
      </c>
      <c r="H14" s="187">
        <f t="shared" si="1"/>
        <v>32.35675039246469</v>
      </c>
      <c r="I14" s="65">
        <f>VLOOKUP(B14,All_Ingredients!$A$1:$F$156,6,FALSE())</f>
        <v>1</v>
      </c>
      <c r="J14" s="101">
        <f>VLOOKUP(B14,All_Ingredients!$A$1:$J$156,10,FALSE())</f>
        <v>8</v>
      </c>
      <c r="K14" s="104">
        <f t="shared" si="8"/>
        <v>3.2356750392464689E-2</v>
      </c>
      <c r="L14" s="104">
        <f t="shared" si="9"/>
        <v>0.25885400313971751</v>
      </c>
      <c r="M14" s="112"/>
      <c r="N14" s="112"/>
      <c r="O14" s="314"/>
      <c r="P14" s="314"/>
      <c r="AI14" s="63" t="s">
        <v>94</v>
      </c>
      <c r="AJ14" s="299" t="s">
        <v>122</v>
      </c>
      <c r="AK14" s="310" t="s">
        <v>14</v>
      </c>
      <c r="AL14" s="98">
        <v>2</v>
      </c>
      <c r="AM14" s="108">
        <f t="shared" si="4"/>
        <v>1.9543676662320726</v>
      </c>
      <c r="AN14" s="276">
        <v>1</v>
      </c>
      <c r="AO14" s="101">
        <f t="shared" si="5"/>
        <v>3.9087353324641452</v>
      </c>
      <c r="AP14" s="187">
        <f t="shared" si="6"/>
        <v>3.9087353324641452</v>
      </c>
      <c r="AQ14" s="1018">
        <f>VLOOKUP(AJ14,Marination_Ordering!$A:$J,6,FALSE)</f>
        <v>1</v>
      </c>
      <c r="AR14" s="1018">
        <f>VLOOKUP(AJ14,Marination_Ordering!$A:$J,10,FALSE)</f>
        <v>14</v>
      </c>
      <c r="AS14" s="156">
        <f t="shared" si="10"/>
        <v>3.9087353324641452</v>
      </c>
      <c r="AT14" s="1018">
        <f t="shared" si="11"/>
        <v>5.472229465449803E-2</v>
      </c>
    </row>
    <row r="15" spans="1:46" ht="14.25" customHeight="1" x14ac:dyDescent="0.25">
      <c r="A15" s="1531"/>
      <c r="B15" s="1532" t="s">
        <v>99</v>
      </c>
      <c r="C15" s="97" t="s">
        <v>14</v>
      </c>
      <c r="D15" s="107">
        <v>2</v>
      </c>
      <c r="E15" s="108">
        <f t="shared" si="7"/>
        <v>8.628466771323918</v>
      </c>
      <c r="F15" s="276">
        <v>0.75</v>
      </c>
      <c r="G15" s="101">
        <f t="shared" si="0"/>
        <v>17.256933542647836</v>
      </c>
      <c r="H15" s="187">
        <f t="shared" si="1"/>
        <v>12.942700156985877</v>
      </c>
      <c r="I15" s="65">
        <f>VLOOKUP(B15,All_Ingredients!$A$1:$F$156,6,FALSE())</f>
        <v>1</v>
      </c>
      <c r="J15" s="101">
        <f>VLOOKUP(B15,All_Ingredients!$A$1:$J$156,10,FALSE())</f>
        <v>31</v>
      </c>
      <c r="K15" s="104">
        <f t="shared" si="8"/>
        <v>1.2942700156985877E-2</v>
      </c>
      <c r="L15" s="104">
        <f t="shared" si="9"/>
        <v>0.40122370486656217</v>
      </c>
      <c r="M15" s="112"/>
      <c r="N15" s="112"/>
      <c r="O15" s="314"/>
      <c r="P15" s="314"/>
      <c r="AI15" s="63" t="s">
        <v>94</v>
      </c>
      <c r="AJ15" s="299" t="s">
        <v>124</v>
      </c>
      <c r="AK15" s="310" t="s">
        <v>14</v>
      </c>
      <c r="AL15" s="98">
        <v>7</v>
      </c>
      <c r="AM15" s="108">
        <f t="shared" si="4"/>
        <v>1.9543676662320726</v>
      </c>
      <c r="AN15" s="276">
        <v>1</v>
      </c>
      <c r="AO15" s="101">
        <f t="shared" si="5"/>
        <v>13.680573663624507</v>
      </c>
      <c r="AP15" s="187">
        <f t="shared" si="6"/>
        <v>13.680573663624507</v>
      </c>
      <c r="AQ15" s="1018">
        <f>VLOOKUP(AJ15,Marination_Ordering!$A:$J,6,FALSE)</f>
        <v>1</v>
      </c>
      <c r="AR15" s="1018">
        <f>VLOOKUP(AJ15,Marination_Ordering!$A:$J,10,FALSE)</f>
        <v>37</v>
      </c>
      <c r="AS15" s="156">
        <f t="shared" si="10"/>
        <v>13.680573663624507</v>
      </c>
      <c r="AT15" s="1018">
        <f t="shared" si="11"/>
        <v>0.50618122555410683</v>
      </c>
    </row>
    <row r="16" spans="1:46" ht="14.25" customHeight="1" x14ac:dyDescent="0.25">
      <c r="A16" s="1531"/>
      <c r="B16" s="1532" t="s">
        <v>198</v>
      </c>
      <c r="C16" s="906" t="s">
        <v>160</v>
      </c>
      <c r="D16" s="107">
        <v>20</v>
      </c>
      <c r="E16" s="108">
        <f t="shared" si="7"/>
        <v>8.628466771323918</v>
      </c>
      <c r="F16" s="276">
        <v>0.9</v>
      </c>
      <c r="G16" s="101">
        <f t="shared" si="0"/>
        <v>172.56933542647835</v>
      </c>
      <c r="H16" s="187">
        <f t="shared" si="1"/>
        <v>155.31240188383052</v>
      </c>
      <c r="I16" s="65">
        <f>VLOOKUP(B16,All_Ingredients!$A$1:$F$156,6,FALSE())</f>
        <v>1</v>
      </c>
      <c r="J16" s="101">
        <f>VLOOKUP(B16,All_Ingredients!$A$1:$J$156,10,FALSE())</f>
        <v>3.25</v>
      </c>
      <c r="K16" s="104">
        <f t="shared" si="8"/>
        <v>0.15531240188383053</v>
      </c>
      <c r="L16" s="104">
        <f t="shared" si="9"/>
        <v>0.50476530612244919</v>
      </c>
      <c r="M16" s="112"/>
      <c r="N16" s="112"/>
      <c r="O16" s="314"/>
      <c r="P16" s="314"/>
      <c r="AI16" s="63" t="s">
        <v>55</v>
      </c>
      <c r="AJ16" s="299" t="s">
        <v>54</v>
      </c>
      <c r="AK16" s="310" t="s">
        <v>14</v>
      </c>
      <c r="AL16" s="107">
        <v>100</v>
      </c>
      <c r="AM16" s="108">
        <f t="shared" si="4"/>
        <v>1.9543676662320726</v>
      </c>
      <c r="AN16" s="276">
        <v>1</v>
      </c>
      <c r="AO16" s="101">
        <f t="shared" si="5"/>
        <v>195.43676662320726</v>
      </c>
      <c r="AP16" s="187">
        <f t="shared" si="6"/>
        <v>195.43676662320726</v>
      </c>
      <c r="AQ16" s="1018">
        <f>VLOOKUP(AJ16,Marination_Ordering!$A:$J,6,FALSE)</f>
        <v>0.87</v>
      </c>
      <c r="AR16" s="1018">
        <f>VLOOKUP(AJ16,Marination_Ordering!$A:$J,10,FALSE)</f>
        <v>7</v>
      </c>
      <c r="AS16" s="156">
        <f t="shared" si="10"/>
        <v>224.63996163587041</v>
      </c>
      <c r="AT16" s="1018">
        <f t="shared" si="11"/>
        <v>1.572479731451093</v>
      </c>
    </row>
    <row r="17" spans="1:46" ht="14.25" customHeight="1" x14ac:dyDescent="0.25">
      <c r="A17" s="1531"/>
      <c r="B17" s="1532" t="s">
        <v>181</v>
      </c>
      <c r="C17" s="97" t="s">
        <v>14</v>
      </c>
      <c r="D17" s="107">
        <v>10</v>
      </c>
      <c r="E17" s="108">
        <f t="shared" si="7"/>
        <v>8.628466771323918</v>
      </c>
      <c r="F17" s="276">
        <v>1</v>
      </c>
      <c r="G17" s="101">
        <f t="shared" si="0"/>
        <v>86.284667713239173</v>
      </c>
      <c r="H17" s="187">
        <f t="shared" si="1"/>
        <v>86.284667713239173</v>
      </c>
      <c r="I17" s="65">
        <f>VLOOKUP(B17,All_Ingredients!$A$1:$F$156,6,FALSE())</f>
        <v>1</v>
      </c>
      <c r="J17" s="101">
        <f>VLOOKUP(B17,All_Ingredients!$A$1:$J$156,10,FALSE())</f>
        <v>6.5</v>
      </c>
      <c r="K17" s="104">
        <f t="shared" si="8"/>
        <v>8.6284667713239172E-2</v>
      </c>
      <c r="L17" s="104">
        <f t="shared" si="9"/>
        <v>0.56085034013605461</v>
      </c>
      <c r="M17" s="112"/>
      <c r="N17" s="112"/>
      <c r="O17" s="314"/>
      <c r="P17" s="314"/>
      <c r="AI17" s="63" t="s">
        <v>13</v>
      </c>
      <c r="AJ17" s="299" t="s">
        <v>727</v>
      </c>
      <c r="AK17" s="310" t="s">
        <v>14</v>
      </c>
      <c r="AL17" s="98">
        <v>150</v>
      </c>
      <c r="AM17" s="108">
        <f t="shared" si="4"/>
        <v>1.9543676662320726</v>
      </c>
      <c r="AN17" s="276">
        <v>1</v>
      </c>
      <c r="AO17" s="101">
        <f t="shared" si="5"/>
        <v>293.15514993481088</v>
      </c>
      <c r="AP17" s="187">
        <f t="shared" si="6"/>
        <v>293.15514993481088</v>
      </c>
      <c r="AQ17" s="1018">
        <f>VLOOKUP(AJ17,Marination_Ordering!$A:$J,6,FALSE)</f>
        <v>1</v>
      </c>
      <c r="AR17" s="1018">
        <f>VLOOKUP(AJ17,Marination_Ordering!$A:$J,10,FALSE)</f>
        <v>10.5</v>
      </c>
      <c r="AS17" s="156">
        <f t="shared" si="10"/>
        <v>293.15514993481088</v>
      </c>
      <c r="AT17" s="1018">
        <f t="shared" si="11"/>
        <v>3.0781290743155143</v>
      </c>
    </row>
    <row r="18" spans="1:46" ht="14.25" customHeight="1" x14ac:dyDescent="0.25">
      <c r="A18" s="1531" t="s">
        <v>920</v>
      </c>
      <c r="B18" s="1532" t="s">
        <v>12</v>
      </c>
      <c r="C18" s="97" t="s">
        <v>14</v>
      </c>
      <c r="D18" s="107">
        <v>200</v>
      </c>
      <c r="E18" s="108">
        <f t="shared" si="7"/>
        <v>8.628466771323918</v>
      </c>
      <c r="F18" s="276">
        <v>1</v>
      </c>
      <c r="G18" s="101">
        <f t="shared" si="0"/>
        <v>1725.6933542647837</v>
      </c>
      <c r="H18" s="187">
        <f t="shared" si="1"/>
        <v>1725.6933542647837</v>
      </c>
      <c r="I18" s="65">
        <f>VLOOKUP(B18,All_Ingredients!$A$1:$F$156,6,FALSE())</f>
        <v>0.9</v>
      </c>
      <c r="J18" s="101">
        <f>VLOOKUP(B18,All_Ingredients!$A$1:$J$156,10,FALSE())</f>
        <v>3</v>
      </c>
      <c r="K18" s="104">
        <f t="shared" si="8"/>
        <v>1.9174370602942039</v>
      </c>
      <c r="L18" s="104">
        <f t="shared" si="9"/>
        <v>5.7523111808826117</v>
      </c>
      <c r="M18" s="112"/>
      <c r="N18" s="112"/>
      <c r="O18" s="314"/>
      <c r="P18" s="314"/>
      <c r="AI18" s="63" t="s">
        <v>204</v>
      </c>
      <c r="AJ18" s="299" t="s">
        <v>212</v>
      </c>
      <c r="AK18" s="310" t="s">
        <v>160</v>
      </c>
      <c r="AL18" s="98">
        <v>300</v>
      </c>
      <c r="AM18" s="108">
        <f t="shared" si="4"/>
        <v>1.9543676662320726</v>
      </c>
      <c r="AN18" s="276">
        <v>1</v>
      </c>
      <c r="AO18" s="101">
        <f t="shared" si="5"/>
        <v>586.31029986962176</v>
      </c>
      <c r="AP18" s="187">
        <f t="shared" si="6"/>
        <v>586.31029986962176</v>
      </c>
      <c r="AQ18" s="1018">
        <f>VLOOKUP(AJ18,Marination_Ordering!$A:$J,6,FALSE)</f>
        <v>1</v>
      </c>
      <c r="AR18" s="1018">
        <f>VLOOKUP(AJ18,Marination_Ordering!$A:$J,10,FALSE)</f>
        <v>5</v>
      </c>
      <c r="AS18" s="156">
        <f t="shared" si="10"/>
        <v>586.31029986962176</v>
      </c>
      <c r="AT18" s="1018">
        <f t="shared" si="11"/>
        <v>2.9315514993481089</v>
      </c>
    </row>
    <row r="19" spans="1:46" ht="14.25" customHeight="1" x14ac:dyDescent="0.25">
      <c r="A19" s="1531" t="s">
        <v>906</v>
      </c>
      <c r="B19" s="1532" t="s">
        <v>54</v>
      </c>
      <c r="C19" s="97" t="s">
        <v>14</v>
      </c>
      <c r="D19" s="107">
        <v>20</v>
      </c>
      <c r="E19" s="108">
        <f t="shared" si="7"/>
        <v>8.628466771323918</v>
      </c>
      <c r="F19" s="276">
        <v>0.9</v>
      </c>
      <c r="G19" s="101">
        <f t="shared" si="0"/>
        <v>172.56933542647835</v>
      </c>
      <c r="H19" s="187">
        <f t="shared" si="1"/>
        <v>155.31240188383052</v>
      </c>
      <c r="I19" s="65">
        <f>VLOOKUP(B19,All_Ingredients!$A$1:$F$156,6,FALSE())</f>
        <v>0.87</v>
      </c>
      <c r="J19" s="101">
        <f>VLOOKUP(B19,All_Ingredients!$A$1:$J$156,10,FALSE())</f>
        <v>7</v>
      </c>
      <c r="K19" s="104">
        <f t="shared" si="8"/>
        <v>0.17852000216532243</v>
      </c>
      <c r="L19" s="104">
        <f t="shared" si="9"/>
        <v>1.2496400151572571</v>
      </c>
      <c r="M19" s="112"/>
      <c r="N19" s="112"/>
      <c r="O19" s="314"/>
      <c r="P19" s="314"/>
      <c r="AI19" s="63" t="s">
        <v>204</v>
      </c>
      <c r="AJ19" s="299" t="s">
        <v>208</v>
      </c>
      <c r="AK19" s="106" t="s">
        <v>160</v>
      </c>
      <c r="AL19" s="98">
        <v>50</v>
      </c>
      <c r="AM19" s="108">
        <f t="shared" si="4"/>
        <v>1.9543676662320726</v>
      </c>
      <c r="AN19" s="276">
        <v>1</v>
      </c>
      <c r="AO19" s="101">
        <f t="shared" si="5"/>
        <v>97.718383311603631</v>
      </c>
      <c r="AP19" s="187">
        <f t="shared" si="6"/>
        <v>97.718383311603631</v>
      </c>
      <c r="AQ19" s="1018">
        <f>VLOOKUP(AJ19,Marination_Ordering!$A:$J,6,FALSE)</f>
        <v>1</v>
      </c>
      <c r="AR19" s="1018">
        <f>VLOOKUP(AJ19,Marination_Ordering!$A:$J,10,FALSE)</f>
        <v>2.1621621621621623</v>
      </c>
      <c r="AS19" s="156">
        <f t="shared" si="10"/>
        <v>97.718383311603631</v>
      </c>
      <c r="AT19" s="1018">
        <f t="shared" si="11"/>
        <v>0.21128299094400788</v>
      </c>
    </row>
    <row r="20" spans="1:46" ht="14.25" customHeight="1" x14ac:dyDescent="0.25">
      <c r="A20" s="1531" t="s">
        <v>907</v>
      </c>
      <c r="B20" s="1532" t="s">
        <v>727</v>
      </c>
      <c r="C20" s="97" t="s">
        <v>14</v>
      </c>
      <c r="D20" s="107">
        <v>20</v>
      </c>
      <c r="E20" s="108">
        <f t="shared" si="7"/>
        <v>8.628466771323918</v>
      </c>
      <c r="F20" s="276">
        <v>0.9</v>
      </c>
      <c r="G20" s="101">
        <f t="shared" si="0"/>
        <v>172.56933542647835</v>
      </c>
      <c r="H20" s="187">
        <f t="shared" si="1"/>
        <v>155.31240188383052</v>
      </c>
      <c r="I20" s="65">
        <f>VLOOKUP(B20,All_Ingredients!$A$1:$F$156,6,FALSE())</f>
        <v>1</v>
      </c>
      <c r="J20" s="101">
        <f>VLOOKUP(B20,All_Ingredients!$A$1:$J$156,10,FALSE())</f>
        <v>10.5</v>
      </c>
      <c r="K20" s="104">
        <f t="shared" si="8"/>
        <v>0.15531240188383053</v>
      </c>
      <c r="L20" s="104">
        <f t="shared" si="9"/>
        <v>1.6307802197802206</v>
      </c>
      <c r="M20" s="112"/>
      <c r="N20" s="112"/>
      <c r="O20" s="314"/>
      <c r="P20" s="314"/>
    </row>
    <row r="21" spans="1:46" ht="14.25" customHeight="1" x14ac:dyDescent="0.25">
      <c r="A21" s="1531"/>
      <c r="B21" s="1532" t="s">
        <v>212</v>
      </c>
      <c r="C21" s="97" t="s">
        <v>160</v>
      </c>
      <c r="D21" s="107">
        <v>5</v>
      </c>
      <c r="E21" s="108">
        <f t="shared" si="7"/>
        <v>8.628466771323918</v>
      </c>
      <c r="F21" s="276">
        <v>1</v>
      </c>
      <c r="G21" s="101">
        <f t="shared" si="0"/>
        <v>43.142333856619587</v>
      </c>
      <c r="H21" s="187">
        <f t="shared" si="1"/>
        <v>43.142333856619587</v>
      </c>
      <c r="I21" s="65">
        <f>VLOOKUP(B21,All_Ingredients!$A$1:$F$156,6,FALSE())</f>
        <v>1</v>
      </c>
      <c r="J21" s="101">
        <f>VLOOKUP(B21,All_Ingredients!$A$1:$J$156,10,FALSE())</f>
        <v>5</v>
      </c>
      <c r="K21" s="104">
        <f t="shared" si="8"/>
        <v>4.3142333856619586E-2</v>
      </c>
      <c r="L21" s="104">
        <f t="shared" si="9"/>
        <v>0.21571166928309793</v>
      </c>
      <c r="M21" s="112"/>
      <c r="N21" s="112"/>
      <c r="O21" s="314"/>
      <c r="P21" s="314"/>
    </row>
    <row r="22" spans="1:46" ht="14.25" customHeight="1" x14ac:dyDescent="0.25">
      <c r="A22" s="1531" t="s">
        <v>909</v>
      </c>
      <c r="B22" s="1532" t="s">
        <v>17</v>
      </c>
      <c r="C22" s="97" t="s">
        <v>14</v>
      </c>
      <c r="D22" s="107">
        <v>350</v>
      </c>
      <c r="E22" s="108">
        <f t="shared" si="7"/>
        <v>8.628466771323918</v>
      </c>
      <c r="F22" s="276">
        <v>0.95</v>
      </c>
      <c r="G22" s="101">
        <f t="shared" si="0"/>
        <v>3019.9633699633714</v>
      </c>
      <c r="H22" s="187">
        <f t="shared" si="1"/>
        <v>2868.9652014652029</v>
      </c>
      <c r="I22" s="65">
        <f>VLOOKUP(B22,All_Ingredients!$A$1:$F$156,6,FALSE())</f>
        <v>0.98</v>
      </c>
      <c r="J22" s="101">
        <f>VLOOKUP(B22,All_Ingredients!$A$1:$J$156,10,FALSE())</f>
        <v>3.5</v>
      </c>
      <c r="K22" s="104">
        <f t="shared" si="8"/>
        <v>2.9275155116991867</v>
      </c>
      <c r="L22" s="104">
        <f t="shared" si="9"/>
        <v>10.246304290947153</v>
      </c>
      <c r="M22" s="112"/>
      <c r="N22" s="112"/>
      <c r="O22" s="314"/>
      <c r="P22" s="314"/>
    </row>
    <row r="23" spans="1:46" ht="14.25" customHeight="1" x14ac:dyDescent="0.25">
      <c r="A23" s="1531"/>
      <c r="B23" s="1532" t="s">
        <v>203</v>
      </c>
      <c r="C23" s="97" t="s">
        <v>160</v>
      </c>
      <c r="D23" s="107">
        <v>100</v>
      </c>
      <c r="E23" s="108">
        <f t="shared" si="7"/>
        <v>8.628466771323918</v>
      </c>
      <c r="F23" s="276">
        <v>1</v>
      </c>
      <c r="G23" s="101">
        <f t="shared" si="0"/>
        <v>862.84667713239185</v>
      </c>
      <c r="H23" s="187">
        <f t="shared" si="1"/>
        <v>862.84667713239185</v>
      </c>
      <c r="I23" s="65">
        <f>VLOOKUP(B23,All_Ingredients!$A$1:$F$156,6,FALSE())</f>
        <v>1</v>
      </c>
      <c r="J23" s="101">
        <f>VLOOKUP(B23,All_Ingredients!$A$1:$J$156,10,FALSE())</f>
        <v>0</v>
      </c>
      <c r="K23" s="104">
        <f t="shared" si="8"/>
        <v>0.86284667713239183</v>
      </c>
      <c r="L23" s="104">
        <f t="shared" si="9"/>
        <v>0</v>
      </c>
      <c r="M23" s="112"/>
      <c r="N23" s="112"/>
      <c r="O23" s="314"/>
      <c r="P23" s="314"/>
      <c r="S23" s="252"/>
    </row>
    <row r="24" spans="1:46" ht="14.25" customHeight="1" x14ac:dyDescent="0.25">
      <c r="A24" s="1531"/>
      <c r="B24" s="1532" t="s">
        <v>187</v>
      </c>
      <c r="C24" s="97" t="s">
        <v>14</v>
      </c>
      <c r="D24" s="107">
        <v>20</v>
      </c>
      <c r="E24" s="108">
        <f t="shared" si="7"/>
        <v>8.628466771323918</v>
      </c>
      <c r="F24" s="276">
        <v>0.75</v>
      </c>
      <c r="G24" s="101">
        <f t="shared" si="0"/>
        <v>172.56933542647835</v>
      </c>
      <c r="H24" s="187">
        <f t="shared" si="1"/>
        <v>129.42700156985876</v>
      </c>
      <c r="I24" s="65">
        <f>VLOOKUP(B24,All_Ingredients!$A$1:$F$156,6,FALSE())</f>
        <v>0.9</v>
      </c>
      <c r="J24" s="101">
        <f>VLOOKUP(B24,All_Ingredients!$A$1:$J$156,10,FALSE())</f>
        <v>2.3199999999999998</v>
      </c>
      <c r="K24" s="104">
        <f t="shared" si="8"/>
        <v>0.14380777952206528</v>
      </c>
      <c r="L24" s="104">
        <f t="shared" si="9"/>
        <v>0.33363404849119144</v>
      </c>
      <c r="M24" s="112"/>
      <c r="N24" s="112"/>
      <c r="O24" s="314"/>
      <c r="P24" s="314"/>
      <c r="Z24" s="1073"/>
    </row>
    <row r="25" spans="1:46" ht="14.25" customHeight="1" x14ac:dyDescent="0.25">
      <c r="A25" s="1531"/>
      <c r="B25" s="1532" t="s">
        <v>152</v>
      </c>
      <c r="C25" s="97" t="s">
        <v>14</v>
      </c>
      <c r="D25" s="107">
        <v>30</v>
      </c>
      <c r="E25" s="108">
        <f t="shared" si="7"/>
        <v>8.628466771323918</v>
      </c>
      <c r="F25" s="276">
        <v>1</v>
      </c>
      <c r="G25" s="101">
        <f t="shared" si="0"/>
        <v>258.85400313971752</v>
      </c>
      <c r="H25" s="187">
        <f t="shared" si="1"/>
        <v>258.85400313971752</v>
      </c>
      <c r="I25" s="65">
        <f>VLOOKUP(B25,All_Ingredients!$A$1:$F$156,6,FALSE())</f>
        <v>1</v>
      </c>
      <c r="J25" s="101">
        <f>VLOOKUP(B25,All_Ingredients!$A$1:$J$156,10,FALSE())</f>
        <v>30</v>
      </c>
      <c r="K25" s="104">
        <f t="shared" si="8"/>
        <v>0.25885400313971751</v>
      </c>
      <c r="L25" s="104">
        <f t="shared" si="9"/>
        <v>7.7656200941915259</v>
      </c>
      <c r="M25" s="112"/>
      <c r="N25" s="112"/>
      <c r="R25" s="1640" t="s">
        <v>467</v>
      </c>
      <c r="S25" s="1633"/>
      <c r="T25" s="1633"/>
      <c r="U25" s="1633"/>
      <c r="V25" s="997"/>
      <c r="Z25" s="122" t="s">
        <v>252</v>
      </c>
      <c r="AA25" s="123">
        <v>1</v>
      </c>
      <c r="AB25" s="122" t="s">
        <v>249</v>
      </c>
      <c r="AC25" s="124">
        <f>(AA25*(4/3))*AF30+(AA30*(AB28/R1))</f>
        <v>3.0782394214170991E-2</v>
      </c>
    </row>
    <row r="26" spans="1:46" ht="14.25" customHeight="1" x14ac:dyDescent="0.25">
      <c r="A26" s="1531"/>
      <c r="B26" s="1532" t="s">
        <v>163</v>
      </c>
      <c r="C26" s="97" t="s">
        <v>14</v>
      </c>
      <c r="D26" s="97">
        <v>100</v>
      </c>
      <c r="E26" s="108">
        <f t="shared" si="7"/>
        <v>8.628466771323918</v>
      </c>
      <c r="F26" s="276">
        <v>1</v>
      </c>
      <c r="G26" s="101">
        <f t="shared" si="0"/>
        <v>862.84667713239185</v>
      </c>
      <c r="H26" s="187">
        <f t="shared" si="1"/>
        <v>862.84667713239185</v>
      </c>
      <c r="I26" s="65">
        <f>VLOOKUP(B26,All_Ingredients!$A$1:$F$156,6,FALSE())</f>
        <v>1</v>
      </c>
      <c r="J26" s="101">
        <f>VLOOKUP(B26,All_Ingredients!$A$1:$J$156,10,FALSE())</f>
        <v>6.6959999999999997</v>
      </c>
      <c r="K26" s="104">
        <f t="shared" si="8"/>
        <v>0.86284667713239183</v>
      </c>
      <c r="L26" s="104">
        <f t="shared" si="9"/>
        <v>5.7776213500784959</v>
      </c>
      <c r="M26" s="112"/>
      <c r="N26" s="112"/>
      <c r="R26" s="1638" t="s">
        <v>253</v>
      </c>
      <c r="S26" s="1639"/>
      <c r="T26" s="1639"/>
      <c r="U26" s="1639"/>
      <c r="V26" s="997"/>
    </row>
    <row r="27" spans="1:46" ht="14.25" customHeight="1" thickBot="1" x14ac:dyDescent="0.3">
      <c r="A27" s="1531"/>
      <c r="B27" s="1532" t="s">
        <v>837</v>
      </c>
      <c r="C27" s="97" t="s">
        <v>14</v>
      </c>
      <c r="D27" s="97">
        <v>0.5</v>
      </c>
      <c r="E27" s="108">
        <f t="shared" si="7"/>
        <v>8.628466771323918</v>
      </c>
      <c r="F27" s="276">
        <v>1</v>
      </c>
      <c r="G27" s="101">
        <f t="shared" si="0"/>
        <v>4.314233385661959</v>
      </c>
      <c r="H27" s="187">
        <f t="shared" si="1"/>
        <v>4.314233385661959</v>
      </c>
      <c r="I27" s="65">
        <f>VLOOKUP(B27,All_Ingredients!$A$1:$F$156,6,FALSE())</f>
        <v>1</v>
      </c>
      <c r="J27" s="101">
        <f>VLOOKUP(B27,All_Ingredients!$A$1:$J$156,10,FALSE())</f>
        <v>22.5</v>
      </c>
      <c r="K27" s="104">
        <f t="shared" si="8"/>
        <v>4.3142333856619587E-3</v>
      </c>
      <c r="L27" s="104">
        <f t="shared" si="9"/>
        <v>9.7070251177394068E-2</v>
      </c>
      <c r="M27" s="112"/>
      <c r="N27" s="112"/>
      <c r="R27" s="126" t="s">
        <v>254</v>
      </c>
      <c r="S27" s="127" t="s">
        <v>255</v>
      </c>
      <c r="T27" s="127" t="s">
        <v>256</v>
      </c>
      <c r="U27" s="127" t="s">
        <v>257</v>
      </c>
      <c r="V27" s="127" t="s">
        <v>772</v>
      </c>
      <c r="W27" s="127" t="s">
        <v>779</v>
      </c>
      <c r="Z27" s="122" t="s">
        <v>258</v>
      </c>
      <c r="AA27" s="1031" t="s">
        <v>312</v>
      </c>
      <c r="AB27" s="128" t="s">
        <v>259</v>
      </c>
      <c r="AC27" s="128" t="s">
        <v>260</v>
      </c>
      <c r="AD27" s="128" t="s">
        <v>261</v>
      </c>
      <c r="AE27" s="1032" t="s">
        <v>779</v>
      </c>
      <c r="AF27" s="128" t="s">
        <v>262</v>
      </c>
    </row>
    <row r="28" spans="1:46" ht="14.25" customHeight="1" thickBot="1" x14ac:dyDescent="0.3">
      <c r="B28" s="1533"/>
      <c r="E28" s="84"/>
      <c r="F28" s="498"/>
      <c r="L28" s="274"/>
      <c r="R28" s="129" t="s">
        <v>263</v>
      </c>
      <c r="S28" s="690">
        <f>U28*S40</f>
        <v>11146.153846153844</v>
      </c>
      <c r="T28" s="690">
        <f>U28*U40</f>
        <v>3343.8461538461574</v>
      </c>
      <c r="U28" s="696">
        <f>$Z$1</f>
        <v>14490</v>
      </c>
      <c r="V28" s="130">
        <f>SUM(AP5:AP13)</f>
        <v>324.42503259452405</v>
      </c>
      <c r="W28" s="130">
        <f>H37</f>
        <v>7.2800000000000011</v>
      </c>
      <c r="Z28" s="132"/>
      <c r="AA28" s="1034"/>
      <c r="AB28" s="133">
        <f>AA25*$S$40</f>
        <v>0.76923076923076905</v>
      </c>
      <c r="AC28" s="133">
        <f>AA25*$U$40</f>
        <v>0.230769230769231</v>
      </c>
      <c r="AD28" s="134">
        <f>AA25*(1/3)</f>
        <v>0.33333333333333331</v>
      </c>
      <c r="AE28" s="1034"/>
      <c r="AF28" s="135">
        <f>SUM(AB28:AD28)</f>
        <v>1.3333333333333333</v>
      </c>
    </row>
    <row r="29" spans="1:46" ht="14.25" customHeight="1" thickBot="1" x14ac:dyDescent="0.3">
      <c r="N29" s="275"/>
      <c r="R29" s="129" t="s">
        <v>264</v>
      </c>
      <c r="S29" s="136"/>
      <c r="T29" s="130">
        <f>U28*(1/3)</f>
        <v>4830</v>
      </c>
      <c r="U29" s="690">
        <f>T29</f>
        <v>4830</v>
      </c>
      <c r="V29" s="130"/>
      <c r="W29" s="130"/>
      <c r="Z29" s="132"/>
      <c r="AA29" s="1038"/>
      <c r="AB29" s="137">
        <f>AB28/$AF$28</f>
        <v>0.57692307692307687</v>
      </c>
      <c r="AC29" s="137">
        <f>AC28/$AF$28</f>
        <v>0.17307692307692327</v>
      </c>
      <c r="AD29" s="137">
        <f>AD28/$AF$28</f>
        <v>0.25</v>
      </c>
      <c r="AE29" s="1038"/>
      <c r="AF29" s="137">
        <f>AF28/$AF$28</f>
        <v>1</v>
      </c>
    </row>
    <row r="30" spans="1:46" ht="14.25" customHeight="1" thickBot="1" x14ac:dyDescent="0.3">
      <c r="R30" s="129" t="s">
        <v>265</v>
      </c>
      <c r="S30" s="1162">
        <f>U30*S40</f>
        <v>384.61538461538453</v>
      </c>
      <c r="T30" s="690">
        <f>(U30*U40)+(U30*(1/3))</f>
        <v>282.05128205128216</v>
      </c>
      <c r="U30" s="696">
        <f>$AB$1</f>
        <v>500</v>
      </c>
      <c r="V30" s="989"/>
      <c r="W30" s="989"/>
      <c r="Z30" s="122" t="s">
        <v>266</v>
      </c>
      <c r="AA30" s="1042">
        <f>V35/(S32/R1)</f>
        <v>6.0634891425908677E-4</v>
      </c>
      <c r="AB30" s="138">
        <f>S35/(S32)</f>
        <v>3.3701221915648408E-2</v>
      </c>
      <c r="AC30" s="139">
        <f>T35/T32</f>
        <v>7.1515519079722581E-3</v>
      </c>
      <c r="AD30" s="139">
        <f>T35/T32</f>
        <v>7.1515519079722581E-3</v>
      </c>
      <c r="AE30" s="1045">
        <f>W35/U32</f>
        <v>2.5216811207471653E-5</v>
      </c>
      <c r="AF30" s="1047">
        <f>SUMPRODUCT(AB30:AD30,AB29:AD29)+AE30</f>
        <v>2.2493886031300585E-2</v>
      </c>
    </row>
    <row r="31" spans="1:46" ht="14.25" customHeight="1" thickBot="1" x14ac:dyDescent="0.3">
      <c r="R31" s="129" t="s">
        <v>267</v>
      </c>
      <c r="S31" s="136"/>
      <c r="T31" s="130"/>
      <c r="U31" s="130"/>
      <c r="V31" s="130"/>
      <c r="W31" s="130"/>
    </row>
    <row r="32" spans="1:46" ht="14.25" customHeight="1" thickBot="1" x14ac:dyDescent="0.3">
      <c r="R32" s="141" t="s">
        <v>257</v>
      </c>
      <c r="S32" s="130">
        <f>SUM(S28:S30)</f>
        <v>11530.769230769229</v>
      </c>
      <c r="T32" s="130">
        <f>SUM(T28:T30)</f>
        <v>8455.8974358974392</v>
      </c>
      <c r="U32" s="130">
        <f>SUM(S32:T32)</f>
        <v>19986.666666666668</v>
      </c>
      <c r="V32" s="130"/>
      <c r="W32" s="130">
        <f>SUM(W28:W30)</f>
        <v>7.2800000000000011</v>
      </c>
    </row>
    <row r="33" spans="2:23" ht="21.75" customHeight="1" thickBot="1" x14ac:dyDescent="0.3">
      <c r="R33" s="1535" t="s">
        <v>268</v>
      </c>
      <c r="S33" s="136"/>
      <c r="T33" s="136"/>
      <c r="U33" s="136"/>
      <c r="V33" s="136"/>
      <c r="W33" s="136"/>
    </row>
    <row r="34" spans="2:23" ht="14.25" customHeight="1" thickBot="1" x14ac:dyDescent="0.3">
      <c r="R34" s="143" t="s">
        <v>269</v>
      </c>
      <c r="S34" s="136"/>
      <c r="T34" s="130"/>
      <c r="U34" s="136"/>
      <c r="V34" s="136"/>
      <c r="W34" s="136"/>
    </row>
    <row r="35" spans="2:23" ht="16.5" thickBot="1" x14ac:dyDescent="0.3">
      <c r="B35" s="1641" t="s">
        <v>672</v>
      </c>
      <c r="C35" s="1641"/>
      <c r="D35" s="1641"/>
      <c r="E35" s="1641"/>
      <c r="F35" s="1641"/>
      <c r="G35" s="803"/>
      <c r="H35" s="803"/>
      <c r="I35" s="803"/>
      <c r="J35" s="803"/>
      <c r="K35" s="803"/>
      <c r="L35" s="803"/>
      <c r="R35" s="144" t="s">
        <v>249</v>
      </c>
      <c r="S35" s="990">
        <f>$L$5</f>
        <v>388.60101270428424</v>
      </c>
      <c r="T35" s="990">
        <f>SUM(L6:L27)</f>
        <v>60.472789441310056</v>
      </c>
      <c r="U35" s="1049">
        <f>S35+T35+V35+W35</f>
        <v>461.42808927042313</v>
      </c>
      <c r="V35" s="990">
        <f>SUM(AT6:AT19)</f>
        <v>11.850287124828824</v>
      </c>
      <c r="W35" s="990">
        <f>L37</f>
        <v>0.50400000000000011</v>
      </c>
    </row>
    <row r="36" spans="2:23" ht="48.75" customHeight="1" x14ac:dyDescent="0.25">
      <c r="B36" s="776" t="s">
        <v>241</v>
      </c>
      <c r="C36" s="776" t="s">
        <v>317</v>
      </c>
      <c r="D36" s="778" t="s">
        <v>622</v>
      </c>
      <c r="E36" s="775" t="s">
        <v>623</v>
      </c>
      <c r="F36" s="778" t="s">
        <v>624</v>
      </c>
      <c r="G36" s="797"/>
      <c r="H36" s="778" t="s">
        <v>624</v>
      </c>
      <c r="I36" s="778" t="s">
        <v>246</v>
      </c>
      <c r="J36" s="778" t="s">
        <v>247</v>
      </c>
      <c r="K36" s="778" t="s">
        <v>248</v>
      </c>
      <c r="L36" s="778" t="s">
        <v>249</v>
      </c>
    </row>
    <row r="37" spans="2:23" ht="14.25" customHeight="1" x14ac:dyDescent="0.25">
      <c r="B37" s="772" t="s">
        <v>686</v>
      </c>
      <c r="C37" s="773" t="s">
        <v>14</v>
      </c>
      <c r="D37" s="774">
        <v>7.0000000000000007E-2</v>
      </c>
      <c r="E37" s="772">
        <f>$AD$1</f>
        <v>104</v>
      </c>
      <c r="F37" s="772">
        <f>D37*E37</f>
        <v>7.2800000000000011</v>
      </c>
      <c r="G37" s="796"/>
      <c r="H37" s="772">
        <f>F37</f>
        <v>7.2800000000000011</v>
      </c>
      <c r="I37" s="772">
        <f>VLOOKUP(B37,All_Ingredients!$A$1:$F$156,6,FALSE())</f>
        <v>0.65</v>
      </c>
      <c r="J37" s="772">
        <f>VLOOKUP(B37,All_Ingredients!$A$1:$J$156,10,FALSE())</f>
        <v>45</v>
      </c>
      <c r="K37" s="772">
        <f t="shared" ref="K37" si="12">(H37/I37)/1000</f>
        <v>1.1200000000000002E-2</v>
      </c>
      <c r="L37" s="772">
        <f t="shared" ref="L37" si="13">K37*J37</f>
        <v>0.50400000000000011</v>
      </c>
      <c r="R37" s="298"/>
      <c r="S37" s="314"/>
    </row>
    <row r="38" spans="2:23" ht="14.25" customHeight="1" x14ac:dyDescent="0.25">
      <c r="R38" s="298"/>
      <c r="S38" s="314"/>
    </row>
    <row r="39" spans="2:23" ht="14.25" customHeight="1" x14ac:dyDescent="0.25">
      <c r="U39" s="314"/>
    </row>
    <row r="40" spans="2:23" ht="16.5" customHeight="1" x14ac:dyDescent="0.25">
      <c r="R40" s="146" t="s">
        <v>270</v>
      </c>
      <c r="S40" s="147">
        <v>0.76923076923076905</v>
      </c>
      <c r="T40" s="146" t="s">
        <v>271</v>
      </c>
      <c r="U40" s="148">
        <v>0.230769230769231</v>
      </c>
      <c r="V40" s="149">
        <f>S40+U40</f>
        <v>1</v>
      </c>
    </row>
    <row r="41" spans="2:23" ht="14.25" customHeight="1" x14ac:dyDescent="0.25">
      <c r="U41" s="150"/>
    </row>
    <row r="43" spans="2:23" ht="15.75" customHeight="1" thickBot="1" x14ac:dyDescent="0.3">
      <c r="Q43" s="151" t="s">
        <v>272</v>
      </c>
      <c r="R43" s="151" t="s">
        <v>273</v>
      </c>
      <c r="S43" s="151" t="s">
        <v>274</v>
      </c>
      <c r="T43" s="151" t="s">
        <v>275</v>
      </c>
      <c r="U43" s="151" t="s">
        <v>276</v>
      </c>
      <c r="V43" s="151" t="s">
        <v>277</v>
      </c>
      <c r="W43" s="151" t="s">
        <v>278</v>
      </c>
    </row>
    <row r="44" spans="2:23" ht="14.25" customHeight="1" thickBot="1" x14ac:dyDescent="0.3">
      <c r="Q44" s="1182">
        <v>17728</v>
      </c>
      <c r="R44" s="154">
        <f>D51</f>
        <v>10000</v>
      </c>
      <c r="S44" s="1184">
        <v>0.40909090909090912</v>
      </c>
      <c r="T44" s="1184">
        <v>0.59090909090909094</v>
      </c>
      <c r="U44" s="220">
        <f>R44*S44</f>
        <v>4090.909090909091</v>
      </c>
      <c r="V44" s="157">
        <f>R44*T44</f>
        <v>5909.090909090909</v>
      </c>
      <c r="W44" s="157">
        <f>Q44-U44</f>
        <v>13637.090909090908</v>
      </c>
    </row>
    <row r="50" spans="1:10" ht="14.25" customHeight="1" x14ac:dyDescent="0.25">
      <c r="B50" s="1536"/>
      <c r="C50" s="126" t="s">
        <v>233</v>
      </c>
      <c r="D50" s="126" t="s">
        <v>279</v>
      </c>
      <c r="F50" s="84"/>
      <c r="G50" s="126" t="s">
        <v>280</v>
      </c>
      <c r="H50" s="126" t="s">
        <v>233</v>
      </c>
      <c r="I50" s="126" t="s">
        <v>281</v>
      </c>
      <c r="J50" s="126" t="s">
        <v>282</v>
      </c>
    </row>
    <row r="51" spans="1:10" ht="14.25" customHeight="1" x14ac:dyDescent="0.25">
      <c r="B51" s="161" t="s">
        <v>283</v>
      </c>
      <c r="C51" s="162">
        <f>10/$K$1</f>
        <v>10.204081632653061</v>
      </c>
      <c r="D51" s="163">
        <f>$C$1*10</f>
        <v>10000</v>
      </c>
      <c r="E51" s="164"/>
      <c r="F51" s="84"/>
      <c r="G51" s="161" t="s">
        <v>283</v>
      </c>
      <c r="H51" s="254">
        <f>I51/$D$5</f>
        <v>10</v>
      </c>
      <c r="I51" s="162">
        <f>J51/$R$1</f>
        <v>23113.713405238828</v>
      </c>
      <c r="J51" s="162">
        <f>$W$44</f>
        <v>13637.090909090908</v>
      </c>
    </row>
    <row r="52" spans="1:10" ht="14.25" customHeight="1" x14ac:dyDescent="0.25">
      <c r="B52" s="209" t="s">
        <v>262</v>
      </c>
      <c r="C52" s="210">
        <f>$I$1</f>
        <v>8.628466771323918</v>
      </c>
      <c r="D52" s="211">
        <f>$E$1</f>
        <v>8455.8974358974392</v>
      </c>
      <c r="E52" s="84"/>
      <c r="F52" s="84"/>
      <c r="G52" s="129" t="s">
        <v>262</v>
      </c>
      <c r="H52" s="190">
        <f>I52/$D$5</f>
        <v>8.4554464787519006</v>
      </c>
      <c r="I52" s="157">
        <f>J52/$R$1</f>
        <v>19543.676662320726</v>
      </c>
      <c r="J52" s="165">
        <f>$S$32</f>
        <v>11530.769230769229</v>
      </c>
    </row>
    <row r="53" spans="1:10" ht="14.25" customHeight="1" x14ac:dyDescent="0.25">
      <c r="B53" s="209" t="s">
        <v>284</v>
      </c>
      <c r="C53" s="212">
        <f>MIN(C52, C51)</f>
        <v>8.628466771323918</v>
      </c>
      <c r="D53" s="211">
        <f>(C53*$K$1)*$C$1</f>
        <v>8455.8974358974392</v>
      </c>
      <c r="E53" s="84"/>
      <c r="F53" s="84"/>
      <c r="G53" s="129" t="s">
        <v>284</v>
      </c>
      <c r="H53" s="168">
        <f>MIN(H52,H51)</f>
        <v>8.4554464787519006</v>
      </c>
      <c r="I53" s="157">
        <f>J53/$R$1</f>
        <v>19543.676662320726</v>
      </c>
      <c r="J53" s="157">
        <f>MIN(J52,J51)</f>
        <v>11530.769230769229</v>
      </c>
    </row>
    <row r="54" spans="1:10" ht="14.25" customHeight="1" x14ac:dyDescent="0.25">
      <c r="B54" s="209" t="s">
        <v>285</v>
      </c>
      <c r="C54" s="212">
        <f>MIN(MAX(C52-C53,0),C51)</f>
        <v>0</v>
      </c>
      <c r="D54" s="211">
        <f>(C54*$K$1)*$C$1</f>
        <v>0</v>
      </c>
      <c r="E54" s="84"/>
      <c r="F54" s="84"/>
      <c r="G54" s="129" t="s">
        <v>285</v>
      </c>
      <c r="H54" s="168">
        <f>MIN(MAX(H52-H53),H51)</f>
        <v>0</v>
      </c>
      <c r="I54" s="157">
        <f>J54/$R$1</f>
        <v>0</v>
      </c>
      <c r="J54" s="157">
        <f>MIN(MAX(J52-J53),J51)</f>
        <v>0</v>
      </c>
    </row>
    <row r="55" spans="1:10" ht="14.25" customHeight="1" x14ac:dyDescent="0.25">
      <c r="B55" s="209" t="s">
        <v>286</v>
      </c>
      <c r="C55" s="212">
        <f>MIN(MAX(C52-C53-C54,0),C51)</f>
        <v>0</v>
      </c>
      <c r="D55" s="211">
        <f>(C55*$K$1)*$C$1</f>
        <v>0</v>
      </c>
      <c r="E55" s="84"/>
      <c r="F55" s="84"/>
      <c r="G55" s="126" t="s">
        <v>286</v>
      </c>
      <c r="H55" s="168">
        <f>MIN(MAX(H52-H53-H54),H51)</f>
        <v>0</v>
      </c>
      <c r="I55" s="157">
        <f>J55/$R$1</f>
        <v>0</v>
      </c>
      <c r="J55" s="157">
        <f>MIN(MAX(J52-J53-J54),J51)</f>
        <v>0</v>
      </c>
    </row>
    <row r="62" spans="1:10" ht="18" customHeight="1" x14ac:dyDescent="0.25">
      <c r="A62" s="845"/>
      <c r="B62" s="1636" t="str">
        <f>"دجاج سنغافورى  1 / " &amp; COUNTIF($C$53:$C$55, "&gt;0")</f>
        <v>دجاج سنغافورى  1 / 1</v>
      </c>
      <c r="C62" s="1637"/>
      <c r="D62" s="1637"/>
      <c r="E62" s="1637"/>
      <c r="F62" s="1637"/>
      <c r="G62" s="1637"/>
      <c r="H62" s="1637"/>
    </row>
    <row r="63" spans="1:10" ht="18" customHeight="1" x14ac:dyDescent="0.25">
      <c r="A63" s="845"/>
      <c r="B63" s="1634" t="str">
        <f>"Singapore Chicken  1 / " &amp; COUNTIF($C$53:$C$55, "&gt;0")</f>
        <v>Singapore Chicken  1 / 1</v>
      </c>
      <c r="C63" s="1635"/>
      <c r="D63" s="1635"/>
      <c r="E63" s="1635"/>
      <c r="F63" s="1635"/>
      <c r="G63" s="1635"/>
      <c r="H63" s="1635"/>
    </row>
    <row r="64" spans="1:10" ht="49.5" customHeight="1" x14ac:dyDescent="0.2">
      <c r="A64" s="1523"/>
      <c r="B64" s="550" t="s">
        <v>241</v>
      </c>
      <c r="C64" s="222" t="s">
        <v>242</v>
      </c>
      <c r="D64" s="223" t="s">
        <v>231</v>
      </c>
      <c r="E64" s="197" t="s">
        <v>234</v>
      </c>
      <c r="F64" s="197" t="s">
        <v>243</v>
      </c>
      <c r="G64" s="223" t="s">
        <v>244</v>
      </c>
      <c r="H64" s="197" t="s">
        <v>245</v>
      </c>
    </row>
    <row r="65" spans="1:8" ht="14.25" customHeight="1" x14ac:dyDescent="0.25">
      <c r="A65" s="1531" t="s">
        <v>221</v>
      </c>
      <c r="B65" s="1532" t="str">
        <f t="shared" ref="B65:D80" si="14">B5</f>
        <v>Chicken - دجاج</v>
      </c>
      <c r="C65" s="1537" t="str">
        <f t="shared" si="14"/>
        <v>gm</v>
      </c>
      <c r="D65" s="1538">
        <f t="shared" si="14"/>
        <v>2311.3713405238827</v>
      </c>
      <c r="E65" s="108">
        <f>H53</f>
        <v>8.4554464787519006</v>
      </c>
      <c r="F65" s="276">
        <f t="shared" ref="F65:F87" si="15">F5</f>
        <v>1</v>
      </c>
      <c r="G65" s="101">
        <f t="shared" ref="G65:G87" si="16">D65*E65</f>
        <v>19543.676662320726</v>
      </c>
      <c r="H65" s="187">
        <f t="shared" ref="H65:H87" si="17">G65*F65</f>
        <v>19543.676662320726</v>
      </c>
    </row>
    <row r="66" spans="1:8" ht="14.25" customHeight="1" x14ac:dyDescent="0.25">
      <c r="A66" s="1531" t="s">
        <v>94</v>
      </c>
      <c r="B66" s="1532" t="str">
        <f t="shared" si="14"/>
        <v>Curry Powder - كاري بودرة</v>
      </c>
      <c r="C66" s="1537" t="str">
        <f t="shared" si="14"/>
        <v>gm</v>
      </c>
      <c r="D66" s="1537">
        <f t="shared" si="14"/>
        <v>6</v>
      </c>
      <c r="E66" s="403">
        <f>$C$53</f>
        <v>8.628466771323918</v>
      </c>
      <c r="F66" s="276">
        <f t="shared" si="15"/>
        <v>0.95</v>
      </c>
      <c r="G66" s="101">
        <f t="shared" si="16"/>
        <v>51.770800627943508</v>
      </c>
      <c r="H66" s="187">
        <f t="shared" si="17"/>
        <v>49.182260596546328</v>
      </c>
    </row>
    <row r="67" spans="1:8" ht="14.25" customHeight="1" x14ac:dyDescent="0.25">
      <c r="A67" s="1531" t="s">
        <v>94</v>
      </c>
      <c r="B67" s="1532" t="str">
        <f t="shared" si="14"/>
        <v>Salt - ملح</v>
      </c>
      <c r="C67" s="1537" t="str">
        <f t="shared" si="14"/>
        <v>gm</v>
      </c>
      <c r="D67" s="1537">
        <f t="shared" si="14"/>
        <v>11</v>
      </c>
      <c r="E67" s="403">
        <f t="shared" ref="E67:E87" si="18">$C$53</f>
        <v>8.628466771323918</v>
      </c>
      <c r="F67" s="276">
        <f t="shared" si="15"/>
        <v>0.75</v>
      </c>
      <c r="G67" s="101">
        <f t="shared" si="16"/>
        <v>94.913134484563102</v>
      </c>
      <c r="H67" s="187">
        <f t="shared" si="17"/>
        <v>71.184850863422326</v>
      </c>
    </row>
    <row r="68" spans="1:8" ht="14.25" customHeight="1" x14ac:dyDescent="0.25">
      <c r="A68" s="1531" t="s">
        <v>153</v>
      </c>
      <c r="B68" s="1532" t="str">
        <f t="shared" si="14"/>
        <v>Coconut Milk - حليب جوز الهند</v>
      </c>
      <c r="C68" s="1537" t="str">
        <f t="shared" si="14"/>
        <v>ml</v>
      </c>
      <c r="D68" s="1537">
        <f t="shared" si="14"/>
        <v>250</v>
      </c>
      <c r="E68" s="403">
        <f t="shared" si="18"/>
        <v>8.628466771323918</v>
      </c>
      <c r="F68" s="276">
        <f t="shared" si="15"/>
        <v>1</v>
      </c>
      <c r="G68" s="101">
        <f t="shared" si="16"/>
        <v>2157.1166928309794</v>
      </c>
      <c r="H68" s="187">
        <f t="shared" si="17"/>
        <v>2157.1166928309794</v>
      </c>
    </row>
    <row r="69" spans="1:8" ht="14.25" customHeight="1" x14ac:dyDescent="0.25">
      <c r="A69" s="1531" t="s">
        <v>55</v>
      </c>
      <c r="B69" s="1532" t="str">
        <f t="shared" si="14"/>
        <v xml:space="preserve">Lemon Grass - ليمون جراس </v>
      </c>
      <c r="C69" s="1537" t="str">
        <f t="shared" si="14"/>
        <v>gm</v>
      </c>
      <c r="D69" s="1537">
        <f t="shared" si="14"/>
        <v>5</v>
      </c>
      <c r="E69" s="403">
        <f t="shared" si="18"/>
        <v>8.628466771323918</v>
      </c>
      <c r="F69" s="276">
        <f t="shared" si="15"/>
        <v>0.9</v>
      </c>
      <c r="G69" s="101">
        <f t="shared" si="16"/>
        <v>43.142333856619587</v>
      </c>
      <c r="H69" s="187">
        <f t="shared" si="17"/>
        <v>38.828100470957629</v>
      </c>
    </row>
    <row r="70" spans="1:8" ht="14.25" customHeight="1" x14ac:dyDescent="0.25">
      <c r="A70" s="1531" t="s">
        <v>55</v>
      </c>
      <c r="B70" s="1532" t="str">
        <f t="shared" si="14"/>
        <v xml:space="preserve">Kaffir Lime Leaves - ورق الليمون  </v>
      </c>
      <c r="C70" s="1537" t="str">
        <f t="shared" si="14"/>
        <v>gm</v>
      </c>
      <c r="D70" s="1537">
        <f t="shared" si="14"/>
        <v>3</v>
      </c>
      <c r="E70" s="403">
        <f t="shared" si="18"/>
        <v>8.628466771323918</v>
      </c>
      <c r="F70" s="276">
        <f t="shared" si="15"/>
        <v>0.75</v>
      </c>
      <c r="G70" s="101">
        <f t="shared" si="16"/>
        <v>25.885400313971754</v>
      </c>
      <c r="H70" s="187">
        <f t="shared" si="17"/>
        <v>19.414050235478815</v>
      </c>
    </row>
    <row r="71" spans="1:8" ht="14.25" customHeight="1" x14ac:dyDescent="0.25">
      <c r="A71" s="1531" t="s">
        <v>13</v>
      </c>
      <c r="B71" s="1532" t="str">
        <f t="shared" si="14"/>
        <v>Green Chilli Pepper - فلفل أخضر حار</v>
      </c>
      <c r="C71" s="1537" t="str">
        <f t="shared" si="14"/>
        <v>gm</v>
      </c>
      <c r="D71" s="1537">
        <f t="shared" si="14"/>
        <v>2</v>
      </c>
      <c r="E71" s="403">
        <f t="shared" si="18"/>
        <v>8.628466771323918</v>
      </c>
      <c r="F71" s="276">
        <f t="shared" si="15"/>
        <v>0.75</v>
      </c>
      <c r="G71" s="101">
        <f t="shared" si="16"/>
        <v>17.256933542647836</v>
      </c>
      <c r="H71" s="187">
        <f t="shared" si="17"/>
        <v>12.942700156985877</v>
      </c>
    </row>
    <row r="72" spans="1:8" ht="14.25" customHeight="1" x14ac:dyDescent="0.25">
      <c r="A72" s="1531" t="s">
        <v>61</v>
      </c>
      <c r="B72" s="1532" t="str">
        <f t="shared" si="14"/>
        <v>Coriander Leaves - كزبرة خضراء</v>
      </c>
      <c r="C72" s="1537" t="str">
        <f t="shared" si="14"/>
        <v>gm</v>
      </c>
      <c r="D72" s="1537">
        <f t="shared" si="14"/>
        <v>10</v>
      </c>
      <c r="E72" s="403">
        <f t="shared" si="18"/>
        <v>8.628466771323918</v>
      </c>
      <c r="F72" s="276">
        <f t="shared" si="15"/>
        <v>0.9</v>
      </c>
      <c r="G72" s="101">
        <f t="shared" si="16"/>
        <v>86.284667713239173</v>
      </c>
      <c r="H72" s="187">
        <f t="shared" si="17"/>
        <v>77.656200941915259</v>
      </c>
    </row>
    <row r="73" spans="1:8" ht="14.25" customHeight="1" x14ac:dyDescent="0.25">
      <c r="A73" s="1531" t="s">
        <v>94</v>
      </c>
      <c r="B73" s="1532" t="str">
        <f t="shared" si="14"/>
        <v>Cumin Powder - كمون مطحون</v>
      </c>
      <c r="C73" s="1537" t="str">
        <f t="shared" si="14"/>
        <v>gm</v>
      </c>
      <c r="D73" s="1537">
        <f t="shared" si="14"/>
        <v>5</v>
      </c>
      <c r="E73" s="403">
        <f t="shared" si="18"/>
        <v>8.628466771323918</v>
      </c>
      <c r="F73" s="276">
        <f t="shared" si="15"/>
        <v>0.75</v>
      </c>
      <c r="G73" s="101">
        <f t="shared" si="16"/>
        <v>43.142333856619587</v>
      </c>
      <c r="H73" s="187">
        <f t="shared" si="17"/>
        <v>32.35675039246469</v>
      </c>
    </row>
    <row r="74" spans="1:8" ht="14.25" customHeight="1" x14ac:dyDescent="0.25">
      <c r="A74" s="1531" t="s">
        <v>94</v>
      </c>
      <c r="B74" s="1532" t="str">
        <f t="shared" si="14"/>
        <v>Coriander Powder - كزبرة مطحونة</v>
      </c>
      <c r="C74" s="1537" t="str">
        <f t="shared" si="14"/>
        <v>gm</v>
      </c>
      <c r="D74" s="1537">
        <f t="shared" si="14"/>
        <v>5</v>
      </c>
      <c r="E74" s="403">
        <f t="shared" si="18"/>
        <v>8.628466771323918</v>
      </c>
      <c r="F74" s="276">
        <f t="shared" si="15"/>
        <v>0.75</v>
      </c>
      <c r="G74" s="101">
        <f t="shared" si="16"/>
        <v>43.142333856619587</v>
      </c>
      <c r="H74" s="187">
        <f t="shared" si="17"/>
        <v>32.35675039246469</v>
      </c>
    </row>
    <row r="75" spans="1:8" ht="14.25" customHeight="1" x14ac:dyDescent="0.25">
      <c r="A75" s="1531" t="s">
        <v>94</v>
      </c>
      <c r="B75" s="1532" t="str">
        <f t="shared" si="14"/>
        <v>Black Pepper Powder - فلفل أسود مطحون</v>
      </c>
      <c r="C75" s="1537" t="str">
        <f t="shared" si="14"/>
        <v>gm</v>
      </c>
      <c r="D75" s="1537">
        <f t="shared" si="14"/>
        <v>2</v>
      </c>
      <c r="E75" s="403">
        <f t="shared" si="18"/>
        <v>8.628466771323918</v>
      </c>
      <c r="F75" s="276">
        <f t="shared" si="15"/>
        <v>0.75</v>
      </c>
      <c r="G75" s="101">
        <f t="shared" si="16"/>
        <v>17.256933542647836</v>
      </c>
      <c r="H75" s="187">
        <f t="shared" si="17"/>
        <v>12.942700156985877</v>
      </c>
    </row>
    <row r="76" spans="1:8" ht="14.25" customHeight="1" x14ac:dyDescent="0.25">
      <c r="A76" s="1531" t="s">
        <v>190</v>
      </c>
      <c r="B76" s="1532" t="str">
        <f t="shared" si="14"/>
        <v>Tomato Ketchup - كاتشب طماطم</v>
      </c>
      <c r="C76" s="1537" t="str">
        <f t="shared" si="14"/>
        <v>ml</v>
      </c>
      <c r="D76" s="1537">
        <f t="shared" si="14"/>
        <v>20</v>
      </c>
      <c r="E76" s="403">
        <f t="shared" si="18"/>
        <v>8.628466771323918</v>
      </c>
      <c r="F76" s="276">
        <f t="shared" si="15"/>
        <v>0.9</v>
      </c>
      <c r="G76" s="101">
        <f t="shared" si="16"/>
        <v>172.56933542647835</v>
      </c>
      <c r="H76" s="187">
        <f t="shared" si="17"/>
        <v>155.31240188383052</v>
      </c>
    </row>
    <row r="77" spans="1:8" ht="14.25" customHeight="1" x14ac:dyDescent="0.25">
      <c r="A77" s="1531" t="s">
        <v>180</v>
      </c>
      <c r="B77" s="1532" t="str">
        <f t="shared" si="14"/>
        <v>Brown Sugar - سكر بني</v>
      </c>
      <c r="C77" s="1537" t="str">
        <f t="shared" si="14"/>
        <v>gm</v>
      </c>
      <c r="D77" s="1537">
        <f t="shared" si="14"/>
        <v>10</v>
      </c>
      <c r="E77" s="403">
        <f t="shared" si="18"/>
        <v>8.628466771323918</v>
      </c>
      <c r="F77" s="276">
        <f t="shared" si="15"/>
        <v>1</v>
      </c>
      <c r="G77" s="101">
        <f t="shared" si="16"/>
        <v>86.284667713239173</v>
      </c>
      <c r="H77" s="187">
        <f t="shared" si="17"/>
        <v>86.284667713239173</v>
      </c>
    </row>
    <row r="78" spans="1:8" ht="14.25" customHeight="1" x14ac:dyDescent="0.25">
      <c r="A78" s="1531" t="s">
        <v>13</v>
      </c>
      <c r="B78" s="1532" t="str">
        <f t="shared" si="14"/>
        <v>Onion - بصل</v>
      </c>
      <c r="C78" s="1537" t="str">
        <f t="shared" si="14"/>
        <v>gm</v>
      </c>
      <c r="D78" s="1537">
        <f t="shared" si="14"/>
        <v>200</v>
      </c>
      <c r="E78" s="403">
        <f t="shared" si="18"/>
        <v>8.628466771323918</v>
      </c>
      <c r="F78" s="276">
        <f t="shared" si="15"/>
        <v>1</v>
      </c>
      <c r="G78" s="101">
        <f t="shared" si="16"/>
        <v>1725.6933542647837</v>
      </c>
      <c r="H78" s="187">
        <f t="shared" si="17"/>
        <v>1725.6933542647837</v>
      </c>
    </row>
    <row r="79" spans="1:8" ht="14.25" customHeight="1" x14ac:dyDescent="0.25">
      <c r="A79" s="1531" t="s">
        <v>55</v>
      </c>
      <c r="B79" s="1532" t="str">
        <f t="shared" si="14"/>
        <v>Ginger - زنجبيل</v>
      </c>
      <c r="C79" s="1537" t="str">
        <f t="shared" si="14"/>
        <v>gm</v>
      </c>
      <c r="D79" s="1537">
        <f t="shared" si="14"/>
        <v>20</v>
      </c>
      <c r="E79" s="403">
        <f t="shared" si="18"/>
        <v>8.628466771323918</v>
      </c>
      <c r="F79" s="276">
        <f t="shared" si="15"/>
        <v>0.9</v>
      </c>
      <c r="G79" s="101">
        <f t="shared" si="16"/>
        <v>172.56933542647835</v>
      </c>
      <c r="H79" s="187">
        <f t="shared" si="17"/>
        <v>155.31240188383052</v>
      </c>
    </row>
    <row r="80" spans="1:8" ht="14.25" customHeight="1" x14ac:dyDescent="0.25">
      <c r="A80" s="1531" t="s">
        <v>13</v>
      </c>
      <c r="B80" s="1532" t="str">
        <f t="shared" si="14"/>
        <v>Garlic - ثوم مقشر</v>
      </c>
      <c r="C80" s="1537" t="str">
        <f t="shared" si="14"/>
        <v>gm</v>
      </c>
      <c r="D80" s="1537">
        <f t="shared" si="14"/>
        <v>20</v>
      </c>
      <c r="E80" s="403">
        <f t="shared" si="18"/>
        <v>8.628466771323918</v>
      </c>
      <c r="F80" s="276">
        <f t="shared" si="15"/>
        <v>0.9</v>
      </c>
      <c r="G80" s="101">
        <f t="shared" si="16"/>
        <v>172.56933542647835</v>
      </c>
      <c r="H80" s="187">
        <f t="shared" si="17"/>
        <v>155.31240188383052</v>
      </c>
    </row>
    <row r="81" spans="1:8" ht="14.25" customHeight="1" x14ac:dyDescent="0.25">
      <c r="A81" s="1531" t="s">
        <v>204</v>
      </c>
      <c r="B81" s="1532" t="str">
        <f t="shared" ref="B81:D87" si="19">B21</f>
        <v>Lemon Juice - عصير ليمون</v>
      </c>
      <c r="C81" s="1537" t="str">
        <f t="shared" si="19"/>
        <v>ml</v>
      </c>
      <c r="D81" s="1537">
        <f t="shared" si="19"/>
        <v>5</v>
      </c>
      <c r="E81" s="403">
        <f t="shared" si="18"/>
        <v>8.628466771323918</v>
      </c>
      <c r="F81" s="276">
        <f t="shared" si="15"/>
        <v>1</v>
      </c>
      <c r="G81" s="101">
        <f t="shared" si="16"/>
        <v>43.142333856619587</v>
      </c>
      <c r="H81" s="187">
        <f t="shared" si="17"/>
        <v>43.142333856619587</v>
      </c>
    </row>
    <row r="82" spans="1:8" ht="14.25" customHeight="1" x14ac:dyDescent="0.25">
      <c r="A82" s="1531" t="s">
        <v>13</v>
      </c>
      <c r="B82" s="1532" t="str">
        <f t="shared" si="19"/>
        <v>Tomato - طماطم</v>
      </c>
      <c r="C82" s="1537" t="str">
        <f t="shared" si="19"/>
        <v>gm</v>
      </c>
      <c r="D82" s="1537">
        <f t="shared" si="19"/>
        <v>350</v>
      </c>
      <c r="E82" s="403">
        <f t="shared" si="18"/>
        <v>8.628466771323918</v>
      </c>
      <c r="F82" s="276">
        <f t="shared" si="15"/>
        <v>0.95</v>
      </c>
      <c r="G82" s="101">
        <f t="shared" si="16"/>
        <v>3019.9633699633714</v>
      </c>
      <c r="H82" s="187">
        <f t="shared" si="17"/>
        <v>2868.9652014652029</v>
      </c>
    </row>
    <row r="83" spans="1:8" ht="14.25" customHeight="1" x14ac:dyDescent="0.25">
      <c r="A83" s="1531" t="s">
        <v>204</v>
      </c>
      <c r="B83" s="1532" t="str">
        <f t="shared" si="19"/>
        <v>Water - ماء</v>
      </c>
      <c r="C83" s="1537" t="str">
        <f t="shared" si="19"/>
        <v>ml</v>
      </c>
      <c r="D83" s="1537">
        <f t="shared" si="19"/>
        <v>100</v>
      </c>
      <c r="E83" s="403">
        <f t="shared" si="18"/>
        <v>8.628466771323918</v>
      </c>
      <c r="F83" s="276">
        <f t="shared" si="15"/>
        <v>1</v>
      </c>
      <c r="G83" s="101">
        <f t="shared" si="16"/>
        <v>862.84667713239185</v>
      </c>
      <c r="H83" s="187">
        <f t="shared" si="17"/>
        <v>862.84667713239185</v>
      </c>
    </row>
    <row r="84" spans="1:8" ht="14.25" customHeight="1" x14ac:dyDescent="0.25">
      <c r="A84" s="1531" t="s">
        <v>186</v>
      </c>
      <c r="B84" s="1532" t="str">
        <f t="shared" si="19"/>
        <v>Corn Starch - نشا ذرة</v>
      </c>
      <c r="C84" s="1537" t="str">
        <f t="shared" si="19"/>
        <v>gm</v>
      </c>
      <c r="D84" s="1537">
        <f t="shared" si="19"/>
        <v>20</v>
      </c>
      <c r="E84" s="403">
        <f t="shared" si="18"/>
        <v>8.628466771323918</v>
      </c>
      <c r="F84" s="276">
        <f t="shared" si="15"/>
        <v>0.75</v>
      </c>
      <c r="G84" s="101">
        <f t="shared" si="16"/>
        <v>172.56933542647835</v>
      </c>
      <c r="H84" s="187">
        <f t="shared" si="17"/>
        <v>129.42700156985876</v>
      </c>
    </row>
    <row r="85" spans="1:8" ht="14.25" customHeight="1" x14ac:dyDescent="0.25">
      <c r="A85" s="1531" t="s">
        <v>153</v>
      </c>
      <c r="B85" s="1532" t="str">
        <f t="shared" si="19"/>
        <v>Butter - زبدة</v>
      </c>
      <c r="C85" s="1537" t="str">
        <f t="shared" si="19"/>
        <v>gm</v>
      </c>
      <c r="D85" s="1537">
        <f t="shared" si="19"/>
        <v>30</v>
      </c>
      <c r="E85" s="403">
        <f t="shared" si="18"/>
        <v>8.628466771323918</v>
      </c>
      <c r="F85" s="276">
        <f t="shared" si="15"/>
        <v>1</v>
      </c>
      <c r="G85" s="101">
        <f t="shared" si="16"/>
        <v>258.85400313971752</v>
      </c>
      <c r="H85" s="187">
        <f t="shared" si="17"/>
        <v>258.85400313971752</v>
      </c>
    </row>
    <row r="86" spans="1:8" ht="14.25" customHeight="1" x14ac:dyDescent="0.25">
      <c r="A86" s="1531" t="s">
        <v>153</v>
      </c>
      <c r="B86" s="1532" t="str">
        <f t="shared" si="19"/>
        <v>Yogurt - زبادي</v>
      </c>
      <c r="C86" s="1537" t="str">
        <f t="shared" si="19"/>
        <v>gm</v>
      </c>
      <c r="D86" s="1537">
        <f t="shared" si="19"/>
        <v>100</v>
      </c>
      <c r="E86" s="403">
        <f t="shared" si="18"/>
        <v>8.628466771323918</v>
      </c>
      <c r="F86" s="276">
        <f t="shared" si="15"/>
        <v>1</v>
      </c>
      <c r="G86" s="101">
        <f t="shared" si="16"/>
        <v>862.84667713239185</v>
      </c>
      <c r="H86" s="187">
        <f t="shared" si="17"/>
        <v>862.84667713239185</v>
      </c>
    </row>
    <row r="87" spans="1:8" ht="14.25" customHeight="1" x14ac:dyDescent="0.25">
      <c r="A87" s="1531" t="s">
        <v>213</v>
      </c>
      <c r="B87" s="1532" t="str">
        <f t="shared" si="19"/>
        <v>Saffron yellow color powder - لون صفار زعفران بودر</v>
      </c>
      <c r="C87" s="1537" t="str">
        <f t="shared" si="19"/>
        <v>gm</v>
      </c>
      <c r="D87" s="1537">
        <f t="shared" si="19"/>
        <v>0.5</v>
      </c>
      <c r="E87" s="403">
        <f t="shared" si="18"/>
        <v>8.628466771323918</v>
      </c>
      <c r="F87" s="276">
        <f t="shared" si="15"/>
        <v>1</v>
      </c>
      <c r="G87" s="101">
        <f t="shared" si="16"/>
        <v>4.314233385661959</v>
      </c>
      <c r="H87" s="187">
        <f t="shared" si="17"/>
        <v>4.314233385661959</v>
      </c>
    </row>
    <row r="88" spans="1:8" ht="20.25" customHeight="1" x14ac:dyDescent="0.25">
      <c r="A88" s="191"/>
      <c r="B88" s="178" t="s">
        <v>287</v>
      </c>
      <c r="C88" s="180" t="s">
        <v>273</v>
      </c>
      <c r="E88" s="180" t="s">
        <v>288</v>
      </c>
      <c r="G88" s="804" t="s">
        <v>264</v>
      </c>
      <c r="H88" s="804" t="s">
        <v>673</v>
      </c>
    </row>
    <row r="89" spans="1:8" ht="19.5" customHeight="1" x14ac:dyDescent="0.3">
      <c r="A89" s="191"/>
      <c r="B89" s="179">
        <f>$J$53</f>
        <v>11530.769230769229</v>
      </c>
      <c r="C89" s="179">
        <f>E89+G89</f>
        <v>8455.8974358974392</v>
      </c>
      <c r="D89" s="839"/>
      <c r="E89" s="179">
        <f>$D$53*$S$44</f>
        <v>3459.2307692307709</v>
      </c>
      <c r="F89" s="843"/>
      <c r="G89" s="179">
        <f>$D$53*$T$44</f>
        <v>4996.6666666666688</v>
      </c>
      <c r="H89" s="179">
        <f>B89+E89</f>
        <v>14990</v>
      </c>
    </row>
    <row r="90" spans="1:8" ht="14.25" customHeight="1" x14ac:dyDescent="0.25">
      <c r="B90" s="1533"/>
      <c r="E90" s="84"/>
      <c r="F90" s="84"/>
    </row>
    <row r="91" spans="1:8" ht="18" customHeight="1" x14ac:dyDescent="0.25">
      <c r="A91" s="845"/>
      <c r="B91" s="1636" t="str">
        <f>"دجاج سنغافورى  2 / " &amp; COUNTIF($C$53:$C$55, "&gt;0")</f>
        <v>دجاج سنغافورى  2 / 1</v>
      </c>
      <c r="C91" s="1637"/>
      <c r="D91" s="1637"/>
      <c r="E91" s="1637"/>
      <c r="F91" s="1637"/>
      <c r="G91" s="1637"/>
      <c r="H91" s="1637"/>
    </row>
    <row r="92" spans="1:8" ht="18" customHeight="1" x14ac:dyDescent="0.25">
      <c r="A92" s="845"/>
      <c r="B92" s="1634" t="str">
        <f>"Singapore Chicken 2 / " &amp; COUNTIF($C$53:$C$55, "&gt;0")</f>
        <v>Singapore Chicken 2 / 1</v>
      </c>
      <c r="C92" s="1635"/>
      <c r="D92" s="1635"/>
      <c r="E92" s="1635"/>
      <c r="F92" s="1635"/>
      <c r="G92" s="1635"/>
      <c r="H92" s="1635"/>
    </row>
    <row r="93" spans="1:8" ht="49.5" customHeight="1" x14ac:dyDescent="0.2">
      <c r="A93" s="1523"/>
      <c r="B93" s="550" t="s">
        <v>241</v>
      </c>
      <c r="C93" s="222" t="s">
        <v>242</v>
      </c>
      <c r="D93" s="223" t="s">
        <v>231</v>
      </c>
      <c r="E93" s="197" t="s">
        <v>234</v>
      </c>
      <c r="F93" s="197" t="s">
        <v>243</v>
      </c>
      <c r="G93" s="223" t="s">
        <v>244</v>
      </c>
      <c r="H93" s="197" t="s">
        <v>245</v>
      </c>
    </row>
    <row r="94" spans="1:8" ht="14.25" customHeight="1" x14ac:dyDescent="0.25">
      <c r="A94" s="1531" t="s">
        <v>221</v>
      </c>
      <c r="B94" s="1532" t="str">
        <f t="shared" ref="B94:D109" si="20">B5</f>
        <v>Chicken - دجاج</v>
      </c>
      <c r="C94" s="1537" t="str">
        <f t="shared" si="20"/>
        <v>gm</v>
      </c>
      <c r="D94" s="1538">
        <f t="shared" si="20"/>
        <v>2311.3713405238827</v>
      </c>
      <c r="E94" s="177">
        <f>H54</f>
        <v>0</v>
      </c>
      <c r="F94" s="276">
        <f t="shared" ref="F94:F116" si="21">F5</f>
        <v>1</v>
      </c>
      <c r="G94" s="101">
        <f t="shared" ref="G94:G116" si="22">D94*E94</f>
        <v>0</v>
      </c>
      <c r="H94" s="187">
        <f t="shared" ref="H94:H116" si="23">G94*F94</f>
        <v>0</v>
      </c>
    </row>
    <row r="95" spans="1:8" ht="14.25" customHeight="1" x14ac:dyDescent="0.25">
      <c r="A95" s="1531" t="s">
        <v>94</v>
      </c>
      <c r="B95" s="1532" t="str">
        <f t="shared" si="20"/>
        <v>Curry Powder - كاري بودرة</v>
      </c>
      <c r="C95" s="1537" t="str">
        <f t="shared" si="20"/>
        <v>gm</v>
      </c>
      <c r="D95" s="1537">
        <f t="shared" si="20"/>
        <v>6</v>
      </c>
      <c r="E95" s="177">
        <f t="shared" ref="E95:E116" si="24">$C$54</f>
        <v>0</v>
      </c>
      <c r="F95" s="276">
        <f t="shared" si="21"/>
        <v>0.95</v>
      </c>
      <c r="G95" s="101">
        <f t="shared" si="22"/>
        <v>0</v>
      </c>
      <c r="H95" s="187">
        <f t="shared" si="23"/>
        <v>0</v>
      </c>
    </row>
    <row r="96" spans="1:8" ht="14.25" customHeight="1" x14ac:dyDescent="0.25">
      <c r="A96" s="1531" t="s">
        <v>94</v>
      </c>
      <c r="B96" s="1532" t="str">
        <f t="shared" si="20"/>
        <v>Salt - ملح</v>
      </c>
      <c r="C96" s="1537" t="str">
        <f t="shared" si="20"/>
        <v>gm</v>
      </c>
      <c r="D96" s="1537">
        <f t="shared" si="20"/>
        <v>11</v>
      </c>
      <c r="E96" s="177">
        <f t="shared" si="24"/>
        <v>0</v>
      </c>
      <c r="F96" s="276">
        <f t="shared" si="21"/>
        <v>0.75</v>
      </c>
      <c r="G96" s="101">
        <f t="shared" si="22"/>
        <v>0</v>
      </c>
      <c r="H96" s="187">
        <f t="shared" si="23"/>
        <v>0</v>
      </c>
    </row>
    <row r="97" spans="1:8" ht="14.25" customHeight="1" x14ac:dyDescent="0.25">
      <c r="A97" s="1531" t="s">
        <v>153</v>
      </c>
      <c r="B97" s="1532" t="str">
        <f t="shared" si="20"/>
        <v>Coconut Milk - حليب جوز الهند</v>
      </c>
      <c r="C97" s="1537" t="str">
        <f t="shared" si="20"/>
        <v>ml</v>
      </c>
      <c r="D97" s="1537">
        <f t="shared" si="20"/>
        <v>250</v>
      </c>
      <c r="E97" s="177">
        <f t="shared" si="24"/>
        <v>0</v>
      </c>
      <c r="F97" s="276">
        <f t="shared" si="21"/>
        <v>1</v>
      </c>
      <c r="G97" s="101">
        <f t="shared" si="22"/>
        <v>0</v>
      </c>
      <c r="H97" s="187">
        <f t="shared" si="23"/>
        <v>0</v>
      </c>
    </row>
    <row r="98" spans="1:8" ht="14.25" customHeight="1" x14ac:dyDescent="0.25">
      <c r="A98" s="1531" t="s">
        <v>55</v>
      </c>
      <c r="B98" s="1532" t="str">
        <f t="shared" si="20"/>
        <v xml:space="preserve">Lemon Grass - ليمون جراس </v>
      </c>
      <c r="C98" s="1537" t="str">
        <f t="shared" si="20"/>
        <v>gm</v>
      </c>
      <c r="D98" s="1537">
        <f t="shared" si="20"/>
        <v>5</v>
      </c>
      <c r="E98" s="177">
        <f t="shared" si="24"/>
        <v>0</v>
      </c>
      <c r="F98" s="276">
        <f t="shared" si="21"/>
        <v>0.9</v>
      </c>
      <c r="G98" s="101">
        <f t="shared" si="22"/>
        <v>0</v>
      </c>
      <c r="H98" s="187">
        <f t="shared" si="23"/>
        <v>0</v>
      </c>
    </row>
    <row r="99" spans="1:8" ht="14.25" customHeight="1" x14ac:dyDescent="0.25">
      <c r="A99" s="1531" t="s">
        <v>55</v>
      </c>
      <c r="B99" s="1532" t="str">
        <f t="shared" si="20"/>
        <v xml:space="preserve">Kaffir Lime Leaves - ورق الليمون  </v>
      </c>
      <c r="C99" s="1537" t="str">
        <f t="shared" si="20"/>
        <v>gm</v>
      </c>
      <c r="D99" s="1537">
        <f t="shared" si="20"/>
        <v>3</v>
      </c>
      <c r="E99" s="177">
        <f t="shared" si="24"/>
        <v>0</v>
      </c>
      <c r="F99" s="276">
        <f t="shared" si="21"/>
        <v>0.75</v>
      </c>
      <c r="G99" s="101">
        <f t="shared" si="22"/>
        <v>0</v>
      </c>
      <c r="H99" s="187">
        <f t="shared" si="23"/>
        <v>0</v>
      </c>
    </row>
    <row r="100" spans="1:8" ht="14.25" customHeight="1" x14ac:dyDescent="0.25">
      <c r="A100" s="1531" t="s">
        <v>13</v>
      </c>
      <c r="B100" s="1532" t="str">
        <f t="shared" si="20"/>
        <v>Green Chilli Pepper - فلفل أخضر حار</v>
      </c>
      <c r="C100" s="1537" t="str">
        <f t="shared" si="20"/>
        <v>gm</v>
      </c>
      <c r="D100" s="1537">
        <f t="shared" si="20"/>
        <v>2</v>
      </c>
      <c r="E100" s="177">
        <f t="shared" si="24"/>
        <v>0</v>
      </c>
      <c r="F100" s="276">
        <f t="shared" si="21"/>
        <v>0.75</v>
      </c>
      <c r="G100" s="101">
        <f t="shared" si="22"/>
        <v>0</v>
      </c>
      <c r="H100" s="187">
        <f t="shared" si="23"/>
        <v>0</v>
      </c>
    </row>
    <row r="101" spans="1:8" ht="14.25" customHeight="1" x14ac:dyDescent="0.25">
      <c r="A101" s="1531" t="s">
        <v>61</v>
      </c>
      <c r="B101" s="1532" t="str">
        <f t="shared" si="20"/>
        <v>Coriander Leaves - كزبرة خضراء</v>
      </c>
      <c r="C101" s="1537" t="str">
        <f t="shared" si="20"/>
        <v>gm</v>
      </c>
      <c r="D101" s="1537">
        <f t="shared" si="20"/>
        <v>10</v>
      </c>
      <c r="E101" s="177">
        <f t="shared" si="24"/>
        <v>0</v>
      </c>
      <c r="F101" s="276">
        <f t="shared" si="21"/>
        <v>0.9</v>
      </c>
      <c r="G101" s="101">
        <f t="shared" si="22"/>
        <v>0</v>
      </c>
      <c r="H101" s="187">
        <f t="shared" si="23"/>
        <v>0</v>
      </c>
    </row>
    <row r="102" spans="1:8" ht="14.25" customHeight="1" x14ac:dyDescent="0.25">
      <c r="A102" s="1531" t="s">
        <v>94</v>
      </c>
      <c r="B102" s="1532" t="str">
        <f t="shared" si="20"/>
        <v>Cumin Powder - كمون مطحون</v>
      </c>
      <c r="C102" s="1537" t="str">
        <f t="shared" si="20"/>
        <v>gm</v>
      </c>
      <c r="D102" s="1537">
        <f t="shared" si="20"/>
        <v>5</v>
      </c>
      <c r="E102" s="177">
        <f t="shared" si="24"/>
        <v>0</v>
      </c>
      <c r="F102" s="276">
        <f t="shared" si="21"/>
        <v>0.75</v>
      </c>
      <c r="G102" s="101">
        <f t="shared" si="22"/>
        <v>0</v>
      </c>
      <c r="H102" s="187">
        <f t="shared" si="23"/>
        <v>0</v>
      </c>
    </row>
    <row r="103" spans="1:8" ht="14.25" customHeight="1" x14ac:dyDescent="0.25">
      <c r="A103" s="1531" t="s">
        <v>94</v>
      </c>
      <c r="B103" s="1532" t="str">
        <f t="shared" si="20"/>
        <v>Coriander Powder - كزبرة مطحونة</v>
      </c>
      <c r="C103" s="1537" t="str">
        <f t="shared" si="20"/>
        <v>gm</v>
      </c>
      <c r="D103" s="1537">
        <f t="shared" si="20"/>
        <v>5</v>
      </c>
      <c r="E103" s="177">
        <f t="shared" si="24"/>
        <v>0</v>
      </c>
      <c r="F103" s="276">
        <f t="shared" si="21"/>
        <v>0.75</v>
      </c>
      <c r="G103" s="101">
        <f t="shared" si="22"/>
        <v>0</v>
      </c>
      <c r="H103" s="187">
        <f t="shared" si="23"/>
        <v>0</v>
      </c>
    </row>
    <row r="104" spans="1:8" ht="14.25" customHeight="1" x14ac:dyDescent="0.25">
      <c r="A104" s="1531" t="s">
        <v>94</v>
      </c>
      <c r="B104" s="1532" t="str">
        <f t="shared" si="20"/>
        <v>Black Pepper Powder - فلفل أسود مطحون</v>
      </c>
      <c r="C104" s="1537" t="str">
        <f t="shared" si="20"/>
        <v>gm</v>
      </c>
      <c r="D104" s="1537">
        <f t="shared" si="20"/>
        <v>2</v>
      </c>
      <c r="E104" s="177">
        <f t="shared" si="24"/>
        <v>0</v>
      </c>
      <c r="F104" s="276">
        <f t="shared" si="21"/>
        <v>0.75</v>
      </c>
      <c r="G104" s="101">
        <f t="shared" si="22"/>
        <v>0</v>
      </c>
      <c r="H104" s="187">
        <f t="shared" si="23"/>
        <v>0</v>
      </c>
    </row>
    <row r="105" spans="1:8" ht="14.25" customHeight="1" x14ac:dyDescent="0.25">
      <c r="A105" s="1531" t="s">
        <v>190</v>
      </c>
      <c r="B105" s="1532" t="str">
        <f t="shared" si="20"/>
        <v>Tomato Ketchup - كاتشب طماطم</v>
      </c>
      <c r="C105" s="1537" t="str">
        <f t="shared" si="20"/>
        <v>ml</v>
      </c>
      <c r="D105" s="1537">
        <f t="shared" si="20"/>
        <v>20</v>
      </c>
      <c r="E105" s="177">
        <f t="shared" si="24"/>
        <v>0</v>
      </c>
      <c r="F105" s="276">
        <f t="shared" si="21"/>
        <v>0.9</v>
      </c>
      <c r="G105" s="101">
        <f t="shared" si="22"/>
        <v>0</v>
      </c>
      <c r="H105" s="187">
        <f t="shared" si="23"/>
        <v>0</v>
      </c>
    </row>
    <row r="106" spans="1:8" ht="14.25" customHeight="1" x14ac:dyDescent="0.25">
      <c r="A106" s="1531" t="s">
        <v>180</v>
      </c>
      <c r="B106" s="1532" t="str">
        <f t="shared" si="20"/>
        <v>Brown Sugar - سكر بني</v>
      </c>
      <c r="C106" s="1537" t="str">
        <f t="shared" si="20"/>
        <v>gm</v>
      </c>
      <c r="D106" s="1537">
        <f t="shared" si="20"/>
        <v>10</v>
      </c>
      <c r="E106" s="177">
        <f t="shared" si="24"/>
        <v>0</v>
      </c>
      <c r="F106" s="276">
        <f t="shared" si="21"/>
        <v>1</v>
      </c>
      <c r="G106" s="101">
        <f t="shared" si="22"/>
        <v>0</v>
      </c>
      <c r="H106" s="187">
        <f t="shared" si="23"/>
        <v>0</v>
      </c>
    </row>
    <row r="107" spans="1:8" ht="14.25" customHeight="1" x14ac:dyDescent="0.25">
      <c r="A107" s="1531" t="s">
        <v>13</v>
      </c>
      <c r="B107" s="1532" t="str">
        <f t="shared" si="20"/>
        <v>Onion - بصل</v>
      </c>
      <c r="C107" s="1537" t="str">
        <f t="shared" si="20"/>
        <v>gm</v>
      </c>
      <c r="D107" s="1537">
        <f t="shared" si="20"/>
        <v>200</v>
      </c>
      <c r="E107" s="177">
        <f t="shared" si="24"/>
        <v>0</v>
      </c>
      <c r="F107" s="276">
        <f t="shared" si="21"/>
        <v>1</v>
      </c>
      <c r="G107" s="101">
        <f t="shared" si="22"/>
        <v>0</v>
      </c>
      <c r="H107" s="187">
        <f t="shared" si="23"/>
        <v>0</v>
      </c>
    </row>
    <row r="108" spans="1:8" ht="14.25" customHeight="1" x14ac:dyDescent="0.25">
      <c r="A108" s="1531" t="s">
        <v>55</v>
      </c>
      <c r="B108" s="1532" t="str">
        <f t="shared" si="20"/>
        <v>Ginger - زنجبيل</v>
      </c>
      <c r="C108" s="1537" t="str">
        <f t="shared" si="20"/>
        <v>gm</v>
      </c>
      <c r="D108" s="1537">
        <f t="shared" si="20"/>
        <v>20</v>
      </c>
      <c r="E108" s="177">
        <f t="shared" si="24"/>
        <v>0</v>
      </c>
      <c r="F108" s="276">
        <f t="shared" si="21"/>
        <v>0.9</v>
      </c>
      <c r="G108" s="101">
        <f t="shared" si="22"/>
        <v>0</v>
      </c>
      <c r="H108" s="187">
        <f t="shared" si="23"/>
        <v>0</v>
      </c>
    </row>
    <row r="109" spans="1:8" ht="14.25" customHeight="1" x14ac:dyDescent="0.25">
      <c r="A109" s="1531" t="s">
        <v>13</v>
      </c>
      <c r="B109" s="1532" t="str">
        <f t="shared" si="20"/>
        <v>Garlic - ثوم مقشر</v>
      </c>
      <c r="C109" s="1537" t="str">
        <f t="shared" si="20"/>
        <v>gm</v>
      </c>
      <c r="D109" s="1537">
        <f t="shared" si="20"/>
        <v>20</v>
      </c>
      <c r="E109" s="177">
        <f t="shared" si="24"/>
        <v>0</v>
      </c>
      <c r="F109" s="276">
        <f t="shared" si="21"/>
        <v>0.9</v>
      </c>
      <c r="G109" s="101">
        <f t="shared" si="22"/>
        <v>0</v>
      </c>
      <c r="H109" s="187">
        <f t="shared" si="23"/>
        <v>0</v>
      </c>
    </row>
    <row r="110" spans="1:8" ht="14.25" customHeight="1" x14ac:dyDescent="0.25">
      <c r="A110" s="1531" t="s">
        <v>204</v>
      </c>
      <c r="B110" s="1532" t="str">
        <f t="shared" ref="B110:D116" si="25">B21</f>
        <v>Lemon Juice - عصير ليمون</v>
      </c>
      <c r="C110" s="1537" t="str">
        <f t="shared" si="25"/>
        <v>ml</v>
      </c>
      <c r="D110" s="1537">
        <f t="shared" si="25"/>
        <v>5</v>
      </c>
      <c r="E110" s="177">
        <f t="shared" si="24"/>
        <v>0</v>
      </c>
      <c r="F110" s="276">
        <f t="shared" si="21"/>
        <v>1</v>
      </c>
      <c r="G110" s="101">
        <f t="shared" si="22"/>
        <v>0</v>
      </c>
      <c r="H110" s="187">
        <f t="shared" si="23"/>
        <v>0</v>
      </c>
    </row>
    <row r="111" spans="1:8" ht="14.25" customHeight="1" x14ac:dyDescent="0.25">
      <c r="A111" s="1531" t="s">
        <v>13</v>
      </c>
      <c r="B111" s="1532" t="str">
        <f t="shared" si="25"/>
        <v>Tomato - طماطم</v>
      </c>
      <c r="C111" s="1537" t="str">
        <f t="shared" si="25"/>
        <v>gm</v>
      </c>
      <c r="D111" s="1537">
        <f t="shared" si="25"/>
        <v>350</v>
      </c>
      <c r="E111" s="177">
        <f t="shared" si="24"/>
        <v>0</v>
      </c>
      <c r="F111" s="276">
        <f t="shared" si="21"/>
        <v>0.95</v>
      </c>
      <c r="G111" s="101">
        <f t="shared" si="22"/>
        <v>0</v>
      </c>
      <c r="H111" s="187">
        <f t="shared" si="23"/>
        <v>0</v>
      </c>
    </row>
    <row r="112" spans="1:8" ht="14.25" customHeight="1" x14ac:dyDescent="0.25">
      <c r="A112" s="1531" t="s">
        <v>204</v>
      </c>
      <c r="B112" s="1532" t="str">
        <f t="shared" si="25"/>
        <v>Water - ماء</v>
      </c>
      <c r="C112" s="1537" t="str">
        <f t="shared" si="25"/>
        <v>ml</v>
      </c>
      <c r="D112" s="1537">
        <f t="shared" si="25"/>
        <v>100</v>
      </c>
      <c r="E112" s="177">
        <f t="shared" si="24"/>
        <v>0</v>
      </c>
      <c r="F112" s="276">
        <f t="shared" si="21"/>
        <v>1</v>
      </c>
      <c r="G112" s="101">
        <f t="shared" si="22"/>
        <v>0</v>
      </c>
      <c r="H112" s="187">
        <f t="shared" si="23"/>
        <v>0</v>
      </c>
    </row>
    <row r="113" spans="1:10" ht="14.25" customHeight="1" x14ac:dyDescent="0.25">
      <c r="A113" s="1531" t="s">
        <v>186</v>
      </c>
      <c r="B113" s="1532" t="str">
        <f t="shared" si="25"/>
        <v>Corn Starch - نشا ذرة</v>
      </c>
      <c r="C113" s="1537" t="str">
        <f t="shared" si="25"/>
        <v>gm</v>
      </c>
      <c r="D113" s="1537">
        <f t="shared" si="25"/>
        <v>20</v>
      </c>
      <c r="E113" s="177">
        <f t="shared" si="24"/>
        <v>0</v>
      </c>
      <c r="F113" s="276">
        <f t="shared" si="21"/>
        <v>0.75</v>
      </c>
      <c r="G113" s="101">
        <f t="shared" si="22"/>
        <v>0</v>
      </c>
      <c r="H113" s="187">
        <f t="shared" si="23"/>
        <v>0</v>
      </c>
    </row>
    <row r="114" spans="1:10" ht="14.25" customHeight="1" x14ac:dyDescent="0.25">
      <c r="A114" s="1531" t="s">
        <v>153</v>
      </c>
      <c r="B114" s="1532" t="str">
        <f t="shared" si="25"/>
        <v>Butter - زبدة</v>
      </c>
      <c r="C114" s="1537" t="str">
        <f t="shared" si="25"/>
        <v>gm</v>
      </c>
      <c r="D114" s="1537">
        <f t="shared" si="25"/>
        <v>30</v>
      </c>
      <c r="E114" s="177">
        <f t="shared" si="24"/>
        <v>0</v>
      </c>
      <c r="F114" s="276">
        <f t="shared" si="21"/>
        <v>1</v>
      </c>
      <c r="G114" s="101">
        <f t="shared" si="22"/>
        <v>0</v>
      </c>
      <c r="H114" s="187">
        <f t="shared" si="23"/>
        <v>0</v>
      </c>
    </row>
    <row r="115" spans="1:10" ht="14.25" customHeight="1" x14ac:dyDescent="0.25">
      <c r="A115" s="1531" t="s">
        <v>153</v>
      </c>
      <c r="B115" s="1532" t="str">
        <f t="shared" si="25"/>
        <v>Yogurt - زبادي</v>
      </c>
      <c r="C115" s="1537" t="str">
        <f t="shared" si="25"/>
        <v>gm</v>
      </c>
      <c r="D115" s="1537">
        <f t="shared" si="25"/>
        <v>100</v>
      </c>
      <c r="E115" s="177">
        <f t="shared" si="24"/>
        <v>0</v>
      </c>
      <c r="F115" s="276">
        <f t="shared" si="21"/>
        <v>1</v>
      </c>
      <c r="G115" s="101">
        <f t="shared" si="22"/>
        <v>0</v>
      </c>
      <c r="H115" s="187">
        <f t="shared" si="23"/>
        <v>0</v>
      </c>
    </row>
    <row r="116" spans="1:10" ht="14.25" customHeight="1" x14ac:dyDescent="0.25">
      <c r="A116" s="1531" t="s">
        <v>213</v>
      </c>
      <c r="B116" s="1532" t="str">
        <f t="shared" si="25"/>
        <v>Saffron yellow color powder - لون صفار زعفران بودر</v>
      </c>
      <c r="C116" s="1537" t="str">
        <f t="shared" si="25"/>
        <v>gm</v>
      </c>
      <c r="D116" s="1537">
        <f t="shared" si="25"/>
        <v>0.5</v>
      </c>
      <c r="E116" s="177">
        <f t="shared" si="24"/>
        <v>0</v>
      </c>
      <c r="F116" s="276">
        <f t="shared" si="21"/>
        <v>1</v>
      </c>
      <c r="G116" s="101">
        <f t="shared" si="22"/>
        <v>0</v>
      </c>
      <c r="H116" s="187">
        <f t="shared" si="23"/>
        <v>0</v>
      </c>
    </row>
    <row r="117" spans="1:10" ht="20.25" customHeight="1" x14ac:dyDescent="0.3">
      <c r="A117" s="191"/>
      <c r="B117" s="178" t="s">
        <v>287</v>
      </c>
      <c r="C117" s="180" t="s">
        <v>273</v>
      </c>
      <c r="E117" s="180" t="s">
        <v>288</v>
      </c>
      <c r="G117" s="804" t="s">
        <v>264</v>
      </c>
      <c r="H117" s="804" t="s">
        <v>673</v>
      </c>
      <c r="I117" s="184"/>
      <c r="J117" s="183"/>
    </row>
    <row r="118" spans="1:10" ht="20.25" x14ac:dyDescent="0.3">
      <c r="A118" s="191"/>
      <c r="B118" s="179">
        <f>$J$54</f>
        <v>0</v>
      </c>
      <c r="C118" s="179">
        <f>E118+G118</f>
        <v>0</v>
      </c>
      <c r="D118" s="839"/>
      <c r="E118" s="179">
        <f>$D$54*$S$44</f>
        <v>0</v>
      </c>
      <c r="F118" s="843"/>
      <c r="G118" s="179">
        <f>$D$54*$T$44</f>
        <v>0</v>
      </c>
      <c r="H118" s="179">
        <f>B118+E118</f>
        <v>0</v>
      </c>
    </row>
  </sheetData>
  <mergeCells count="10">
    <mergeCell ref="B62:H62"/>
    <mergeCell ref="B63:H63"/>
    <mergeCell ref="B91:H91"/>
    <mergeCell ref="B92:H92"/>
    <mergeCell ref="F2:F3"/>
    <mergeCell ref="AE2:AG3"/>
    <mergeCell ref="AL2:AN2"/>
    <mergeCell ref="R25:U25"/>
    <mergeCell ref="R26:U26"/>
    <mergeCell ref="B35:F35"/>
  </mergeCells>
  <printOptions horizontalCentered="1"/>
  <pageMargins left="0.4" right="0.4" top="1" bottom="0.5" header="0.3" footer="0.511811023622047"/>
  <pageSetup paperSize="9" scale="55" orientation="landscape" r:id="rId1"/>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0972A-5123-4EEF-B115-D0821605F477}">
  <sheetPr codeName="Sheet73">
    <tabColor rgb="FF333F50"/>
    <pageSetUpPr fitToPage="1"/>
  </sheetPr>
  <dimension ref="A1:AT72"/>
  <sheetViews>
    <sheetView topLeftCell="A2" zoomScale="70" zoomScaleNormal="70" workbookViewId="0">
      <selection activeCell="C41" sqref="C40:C41"/>
    </sheetView>
  </sheetViews>
  <sheetFormatPr defaultColWidth="12.5" defaultRowHeight="15" x14ac:dyDescent="0.25"/>
  <cols>
    <col min="1" max="1" width="12.5" style="1" customWidth="1"/>
    <col min="2" max="2" width="30" customWidth="1"/>
    <col min="3" max="3" width="23.875" customWidth="1"/>
    <col min="4" max="4" width="19" customWidth="1"/>
    <col min="5" max="5" width="16.125" customWidth="1"/>
    <col min="6" max="6" width="23.125" customWidth="1"/>
    <col min="7" max="7" width="25.125" customWidth="1"/>
    <col min="8" max="8" width="36.125" customWidth="1"/>
    <col min="12" max="12" width="8.375" customWidth="1"/>
    <col min="13" max="14" width="4.75" customWidth="1"/>
    <col min="18" max="18" width="32.125" customWidth="1"/>
    <col min="28" max="28" width="11.125" customWidth="1"/>
    <col min="29" max="29" width="11.875" bestFit="1" customWidth="1"/>
    <col min="30" max="30" width="11.375" customWidth="1"/>
    <col min="31" max="31" width="10" bestFit="1" customWidth="1"/>
    <col min="32" max="32" width="11.625" bestFit="1" customWidth="1"/>
    <col min="33" max="34" width="6.25" customWidth="1"/>
    <col min="36" max="36" width="32.375" customWidth="1"/>
  </cols>
  <sheetData>
    <row r="1" spans="1:46" ht="34.5" customHeight="1" x14ac:dyDescent="0.25">
      <c r="B1" s="64" t="s">
        <v>231</v>
      </c>
      <c r="C1" s="65">
        <v>1000</v>
      </c>
      <c r="D1" s="66" t="s">
        <v>232</v>
      </c>
      <c r="E1" s="99">
        <f>T32</f>
        <v>5440.5</v>
      </c>
      <c r="F1" s="64" t="s">
        <v>233</v>
      </c>
      <c r="G1" s="65">
        <f>E1/C1</f>
        <v>5.4405000000000001</v>
      </c>
      <c r="H1" s="64" t="s">
        <v>234</v>
      </c>
      <c r="I1" s="227">
        <f>(G1/K1)</f>
        <v>5.4405000000000001</v>
      </c>
      <c r="J1" s="70" t="s">
        <v>235</v>
      </c>
      <c r="K1" s="65">
        <v>1</v>
      </c>
      <c r="L1" s="84"/>
      <c r="M1" s="73"/>
      <c r="N1" s="74"/>
      <c r="O1" s="75" t="s">
        <v>236</v>
      </c>
      <c r="P1" s="76" t="s">
        <v>299</v>
      </c>
      <c r="Q1" s="77" t="s">
        <v>238</v>
      </c>
      <c r="R1" s="76">
        <v>0.54</v>
      </c>
      <c r="S1" s="84"/>
      <c r="T1" s="84"/>
      <c r="Y1" s="75" t="s">
        <v>453</v>
      </c>
      <c r="Z1" s="766">
        <v>35270</v>
      </c>
      <c r="AA1" s="75" t="s">
        <v>556</v>
      </c>
      <c r="AB1" s="766">
        <v>1000</v>
      </c>
      <c r="AC1" s="75" t="s">
        <v>546</v>
      </c>
      <c r="AD1" s="766">
        <v>255</v>
      </c>
      <c r="AE1" s="228"/>
      <c r="AF1" s="230"/>
      <c r="AG1" s="76"/>
      <c r="AI1" s="1"/>
      <c r="AJ1" s="78" t="s">
        <v>250</v>
      </c>
      <c r="AK1" s="78">
        <v>10000</v>
      </c>
      <c r="AL1" s="561" t="s">
        <v>503</v>
      </c>
      <c r="AM1" s="562">
        <f>$S$32</f>
        <v>36270</v>
      </c>
      <c r="AN1" s="78" t="s">
        <v>239</v>
      </c>
      <c r="AO1" s="305">
        <f>((S32)/$R$1)/$AK$1</f>
        <v>6.7166666666666659</v>
      </c>
      <c r="AP1" s="79"/>
    </row>
    <row r="2" spans="1:46" ht="12.75" customHeight="1" x14ac:dyDescent="0.25">
      <c r="A2" s="242"/>
      <c r="B2" s="82"/>
      <c r="C2" s="82"/>
      <c r="D2" s="82"/>
      <c r="E2" s="82"/>
      <c r="F2" s="1632" t="s">
        <v>158</v>
      </c>
      <c r="G2" s="1661"/>
      <c r="H2" s="82"/>
      <c r="I2" s="82"/>
      <c r="J2" s="82"/>
      <c r="K2" s="82"/>
      <c r="L2" s="82"/>
      <c r="M2" s="112"/>
      <c r="N2" s="112"/>
      <c r="O2" s="84"/>
      <c r="P2" s="84"/>
      <c r="Q2" s="84"/>
      <c r="R2" s="84"/>
      <c r="S2" s="84"/>
      <c r="T2" s="84"/>
      <c r="U2" s="84"/>
      <c r="AC2" s="83"/>
      <c r="AD2" s="83"/>
      <c r="AE2" s="1652"/>
      <c r="AF2" s="1653"/>
      <c r="AG2" s="1653"/>
      <c r="AI2" s="1"/>
      <c r="AJ2" s="85"/>
      <c r="AK2" s="1631" t="s">
        <v>468</v>
      </c>
      <c r="AL2" s="1631"/>
      <c r="AM2" s="1631"/>
      <c r="AN2" s="1631"/>
      <c r="AO2" s="85"/>
      <c r="AP2" s="85"/>
    </row>
    <row r="3" spans="1:46" ht="12.75" customHeight="1" x14ac:dyDescent="0.25">
      <c r="A3" s="242"/>
      <c r="B3" s="87"/>
      <c r="C3" s="87"/>
      <c r="D3" s="87"/>
      <c r="E3" s="87"/>
      <c r="F3" s="1633"/>
      <c r="G3" s="1633"/>
      <c r="H3" s="87"/>
      <c r="I3" s="87"/>
      <c r="J3" s="87"/>
      <c r="K3" s="87"/>
      <c r="L3" s="82"/>
      <c r="M3" s="112"/>
      <c r="N3" s="112"/>
      <c r="O3" s="84"/>
      <c r="P3" s="84"/>
      <c r="Q3" s="84"/>
      <c r="R3" s="84"/>
      <c r="S3" s="84"/>
      <c r="T3" s="84"/>
      <c r="U3" s="84"/>
      <c r="AC3" s="83"/>
      <c r="AD3" s="83"/>
      <c r="AE3" s="1653"/>
      <c r="AF3" s="1653"/>
      <c r="AG3" s="1653"/>
      <c r="AI3" s="1"/>
      <c r="AJ3" s="85"/>
      <c r="AK3" s="1631"/>
      <c r="AL3" s="1631"/>
      <c r="AM3" s="1631"/>
      <c r="AN3" s="1631"/>
      <c r="AO3" s="85"/>
      <c r="AP3" s="85"/>
    </row>
    <row r="4" spans="1:46" ht="46.5" customHeight="1" x14ac:dyDescent="0.25">
      <c r="A4" s="75"/>
      <c r="B4" s="75" t="s">
        <v>241</v>
      </c>
      <c r="C4" s="90" t="s">
        <v>242</v>
      </c>
      <c r="D4" s="75" t="s">
        <v>231</v>
      </c>
      <c r="E4" s="91" t="s">
        <v>234</v>
      </c>
      <c r="F4" s="91" t="s">
        <v>243</v>
      </c>
      <c r="G4" s="75" t="s">
        <v>244</v>
      </c>
      <c r="H4" s="307" t="s">
        <v>335</v>
      </c>
      <c r="I4" s="75" t="s">
        <v>246</v>
      </c>
      <c r="J4" s="75" t="s">
        <v>247</v>
      </c>
      <c r="K4" s="75" t="s">
        <v>248</v>
      </c>
      <c r="L4" s="75" t="s">
        <v>249</v>
      </c>
      <c r="M4" s="112"/>
      <c r="N4" s="112"/>
      <c r="O4" s="84"/>
      <c r="P4" s="84"/>
      <c r="Q4" s="84"/>
      <c r="R4" s="84"/>
      <c r="S4" s="84"/>
      <c r="T4" s="84"/>
      <c r="U4" s="84"/>
      <c r="AC4" s="229"/>
      <c r="AD4" s="231"/>
      <c r="AE4" s="229"/>
      <c r="AF4" s="229"/>
      <c r="AG4" s="229"/>
      <c r="AI4" s="1"/>
      <c r="AJ4" s="78" t="s">
        <v>241</v>
      </c>
      <c r="AK4" s="493" t="s">
        <v>242</v>
      </c>
      <c r="AL4" s="78" t="s">
        <v>250</v>
      </c>
      <c r="AM4" s="78" t="s">
        <v>234</v>
      </c>
      <c r="AN4" s="78" t="s">
        <v>243</v>
      </c>
      <c r="AO4" s="78" t="s">
        <v>244</v>
      </c>
      <c r="AP4" s="78" t="s">
        <v>335</v>
      </c>
      <c r="AQ4" s="75" t="s">
        <v>246</v>
      </c>
      <c r="AR4" s="75" t="s">
        <v>247</v>
      </c>
      <c r="AS4" s="75" t="s">
        <v>248</v>
      </c>
      <c r="AT4" s="75" t="s">
        <v>249</v>
      </c>
    </row>
    <row r="5" spans="1:46" ht="14.25" customHeight="1" x14ac:dyDescent="0.25">
      <c r="A5" s="243"/>
      <c r="B5" s="244" t="s">
        <v>225</v>
      </c>
      <c r="C5" s="97" t="s">
        <v>14</v>
      </c>
      <c r="D5" s="245">
        <f>I51/10</f>
        <v>12345.740740740741</v>
      </c>
      <c r="E5" s="108">
        <f>H52</f>
        <v>5.4404727976360112</v>
      </c>
      <c r="F5" s="109">
        <v>1</v>
      </c>
      <c r="G5" s="101">
        <f t="shared" ref="G5:G10" si="0">D5*E5</f>
        <v>67166.666666666657</v>
      </c>
      <c r="H5" s="102">
        <f t="shared" ref="H5:H10" si="1">G5*F5</f>
        <v>67166.666666666657</v>
      </c>
      <c r="I5" s="65">
        <f>VLOOKUP(B5,All_Ingredients!$A$1:$F$156,6,FALSE())</f>
        <v>0.47</v>
      </c>
      <c r="J5" s="101">
        <f>VLOOKUP(B5,All_Ingredients!$A$1:$J$156,10,FALSE())</f>
        <v>12</v>
      </c>
      <c r="K5" s="104">
        <f t="shared" ref="K5" si="2">(H5/I5)/1000</f>
        <v>142.90780141843973</v>
      </c>
      <c r="L5" s="104">
        <f t="shared" ref="L5" si="3">K5*J5</f>
        <v>1714.8936170212769</v>
      </c>
      <c r="M5" s="112"/>
      <c r="N5" s="112"/>
      <c r="O5" s="84"/>
      <c r="P5" s="84"/>
      <c r="Q5" s="84"/>
      <c r="R5" s="84"/>
      <c r="S5" s="84"/>
      <c r="T5" s="84"/>
      <c r="U5" s="84"/>
      <c r="AC5" s="76"/>
      <c r="AD5" s="114"/>
      <c r="AE5" s="232"/>
      <c r="AF5" s="116"/>
      <c r="AG5" s="117"/>
      <c r="AI5" s="1"/>
      <c r="AJ5" s="246" t="s">
        <v>225</v>
      </c>
      <c r="AK5" s="106" t="s">
        <v>227</v>
      </c>
      <c r="AL5" s="98">
        <v>10</v>
      </c>
      <c r="AM5" s="201">
        <f t="shared" ref="AM5:AM13" si="4">$AO$1</f>
        <v>6.7166666666666659</v>
      </c>
      <c r="AN5" s="109">
        <v>1</v>
      </c>
      <c r="AO5" s="101">
        <f t="shared" ref="AO5:AO13" si="5">AL5*AM5</f>
        <v>67.166666666666657</v>
      </c>
      <c r="AP5" s="102">
        <f t="shared" ref="AP5:AP13" si="6">AO5*AN5</f>
        <v>67.166666666666657</v>
      </c>
      <c r="AQ5" s="272"/>
      <c r="AR5" s="1017"/>
      <c r="AS5" s="156"/>
      <c r="AT5" s="1018"/>
    </row>
    <row r="6" spans="1:46" ht="14.25" customHeight="1" x14ac:dyDescent="0.25">
      <c r="A6" s="247" t="s">
        <v>908</v>
      </c>
      <c r="B6" s="244" t="s">
        <v>70</v>
      </c>
      <c r="C6" s="106" t="s">
        <v>14</v>
      </c>
      <c r="D6" s="107">
        <v>75</v>
      </c>
      <c r="E6" s="201">
        <f>$I$1</f>
        <v>5.4405000000000001</v>
      </c>
      <c r="F6" s="109">
        <v>1</v>
      </c>
      <c r="G6" s="101">
        <f t="shared" si="0"/>
        <v>408.03750000000002</v>
      </c>
      <c r="H6" s="102">
        <f t="shared" si="1"/>
        <v>408.03750000000002</v>
      </c>
      <c r="I6" s="65">
        <f>VLOOKUP(B6,All_Ingredients!$A$1:$F$156,6,FALSE())</f>
        <v>0.71</v>
      </c>
      <c r="J6" s="101">
        <f>VLOOKUP(B6,All_Ingredients!$A$1:$J$156,10,FALSE())</f>
        <v>3</v>
      </c>
      <c r="K6" s="104">
        <f t="shared" ref="K6:K10" si="7">(H6/I6)/1000</f>
        <v>0.57470070422535213</v>
      </c>
      <c r="L6" s="104">
        <f t="shared" ref="L6:L10" si="8">K6*J6</f>
        <v>1.7241021126760563</v>
      </c>
      <c r="M6" s="112"/>
      <c r="N6" s="112"/>
      <c r="AI6" s="1" t="s">
        <v>55</v>
      </c>
      <c r="AJ6" s="350" t="s">
        <v>54</v>
      </c>
      <c r="AK6" s="310" t="s">
        <v>14</v>
      </c>
      <c r="AL6" s="98">
        <v>100</v>
      </c>
      <c r="AM6" s="201">
        <f t="shared" si="4"/>
        <v>6.7166666666666659</v>
      </c>
      <c r="AN6" s="109">
        <v>1</v>
      </c>
      <c r="AO6" s="101">
        <f t="shared" si="5"/>
        <v>671.66666666666663</v>
      </c>
      <c r="AP6" s="102">
        <f t="shared" si="6"/>
        <v>671.66666666666663</v>
      </c>
      <c r="AQ6" s="1018">
        <f>VLOOKUP(AJ6,Marination_Ordering!$A:$J,6,FALSE)</f>
        <v>0.87</v>
      </c>
      <c r="AR6" s="1018">
        <f>VLOOKUP(AJ6,Marination_Ordering!$A:$J,10,FALSE)</f>
        <v>7</v>
      </c>
      <c r="AS6" s="156">
        <f>AP6/AQ6</f>
        <v>772.03065134099609</v>
      </c>
      <c r="AT6" s="1018">
        <f>AR6*(AS6/1000)</f>
        <v>5.4042145593869728</v>
      </c>
    </row>
    <row r="7" spans="1:46" ht="14.25" customHeight="1" x14ac:dyDescent="0.25">
      <c r="A7" s="247"/>
      <c r="B7" s="244" t="s">
        <v>212</v>
      </c>
      <c r="C7" s="106" t="s">
        <v>160</v>
      </c>
      <c r="D7" s="107">
        <v>1000</v>
      </c>
      <c r="E7" s="201">
        <f>$I$1</f>
        <v>5.4405000000000001</v>
      </c>
      <c r="F7" s="109">
        <v>1</v>
      </c>
      <c r="G7" s="101">
        <f t="shared" si="0"/>
        <v>5440.5</v>
      </c>
      <c r="H7" s="102">
        <f t="shared" si="1"/>
        <v>5440.5</v>
      </c>
      <c r="I7" s="65">
        <f>VLOOKUP(B7,All_Ingredients!$A$1:$F$156,6,FALSE())</f>
        <v>1</v>
      </c>
      <c r="J7" s="101">
        <f>VLOOKUP(B7,All_Ingredients!$A$1:$J$156,10,FALSE())</f>
        <v>5</v>
      </c>
      <c r="K7" s="104">
        <f t="shared" si="7"/>
        <v>5.4405000000000001</v>
      </c>
      <c r="L7" s="104">
        <f t="shared" si="8"/>
        <v>27.202500000000001</v>
      </c>
      <c r="M7" s="112"/>
      <c r="N7" s="112"/>
      <c r="AI7" s="1" t="s">
        <v>13</v>
      </c>
      <c r="AJ7" s="350" t="s">
        <v>727</v>
      </c>
      <c r="AK7" s="310" t="s">
        <v>14</v>
      </c>
      <c r="AL7" s="98">
        <v>200</v>
      </c>
      <c r="AM7" s="201">
        <f t="shared" si="4"/>
        <v>6.7166666666666659</v>
      </c>
      <c r="AN7" s="109">
        <v>1</v>
      </c>
      <c r="AO7" s="101">
        <f t="shared" si="5"/>
        <v>1343.3333333333333</v>
      </c>
      <c r="AP7" s="102">
        <f t="shared" si="6"/>
        <v>1343.3333333333333</v>
      </c>
      <c r="AQ7" s="1018">
        <f>VLOOKUP(AJ7,Marination_Ordering!$A:$J,6,FALSE)</f>
        <v>1</v>
      </c>
      <c r="AR7" s="1018">
        <f>VLOOKUP(AJ7,Marination_Ordering!$A:$J,10,FALSE)</f>
        <v>10.5</v>
      </c>
      <c r="AS7" s="156">
        <f t="shared" ref="AS7:AS13" si="9">AP7/AQ7</f>
        <v>1343.3333333333333</v>
      </c>
      <c r="AT7" s="1018">
        <f t="shared" ref="AT7:AT13" si="10">AR7*(AS7/1000)</f>
        <v>14.104999999999999</v>
      </c>
    </row>
    <row r="8" spans="1:46" ht="14.25" customHeight="1" x14ac:dyDescent="0.25">
      <c r="A8" s="247"/>
      <c r="B8" s="244" t="s">
        <v>99</v>
      </c>
      <c r="C8" s="106" t="s">
        <v>14</v>
      </c>
      <c r="D8" s="107">
        <v>2.5</v>
      </c>
      <c r="E8" s="201">
        <f>$I$1</f>
        <v>5.4405000000000001</v>
      </c>
      <c r="F8" s="109">
        <v>1</v>
      </c>
      <c r="G8" s="101">
        <f t="shared" si="0"/>
        <v>13.60125</v>
      </c>
      <c r="H8" s="102">
        <f t="shared" si="1"/>
        <v>13.60125</v>
      </c>
      <c r="I8" s="65">
        <f>VLOOKUP(B8,All_Ingredients!$A$1:$F$156,6,FALSE())</f>
        <v>1</v>
      </c>
      <c r="J8" s="101">
        <f>VLOOKUP(B8,All_Ingredients!$A$1:$J$156,10,FALSE())</f>
        <v>31</v>
      </c>
      <c r="K8" s="104">
        <f t="shared" si="7"/>
        <v>1.360125E-2</v>
      </c>
      <c r="L8" s="104">
        <f t="shared" si="8"/>
        <v>0.42163875000000001</v>
      </c>
      <c r="AI8" s="1" t="s">
        <v>204</v>
      </c>
      <c r="AJ8" s="350" t="s">
        <v>212</v>
      </c>
      <c r="AK8" s="310" t="s">
        <v>160</v>
      </c>
      <c r="AL8" s="98">
        <v>450</v>
      </c>
      <c r="AM8" s="201">
        <f t="shared" si="4"/>
        <v>6.7166666666666659</v>
      </c>
      <c r="AN8" s="109">
        <v>1</v>
      </c>
      <c r="AO8" s="101">
        <f t="shared" si="5"/>
        <v>3022.4999999999995</v>
      </c>
      <c r="AP8" s="102">
        <f t="shared" si="6"/>
        <v>3022.4999999999995</v>
      </c>
      <c r="AQ8" s="1018">
        <f>VLOOKUP(AJ8,Marination_Ordering!$A:$J,6,FALSE)</f>
        <v>1</v>
      </c>
      <c r="AR8" s="1018">
        <f>VLOOKUP(AJ8,Marination_Ordering!$A:$J,10,FALSE)</f>
        <v>5</v>
      </c>
      <c r="AS8" s="156">
        <f t="shared" si="9"/>
        <v>3022.4999999999995</v>
      </c>
      <c r="AT8" s="1018">
        <f t="shared" si="10"/>
        <v>15.112499999999997</v>
      </c>
    </row>
    <row r="9" spans="1:46" ht="14.25" customHeight="1" x14ac:dyDescent="0.25">
      <c r="A9" s="247"/>
      <c r="B9" s="244" t="s">
        <v>93</v>
      </c>
      <c r="C9" s="106" t="s">
        <v>14</v>
      </c>
      <c r="D9" s="107">
        <v>12.5</v>
      </c>
      <c r="E9" s="201">
        <f>$I$1</f>
        <v>5.4405000000000001</v>
      </c>
      <c r="F9" s="109">
        <v>1</v>
      </c>
      <c r="G9" s="101">
        <f t="shared" si="0"/>
        <v>68.006249999999994</v>
      </c>
      <c r="H9" s="102">
        <f t="shared" si="1"/>
        <v>68.006249999999994</v>
      </c>
      <c r="I9" s="65">
        <f>VLOOKUP(B9,All_Ingredients!$A$1:$F$156,6,FALSE())</f>
        <v>1</v>
      </c>
      <c r="J9" s="101">
        <f>VLOOKUP(B9,All_Ingredients!$A$1:$J$156,10,FALSE())</f>
        <v>0.74</v>
      </c>
      <c r="K9" s="104">
        <f t="shared" si="7"/>
        <v>6.800624999999999E-2</v>
      </c>
      <c r="L9" s="104">
        <f t="shared" si="8"/>
        <v>5.0324624999999991E-2</v>
      </c>
      <c r="AI9" s="1" t="s">
        <v>204</v>
      </c>
      <c r="AJ9" s="350" t="s">
        <v>208</v>
      </c>
      <c r="AK9" s="106" t="s">
        <v>160</v>
      </c>
      <c r="AL9" s="201">
        <v>100</v>
      </c>
      <c r="AM9" s="201">
        <f t="shared" si="4"/>
        <v>6.7166666666666659</v>
      </c>
      <c r="AN9" s="109">
        <v>1</v>
      </c>
      <c r="AO9" s="101">
        <f t="shared" si="5"/>
        <v>671.66666666666663</v>
      </c>
      <c r="AP9" s="102">
        <f t="shared" si="6"/>
        <v>671.66666666666663</v>
      </c>
      <c r="AQ9" s="1018">
        <f>VLOOKUP(AJ9,Marination_Ordering!$A:$J,6,FALSE)</f>
        <v>1</v>
      </c>
      <c r="AR9" s="1018">
        <f>VLOOKUP(AJ9,Marination_Ordering!$A:$J,10,FALSE)</f>
        <v>2.1621621621621623</v>
      </c>
      <c r="AS9" s="156">
        <f t="shared" si="9"/>
        <v>671.66666666666663</v>
      </c>
      <c r="AT9" s="1018">
        <f t="shared" si="10"/>
        <v>1.4522522522522523</v>
      </c>
    </row>
    <row r="10" spans="1:46" ht="14.25" customHeight="1" x14ac:dyDescent="0.25">
      <c r="A10" s="247"/>
      <c r="B10" s="244" t="s">
        <v>105</v>
      </c>
      <c r="C10" s="106" t="s">
        <v>14</v>
      </c>
      <c r="D10" s="107">
        <v>2.5</v>
      </c>
      <c r="E10" s="201">
        <f>$I$1</f>
        <v>5.4405000000000001</v>
      </c>
      <c r="F10" s="109">
        <v>1</v>
      </c>
      <c r="G10" s="101">
        <f t="shared" si="0"/>
        <v>13.60125</v>
      </c>
      <c r="H10" s="102">
        <f t="shared" si="1"/>
        <v>13.60125</v>
      </c>
      <c r="I10" s="65">
        <f>VLOOKUP(B10,All_Ingredients!$A$1:$F$156,6,FALSE())</f>
        <v>1</v>
      </c>
      <c r="J10" s="101">
        <f>VLOOKUP(B10,All_Ingredients!$A$1:$J$156,10,FALSE())</f>
        <v>15</v>
      </c>
      <c r="K10" s="104">
        <f t="shared" si="7"/>
        <v>1.360125E-2</v>
      </c>
      <c r="L10" s="104">
        <f t="shared" si="8"/>
        <v>0.20401875</v>
      </c>
      <c r="AI10" s="1" t="s">
        <v>94</v>
      </c>
      <c r="AJ10" s="299" t="s">
        <v>93</v>
      </c>
      <c r="AK10" s="310" t="s">
        <v>14</v>
      </c>
      <c r="AL10" s="98">
        <v>2</v>
      </c>
      <c r="AM10" s="201">
        <f t="shared" si="4"/>
        <v>6.7166666666666659</v>
      </c>
      <c r="AN10" s="109">
        <v>1</v>
      </c>
      <c r="AO10" s="101">
        <f t="shared" si="5"/>
        <v>13.433333333333332</v>
      </c>
      <c r="AP10" s="102">
        <f t="shared" si="6"/>
        <v>13.433333333333332</v>
      </c>
      <c r="AQ10" s="1018">
        <f>VLOOKUP(AJ10,Marination_Ordering!$A:$J,6,FALSE)</f>
        <v>1</v>
      </c>
      <c r="AR10" s="1018">
        <f>VLOOKUP(AJ10,Marination_Ordering!$A:$J,10,FALSE)</f>
        <v>0.74</v>
      </c>
      <c r="AS10" s="156">
        <f t="shared" si="9"/>
        <v>13.433333333333332</v>
      </c>
      <c r="AT10" s="1018">
        <f t="shared" si="10"/>
        <v>9.9406666666666654E-3</v>
      </c>
    </row>
    <row r="11" spans="1:46" ht="14.25" customHeight="1" x14ac:dyDescent="0.25">
      <c r="B11" s="84"/>
      <c r="E11" s="84"/>
      <c r="F11" s="84"/>
      <c r="L11" s="189"/>
      <c r="AI11" s="1" t="s">
        <v>94</v>
      </c>
      <c r="AJ11" s="350" t="s">
        <v>99</v>
      </c>
      <c r="AK11" s="310" t="s">
        <v>14</v>
      </c>
      <c r="AL11" s="98">
        <v>2</v>
      </c>
      <c r="AM11" s="201">
        <f t="shared" si="4"/>
        <v>6.7166666666666659</v>
      </c>
      <c r="AN11" s="109">
        <v>1</v>
      </c>
      <c r="AO11" s="101">
        <f t="shared" si="5"/>
        <v>13.433333333333332</v>
      </c>
      <c r="AP11" s="102">
        <f t="shared" si="6"/>
        <v>13.433333333333332</v>
      </c>
      <c r="AQ11" s="1018">
        <f>VLOOKUP(AJ11,Marination_Ordering!$A:$J,6,FALSE)</f>
        <v>1</v>
      </c>
      <c r="AR11" s="1018">
        <f>VLOOKUP(AJ11,Marination_Ordering!$A:$J,10,FALSE)</f>
        <v>31</v>
      </c>
      <c r="AS11" s="156">
        <f t="shared" si="9"/>
        <v>13.433333333333332</v>
      </c>
      <c r="AT11" s="1018">
        <f t="shared" si="10"/>
        <v>0.41643333333333327</v>
      </c>
    </row>
    <row r="12" spans="1:46" ht="14.25" customHeight="1" x14ac:dyDescent="0.25">
      <c r="B12" s="84"/>
      <c r="E12" s="84"/>
      <c r="F12" s="84"/>
      <c r="L12" s="189"/>
      <c r="AI12" s="1" t="s">
        <v>94</v>
      </c>
      <c r="AJ12" s="299" t="s">
        <v>105</v>
      </c>
      <c r="AK12" s="310" t="s">
        <v>14</v>
      </c>
      <c r="AL12" s="98">
        <v>25</v>
      </c>
      <c r="AM12" s="201">
        <f t="shared" si="4"/>
        <v>6.7166666666666659</v>
      </c>
      <c r="AN12" s="109">
        <v>1</v>
      </c>
      <c r="AO12" s="101">
        <f t="shared" si="5"/>
        <v>167.91666666666666</v>
      </c>
      <c r="AP12" s="102">
        <f t="shared" si="6"/>
        <v>167.91666666666666</v>
      </c>
      <c r="AQ12" s="1018">
        <f>VLOOKUP(AJ12,Marination_Ordering!$A:$J,6,FALSE)</f>
        <v>1</v>
      </c>
      <c r="AR12" s="1018">
        <f>VLOOKUP(AJ12,Marination_Ordering!$A:$J,10,FALSE)</f>
        <v>15</v>
      </c>
      <c r="AS12" s="156">
        <f t="shared" si="9"/>
        <v>167.91666666666666</v>
      </c>
      <c r="AT12" s="1018">
        <f t="shared" si="10"/>
        <v>2.5187499999999998</v>
      </c>
    </row>
    <row r="13" spans="1:46" ht="14.25" customHeight="1" x14ac:dyDescent="0.25">
      <c r="L13" s="189"/>
      <c r="AI13" s="1" t="s">
        <v>190</v>
      </c>
      <c r="AJ13" s="553" t="s">
        <v>202</v>
      </c>
      <c r="AK13" s="310" t="s">
        <v>14</v>
      </c>
      <c r="AL13" s="107">
        <v>300</v>
      </c>
      <c r="AM13" s="201">
        <f t="shared" si="4"/>
        <v>6.7166666666666659</v>
      </c>
      <c r="AN13" s="109">
        <v>1</v>
      </c>
      <c r="AO13" s="101">
        <f t="shared" si="5"/>
        <v>2014.9999999999998</v>
      </c>
      <c r="AP13" s="102">
        <f t="shared" si="6"/>
        <v>2014.9999999999998</v>
      </c>
      <c r="AQ13" s="1018">
        <f>VLOOKUP(AJ13,Marination_Ordering!$A:$J,6,FALSE)</f>
        <v>1</v>
      </c>
      <c r="AR13" s="1018">
        <f>VLOOKUP(AJ13,Marination_Ordering!$A:$J,10,FALSE)</f>
        <v>11.243386243386244</v>
      </c>
      <c r="AS13" s="156">
        <f t="shared" si="9"/>
        <v>2014.9999999999998</v>
      </c>
      <c r="AT13" s="1018">
        <f t="shared" si="10"/>
        <v>22.655423280423278</v>
      </c>
    </row>
    <row r="14" spans="1:46" ht="14.25" customHeight="1" x14ac:dyDescent="0.25">
      <c r="L14" s="189"/>
      <c r="AQ14" s="14"/>
      <c r="AR14" s="993"/>
      <c r="AS14" s="514"/>
      <c r="AT14" s="991"/>
    </row>
    <row r="15" spans="1:46" ht="14.25" customHeight="1" x14ac:dyDescent="0.25">
      <c r="L15" s="189"/>
      <c r="AQ15" s="14"/>
      <c r="AR15" s="993"/>
      <c r="AS15" s="514"/>
      <c r="AT15" s="991"/>
    </row>
    <row r="16" spans="1:46" ht="14.25" customHeight="1" x14ac:dyDescent="0.25">
      <c r="L16" s="189"/>
    </row>
    <row r="17" spans="2:31" ht="14.25" customHeight="1" x14ac:dyDescent="0.25">
      <c r="L17" s="189"/>
    </row>
    <row r="18" spans="2:31" ht="14.25" customHeight="1" x14ac:dyDescent="0.25">
      <c r="L18" s="189"/>
    </row>
    <row r="19" spans="2:31" ht="14.25" customHeight="1" x14ac:dyDescent="0.25">
      <c r="L19" s="189"/>
    </row>
    <row r="20" spans="2:31" ht="14.25" customHeight="1" x14ac:dyDescent="0.25">
      <c r="L20" s="189"/>
    </row>
    <row r="21" spans="2:31" ht="14.25" customHeight="1" x14ac:dyDescent="0.25">
      <c r="L21" s="189"/>
    </row>
    <row r="22" spans="2:31" ht="14.25" customHeight="1" x14ac:dyDescent="0.25">
      <c r="L22" s="189"/>
    </row>
    <row r="23" spans="2:31" ht="18" customHeight="1" x14ac:dyDescent="0.25">
      <c r="K23" s="189"/>
      <c r="L23" s="189"/>
    </row>
    <row r="24" spans="2:31" ht="18" customHeight="1" x14ac:dyDescent="0.25">
      <c r="Z24" s="1124"/>
    </row>
    <row r="25" spans="2:31" ht="14.25" customHeight="1" x14ac:dyDescent="0.25">
      <c r="K25" s="189"/>
      <c r="L25" s="189"/>
      <c r="R25" s="1640" t="s">
        <v>468</v>
      </c>
      <c r="S25" s="1633"/>
      <c r="T25" s="1633"/>
      <c r="U25" s="1633"/>
      <c r="V25" s="997"/>
      <c r="Z25" s="122" t="s">
        <v>252</v>
      </c>
      <c r="AA25" s="123">
        <v>1</v>
      </c>
      <c r="AB25" s="122" t="s">
        <v>249</v>
      </c>
      <c r="AC25" s="124">
        <f>(AA25*(1.15))*AE30+(AA30*(AB28/R1))</f>
        <v>4.9797924327295712E-2</v>
      </c>
      <c r="AD25" s="14"/>
    </row>
    <row r="26" spans="2:31" ht="14.25" customHeight="1" x14ac:dyDescent="0.25">
      <c r="B26" s="84"/>
      <c r="E26" s="84"/>
      <c r="F26" s="84"/>
      <c r="K26" s="189"/>
      <c r="L26" s="189"/>
      <c r="R26" s="1654" t="s">
        <v>253</v>
      </c>
      <c r="S26" s="1633"/>
      <c r="T26" s="1633"/>
      <c r="U26" s="1633"/>
      <c r="V26" s="997"/>
      <c r="Z26" s="14"/>
      <c r="AA26" s="14"/>
      <c r="AB26" s="14"/>
      <c r="AC26" s="14"/>
      <c r="AD26" s="14"/>
    </row>
    <row r="27" spans="2:31" ht="14.25" customHeight="1" thickBot="1" x14ac:dyDescent="0.3">
      <c r="B27" s="84"/>
      <c r="E27" s="84"/>
      <c r="F27" s="84"/>
      <c r="K27" s="189"/>
      <c r="R27" s="126" t="s">
        <v>254</v>
      </c>
      <c r="S27" s="127" t="s">
        <v>469</v>
      </c>
      <c r="T27" s="127" t="s">
        <v>256</v>
      </c>
      <c r="U27" s="127" t="s">
        <v>257</v>
      </c>
      <c r="V27" s="127" t="s">
        <v>772</v>
      </c>
      <c r="W27" s="127" t="s">
        <v>779</v>
      </c>
      <c r="Z27" s="122" t="s">
        <v>258</v>
      </c>
      <c r="AA27" s="1031" t="s">
        <v>312</v>
      </c>
      <c r="AB27" s="128" t="s">
        <v>259</v>
      </c>
      <c r="AC27" s="128" t="s">
        <v>261</v>
      </c>
      <c r="AD27" s="1032" t="s">
        <v>779</v>
      </c>
      <c r="AE27" s="128" t="s">
        <v>262</v>
      </c>
    </row>
    <row r="28" spans="2:31" ht="14.25" customHeight="1" thickBot="1" x14ac:dyDescent="0.3">
      <c r="R28" s="129" t="s">
        <v>263</v>
      </c>
      <c r="S28" s="696">
        <f>$Z$1</f>
        <v>35270</v>
      </c>
      <c r="T28" s="281"/>
      <c r="U28" s="690">
        <f>S28/S40</f>
        <v>35270</v>
      </c>
      <c r="V28" s="130">
        <f>SUM(AP5:AP13)</f>
        <v>7986.1166666666668</v>
      </c>
      <c r="W28" s="130">
        <f>H37</f>
        <v>0</v>
      </c>
      <c r="Z28" s="132"/>
      <c r="AA28" s="1034"/>
      <c r="AB28" s="133">
        <f>AA25*$S$40</f>
        <v>1</v>
      </c>
      <c r="AC28" s="134">
        <f>AA25*0.15</f>
        <v>0.15</v>
      </c>
      <c r="AD28" s="1034"/>
      <c r="AE28" s="1146">
        <f>SUM(AB28:AC28)</f>
        <v>1.1499999999999999</v>
      </c>
    </row>
    <row r="29" spans="2:31" ht="14.25" customHeight="1" thickBot="1" x14ac:dyDescent="0.3">
      <c r="K29" s="189"/>
      <c r="R29" s="129" t="s">
        <v>264</v>
      </c>
      <c r="S29" s="136"/>
      <c r="T29" s="130">
        <f>S28*0.15</f>
        <v>5290.5</v>
      </c>
      <c r="U29" s="690">
        <f>T29</f>
        <v>5290.5</v>
      </c>
      <c r="V29" s="130"/>
      <c r="W29" s="130"/>
      <c r="Z29" s="132"/>
      <c r="AA29" s="1038"/>
      <c r="AB29" s="137">
        <f>AB28/$AE$28</f>
        <v>0.86956521739130443</v>
      </c>
      <c r="AC29" s="137">
        <f>AC28/$AE$28</f>
        <v>0.13043478260869565</v>
      </c>
      <c r="AD29" s="1038"/>
      <c r="AE29" s="137">
        <f>AE28/$AE$28</f>
        <v>1</v>
      </c>
    </row>
    <row r="30" spans="2:31" ht="14.25" customHeight="1" thickBot="1" x14ac:dyDescent="0.3">
      <c r="K30" s="189"/>
      <c r="R30" s="129" t="s">
        <v>265</v>
      </c>
      <c r="S30" s="1173">
        <f>$AB$1</f>
        <v>1000</v>
      </c>
      <c r="T30" s="692">
        <f>S30*0.15</f>
        <v>150</v>
      </c>
      <c r="U30" s="692">
        <f>S30/S40</f>
        <v>1000</v>
      </c>
      <c r="V30" s="989"/>
      <c r="W30" s="989"/>
      <c r="Z30" s="122" t="s">
        <v>266</v>
      </c>
      <c r="AA30" s="1042">
        <f>V35/(S32/R1)</f>
        <v>9.1823097903815146E-4</v>
      </c>
      <c r="AB30" s="138">
        <f>S35/(S32)</f>
        <v>4.7281323877068564E-2</v>
      </c>
      <c r="AC30" s="138">
        <f>T35/(T32)</f>
        <v>5.4411514084507038E-3</v>
      </c>
      <c r="AD30" s="1045">
        <f>W35/U32</f>
        <v>0</v>
      </c>
      <c r="AE30" s="140">
        <f>SUMPRODUCT(AB30:AC30,AB29:AC29)</f>
        <v>4.1823910076814068E-2</v>
      </c>
    </row>
    <row r="31" spans="2:31" ht="14.25" customHeight="1" thickBot="1" x14ac:dyDescent="0.3">
      <c r="R31" s="129" t="s">
        <v>267</v>
      </c>
      <c r="S31" s="136"/>
      <c r="T31" s="130"/>
      <c r="U31" s="130"/>
      <c r="V31" s="130"/>
      <c r="W31" s="130"/>
    </row>
    <row r="32" spans="2:31" ht="14.25" customHeight="1" thickBot="1" x14ac:dyDescent="0.3">
      <c r="R32" s="141" t="s">
        <v>257</v>
      </c>
      <c r="S32" s="130">
        <f>SUM(S28:S30)</f>
        <v>36270</v>
      </c>
      <c r="T32" s="130">
        <f>SUM(T28:T30)</f>
        <v>5440.5</v>
      </c>
      <c r="U32" s="130">
        <f>SUM(S32:T32)</f>
        <v>41710.5</v>
      </c>
      <c r="V32" s="130"/>
      <c r="W32" s="130">
        <f>SUM(W28:W30)</f>
        <v>0</v>
      </c>
    </row>
    <row r="33" spans="17:23" ht="14.25" customHeight="1" thickBot="1" x14ac:dyDescent="0.3">
      <c r="R33" s="142" t="s">
        <v>268</v>
      </c>
      <c r="S33" s="136"/>
      <c r="T33" s="136">
        <f>F45</f>
        <v>0</v>
      </c>
      <c r="U33" s="136"/>
      <c r="V33" s="136"/>
      <c r="W33" s="136"/>
    </row>
    <row r="34" spans="17:23" ht="14.25" customHeight="1" thickBot="1" x14ac:dyDescent="0.3">
      <c r="R34" s="143" t="s">
        <v>269</v>
      </c>
      <c r="S34" s="136"/>
      <c r="T34" s="130">
        <f>T33-(T28+T29)</f>
        <v>-5290.5</v>
      </c>
      <c r="U34" s="136"/>
      <c r="V34" s="136"/>
      <c r="W34" s="136"/>
    </row>
    <row r="35" spans="17:23" ht="14.25" customHeight="1" thickBot="1" x14ac:dyDescent="0.3">
      <c r="R35" s="144" t="s">
        <v>249</v>
      </c>
      <c r="S35" s="990">
        <f>$L$5</f>
        <v>1714.8936170212769</v>
      </c>
      <c r="T35" s="990">
        <f>SUM(L6:L10)</f>
        <v>29.602584237676055</v>
      </c>
      <c r="U35" s="990">
        <f>S35+T35+V35+W35</f>
        <v>1806.1707153510154</v>
      </c>
      <c r="V35" s="990">
        <f>SUM(AT6:AT13)</f>
        <v>61.674514092062495</v>
      </c>
      <c r="W35" s="990">
        <f>L37</f>
        <v>0</v>
      </c>
    </row>
    <row r="36" spans="17:23" ht="18" customHeight="1" x14ac:dyDescent="0.25"/>
    <row r="40" spans="17:23" ht="18" customHeight="1" x14ac:dyDescent="0.25">
      <c r="Q40" s="14"/>
      <c r="R40" s="146" t="s">
        <v>270</v>
      </c>
      <c r="S40" s="217">
        <v>1</v>
      </c>
      <c r="T40" s="146" t="s">
        <v>271</v>
      </c>
      <c r="U40" s="217">
        <v>0</v>
      </c>
      <c r="V40" s="149">
        <f>S40+U40</f>
        <v>1</v>
      </c>
      <c r="W40" s="14"/>
    </row>
    <row r="41" spans="17:23" ht="14.25" customHeight="1" x14ac:dyDescent="0.25">
      <c r="Q41" s="14"/>
      <c r="R41" s="14"/>
      <c r="S41" s="14"/>
      <c r="T41" s="14"/>
      <c r="U41" s="150"/>
      <c r="V41" s="14"/>
      <c r="W41" s="14"/>
    </row>
    <row r="42" spans="17:23" ht="14.25" customHeight="1" x14ac:dyDescent="0.25">
      <c r="Q42" s="14"/>
      <c r="R42" s="14"/>
      <c r="S42" s="14"/>
      <c r="T42" s="14"/>
      <c r="U42" s="14"/>
      <c r="V42" s="14"/>
      <c r="W42" s="14"/>
    </row>
    <row r="43" spans="17:23" ht="14.25" customHeight="1" x14ac:dyDescent="0.25">
      <c r="Q43" s="151" t="s">
        <v>272</v>
      </c>
      <c r="R43" s="151" t="s">
        <v>273</v>
      </c>
      <c r="S43" s="151" t="s">
        <v>274</v>
      </c>
      <c r="T43" s="151" t="s">
        <v>275</v>
      </c>
      <c r="U43" s="151" t="s">
        <v>276</v>
      </c>
      <c r="V43" s="151" t="s">
        <v>277</v>
      </c>
      <c r="W43" s="151" t="s">
        <v>278</v>
      </c>
    </row>
    <row r="44" spans="17:23" ht="14.25" customHeight="1" x14ac:dyDescent="0.25">
      <c r="Q44" s="153">
        <v>66667</v>
      </c>
      <c r="R44" s="154">
        <f>D51</f>
        <v>10000</v>
      </c>
      <c r="S44" s="155">
        <v>0</v>
      </c>
      <c r="T44" s="155">
        <v>1</v>
      </c>
      <c r="U44" s="220">
        <f>R44*S44</f>
        <v>0</v>
      </c>
      <c r="V44" s="157">
        <f>R44*T44</f>
        <v>10000</v>
      </c>
      <c r="W44" s="157">
        <f>Q44-U44</f>
        <v>66667</v>
      </c>
    </row>
    <row r="49" spans="1:10" ht="14.25" customHeight="1" x14ac:dyDescent="0.25"/>
    <row r="50" spans="1:10" ht="14.25" customHeight="1" x14ac:dyDescent="0.25">
      <c r="B50" s="253"/>
      <c r="C50" s="126" t="s">
        <v>233</v>
      </c>
      <c r="D50" s="126" t="s">
        <v>279</v>
      </c>
      <c r="F50" s="84"/>
      <c r="G50" s="126" t="s">
        <v>280</v>
      </c>
      <c r="H50" s="126" t="s">
        <v>233</v>
      </c>
      <c r="I50" s="126" t="s">
        <v>281</v>
      </c>
      <c r="J50" s="126" t="s">
        <v>282</v>
      </c>
    </row>
    <row r="51" spans="1:10" ht="14.25" customHeight="1" x14ac:dyDescent="0.25">
      <c r="B51" s="161" t="s">
        <v>283</v>
      </c>
      <c r="C51" s="162">
        <f>10/$K$1</f>
        <v>10</v>
      </c>
      <c r="D51" s="163">
        <f>$C$1*10</f>
        <v>10000</v>
      </c>
      <c r="E51" s="164"/>
      <c r="F51" s="84"/>
      <c r="G51" s="161" t="s">
        <v>283</v>
      </c>
      <c r="H51" s="254">
        <f>I51/$D$5</f>
        <v>10</v>
      </c>
      <c r="I51" s="162">
        <f>J51/$R$1</f>
        <v>123457.4074074074</v>
      </c>
      <c r="J51" s="162">
        <f>$W$44</f>
        <v>66667</v>
      </c>
    </row>
    <row r="52" spans="1:10" ht="14.25" customHeight="1" x14ac:dyDescent="0.25">
      <c r="B52" s="209" t="s">
        <v>262</v>
      </c>
      <c r="C52" s="210">
        <f>$I$1</f>
        <v>5.4405000000000001</v>
      </c>
      <c r="D52" s="211">
        <f>$E$1</f>
        <v>5440.5</v>
      </c>
      <c r="E52" s="84"/>
      <c r="F52" s="84"/>
      <c r="G52" s="129" t="s">
        <v>262</v>
      </c>
      <c r="H52" s="190">
        <f>I52/$D$5</f>
        <v>5.4404727976360112</v>
      </c>
      <c r="I52" s="157">
        <f>J52/$R$1</f>
        <v>67166.666666666657</v>
      </c>
      <c r="J52" s="165">
        <f>$S$32</f>
        <v>36270</v>
      </c>
    </row>
    <row r="53" spans="1:10" ht="14.25" customHeight="1" x14ac:dyDescent="0.25">
      <c r="B53" s="209" t="s">
        <v>284</v>
      </c>
      <c r="C53" s="212">
        <f>MIN(C52, C51)</f>
        <v>5.4405000000000001</v>
      </c>
      <c r="D53" s="211">
        <f>(C53*$K$1)*$C$1</f>
        <v>5440.5</v>
      </c>
      <c r="E53" s="84"/>
      <c r="F53" s="84"/>
      <c r="G53" s="129" t="s">
        <v>284</v>
      </c>
      <c r="H53" s="168">
        <f>MIN(H52,H51)</f>
        <v>5.4404727976360112</v>
      </c>
      <c r="I53" s="157">
        <f>J53/$R$1</f>
        <v>67166.666666666657</v>
      </c>
      <c r="J53" s="157">
        <f>MIN(J52,J51)</f>
        <v>36270</v>
      </c>
    </row>
    <row r="54" spans="1:10" ht="14.25" customHeight="1" x14ac:dyDescent="0.25">
      <c r="B54" s="209" t="s">
        <v>285</v>
      </c>
      <c r="C54" s="212">
        <f>MIN(MAX(C52-C53,0),C51)</f>
        <v>0</v>
      </c>
      <c r="D54" s="211">
        <f>(C54*$K$1)*$C$1</f>
        <v>0</v>
      </c>
      <c r="E54" s="84"/>
      <c r="F54" s="84"/>
      <c r="G54" s="129" t="s">
        <v>285</v>
      </c>
      <c r="H54" s="168">
        <f>MIN(MAX(H52-H53),H51)</f>
        <v>0</v>
      </c>
      <c r="I54" s="157">
        <f>J54/$R$1</f>
        <v>0</v>
      </c>
      <c r="J54" s="157">
        <f>MIN(MAX(J52-J53),J51)</f>
        <v>0</v>
      </c>
    </row>
    <row r="55" spans="1:10" x14ac:dyDescent="0.25">
      <c r="B55" s="209" t="s">
        <v>286</v>
      </c>
      <c r="C55" s="212">
        <f>MIN(MAX(C52-C53-C54,0),C51)</f>
        <v>0</v>
      </c>
      <c r="D55" s="211">
        <f>(C55*$K$1)*$C$1</f>
        <v>0</v>
      </c>
      <c r="E55" s="84"/>
      <c r="F55" s="84"/>
      <c r="G55" s="126" t="s">
        <v>286</v>
      </c>
      <c r="H55" s="168">
        <f>MIN(MAX(H52-H53-H54),H51)</f>
        <v>0</v>
      </c>
      <c r="I55" s="157">
        <f>J55/$R$1</f>
        <v>0</v>
      </c>
      <c r="J55" s="157">
        <f>MIN(MAX(J52-J53-J54),J51)</f>
        <v>0</v>
      </c>
    </row>
    <row r="62" spans="1:10" ht="18" customHeight="1" x14ac:dyDescent="0.25">
      <c r="A62" s="1526"/>
      <c r="B62" s="1636" t="str">
        <f>"سمك بالشبت و الليمون  1 / " &amp; COUNTIF($C$53:$C$54, "&gt;0")</f>
        <v>سمك بالشبت و الليمون  1 / 1</v>
      </c>
      <c r="C62" s="1637"/>
      <c r="D62" s="1637"/>
      <c r="E62" s="1637"/>
      <c r="F62" s="1637"/>
      <c r="G62" s="1637"/>
      <c r="H62" s="1637"/>
    </row>
    <row r="63" spans="1:10" ht="18" customHeight="1" x14ac:dyDescent="0.25">
      <c r="A63" s="1526"/>
      <c r="B63" s="1634" t="str">
        <f>"Fish with Shabat and Lemon   1 / " &amp; COUNTIF($C$53:$C$54, "&gt;0")</f>
        <v>Fish with Shabat and Lemon   1 / 1</v>
      </c>
      <c r="C63" s="1635"/>
      <c r="D63" s="1635"/>
      <c r="E63" s="1635"/>
      <c r="F63" s="1635"/>
      <c r="G63" s="1635"/>
      <c r="H63" s="1635"/>
    </row>
    <row r="64" spans="1:10" ht="25.5" x14ac:dyDescent="0.2">
      <c r="A64" s="75"/>
      <c r="B64" s="221" t="s">
        <v>241</v>
      </c>
      <c r="C64" s="222" t="s">
        <v>242</v>
      </c>
      <c r="D64" s="223" t="s">
        <v>231</v>
      </c>
      <c r="E64" s="197" t="s">
        <v>234</v>
      </c>
      <c r="F64" s="197" t="s">
        <v>243</v>
      </c>
      <c r="G64" s="223" t="s">
        <v>244</v>
      </c>
      <c r="H64" s="197" t="s">
        <v>245</v>
      </c>
    </row>
    <row r="65" spans="1:10" ht="14.25" customHeight="1" x14ac:dyDescent="0.2">
      <c r="A65" s="198" t="s">
        <v>221</v>
      </c>
      <c r="B65" s="96" t="str">
        <f t="shared" ref="B65:D70" si="11">B5</f>
        <v>Fillet Fish - سمك فيليه</v>
      </c>
      <c r="C65" s="105" t="str">
        <f t="shared" si="11"/>
        <v>gm</v>
      </c>
      <c r="D65" s="427">
        <f t="shared" si="11"/>
        <v>12345.740740740741</v>
      </c>
      <c r="E65" s="257">
        <f>H53</f>
        <v>5.4404727976360112</v>
      </c>
      <c r="F65" s="109">
        <f>F5</f>
        <v>1</v>
      </c>
      <c r="G65" s="101">
        <f>G5</f>
        <v>67166.666666666657</v>
      </c>
      <c r="H65" s="102">
        <f>H5</f>
        <v>67166.666666666657</v>
      </c>
    </row>
    <row r="66" spans="1:10" ht="14.25" customHeight="1" x14ac:dyDescent="0.25">
      <c r="A66" s="247" t="s">
        <v>61</v>
      </c>
      <c r="B66" s="96" t="str">
        <f t="shared" si="11"/>
        <v>Dill Leaves - شبت</v>
      </c>
      <c r="C66" s="105" t="str">
        <f t="shared" si="11"/>
        <v>gm</v>
      </c>
      <c r="D66" s="105">
        <f t="shared" si="11"/>
        <v>75</v>
      </c>
      <c r="E66" s="258">
        <f>$C$53</f>
        <v>5.4405000000000001</v>
      </c>
      <c r="F66" s="109">
        <f>F6</f>
        <v>1</v>
      </c>
      <c r="G66" s="101">
        <f>D66*E66</f>
        <v>408.03750000000002</v>
      </c>
      <c r="H66" s="102">
        <f>G66*F66</f>
        <v>408.03750000000002</v>
      </c>
    </row>
    <row r="67" spans="1:10" ht="14.25" customHeight="1" x14ac:dyDescent="0.25">
      <c r="A67" s="247" t="s">
        <v>204</v>
      </c>
      <c r="B67" s="96" t="str">
        <f t="shared" si="11"/>
        <v>Lemon Juice - عصير ليمون</v>
      </c>
      <c r="C67" s="105" t="str">
        <f t="shared" si="11"/>
        <v>ml</v>
      </c>
      <c r="D67" s="105">
        <f t="shared" si="11"/>
        <v>1000</v>
      </c>
      <c r="E67" s="107">
        <f>$C$53</f>
        <v>5.4405000000000001</v>
      </c>
      <c r="F67" s="109">
        <f>F7</f>
        <v>1</v>
      </c>
      <c r="G67" s="101">
        <f>D67*E67</f>
        <v>5440.5</v>
      </c>
      <c r="H67" s="102">
        <f>G67*F67</f>
        <v>5440.5</v>
      </c>
    </row>
    <row r="68" spans="1:10" ht="14.25" customHeight="1" x14ac:dyDescent="0.25">
      <c r="A68" s="247" t="s">
        <v>94</v>
      </c>
      <c r="B68" s="96" t="str">
        <f t="shared" si="11"/>
        <v>Black Pepper Powder - فلفل أسود مطحون</v>
      </c>
      <c r="C68" s="105" t="str">
        <f t="shared" si="11"/>
        <v>gm</v>
      </c>
      <c r="D68" s="105">
        <f t="shared" si="11"/>
        <v>2.5</v>
      </c>
      <c r="E68" s="107">
        <f>$C$53</f>
        <v>5.4405000000000001</v>
      </c>
      <c r="F68" s="109">
        <f>F8</f>
        <v>1</v>
      </c>
      <c r="G68" s="101">
        <f>D68*E68</f>
        <v>13.60125</v>
      </c>
      <c r="H68" s="102">
        <f>G68*F68</f>
        <v>13.60125</v>
      </c>
    </row>
    <row r="69" spans="1:10" ht="14.25" customHeight="1" x14ac:dyDescent="0.25">
      <c r="A69" s="247" t="s">
        <v>94</v>
      </c>
      <c r="B69" s="96" t="str">
        <f t="shared" si="11"/>
        <v>Salt - ملح</v>
      </c>
      <c r="C69" s="105" t="str">
        <f t="shared" si="11"/>
        <v>gm</v>
      </c>
      <c r="D69" s="105">
        <f t="shared" si="11"/>
        <v>12.5</v>
      </c>
      <c r="E69" s="107">
        <f>$C$53</f>
        <v>5.4405000000000001</v>
      </c>
      <c r="F69" s="109">
        <f>F9</f>
        <v>1</v>
      </c>
      <c r="G69" s="101">
        <f>D69*E69</f>
        <v>68.006249999999994</v>
      </c>
      <c r="H69" s="102">
        <f>G69*F69</f>
        <v>68.006249999999994</v>
      </c>
    </row>
    <row r="70" spans="1:10" ht="14.25" customHeight="1" x14ac:dyDescent="0.25">
      <c r="A70" s="247" t="s">
        <v>94</v>
      </c>
      <c r="B70" s="96" t="str">
        <f t="shared" si="11"/>
        <v>Cumin Powder - كمون مطحون</v>
      </c>
      <c r="C70" s="105" t="str">
        <f t="shared" si="11"/>
        <v>gm</v>
      </c>
      <c r="D70" s="105">
        <f t="shared" si="11"/>
        <v>2.5</v>
      </c>
      <c r="E70" s="107">
        <f>$C$53</f>
        <v>5.4405000000000001</v>
      </c>
      <c r="F70" s="109">
        <f>F10</f>
        <v>1</v>
      </c>
      <c r="G70" s="101">
        <f>D70*E70</f>
        <v>13.60125</v>
      </c>
      <c r="H70" s="102">
        <f>G70*F70</f>
        <v>13.60125</v>
      </c>
    </row>
    <row r="71" spans="1:10" ht="20.25" customHeight="1" x14ac:dyDescent="0.3">
      <c r="A71" s="191"/>
      <c r="B71" s="178" t="s">
        <v>287</v>
      </c>
      <c r="C71" s="180" t="s">
        <v>273</v>
      </c>
      <c r="D71" s="14"/>
      <c r="E71" s="180" t="s">
        <v>288</v>
      </c>
      <c r="F71" s="14"/>
      <c r="G71" s="804" t="s">
        <v>264</v>
      </c>
      <c r="H71" s="804" t="s">
        <v>673</v>
      </c>
      <c r="I71" s="184"/>
      <c r="J71" s="183"/>
    </row>
    <row r="72" spans="1:10" ht="20.25" x14ac:dyDescent="0.3">
      <c r="A72" s="191"/>
      <c r="B72" s="179">
        <f>$J$53</f>
        <v>36270</v>
      </c>
      <c r="C72" s="179">
        <f>E72+G72</f>
        <v>5440.5</v>
      </c>
      <c r="D72" s="839"/>
      <c r="E72" s="179">
        <f>$D$53*$S$44</f>
        <v>0</v>
      </c>
      <c r="F72" s="843"/>
      <c r="G72" s="179">
        <f>$D$53*$T$44</f>
        <v>5440.5</v>
      </c>
      <c r="H72" s="179">
        <f>B72+E72</f>
        <v>36270</v>
      </c>
    </row>
  </sheetData>
  <mergeCells count="7">
    <mergeCell ref="B63:H63"/>
    <mergeCell ref="F2:G3"/>
    <mergeCell ref="AE2:AG3"/>
    <mergeCell ref="AK2:AN3"/>
    <mergeCell ref="R25:U25"/>
    <mergeCell ref="R26:U26"/>
    <mergeCell ref="B62:H62"/>
  </mergeCells>
  <printOptions horizontalCentered="1"/>
  <pageMargins left="0.4" right="0.4" top="1" bottom="0.5" header="0.3" footer="0.511811023622047"/>
  <pageSetup paperSize="9" scale="48" orientation="landscape"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DD857-5819-4DC3-934F-5B98D264A9EC}">
  <sheetPr codeName="Sheet74">
    <tabColor rgb="FF333F50"/>
    <pageSetUpPr fitToPage="1"/>
  </sheetPr>
  <dimension ref="A1:AG131"/>
  <sheetViews>
    <sheetView zoomScale="85" zoomScaleNormal="85" workbookViewId="0">
      <selection activeCell="A13" sqref="A13"/>
    </sheetView>
  </sheetViews>
  <sheetFormatPr defaultColWidth="12.5" defaultRowHeight="15" x14ac:dyDescent="0.25"/>
  <cols>
    <col min="1" max="1" width="12.5" style="1" customWidth="1"/>
    <col min="2" max="2" width="30.875" customWidth="1"/>
    <col min="3" max="3" width="19.75" customWidth="1"/>
    <col min="4" max="4" width="19" customWidth="1"/>
    <col min="5" max="5" width="16.125" customWidth="1"/>
    <col min="6" max="6" width="23.125" customWidth="1"/>
    <col min="7" max="7" width="25.125" customWidth="1"/>
    <col min="8" max="8" width="36.125" customWidth="1"/>
    <col min="12" max="12" width="8.375" customWidth="1"/>
    <col min="13" max="14" width="6.125" customWidth="1"/>
    <col min="18" max="18" width="32" customWidth="1"/>
    <col min="30" max="31" width="12.5" style="1540"/>
  </cols>
  <sheetData>
    <row r="1" spans="1:33" ht="35.25" customHeight="1" x14ac:dyDescent="0.25">
      <c r="B1" s="64" t="s">
        <v>231</v>
      </c>
      <c r="C1" s="65">
        <v>1000</v>
      </c>
      <c r="D1" s="66" t="s">
        <v>232</v>
      </c>
      <c r="E1" s="99">
        <f>T32</f>
        <v>15112.999999999998</v>
      </c>
      <c r="F1" s="64" t="s">
        <v>233</v>
      </c>
      <c r="G1" s="103">
        <f>E1/C1</f>
        <v>15.112999999999998</v>
      </c>
      <c r="H1" s="64" t="s">
        <v>234</v>
      </c>
      <c r="I1" s="1539">
        <f>G1/K1</f>
        <v>15.580412371134019</v>
      </c>
      <c r="J1" s="70" t="s">
        <v>235</v>
      </c>
      <c r="K1" s="84">
        <f>9.7/10</f>
        <v>0.97</v>
      </c>
      <c r="M1" s="73"/>
      <c r="N1" s="74"/>
      <c r="O1" s="75" t="s">
        <v>236</v>
      </c>
      <c r="P1" s="76" t="s">
        <v>289</v>
      </c>
      <c r="Q1" s="77" t="s">
        <v>238</v>
      </c>
      <c r="R1" s="76">
        <v>0.5</v>
      </c>
      <c r="Y1" s="75" t="s">
        <v>453</v>
      </c>
      <c r="Z1" s="766">
        <v>20590</v>
      </c>
      <c r="AA1" s="75" t="s">
        <v>556</v>
      </c>
      <c r="AB1" s="766">
        <v>1000</v>
      </c>
      <c r="AC1" s="75" t="s">
        <v>546</v>
      </c>
      <c r="AD1" s="766">
        <v>136</v>
      </c>
      <c r="AE1" s="749"/>
      <c r="AF1" s="230"/>
      <c r="AG1" s="76"/>
    </row>
    <row r="2" spans="1:33" ht="12.75" customHeight="1" x14ac:dyDescent="0.25">
      <c r="A2" s="242"/>
      <c r="B2" s="1645" t="s">
        <v>162</v>
      </c>
      <c r="C2" s="1653"/>
      <c r="D2" s="1653"/>
      <c r="E2" s="1653"/>
      <c r="F2" s="1653"/>
      <c r="G2" s="1653"/>
      <c r="H2" s="1653"/>
      <c r="I2" s="1653"/>
      <c r="J2" s="1653"/>
      <c r="K2" s="1653"/>
      <c r="L2" s="270"/>
      <c r="M2" s="84"/>
      <c r="N2" s="84"/>
      <c r="O2" s="84"/>
      <c r="P2" s="84"/>
      <c r="Q2" s="84"/>
      <c r="R2" s="84"/>
      <c r="AC2" s="83"/>
      <c r="AD2" s="750"/>
      <c r="AE2" s="750"/>
    </row>
    <row r="3" spans="1:33" ht="12.75" customHeight="1" x14ac:dyDescent="0.25">
      <c r="A3" s="242"/>
      <c r="B3" s="1633"/>
      <c r="C3" s="1633"/>
      <c r="D3" s="1633"/>
      <c r="E3" s="1633"/>
      <c r="F3" s="1633"/>
      <c r="G3" s="1633"/>
      <c r="H3" s="1633"/>
      <c r="I3" s="1633"/>
      <c r="J3" s="1633"/>
      <c r="K3" s="1633"/>
      <c r="L3" s="270"/>
      <c r="M3" s="84"/>
      <c r="N3" s="84"/>
      <c r="O3" s="84"/>
      <c r="P3" s="84"/>
      <c r="Q3" s="84"/>
      <c r="R3" s="84"/>
      <c r="AC3" s="83"/>
      <c r="AD3" s="750"/>
      <c r="AE3" s="750"/>
    </row>
    <row r="4" spans="1:33" ht="35.25" customHeight="1" x14ac:dyDescent="0.2">
      <c r="A4" s="75"/>
      <c r="B4" s="75" t="s">
        <v>241</v>
      </c>
      <c r="C4" s="90" t="s">
        <v>242</v>
      </c>
      <c r="D4" s="75" t="s">
        <v>231</v>
      </c>
      <c r="E4" s="91" t="s">
        <v>234</v>
      </c>
      <c r="F4" s="91" t="s">
        <v>243</v>
      </c>
      <c r="G4" s="75" t="s">
        <v>244</v>
      </c>
      <c r="H4" s="307" t="s">
        <v>335</v>
      </c>
      <c r="I4" s="75" t="s">
        <v>246</v>
      </c>
      <c r="J4" s="75" t="s">
        <v>247</v>
      </c>
      <c r="K4" s="75" t="s">
        <v>248</v>
      </c>
      <c r="L4" s="75" t="s">
        <v>249</v>
      </c>
      <c r="M4" s="84"/>
      <c r="N4" s="84"/>
      <c r="O4" s="84"/>
      <c r="P4" s="84"/>
      <c r="AA4" s="229"/>
      <c r="AB4" s="231"/>
      <c r="AC4" s="229"/>
      <c r="AD4" s="748"/>
      <c r="AE4" s="748"/>
    </row>
    <row r="5" spans="1:33" ht="14.25" customHeight="1" x14ac:dyDescent="0.2">
      <c r="A5" s="243"/>
      <c r="B5" s="286" t="s">
        <v>220</v>
      </c>
      <c r="C5" s="97" t="s">
        <v>14</v>
      </c>
      <c r="D5" s="245">
        <f>I51/10</f>
        <v>2857.2</v>
      </c>
      <c r="E5" s="108">
        <f>H52</f>
        <v>15.112697746045081</v>
      </c>
      <c r="F5" s="109">
        <v>1</v>
      </c>
      <c r="G5" s="101">
        <f t="shared" ref="G5:G21" si="0">D5*E5</f>
        <v>43180</v>
      </c>
      <c r="H5" s="102">
        <f t="shared" ref="H5:H21" si="1">G5*F5</f>
        <v>43180</v>
      </c>
      <c r="I5" s="65">
        <f>VLOOKUP(B5,All_Ingredients!$A$1:$F$156,6,FALSE())</f>
        <v>0.86</v>
      </c>
      <c r="J5" s="101">
        <f>VLOOKUP(B5,All_Ingredients!$A$1:$J$156,10,FALSE())</f>
        <v>17.100000000000001</v>
      </c>
      <c r="K5" s="104">
        <f t="shared" ref="K5" si="2">(H5/I5)/1000</f>
        <v>50.209302325581397</v>
      </c>
      <c r="L5" s="104">
        <f t="shared" ref="L5" si="3">K5*J5</f>
        <v>858.57906976744198</v>
      </c>
      <c r="M5" s="84"/>
      <c r="N5" s="84"/>
      <c r="O5" s="84"/>
      <c r="P5" s="84"/>
      <c r="AA5" s="76"/>
      <c r="AB5" s="114"/>
      <c r="AC5" s="232"/>
      <c r="AD5" s="751"/>
      <c r="AE5" s="752"/>
    </row>
    <row r="6" spans="1:33" ht="14.25" customHeight="1" x14ac:dyDescent="0.25">
      <c r="A6" s="247"/>
      <c r="B6" s="20" t="s">
        <v>699</v>
      </c>
      <c r="C6" s="106" t="s">
        <v>14</v>
      </c>
      <c r="D6" s="107">
        <v>520</v>
      </c>
      <c r="E6" s="177">
        <f t="shared" ref="E6:E21" si="4">$I$1</f>
        <v>15.580412371134019</v>
      </c>
      <c r="F6" s="109">
        <v>1</v>
      </c>
      <c r="G6" s="101">
        <f t="shared" si="0"/>
        <v>8101.8144329896895</v>
      </c>
      <c r="H6" s="102">
        <f t="shared" si="1"/>
        <v>8101.8144329896895</v>
      </c>
      <c r="I6" s="65">
        <f>VLOOKUP(B6,All_Ingredients!$A$1:$F$156,6,FALSE())</f>
        <v>1</v>
      </c>
      <c r="J6" s="101">
        <f>VLOOKUP(B6,All_Ingredients!$A$1:$J$156,10,FALSE())</f>
        <v>4.125</v>
      </c>
      <c r="K6" s="104">
        <f t="shared" ref="K6:K10" si="5">(H6/I6)/1000</f>
        <v>8.1018144329896895</v>
      </c>
      <c r="L6" s="104">
        <f t="shared" ref="L6:L10" si="6">K6*J6</f>
        <v>33.419984536082467</v>
      </c>
    </row>
    <row r="7" spans="1:33" ht="14.25" customHeight="1" x14ac:dyDescent="0.25">
      <c r="A7" s="247"/>
      <c r="B7" s="20" t="s">
        <v>532</v>
      </c>
      <c r="C7" s="106" t="s">
        <v>160</v>
      </c>
      <c r="D7" s="107">
        <v>600</v>
      </c>
      <c r="E7" s="177">
        <f t="shared" si="4"/>
        <v>15.580412371134019</v>
      </c>
      <c r="F7" s="109">
        <v>0.95</v>
      </c>
      <c r="G7" s="101">
        <f t="shared" si="0"/>
        <v>9348.2474226804115</v>
      </c>
      <c r="H7" s="102">
        <f t="shared" si="1"/>
        <v>8880.8350515463899</v>
      </c>
      <c r="I7" s="65">
        <f>VLOOKUP(B7,All_Ingredients!$A$1:$F$156,6,FALSE())</f>
        <v>1</v>
      </c>
      <c r="J7" s="101">
        <f>VLOOKUP(B7,All_Ingredients!$A$1:$J$156,10,FALSE())</f>
        <v>0</v>
      </c>
      <c r="K7" s="104">
        <f t="shared" si="5"/>
        <v>8.8808350515463896</v>
      </c>
      <c r="L7" s="104">
        <f t="shared" si="6"/>
        <v>0</v>
      </c>
    </row>
    <row r="8" spans="1:33" ht="14.25" customHeight="1" x14ac:dyDescent="0.25">
      <c r="A8" s="247"/>
      <c r="B8" s="20" t="s">
        <v>105</v>
      </c>
      <c r="C8" s="106" t="s">
        <v>14</v>
      </c>
      <c r="D8" s="107">
        <v>4</v>
      </c>
      <c r="E8" s="177">
        <f t="shared" si="4"/>
        <v>15.580412371134019</v>
      </c>
      <c r="F8" s="109">
        <v>0.75</v>
      </c>
      <c r="G8" s="101">
        <f t="shared" si="0"/>
        <v>62.321649484536074</v>
      </c>
      <c r="H8" s="102">
        <f t="shared" si="1"/>
        <v>46.741237113402057</v>
      </c>
      <c r="I8" s="65">
        <f>VLOOKUP(B8,All_Ingredients!$A$1:$F$156,6,FALSE())</f>
        <v>1</v>
      </c>
      <c r="J8" s="101">
        <f>VLOOKUP(B8,All_Ingredients!$A$1:$J$156,10,FALSE())</f>
        <v>15</v>
      </c>
      <c r="K8" s="104">
        <f t="shared" si="5"/>
        <v>4.6741237113402057E-2</v>
      </c>
      <c r="L8" s="104">
        <f t="shared" si="6"/>
        <v>0.70111855670103085</v>
      </c>
    </row>
    <row r="9" spans="1:33" ht="14.25" customHeight="1" x14ac:dyDescent="0.25">
      <c r="A9" s="247"/>
      <c r="B9" s="20" t="s">
        <v>107</v>
      </c>
      <c r="C9" s="106" t="s">
        <v>14</v>
      </c>
      <c r="D9" s="107">
        <v>4</v>
      </c>
      <c r="E9" s="177">
        <f t="shared" si="4"/>
        <v>15.580412371134019</v>
      </c>
      <c r="F9" s="109">
        <v>0.75</v>
      </c>
      <c r="G9" s="101">
        <f t="shared" si="0"/>
        <v>62.321649484536074</v>
      </c>
      <c r="H9" s="102">
        <f t="shared" si="1"/>
        <v>46.741237113402057</v>
      </c>
      <c r="I9" s="65">
        <f>VLOOKUP(B9,All_Ingredients!$A$1:$F$156,6,FALSE())</f>
        <v>1</v>
      </c>
      <c r="J9" s="101">
        <f>VLOOKUP(B9,All_Ingredients!$A$1:$J$156,10,FALSE())</f>
        <v>8</v>
      </c>
      <c r="K9" s="104">
        <f t="shared" si="5"/>
        <v>4.6741237113402057E-2</v>
      </c>
      <c r="L9" s="104">
        <f t="shared" si="6"/>
        <v>0.37392989690721645</v>
      </c>
    </row>
    <row r="10" spans="1:33" ht="14.25" customHeight="1" x14ac:dyDescent="0.25">
      <c r="A10" s="247"/>
      <c r="B10" s="20" t="s">
        <v>122</v>
      </c>
      <c r="C10" s="106" t="s">
        <v>14</v>
      </c>
      <c r="D10" s="107">
        <v>4</v>
      </c>
      <c r="E10" s="177">
        <f t="shared" si="4"/>
        <v>15.580412371134019</v>
      </c>
      <c r="F10" s="109">
        <v>0.9</v>
      </c>
      <c r="G10" s="101">
        <f t="shared" si="0"/>
        <v>62.321649484536074</v>
      </c>
      <c r="H10" s="102">
        <f t="shared" si="1"/>
        <v>56.089484536082466</v>
      </c>
      <c r="I10" s="65">
        <f>VLOOKUP(B10,All_Ingredients!$A$1:$F$156,6,FALSE())</f>
        <v>1</v>
      </c>
      <c r="J10" s="101">
        <f>VLOOKUP(B10,All_Ingredients!$A$1:$J$156,10,FALSE())</f>
        <v>14</v>
      </c>
      <c r="K10" s="104">
        <f t="shared" si="5"/>
        <v>5.6089484536082465E-2</v>
      </c>
      <c r="L10" s="104">
        <f t="shared" si="6"/>
        <v>0.78525278350515448</v>
      </c>
    </row>
    <row r="11" spans="1:33" ht="14.25" customHeight="1" x14ac:dyDescent="0.25">
      <c r="A11" s="247"/>
      <c r="B11" s="20" t="s">
        <v>99</v>
      </c>
      <c r="C11" s="106" t="s">
        <v>14</v>
      </c>
      <c r="D11" s="107">
        <v>4</v>
      </c>
      <c r="E11" s="177">
        <f t="shared" si="4"/>
        <v>15.580412371134019</v>
      </c>
      <c r="F11" s="109">
        <v>0.9</v>
      </c>
      <c r="G11" s="101">
        <f t="shared" si="0"/>
        <v>62.321649484536074</v>
      </c>
      <c r="H11" s="102">
        <f t="shared" si="1"/>
        <v>56.089484536082466</v>
      </c>
      <c r="I11" s="65">
        <f>VLOOKUP(B11,All_Ingredients!$A$1:$F$156,6,FALSE())</f>
        <v>1</v>
      </c>
      <c r="J11" s="101">
        <f>VLOOKUP(B11,All_Ingredients!$A$1:$J$156,10,FALSE())</f>
        <v>31</v>
      </c>
      <c r="K11" s="104">
        <f t="shared" ref="K11:K21" si="7">(H11/I11)/1000</f>
        <v>5.6089484536082465E-2</v>
      </c>
      <c r="L11" s="104">
        <f t="shared" ref="L11:L21" si="8">K11*J11</f>
        <v>1.7387740206185565</v>
      </c>
    </row>
    <row r="12" spans="1:33" ht="14.25" customHeight="1" x14ac:dyDescent="0.25">
      <c r="A12" s="247"/>
      <c r="B12" s="20" t="s">
        <v>93</v>
      </c>
      <c r="C12" s="106" t="s">
        <v>14</v>
      </c>
      <c r="D12" s="107">
        <v>11</v>
      </c>
      <c r="E12" s="177">
        <f t="shared" si="4"/>
        <v>15.580412371134019</v>
      </c>
      <c r="F12" s="109">
        <v>0.75</v>
      </c>
      <c r="G12" s="101">
        <f t="shared" si="0"/>
        <v>171.3845360824742</v>
      </c>
      <c r="H12" s="102">
        <f t="shared" si="1"/>
        <v>128.53840206185566</v>
      </c>
      <c r="I12" s="65">
        <f>VLOOKUP(B12,All_Ingredients!$A$1:$F$156,6,FALSE())</f>
        <v>1</v>
      </c>
      <c r="J12" s="101">
        <f>VLOOKUP(B12,All_Ingredients!$A$1:$J$156,10,FALSE())</f>
        <v>0.74</v>
      </c>
      <c r="K12" s="104">
        <f t="shared" si="7"/>
        <v>0.12853840206185566</v>
      </c>
      <c r="L12" s="104">
        <f t="shared" si="8"/>
        <v>9.5118417525773186E-2</v>
      </c>
    </row>
    <row r="13" spans="1:33" ht="14.25" customHeight="1" x14ac:dyDescent="0.2">
      <c r="A13" s="1603" t="s">
        <v>907</v>
      </c>
      <c r="B13" s="20" t="s">
        <v>727</v>
      </c>
      <c r="C13" s="106" t="s">
        <v>14</v>
      </c>
      <c r="D13" s="107">
        <v>25</v>
      </c>
      <c r="E13" s="177">
        <f t="shared" si="4"/>
        <v>15.580412371134019</v>
      </c>
      <c r="F13" s="109">
        <v>1</v>
      </c>
      <c r="G13" s="101">
        <f t="shared" si="0"/>
        <v>389.51030927835046</v>
      </c>
      <c r="H13" s="102">
        <f t="shared" si="1"/>
        <v>389.51030927835046</v>
      </c>
      <c r="I13" s="65">
        <f>VLOOKUP(B13,All_Ingredients!$A$1:$F$156,6,FALSE())</f>
        <v>1</v>
      </c>
      <c r="J13" s="101">
        <f>VLOOKUP(B13,All_Ingredients!$A$1:$J$156,10,FALSE())</f>
        <v>10.5</v>
      </c>
      <c r="K13" s="104">
        <f t="shared" si="7"/>
        <v>0.38951030927835045</v>
      </c>
      <c r="L13" s="104">
        <f t="shared" si="8"/>
        <v>4.0898582474226801</v>
      </c>
    </row>
    <row r="14" spans="1:33" ht="14.25" customHeight="1" x14ac:dyDescent="0.25">
      <c r="A14" s="247"/>
      <c r="B14" s="20" t="s">
        <v>156</v>
      </c>
      <c r="C14" s="106" t="s">
        <v>14</v>
      </c>
      <c r="D14" s="107">
        <v>38</v>
      </c>
      <c r="E14" s="177">
        <f t="shared" si="4"/>
        <v>15.580412371134019</v>
      </c>
      <c r="F14" s="109">
        <v>1</v>
      </c>
      <c r="G14" s="101">
        <f t="shared" si="0"/>
        <v>592.05567010309267</v>
      </c>
      <c r="H14" s="102">
        <f t="shared" si="1"/>
        <v>592.05567010309267</v>
      </c>
      <c r="I14" s="65">
        <f>VLOOKUP(B14,All_Ingredients!$A$1:$F$156,6,FALSE())</f>
        <v>1</v>
      </c>
      <c r="J14" s="101">
        <f>VLOOKUP(B14,All_Ingredients!$A$1:$J$156,10,FALSE())</f>
        <v>46.193749999999994</v>
      </c>
      <c r="K14" s="104">
        <f t="shared" si="7"/>
        <v>0.59205567010309268</v>
      </c>
      <c r="L14" s="104">
        <f t="shared" si="8"/>
        <v>27.349271610824733</v>
      </c>
    </row>
    <row r="15" spans="1:33" ht="15" customHeight="1" x14ac:dyDescent="0.25">
      <c r="A15" s="247"/>
      <c r="B15" s="20" t="s">
        <v>216</v>
      </c>
      <c r="C15" s="106" t="s">
        <v>14</v>
      </c>
      <c r="D15" s="107">
        <v>11</v>
      </c>
      <c r="E15" s="177">
        <f t="shared" si="4"/>
        <v>15.580412371134019</v>
      </c>
      <c r="F15" s="109">
        <v>1</v>
      </c>
      <c r="G15" s="101">
        <f t="shared" si="0"/>
        <v>171.3845360824742</v>
      </c>
      <c r="H15" s="102">
        <f t="shared" si="1"/>
        <v>171.3845360824742</v>
      </c>
      <c r="I15" s="65">
        <f>VLOOKUP(B15,All_Ingredients!$A$1:$F$156,6,FALSE())</f>
        <v>1</v>
      </c>
      <c r="J15" s="101">
        <f>VLOOKUP(B15,All_Ingredients!$A$1:$J$156,10,FALSE())</f>
        <v>5</v>
      </c>
      <c r="K15" s="104">
        <f t="shared" si="7"/>
        <v>0.1713845360824742</v>
      </c>
      <c r="L15" s="104">
        <f t="shared" si="8"/>
        <v>0.85692268041237096</v>
      </c>
    </row>
    <row r="16" spans="1:33" ht="14.25" customHeight="1" x14ac:dyDescent="0.25">
      <c r="A16" s="247"/>
      <c r="B16" s="20" t="s">
        <v>139</v>
      </c>
      <c r="C16" s="106" t="s">
        <v>14</v>
      </c>
      <c r="D16" s="107">
        <v>10</v>
      </c>
      <c r="E16" s="177">
        <f t="shared" si="4"/>
        <v>15.580412371134019</v>
      </c>
      <c r="F16" s="109">
        <v>1</v>
      </c>
      <c r="G16" s="101">
        <f t="shared" si="0"/>
        <v>155.8041237113402</v>
      </c>
      <c r="H16" s="102">
        <f t="shared" si="1"/>
        <v>155.8041237113402</v>
      </c>
      <c r="I16" s="65">
        <f>VLOOKUP(B16,All_Ingredients!$A$1:$F$156,6,FALSE())</f>
        <v>1</v>
      </c>
      <c r="J16" s="101">
        <f>VLOOKUP(B16,All_Ingredients!$A$1:$J$156,10,FALSE())</f>
        <v>15.277777777777779</v>
      </c>
      <c r="K16" s="104">
        <f t="shared" si="7"/>
        <v>0.1558041237113402</v>
      </c>
      <c r="L16" s="104">
        <f t="shared" si="8"/>
        <v>2.3803407789232534</v>
      </c>
    </row>
    <row r="17" spans="1:30" ht="14.25" customHeight="1" x14ac:dyDescent="0.25">
      <c r="A17" s="247"/>
      <c r="B17" s="20" t="s">
        <v>97</v>
      </c>
      <c r="C17" s="106" t="s">
        <v>14</v>
      </c>
      <c r="D17" s="107">
        <v>3</v>
      </c>
      <c r="E17" s="177">
        <f t="shared" si="4"/>
        <v>15.580412371134019</v>
      </c>
      <c r="F17" s="109">
        <v>1</v>
      </c>
      <c r="G17" s="101">
        <f t="shared" si="0"/>
        <v>46.741237113402057</v>
      </c>
      <c r="H17" s="102">
        <f t="shared" si="1"/>
        <v>46.741237113402057</v>
      </c>
      <c r="I17" s="65">
        <f>VLOOKUP(B17,All_Ingredients!$A$1:$F$156,6,FALSE())</f>
        <v>1</v>
      </c>
      <c r="J17" s="101">
        <f>VLOOKUP(B17,All_Ingredients!$A$1:$J$156,10,FALSE())</f>
        <v>38</v>
      </c>
      <c r="K17" s="104">
        <f t="shared" si="7"/>
        <v>4.6741237113402057E-2</v>
      </c>
      <c r="L17" s="104">
        <f t="shared" si="8"/>
        <v>1.7761670103092781</v>
      </c>
    </row>
    <row r="18" spans="1:30" ht="14.25" customHeight="1" x14ac:dyDescent="0.25">
      <c r="A18" s="247"/>
      <c r="B18" s="20" t="s">
        <v>103</v>
      </c>
      <c r="C18" s="106" t="s">
        <v>14</v>
      </c>
      <c r="D18" s="107">
        <v>3</v>
      </c>
      <c r="E18" s="177">
        <f t="shared" si="4"/>
        <v>15.580412371134019</v>
      </c>
      <c r="F18" s="109">
        <v>1</v>
      </c>
      <c r="G18" s="101">
        <f t="shared" si="0"/>
        <v>46.741237113402057</v>
      </c>
      <c r="H18" s="102">
        <f t="shared" si="1"/>
        <v>46.741237113402057</v>
      </c>
      <c r="I18" s="65">
        <f>VLOOKUP(B18,All_Ingredients!$A$1:$F$156,6,FALSE())</f>
        <v>1</v>
      </c>
      <c r="J18" s="101">
        <f>VLOOKUP(B18,All_Ingredients!$A$1:$J$156,10,FALSE())</f>
        <v>19</v>
      </c>
      <c r="K18" s="104">
        <f t="shared" si="7"/>
        <v>4.6741237113402057E-2</v>
      </c>
      <c r="L18" s="104">
        <f t="shared" si="8"/>
        <v>0.88808350515463907</v>
      </c>
    </row>
    <row r="19" spans="1:30" ht="14.25" customHeight="1" x14ac:dyDescent="0.25">
      <c r="A19" s="247"/>
      <c r="B19" s="20" t="s">
        <v>124</v>
      </c>
      <c r="C19" s="106" t="s">
        <v>14</v>
      </c>
      <c r="D19" s="107">
        <v>3</v>
      </c>
      <c r="E19" s="177">
        <f t="shared" si="4"/>
        <v>15.580412371134019</v>
      </c>
      <c r="F19" s="109">
        <v>1</v>
      </c>
      <c r="G19" s="101">
        <f t="shared" si="0"/>
        <v>46.741237113402057</v>
      </c>
      <c r="H19" s="102">
        <f t="shared" si="1"/>
        <v>46.741237113402057</v>
      </c>
      <c r="I19" s="65">
        <f>VLOOKUP(B19,All_Ingredients!$A$1:$F$156,6,FALSE())</f>
        <v>1</v>
      </c>
      <c r="J19" s="101">
        <f>VLOOKUP(B19,All_Ingredients!$A$1:$J$156,10,FALSE())</f>
        <v>37</v>
      </c>
      <c r="K19" s="104">
        <f t="shared" si="7"/>
        <v>4.6741237113402057E-2</v>
      </c>
      <c r="L19" s="104">
        <f t="shared" si="8"/>
        <v>1.7294257731958762</v>
      </c>
    </row>
    <row r="20" spans="1:30" ht="14.25" customHeight="1" x14ac:dyDescent="0.25">
      <c r="A20" s="247"/>
      <c r="B20" s="20" t="s">
        <v>944</v>
      </c>
      <c r="C20" s="106" t="s">
        <v>14</v>
      </c>
      <c r="D20" s="107">
        <v>3</v>
      </c>
      <c r="E20" s="177">
        <f t="shared" si="4"/>
        <v>15.580412371134019</v>
      </c>
      <c r="F20" s="109">
        <v>1</v>
      </c>
      <c r="G20" s="101">
        <f t="shared" si="0"/>
        <v>46.741237113402057</v>
      </c>
      <c r="H20" s="102">
        <f t="shared" si="1"/>
        <v>46.741237113402057</v>
      </c>
      <c r="I20" s="65">
        <f>VLOOKUP(B20,All_Ingredients!$A$1:$F$156,6,FALSE())</f>
        <v>1</v>
      </c>
      <c r="J20" s="101">
        <f>VLOOKUP(B20,All_Ingredients!$A$1:$J$156,10,FALSE())</f>
        <v>15</v>
      </c>
      <c r="K20" s="104">
        <f t="shared" si="7"/>
        <v>4.6741237113402057E-2</v>
      </c>
      <c r="L20" s="104">
        <f t="shared" si="8"/>
        <v>0.70111855670103085</v>
      </c>
    </row>
    <row r="21" spans="1:30" ht="14.25" customHeight="1" x14ac:dyDescent="0.25">
      <c r="A21" s="247"/>
      <c r="B21" s="20" t="s">
        <v>126</v>
      </c>
      <c r="C21" s="106" t="s">
        <v>14</v>
      </c>
      <c r="D21" s="107">
        <v>3</v>
      </c>
      <c r="E21" s="177">
        <f t="shared" si="4"/>
        <v>15.580412371134019</v>
      </c>
      <c r="F21" s="109">
        <v>1</v>
      </c>
      <c r="G21" s="101">
        <f t="shared" si="0"/>
        <v>46.741237113402057</v>
      </c>
      <c r="H21" s="102">
        <f t="shared" si="1"/>
        <v>46.741237113402057</v>
      </c>
      <c r="I21" s="65">
        <f>VLOOKUP(B21,All_Ingredients!$A$1:$F$156,6,FALSE())</f>
        <v>1</v>
      </c>
      <c r="J21" s="101">
        <f>VLOOKUP(B21,All_Ingredients!$A$1:$J$156,10,FALSE())</f>
        <v>125</v>
      </c>
      <c r="K21" s="104">
        <f t="shared" si="7"/>
        <v>4.6741237113402057E-2</v>
      </c>
      <c r="L21" s="104">
        <f t="shared" si="8"/>
        <v>5.8426546391752572</v>
      </c>
    </row>
    <row r="22" spans="1:30" ht="14.25" customHeight="1" x14ac:dyDescent="0.25">
      <c r="B22" s="84"/>
      <c r="E22" s="84"/>
      <c r="F22" s="84"/>
      <c r="L22" s="189"/>
    </row>
    <row r="23" spans="1:30" ht="14.25" customHeight="1" x14ac:dyDescent="0.25">
      <c r="L23" s="189"/>
    </row>
    <row r="24" spans="1:30" ht="14.25" customHeight="1" x14ac:dyDescent="0.25">
      <c r="L24" s="189"/>
      <c r="Z24" s="1124"/>
    </row>
    <row r="25" spans="1:30" ht="14.25" customHeight="1" x14ac:dyDescent="0.25">
      <c r="L25" s="189"/>
      <c r="R25" s="1640" t="s">
        <v>470</v>
      </c>
      <c r="S25" s="1633"/>
      <c r="T25" s="1633"/>
      <c r="U25" s="1633"/>
      <c r="Z25" s="122" t="s">
        <v>252</v>
      </c>
      <c r="AA25" s="123">
        <v>1</v>
      </c>
      <c r="AB25" s="122" t="s">
        <v>249</v>
      </c>
      <c r="AC25" s="1072">
        <f>(AA25*(1.7))*AD30</f>
        <v>4.3599216803191357E-2</v>
      </c>
      <c r="AD25"/>
    </row>
    <row r="26" spans="1:30" ht="14.25" customHeight="1" x14ac:dyDescent="0.25">
      <c r="L26" s="189"/>
      <c r="R26" s="1638" t="s">
        <v>417</v>
      </c>
      <c r="S26" s="1639"/>
      <c r="T26" s="1639"/>
      <c r="U26" s="1639"/>
      <c r="AB26" s="14"/>
      <c r="AC26" s="14"/>
      <c r="AD26" s="14"/>
    </row>
    <row r="27" spans="1:30" ht="14.25" customHeight="1" thickBot="1" x14ac:dyDescent="0.3">
      <c r="R27" s="126" t="s">
        <v>254</v>
      </c>
      <c r="S27" s="127" t="s">
        <v>255</v>
      </c>
      <c r="T27" s="127" t="s">
        <v>256</v>
      </c>
      <c r="U27" s="127" t="s">
        <v>257</v>
      </c>
      <c r="V27" s="127" t="s">
        <v>779</v>
      </c>
      <c r="Z27" s="122" t="s">
        <v>258</v>
      </c>
      <c r="AA27" s="128" t="s">
        <v>259</v>
      </c>
      <c r="AB27" s="128" t="s">
        <v>261</v>
      </c>
      <c r="AC27" s="1032" t="s">
        <v>779</v>
      </c>
      <c r="AD27" s="128" t="s">
        <v>262</v>
      </c>
    </row>
    <row r="28" spans="1:30" ht="14.25" customHeight="1" thickBot="1" x14ac:dyDescent="0.3">
      <c r="R28" s="129" t="s">
        <v>263</v>
      </c>
      <c r="S28" s="696">
        <f>Z1</f>
        <v>20590</v>
      </c>
      <c r="T28" s="130"/>
      <c r="U28" s="690">
        <f>S28/S40</f>
        <v>20590</v>
      </c>
      <c r="V28" s="130">
        <f>G37</f>
        <v>0</v>
      </c>
      <c r="Z28" s="132"/>
      <c r="AA28" s="133">
        <f>AA25*$S$40</f>
        <v>1</v>
      </c>
      <c r="AB28" s="134">
        <f>AA25*0.7</f>
        <v>0.7</v>
      </c>
      <c r="AC28" s="1034"/>
      <c r="AD28" s="1146">
        <f>SUM(AA28:AB28)</f>
        <v>1.7</v>
      </c>
    </row>
    <row r="29" spans="1:30" ht="14.25" customHeight="1" thickBot="1" x14ac:dyDescent="0.3">
      <c r="B29" s="84"/>
      <c r="E29" s="84"/>
      <c r="F29" s="84"/>
      <c r="R29" s="129" t="s">
        <v>264</v>
      </c>
      <c r="S29" s="136"/>
      <c r="T29" s="130">
        <f>S28*0.7</f>
        <v>14412.999999999998</v>
      </c>
      <c r="U29" s="690">
        <f>T29</f>
        <v>14412.999999999998</v>
      </c>
      <c r="V29" s="130"/>
      <c r="Z29" s="132"/>
      <c r="AA29" s="137">
        <f>AA28/$AD$28</f>
        <v>0.58823529411764708</v>
      </c>
      <c r="AB29" s="137">
        <f>AB28/$AD$28</f>
        <v>0.41176470588235292</v>
      </c>
      <c r="AC29" s="1038"/>
      <c r="AD29" s="137">
        <f>AD28/$AD$28</f>
        <v>1</v>
      </c>
    </row>
    <row r="30" spans="1:30" ht="14.25" customHeight="1" thickBot="1" x14ac:dyDescent="0.3">
      <c r="B30" s="84"/>
      <c r="E30" s="84"/>
      <c r="F30" s="84"/>
      <c r="R30" s="129" t="s">
        <v>265</v>
      </c>
      <c r="S30" s="1173">
        <f>AB1</f>
        <v>1000</v>
      </c>
      <c r="T30" s="692">
        <f>S30*0.7</f>
        <v>700</v>
      </c>
      <c r="U30" s="692">
        <f>S30/S40</f>
        <v>1000</v>
      </c>
      <c r="V30" s="989"/>
      <c r="Z30" s="122" t="s">
        <v>266</v>
      </c>
      <c r="AA30" s="138">
        <f>S35/(S32)</f>
        <v>3.9767441860465123E-2</v>
      </c>
      <c r="AB30" s="139">
        <f>T35/T32</f>
        <v>5.4739642038946152E-3</v>
      </c>
      <c r="AC30" s="1045">
        <f>V35/U32</f>
        <v>0</v>
      </c>
      <c r="AD30" s="1047">
        <f>SUMPRODUCT(AA30:AB30,AA29:AB29)+AC30</f>
        <v>2.5646598119524328E-2</v>
      </c>
    </row>
    <row r="31" spans="1:30" ht="14.25" customHeight="1" thickBot="1" x14ac:dyDescent="0.3">
      <c r="B31" s="84"/>
      <c r="E31" s="84"/>
      <c r="F31" s="84"/>
      <c r="R31" s="129" t="s">
        <v>267</v>
      </c>
      <c r="S31" s="136"/>
      <c r="T31" s="130"/>
      <c r="U31" s="130"/>
      <c r="V31" s="130"/>
    </row>
    <row r="32" spans="1:30" ht="14.25" customHeight="1" thickBot="1" x14ac:dyDescent="0.3">
      <c r="B32" s="84"/>
      <c r="E32" s="84"/>
      <c r="F32" s="84"/>
      <c r="R32" s="141" t="s">
        <v>257</v>
      </c>
      <c r="S32" s="130">
        <f>SUM(S28:S30)</f>
        <v>21590</v>
      </c>
      <c r="T32" s="130">
        <f>SUM(T28:T30)</f>
        <v>15112.999999999998</v>
      </c>
      <c r="U32" s="130">
        <f>SUM(S32:T32)</f>
        <v>36703</v>
      </c>
      <c r="V32" s="130">
        <f>SUM(V28:V30)</f>
        <v>0</v>
      </c>
    </row>
    <row r="33" spans="2:23" ht="14.25" customHeight="1" thickBot="1" x14ac:dyDescent="0.3">
      <c r="B33" s="84"/>
      <c r="E33" s="84"/>
      <c r="F33" s="84"/>
      <c r="R33" s="142" t="s">
        <v>268</v>
      </c>
      <c r="S33" s="136"/>
      <c r="T33" s="136"/>
      <c r="U33" s="136"/>
      <c r="V33" s="136"/>
    </row>
    <row r="34" spans="2:23" ht="14.25" customHeight="1" thickBot="1" x14ac:dyDescent="0.3">
      <c r="B34" s="84"/>
      <c r="E34" s="84"/>
      <c r="F34" s="84"/>
      <c r="R34" s="143" t="s">
        <v>269</v>
      </c>
      <c r="S34" s="136"/>
      <c r="T34" s="130"/>
      <c r="U34" s="136"/>
      <c r="V34" s="136"/>
    </row>
    <row r="35" spans="2:23" ht="14.25" customHeight="1" thickBot="1" x14ac:dyDescent="0.3">
      <c r="R35" s="144" t="s">
        <v>249</v>
      </c>
      <c r="S35" s="990">
        <f>$L$5</f>
        <v>858.57906976744198</v>
      </c>
      <c r="T35" s="990">
        <f>SUM(L6:L21)</f>
        <v>82.728021013459312</v>
      </c>
      <c r="U35" s="990">
        <f>S35+T35+V35</f>
        <v>941.30709078090126</v>
      </c>
      <c r="V35" s="990">
        <f>K37</f>
        <v>0</v>
      </c>
    </row>
    <row r="40" spans="2:23" ht="15" customHeight="1" x14ac:dyDescent="0.25">
      <c r="Q40" s="14"/>
      <c r="R40" s="146" t="s">
        <v>270</v>
      </c>
      <c r="S40" s="217">
        <v>1</v>
      </c>
      <c r="T40" s="146" t="s">
        <v>271</v>
      </c>
      <c r="U40" s="217">
        <v>0</v>
      </c>
      <c r="V40" s="149">
        <f>S40+U40</f>
        <v>1</v>
      </c>
      <c r="W40" s="14"/>
    </row>
    <row r="41" spans="2:23" ht="14.25" customHeight="1" x14ac:dyDescent="0.25">
      <c r="Q41" s="14"/>
      <c r="R41" s="14"/>
      <c r="S41" s="14"/>
      <c r="T41" s="14"/>
      <c r="U41" s="150"/>
      <c r="V41" s="14"/>
      <c r="W41" s="14"/>
    </row>
    <row r="42" spans="2:23" ht="14.25" customHeight="1" x14ac:dyDescent="0.25">
      <c r="Q42" s="14"/>
      <c r="R42" s="14"/>
      <c r="S42" s="14"/>
      <c r="T42" s="14"/>
      <c r="U42" s="14"/>
      <c r="V42" s="14"/>
      <c r="W42" s="14"/>
    </row>
    <row r="43" spans="2:23" ht="14.25" customHeight="1" x14ac:dyDescent="0.25">
      <c r="Q43" s="151" t="s">
        <v>272</v>
      </c>
      <c r="R43" s="151" t="s">
        <v>273</v>
      </c>
      <c r="S43" s="151" t="s">
        <v>274</v>
      </c>
      <c r="T43" s="151" t="s">
        <v>275</v>
      </c>
      <c r="U43" s="151" t="s">
        <v>276</v>
      </c>
      <c r="V43" s="151" t="s">
        <v>277</v>
      </c>
      <c r="W43" s="151" t="s">
        <v>278</v>
      </c>
    </row>
    <row r="44" spans="2:23" ht="14.25" customHeight="1" x14ac:dyDescent="0.25">
      <c r="Q44" s="153">
        <v>14286</v>
      </c>
      <c r="R44" s="154">
        <f>D51</f>
        <v>10000</v>
      </c>
      <c r="S44" s="155">
        <v>0</v>
      </c>
      <c r="T44" s="155">
        <v>1</v>
      </c>
      <c r="U44" s="220">
        <f>R44*S44</f>
        <v>0</v>
      </c>
      <c r="V44" s="157">
        <f>R44*T44</f>
        <v>10000</v>
      </c>
      <c r="W44" s="157">
        <f>Q44-U44</f>
        <v>14286</v>
      </c>
    </row>
    <row r="50" spans="1:10" x14ac:dyDescent="0.25">
      <c r="B50" s="126"/>
      <c r="C50" s="126" t="s">
        <v>233</v>
      </c>
      <c r="D50" s="126" t="s">
        <v>279</v>
      </c>
      <c r="E50" s="84"/>
      <c r="F50" s="84"/>
      <c r="G50" s="126" t="s">
        <v>280</v>
      </c>
      <c r="H50" s="126" t="s">
        <v>233</v>
      </c>
      <c r="I50" s="126" t="s">
        <v>281</v>
      </c>
      <c r="J50" s="126" t="s">
        <v>282</v>
      </c>
    </row>
    <row r="51" spans="1:10" x14ac:dyDescent="0.25">
      <c r="B51" s="161" t="s">
        <v>283</v>
      </c>
      <c r="C51" s="162">
        <f>10/$K$1</f>
        <v>10.309278350515465</v>
      </c>
      <c r="D51" s="163">
        <f>$C$1*10</f>
        <v>10000</v>
      </c>
      <c r="E51" s="164"/>
      <c r="F51" s="84"/>
      <c r="G51" s="161" t="s">
        <v>283</v>
      </c>
      <c r="H51" s="254">
        <f>I51/$D$5</f>
        <v>10</v>
      </c>
      <c r="I51" s="162">
        <f>J51/$R$1</f>
        <v>28572</v>
      </c>
      <c r="J51" s="162">
        <f>$W$44</f>
        <v>14286</v>
      </c>
    </row>
    <row r="52" spans="1:10" x14ac:dyDescent="0.25">
      <c r="B52" s="209" t="s">
        <v>262</v>
      </c>
      <c r="C52" s="210">
        <f>$I$1</f>
        <v>15.580412371134019</v>
      </c>
      <c r="D52" s="211">
        <f>$E$1</f>
        <v>15112.999999999998</v>
      </c>
      <c r="E52" s="84"/>
      <c r="F52" s="84"/>
      <c r="G52" s="129" t="s">
        <v>262</v>
      </c>
      <c r="H52" s="190">
        <f>I52/$D$5</f>
        <v>15.112697746045081</v>
      </c>
      <c r="I52" s="157">
        <f>J52/$R$1</f>
        <v>43180</v>
      </c>
      <c r="J52" s="165">
        <f>$S$32</f>
        <v>21590</v>
      </c>
    </row>
    <row r="53" spans="1:10" x14ac:dyDescent="0.25">
      <c r="B53" s="209" t="s">
        <v>284</v>
      </c>
      <c r="C53" s="212">
        <f>MIN(C52, C51)</f>
        <v>10.309278350515465</v>
      </c>
      <c r="D53" s="211">
        <f>(C53*$K$1)*$C$1</f>
        <v>10000</v>
      </c>
      <c r="E53" s="84"/>
      <c r="F53" s="84"/>
      <c r="G53" s="129" t="s">
        <v>284</v>
      </c>
      <c r="H53" s="168">
        <f>MIN(H52,H51)</f>
        <v>10</v>
      </c>
      <c r="I53" s="157">
        <f>J53/$R$1</f>
        <v>28572</v>
      </c>
      <c r="J53" s="157">
        <f>MIN(J52,J51)</f>
        <v>14286</v>
      </c>
    </row>
    <row r="54" spans="1:10" x14ac:dyDescent="0.25">
      <c r="B54" s="209" t="s">
        <v>285</v>
      </c>
      <c r="C54" s="212">
        <f>MIN(MAX(C52-C53,0),C51)</f>
        <v>5.271134020618554</v>
      </c>
      <c r="D54" s="211">
        <f>(C54*$K$1)*$C$1</f>
        <v>5112.9999999999973</v>
      </c>
      <c r="E54" s="84"/>
      <c r="F54" s="84"/>
      <c r="G54" s="129" t="s">
        <v>285</v>
      </c>
      <c r="H54" s="168">
        <f>MIN(MAX(H52-H53),H51)</f>
        <v>5.1126977460450806</v>
      </c>
      <c r="I54" s="157">
        <f>J54/$R$1</f>
        <v>14608</v>
      </c>
      <c r="J54" s="157">
        <f>MIN(MAX(J52-J53),J51)</f>
        <v>7304</v>
      </c>
    </row>
    <row r="55" spans="1:10" x14ac:dyDescent="0.25">
      <c r="B55" s="209" t="s">
        <v>286</v>
      </c>
      <c r="C55" s="212">
        <f>MIN(MAX(C52-C53-C54,0),C51)</f>
        <v>0</v>
      </c>
      <c r="D55" s="211">
        <f>(C55*$K$1)*$C$1</f>
        <v>0</v>
      </c>
      <c r="E55" s="84"/>
      <c r="F55" s="84"/>
      <c r="G55" s="126" t="s">
        <v>286</v>
      </c>
      <c r="H55" s="168">
        <f>MIN(MAX(H52-H53-H54),H51)</f>
        <v>0</v>
      </c>
      <c r="I55" s="157">
        <f>J55/$R$1</f>
        <v>0</v>
      </c>
      <c r="J55" s="157">
        <f>MIN(MAX(J52-J53-J54),J51)</f>
        <v>0</v>
      </c>
    </row>
    <row r="62" spans="1:10" ht="18" customHeight="1" x14ac:dyDescent="0.25">
      <c r="A62" s="1526"/>
      <c r="B62" s="1636" t="str">
        <f>"ملوخية دجاج  1 / " &amp; COUNTIF($C$53:$C$55, "&gt;0")</f>
        <v>ملوخية دجاج  1 / 2</v>
      </c>
      <c r="C62" s="1637"/>
      <c r="D62" s="1637"/>
      <c r="E62" s="1637"/>
      <c r="F62" s="1637"/>
      <c r="G62" s="1637"/>
      <c r="H62" s="1637"/>
    </row>
    <row r="63" spans="1:10" ht="18" customHeight="1" x14ac:dyDescent="0.25">
      <c r="A63" s="1526"/>
      <c r="B63" s="1634" t="str">
        <f>"Chicken Molokeya  1 / " &amp; COUNTIF($C$53:$C$55, "&gt;0")</f>
        <v>Chicken Molokeya  1 / 2</v>
      </c>
      <c r="C63" s="1635"/>
      <c r="D63" s="1635"/>
      <c r="E63" s="1635"/>
      <c r="F63" s="1635"/>
      <c r="G63" s="1635"/>
      <c r="H63" s="1635"/>
    </row>
    <row r="64" spans="1:10" ht="39.75" customHeight="1" x14ac:dyDescent="0.2">
      <c r="A64" s="75"/>
      <c r="B64" s="75" t="s">
        <v>241</v>
      </c>
      <c r="C64" s="90" t="s">
        <v>242</v>
      </c>
      <c r="D64" s="75" t="s">
        <v>231</v>
      </c>
      <c r="E64" s="197" t="s">
        <v>234</v>
      </c>
      <c r="F64" s="91" t="s">
        <v>243</v>
      </c>
      <c r="G64" s="75" t="s">
        <v>244</v>
      </c>
      <c r="H64" s="197" t="s">
        <v>245</v>
      </c>
    </row>
    <row r="65" spans="1:8" ht="14.25" customHeight="1" x14ac:dyDescent="0.2">
      <c r="A65" s="198" t="s">
        <v>221</v>
      </c>
      <c r="B65" s="299" t="str">
        <f t="shared" ref="B65:D80" si="9">B5</f>
        <v>Chicken - دجاج</v>
      </c>
      <c r="C65" s="299" t="str">
        <f t="shared" si="9"/>
        <v>gm</v>
      </c>
      <c r="D65" s="299">
        <f t="shared" si="9"/>
        <v>2857.2</v>
      </c>
      <c r="E65" s="177">
        <f>H53</f>
        <v>10</v>
      </c>
      <c r="F65" s="109">
        <f t="shared" ref="F65:F81" si="10">F5</f>
        <v>1</v>
      </c>
      <c r="G65" s="101">
        <f t="shared" ref="G65:G81" si="11">D65*E65</f>
        <v>28572</v>
      </c>
      <c r="H65" s="102">
        <f t="shared" ref="H65:H81" si="12">G65*F65</f>
        <v>28572</v>
      </c>
    </row>
    <row r="66" spans="1:8" ht="14.25" customHeight="1" x14ac:dyDescent="0.25">
      <c r="A66" s="247" t="s">
        <v>13</v>
      </c>
      <c r="B66" s="299" t="str">
        <f>B6</f>
        <v>Frozen Molokeya - ملوخية مجمدة</v>
      </c>
      <c r="C66" s="299" t="str">
        <f t="shared" si="9"/>
        <v>gm</v>
      </c>
      <c r="D66" s="299">
        <f t="shared" si="9"/>
        <v>520</v>
      </c>
      <c r="E66" s="177">
        <f>$C$53</f>
        <v>10.309278350515465</v>
      </c>
      <c r="F66" s="109">
        <f t="shared" si="10"/>
        <v>1</v>
      </c>
      <c r="G66" s="101">
        <f t="shared" si="11"/>
        <v>5360.8247422680415</v>
      </c>
      <c r="H66" s="102">
        <f t="shared" si="12"/>
        <v>5360.8247422680415</v>
      </c>
    </row>
    <row r="67" spans="1:8" ht="14.25" customHeight="1" x14ac:dyDescent="0.25">
      <c r="A67" s="247" t="s">
        <v>204</v>
      </c>
      <c r="B67" s="299" t="str">
        <f t="shared" si="9"/>
        <v>Chicken Stock - مرق دجاج</v>
      </c>
      <c r="C67" s="299" t="str">
        <f t="shared" si="9"/>
        <v>ml</v>
      </c>
      <c r="D67" s="299">
        <f t="shared" si="9"/>
        <v>600</v>
      </c>
      <c r="E67" s="177">
        <f t="shared" ref="E67:E81" si="13">$C$53</f>
        <v>10.309278350515465</v>
      </c>
      <c r="F67" s="109">
        <f t="shared" si="10"/>
        <v>0.95</v>
      </c>
      <c r="G67" s="101">
        <f t="shared" si="11"/>
        <v>6185.5670103092789</v>
      </c>
      <c r="H67" s="102">
        <f t="shared" si="12"/>
        <v>5876.288659793815</v>
      </c>
    </row>
    <row r="68" spans="1:8" ht="14.25" customHeight="1" x14ac:dyDescent="0.25">
      <c r="A68" s="247" t="s">
        <v>94</v>
      </c>
      <c r="B68" s="299" t="str">
        <f t="shared" si="9"/>
        <v>Cumin Powder - كمون مطحون</v>
      </c>
      <c r="C68" s="299" t="str">
        <f t="shared" si="9"/>
        <v>gm</v>
      </c>
      <c r="D68" s="299">
        <f t="shared" si="9"/>
        <v>4</v>
      </c>
      <c r="E68" s="177">
        <f t="shared" si="13"/>
        <v>10.309278350515465</v>
      </c>
      <c r="F68" s="109">
        <f t="shared" si="10"/>
        <v>0.75</v>
      </c>
      <c r="G68" s="101">
        <f t="shared" si="11"/>
        <v>41.237113402061858</v>
      </c>
      <c r="H68" s="102">
        <f t="shared" si="12"/>
        <v>30.927835051546396</v>
      </c>
    </row>
    <row r="69" spans="1:8" ht="14.25" customHeight="1" x14ac:dyDescent="0.25">
      <c r="A69" s="247" t="s">
        <v>94</v>
      </c>
      <c r="B69" s="299" t="str">
        <f t="shared" si="9"/>
        <v>Coriander Powder - كزبرة مطحونة</v>
      </c>
      <c r="C69" s="299" t="str">
        <f t="shared" si="9"/>
        <v>gm</v>
      </c>
      <c r="D69" s="299">
        <f t="shared" si="9"/>
        <v>4</v>
      </c>
      <c r="E69" s="177">
        <f t="shared" si="13"/>
        <v>10.309278350515465</v>
      </c>
      <c r="F69" s="109">
        <f t="shared" si="10"/>
        <v>0.75</v>
      </c>
      <c r="G69" s="101">
        <f t="shared" si="11"/>
        <v>41.237113402061858</v>
      </c>
      <c r="H69" s="102">
        <f t="shared" si="12"/>
        <v>30.927835051546396</v>
      </c>
    </row>
    <row r="70" spans="1:8" ht="14.25" customHeight="1" x14ac:dyDescent="0.25">
      <c r="A70" s="247" t="s">
        <v>94</v>
      </c>
      <c r="B70" s="299" t="str">
        <f t="shared" si="9"/>
        <v>Cinnamon Powder - قرفة مطحونة</v>
      </c>
      <c r="C70" s="299" t="str">
        <f t="shared" si="9"/>
        <v>gm</v>
      </c>
      <c r="D70" s="299">
        <f t="shared" si="9"/>
        <v>4</v>
      </c>
      <c r="E70" s="177">
        <f t="shared" si="13"/>
        <v>10.309278350515465</v>
      </c>
      <c r="F70" s="109">
        <f t="shared" si="10"/>
        <v>0.9</v>
      </c>
      <c r="G70" s="101">
        <f t="shared" si="11"/>
        <v>41.237113402061858</v>
      </c>
      <c r="H70" s="102">
        <f t="shared" si="12"/>
        <v>37.113402061855673</v>
      </c>
    </row>
    <row r="71" spans="1:8" ht="14.25" customHeight="1" x14ac:dyDescent="0.25">
      <c r="A71" s="247" t="s">
        <v>94</v>
      </c>
      <c r="B71" s="299" t="str">
        <f t="shared" si="9"/>
        <v>Black Pepper Powder - فلفل أسود مطحون</v>
      </c>
      <c r="C71" s="299" t="str">
        <f t="shared" si="9"/>
        <v>gm</v>
      </c>
      <c r="D71" s="299">
        <f t="shared" si="9"/>
        <v>4</v>
      </c>
      <c r="E71" s="177">
        <f t="shared" si="13"/>
        <v>10.309278350515465</v>
      </c>
      <c r="F71" s="109">
        <f t="shared" si="10"/>
        <v>0.9</v>
      </c>
      <c r="G71" s="101">
        <f t="shared" si="11"/>
        <v>41.237113402061858</v>
      </c>
      <c r="H71" s="102">
        <f t="shared" si="12"/>
        <v>37.113402061855673</v>
      </c>
    </row>
    <row r="72" spans="1:8" ht="14.25" customHeight="1" x14ac:dyDescent="0.25">
      <c r="A72" s="247" t="s">
        <v>94</v>
      </c>
      <c r="B72" s="299" t="str">
        <f t="shared" si="9"/>
        <v>Salt - ملح</v>
      </c>
      <c r="C72" s="299" t="str">
        <f t="shared" si="9"/>
        <v>gm</v>
      </c>
      <c r="D72" s="299">
        <f t="shared" si="9"/>
        <v>11</v>
      </c>
      <c r="E72" s="177">
        <f t="shared" si="13"/>
        <v>10.309278350515465</v>
      </c>
      <c r="F72" s="109">
        <f t="shared" si="10"/>
        <v>0.75</v>
      </c>
      <c r="G72" s="101">
        <f t="shared" si="11"/>
        <v>113.40206185567011</v>
      </c>
      <c r="H72" s="102">
        <f t="shared" si="12"/>
        <v>85.051546391752581</v>
      </c>
    </row>
    <row r="73" spans="1:8" ht="14.25" customHeight="1" x14ac:dyDescent="0.25">
      <c r="A73" s="247" t="s">
        <v>13</v>
      </c>
      <c r="B73" s="299" t="str">
        <f t="shared" si="9"/>
        <v>Garlic - ثوم مقشر</v>
      </c>
      <c r="C73" s="299" t="str">
        <f t="shared" si="9"/>
        <v>gm</v>
      </c>
      <c r="D73" s="299">
        <f t="shared" si="9"/>
        <v>25</v>
      </c>
      <c r="E73" s="177">
        <f t="shared" si="13"/>
        <v>10.309278350515465</v>
      </c>
      <c r="F73" s="109">
        <f t="shared" si="10"/>
        <v>1</v>
      </c>
      <c r="G73" s="101">
        <f t="shared" si="11"/>
        <v>257.73195876288662</v>
      </c>
      <c r="H73" s="102">
        <f t="shared" si="12"/>
        <v>257.73195876288662</v>
      </c>
    </row>
    <row r="74" spans="1:8" ht="14.25" customHeight="1" x14ac:dyDescent="0.25">
      <c r="A74" s="247" t="s">
        <v>153</v>
      </c>
      <c r="B74" s="299" t="str">
        <f t="shared" si="9"/>
        <v>Ghee - سمن</v>
      </c>
      <c r="C74" s="299" t="str">
        <f t="shared" si="9"/>
        <v>gm</v>
      </c>
      <c r="D74" s="299">
        <f t="shared" si="9"/>
        <v>38</v>
      </c>
      <c r="E74" s="177">
        <f t="shared" si="13"/>
        <v>10.309278350515465</v>
      </c>
      <c r="F74" s="109">
        <f t="shared" si="10"/>
        <v>1</v>
      </c>
      <c r="G74" s="101">
        <f t="shared" si="11"/>
        <v>391.75257731958766</v>
      </c>
      <c r="H74" s="102">
        <f t="shared" si="12"/>
        <v>391.75257731958766</v>
      </c>
    </row>
    <row r="75" spans="1:8" ht="14.25" customHeight="1" x14ac:dyDescent="0.25">
      <c r="A75" s="247" t="s">
        <v>213</v>
      </c>
      <c r="B75" s="299" t="str">
        <f t="shared" si="9"/>
        <v>Soda Bi Carb - بيكربونات الصوديوم</v>
      </c>
      <c r="C75" s="299" t="str">
        <f t="shared" si="9"/>
        <v>gm</v>
      </c>
      <c r="D75" s="299">
        <f t="shared" si="9"/>
        <v>11</v>
      </c>
      <c r="E75" s="177">
        <f t="shared" si="13"/>
        <v>10.309278350515465</v>
      </c>
      <c r="F75" s="109">
        <f t="shared" si="10"/>
        <v>1</v>
      </c>
      <c r="G75" s="101">
        <f t="shared" si="11"/>
        <v>113.40206185567011</v>
      </c>
      <c r="H75" s="102">
        <f t="shared" si="12"/>
        <v>113.40206185567011</v>
      </c>
    </row>
    <row r="76" spans="1:8" ht="14.25" customHeight="1" x14ac:dyDescent="0.25">
      <c r="A76" s="247" t="s">
        <v>94</v>
      </c>
      <c r="B76" s="299" t="str">
        <f t="shared" si="9"/>
        <v>Maggi Cubes - مكعبات ماجي</v>
      </c>
      <c r="C76" s="299" t="str">
        <f t="shared" si="9"/>
        <v>gm</v>
      </c>
      <c r="D76" s="299">
        <f t="shared" si="9"/>
        <v>10</v>
      </c>
      <c r="E76" s="177">
        <f t="shared" si="13"/>
        <v>10.309278350515465</v>
      </c>
      <c r="F76" s="109">
        <f t="shared" si="10"/>
        <v>1</v>
      </c>
      <c r="G76" s="101">
        <f t="shared" si="11"/>
        <v>103.09278350515464</v>
      </c>
      <c r="H76" s="102">
        <f t="shared" si="12"/>
        <v>103.09278350515464</v>
      </c>
    </row>
    <row r="77" spans="1:8" ht="14.25" customHeight="1" x14ac:dyDescent="0.25">
      <c r="A77" s="247" t="s">
        <v>94</v>
      </c>
      <c r="B77" s="299" t="str">
        <f t="shared" si="9"/>
        <v>Black Pepper Whole - فلفل أسود حب</v>
      </c>
      <c r="C77" s="299" t="str">
        <f t="shared" si="9"/>
        <v>gm</v>
      </c>
      <c r="D77" s="299">
        <f t="shared" si="9"/>
        <v>3</v>
      </c>
      <c r="E77" s="177">
        <f t="shared" si="13"/>
        <v>10.309278350515465</v>
      </c>
      <c r="F77" s="109">
        <f t="shared" si="10"/>
        <v>1</v>
      </c>
      <c r="G77" s="101">
        <f t="shared" si="11"/>
        <v>30.927835051546396</v>
      </c>
      <c r="H77" s="102">
        <f t="shared" si="12"/>
        <v>30.927835051546396</v>
      </c>
    </row>
    <row r="78" spans="1:8" ht="14.25" customHeight="1" x14ac:dyDescent="0.25">
      <c r="A78" s="247" t="s">
        <v>94</v>
      </c>
      <c r="B78" s="299" t="str">
        <f t="shared" si="9"/>
        <v>Cumin Whole - كمون حب</v>
      </c>
      <c r="C78" s="299" t="str">
        <f t="shared" si="9"/>
        <v>gm</v>
      </c>
      <c r="D78" s="299">
        <f t="shared" si="9"/>
        <v>3</v>
      </c>
      <c r="E78" s="177">
        <f t="shared" si="13"/>
        <v>10.309278350515465</v>
      </c>
      <c r="F78" s="109">
        <f t="shared" si="10"/>
        <v>1</v>
      </c>
      <c r="G78" s="101">
        <f t="shared" si="11"/>
        <v>30.927835051546396</v>
      </c>
      <c r="H78" s="102">
        <f t="shared" si="12"/>
        <v>30.927835051546396</v>
      </c>
    </row>
    <row r="79" spans="1:8" ht="14.25" customHeight="1" x14ac:dyDescent="0.25">
      <c r="A79" s="247" t="s">
        <v>94</v>
      </c>
      <c r="B79" s="299" t="str">
        <f t="shared" si="9"/>
        <v>Cloves Whole - قرنفل حب</v>
      </c>
      <c r="C79" s="299" t="str">
        <f t="shared" si="9"/>
        <v>gm</v>
      </c>
      <c r="D79" s="299">
        <f t="shared" si="9"/>
        <v>3</v>
      </c>
      <c r="E79" s="177">
        <f t="shared" si="13"/>
        <v>10.309278350515465</v>
      </c>
      <c r="F79" s="109">
        <f t="shared" si="10"/>
        <v>1</v>
      </c>
      <c r="G79" s="101">
        <f t="shared" si="11"/>
        <v>30.927835051546396</v>
      </c>
      <c r="H79" s="102">
        <f t="shared" si="12"/>
        <v>30.927835051546396</v>
      </c>
    </row>
    <row r="80" spans="1:8" ht="14.25" customHeight="1" x14ac:dyDescent="0.25">
      <c r="A80" s="247" t="s">
        <v>94</v>
      </c>
      <c r="B80" s="299" t="str">
        <f t="shared" si="9"/>
        <v>Cinnamon whole - قرفة أعواد</v>
      </c>
      <c r="C80" s="299" t="str">
        <f t="shared" si="9"/>
        <v>gm</v>
      </c>
      <c r="D80" s="299">
        <f t="shared" si="9"/>
        <v>3</v>
      </c>
      <c r="E80" s="177">
        <f t="shared" si="13"/>
        <v>10.309278350515465</v>
      </c>
      <c r="F80" s="109">
        <f t="shared" si="10"/>
        <v>1</v>
      </c>
      <c r="G80" s="101">
        <f t="shared" si="11"/>
        <v>30.927835051546396</v>
      </c>
      <c r="H80" s="102">
        <f t="shared" si="12"/>
        <v>30.927835051546396</v>
      </c>
    </row>
    <row r="81" spans="1:8" ht="14.25" customHeight="1" x14ac:dyDescent="0.25">
      <c r="A81" s="247" t="s">
        <v>94</v>
      </c>
      <c r="B81" s="299" t="str">
        <f t="shared" ref="B81:D81" si="14">B21</f>
        <v>Cardamom Whole - هيل حب</v>
      </c>
      <c r="C81" s="299" t="str">
        <f t="shared" si="14"/>
        <v>gm</v>
      </c>
      <c r="D81" s="299">
        <f t="shared" si="14"/>
        <v>3</v>
      </c>
      <c r="E81" s="177">
        <f t="shared" si="13"/>
        <v>10.309278350515465</v>
      </c>
      <c r="F81" s="109">
        <f t="shared" si="10"/>
        <v>1</v>
      </c>
      <c r="G81" s="101">
        <f t="shared" si="11"/>
        <v>30.927835051546396</v>
      </c>
      <c r="H81" s="102">
        <f t="shared" si="12"/>
        <v>30.927835051546396</v>
      </c>
    </row>
    <row r="82" spans="1:8" ht="20.25" customHeight="1" x14ac:dyDescent="0.25">
      <c r="A82" s="191"/>
      <c r="B82" s="178" t="s">
        <v>287</v>
      </c>
      <c r="C82" s="180" t="s">
        <v>273</v>
      </c>
      <c r="D82" s="14"/>
      <c r="E82" s="180" t="s">
        <v>288</v>
      </c>
      <c r="F82" s="14"/>
      <c r="G82" s="804" t="s">
        <v>264</v>
      </c>
      <c r="H82" s="804" t="s">
        <v>673</v>
      </c>
    </row>
    <row r="83" spans="1:8" ht="22.5" customHeight="1" x14ac:dyDescent="0.3">
      <c r="A83" s="191"/>
      <c r="B83" s="179">
        <f>$J$53</f>
        <v>14286</v>
      </c>
      <c r="C83" s="179">
        <f>E83+G83</f>
        <v>10000</v>
      </c>
      <c r="D83" s="839"/>
      <c r="E83" s="179">
        <f>$D$53*$S$44</f>
        <v>0</v>
      </c>
      <c r="F83" s="843"/>
      <c r="G83" s="179">
        <f>$D$53*$T$44</f>
        <v>10000</v>
      </c>
      <c r="H83" s="179">
        <f>B83+E83</f>
        <v>14286</v>
      </c>
    </row>
    <row r="84" spans="1:8" ht="14.25" customHeight="1" x14ac:dyDescent="0.25">
      <c r="B84" s="84"/>
      <c r="E84" s="84"/>
      <c r="F84" s="84"/>
    </row>
    <row r="85" spans="1:8" ht="18" customHeight="1" x14ac:dyDescent="0.25">
      <c r="A85" s="1526"/>
      <c r="B85" s="1636" t="str">
        <f>"ملوخية دجاج  2 / " &amp; COUNTIF($C$53:$C$55, "&gt;0")</f>
        <v>ملوخية دجاج  2 / 2</v>
      </c>
      <c r="C85" s="1637"/>
      <c r="D85" s="1637"/>
      <c r="E85" s="1637"/>
      <c r="F85" s="1637"/>
      <c r="G85" s="1637"/>
      <c r="H85" s="1637"/>
    </row>
    <row r="86" spans="1:8" ht="18" customHeight="1" x14ac:dyDescent="0.25">
      <c r="A86" s="1526"/>
      <c r="B86" s="1634" t="str">
        <f>"Chicken Molokeya  2 / " &amp; COUNTIF($C$53:$C$55, "&gt;0")</f>
        <v>Chicken Molokeya  2 / 2</v>
      </c>
      <c r="C86" s="1635"/>
      <c r="D86" s="1635"/>
      <c r="E86" s="1635"/>
      <c r="F86" s="1635"/>
      <c r="G86" s="1635"/>
      <c r="H86" s="1635"/>
    </row>
    <row r="87" spans="1:8" ht="40.5" customHeight="1" x14ac:dyDescent="0.2">
      <c r="A87" s="75"/>
      <c r="B87" s="75" t="s">
        <v>241</v>
      </c>
      <c r="C87" s="90" t="s">
        <v>242</v>
      </c>
      <c r="D87" s="75" t="s">
        <v>231</v>
      </c>
      <c r="E87" s="197" t="s">
        <v>234</v>
      </c>
      <c r="F87" s="91" t="s">
        <v>243</v>
      </c>
      <c r="G87" s="75" t="s">
        <v>244</v>
      </c>
      <c r="H87" s="197" t="s">
        <v>245</v>
      </c>
    </row>
    <row r="88" spans="1:8" ht="14.25" customHeight="1" x14ac:dyDescent="0.25">
      <c r="A88" s="247" t="s">
        <v>221</v>
      </c>
      <c r="B88" s="299" t="str">
        <f t="shared" ref="B88:D103" si="15">B5</f>
        <v>Chicken - دجاج</v>
      </c>
      <c r="C88" s="299" t="str">
        <f t="shared" si="15"/>
        <v>gm</v>
      </c>
      <c r="D88" s="299">
        <f t="shared" si="15"/>
        <v>2857.2</v>
      </c>
      <c r="E88" s="201">
        <f>H54</f>
        <v>5.1126977460450806</v>
      </c>
      <c r="F88" s="109">
        <f t="shared" ref="F88:F104" si="16">F5</f>
        <v>1</v>
      </c>
      <c r="G88" s="101">
        <f t="shared" ref="G88:G104" si="17">D88*E88</f>
        <v>14608.000000000004</v>
      </c>
      <c r="H88" s="102">
        <f t="shared" ref="H88:H104" si="18">G88*F88</f>
        <v>14608.000000000004</v>
      </c>
    </row>
    <row r="89" spans="1:8" ht="14.25" customHeight="1" x14ac:dyDescent="0.25">
      <c r="A89" s="247" t="s">
        <v>13</v>
      </c>
      <c r="B89" s="299" t="str">
        <f t="shared" si="15"/>
        <v>Frozen Molokeya - ملوخية مجمدة</v>
      </c>
      <c r="C89" s="299" t="str">
        <f t="shared" si="15"/>
        <v>gm</v>
      </c>
      <c r="D89" s="299">
        <f t="shared" si="15"/>
        <v>520</v>
      </c>
      <c r="E89" s="201">
        <f t="shared" ref="E89:E104" si="19">$C$54</f>
        <v>5.271134020618554</v>
      </c>
      <c r="F89" s="109">
        <f t="shared" si="16"/>
        <v>1</v>
      </c>
      <c r="G89" s="101">
        <f t="shared" si="17"/>
        <v>2740.989690721648</v>
      </c>
      <c r="H89" s="102">
        <f t="shared" si="18"/>
        <v>2740.989690721648</v>
      </c>
    </row>
    <row r="90" spans="1:8" ht="14.25" customHeight="1" x14ac:dyDescent="0.25">
      <c r="A90" s="247" t="s">
        <v>204</v>
      </c>
      <c r="B90" s="299" t="str">
        <f t="shared" si="15"/>
        <v>Chicken Stock - مرق دجاج</v>
      </c>
      <c r="C90" s="299" t="str">
        <f t="shared" si="15"/>
        <v>ml</v>
      </c>
      <c r="D90" s="299">
        <f t="shared" si="15"/>
        <v>600</v>
      </c>
      <c r="E90" s="201">
        <f>$C$54</f>
        <v>5.271134020618554</v>
      </c>
      <c r="F90" s="109">
        <f t="shared" si="16"/>
        <v>0.95</v>
      </c>
      <c r="G90" s="101">
        <f t="shared" si="17"/>
        <v>3162.6804123711322</v>
      </c>
      <c r="H90" s="102">
        <f t="shared" si="18"/>
        <v>3004.5463917525753</v>
      </c>
    </row>
    <row r="91" spans="1:8" ht="14.25" customHeight="1" x14ac:dyDescent="0.25">
      <c r="A91" s="247" t="s">
        <v>94</v>
      </c>
      <c r="B91" s="299" t="str">
        <f t="shared" si="15"/>
        <v>Cumin Powder - كمون مطحون</v>
      </c>
      <c r="C91" s="299" t="str">
        <f t="shared" si="15"/>
        <v>gm</v>
      </c>
      <c r="D91" s="299">
        <f t="shared" si="15"/>
        <v>4</v>
      </c>
      <c r="E91" s="201">
        <f t="shared" si="19"/>
        <v>5.271134020618554</v>
      </c>
      <c r="F91" s="109">
        <f t="shared" si="16"/>
        <v>0.75</v>
      </c>
      <c r="G91" s="101">
        <f t="shared" si="17"/>
        <v>21.084536082474216</v>
      </c>
      <c r="H91" s="102">
        <f t="shared" si="18"/>
        <v>15.813402061855662</v>
      </c>
    </row>
    <row r="92" spans="1:8" ht="14.25" customHeight="1" x14ac:dyDescent="0.25">
      <c r="A92" s="247" t="s">
        <v>94</v>
      </c>
      <c r="B92" s="299" t="str">
        <f t="shared" si="15"/>
        <v>Coriander Powder - كزبرة مطحونة</v>
      </c>
      <c r="C92" s="299" t="str">
        <f t="shared" si="15"/>
        <v>gm</v>
      </c>
      <c r="D92" s="299">
        <f t="shared" si="15"/>
        <v>4</v>
      </c>
      <c r="E92" s="201">
        <f t="shared" si="19"/>
        <v>5.271134020618554</v>
      </c>
      <c r="F92" s="109">
        <f t="shared" si="16"/>
        <v>0.75</v>
      </c>
      <c r="G92" s="101">
        <f t="shared" si="17"/>
        <v>21.084536082474216</v>
      </c>
      <c r="H92" s="102">
        <f t="shared" si="18"/>
        <v>15.813402061855662</v>
      </c>
    </row>
    <row r="93" spans="1:8" ht="14.25" customHeight="1" x14ac:dyDescent="0.25">
      <c r="A93" s="247" t="s">
        <v>94</v>
      </c>
      <c r="B93" s="299" t="str">
        <f t="shared" si="15"/>
        <v>Cinnamon Powder - قرفة مطحونة</v>
      </c>
      <c r="C93" s="299" t="str">
        <f t="shared" si="15"/>
        <v>gm</v>
      </c>
      <c r="D93" s="299">
        <f t="shared" si="15"/>
        <v>4</v>
      </c>
      <c r="E93" s="201">
        <f t="shared" si="19"/>
        <v>5.271134020618554</v>
      </c>
      <c r="F93" s="109">
        <f t="shared" si="16"/>
        <v>0.9</v>
      </c>
      <c r="G93" s="101">
        <f t="shared" si="17"/>
        <v>21.084536082474216</v>
      </c>
      <c r="H93" s="102">
        <f t="shared" si="18"/>
        <v>18.976082474226796</v>
      </c>
    </row>
    <row r="94" spans="1:8" ht="14.25" customHeight="1" x14ac:dyDescent="0.25">
      <c r="A94" s="247" t="s">
        <v>94</v>
      </c>
      <c r="B94" s="299" t="str">
        <f t="shared" si="15"/>
        <v>Black Pepper Powder - فلفل أسود مطحون</v>
      </c>
      <c r="C94" s="299" t="str">
        <f t="shared" si="15"/>
        <v>gm</v>
      </c>
      <c r="D94" s="299">
        <f t="shared" si="15"/>
        <v>4</v>
      </c>
      <c r="E94" s="201">
        <f t="shared" si="19"/>
        <v>5.271134020618554</v>
      </c>
      <c r="F94" s="109">
        <f t="shared" si="16"/>
        <v>0.9</v>
      </c>
      <c r="G94" s="101">
        <f t="shared" si="17"/>
        <v>21.084536082474216</v>
      </c>
      <c r="H94" s="102">
        <f t="shared" si="18"/>
        <v>18.976082474226796</v>
      </c>
    </row>
    <row r="95" spans="1:8" ht="14.25" customHeight="1" x14ac:dyDescent="0.25">
      <c r="A95" s="247" t="s">
        <v>94</v>
      </c>
      <c r="B95" s="299" t="str">
        <f t="shared" si="15"/>
        <v>Salt - ملح</v>
      </c>
      <c r="C95" s="299" t="str">
        <f t="shared" si="15"/>
        <v>gm</v>
      </c>
      <c r="D95" s="299">
        <f t="shared" si="15"/>
        <v>11</v>
      </c>
      <c r="E95" s="201">
        <f t="shared" si="19"/>
        <v>5.271134020618554</v>
      </c>
      <c r="F95" s="109">
        <f t="shared" si="16"/>
        <v>0.75</v>
      </c>
      <c r="G95" s="101">
        <f t="shared" si="17"/>
        <v>57.982474226804094</v>
      </c>
      <c r="H95" s="102">
        <f t="shared" si="18"/>
        <v>43.486855670103068</v>
      </c>
    </row>
    <row r="96" spans="1:8" ht="14.25" customHeight="1" x14ac:dyDescent="0.25">
      <c r="A96" s="247" t="s">
        <v>13</v>
      </c>
      <c r="B96" s="299" t="str">
        <f t="shared" si="15"/>
        <v>Garlic - ثوم مقشر</v>
      </c>
      <c r="C96" s="299" t="str">
        <f t="shared" si="15"/>
        <v>gm</v>
      </c>
      <c r="D96" s="299">
        <f t="shared" si="15"/>
        <v>25</v>
      </c>
      <c r="E96" s="201">
        <f t="shared" si="19"/>
        <v>5.271134020618554</v>
      </c>
      <c r="F96" s="109">
        <f t="shared" si="16"/>
        <v>1</v>
      </c>
      <c r="G96" s="101">
        <f t="shared" si="17"/>
        <v>131.77835051546384</v>
      </c>
      <c r="H96" s="102">
        <f t="shared" si="18"/>
        <v>131.77835051546384</v>
      </c>
    </row>
    <row r="97" spans="1:8" ht="14.25" customHeight="1" x14ac:dyDescent="0.25">
      <c r="A97" s="247" t="s">
        <v>153</v>
      </c>
      <c r="B97" s="299" t="str">
        <f t="shared" si="15"/>
        <v>Ghee - سمن</v>
      </c>
      <c r="C97" s="299" t="str">
        <f t="shared" si="15"/>
        <v>gm</v>
      </c>
      <c r="D97" s="299">
        <f t="shared" si="15"/>
        <v>38</v>
      </c>
      <c r="E97" s="201">
        <f t="shared" si="19"/>
        <v>5.271134020618554</v>
      </c>
      <c r="F97" s="109">
        <f t="shared" si="16"/>
        <v>1</v>
      </c>
      <c r="G97" s="101">
        <f t="shared" si="17"/>
        <v>200.30309278350506</v>
      </c>
      <c r="H97" s="102">
        <f t="shared" si="18"/>
        <v>200.30309278350506</v>
      </c>
    </row>
    <row r="98" spans="1:8" ht="14.25" customHeight="1" x14ac:dyDescent="0.25">
      <c r="A98" s="247" t="s">
        <v>213</v>
      </c>
      <c r="B98" s="299" t="str">
        <f t="shared" si="15"/>
        <v>Soda Bi Carb - بيكربونات الصوديوم</v>
      </c>
      <c r="C98" s="299" t="str">
        <f t="shared" si="15"/>
        <v>gm</v>
      </c>
      <c r="D98" s="299">
        <f t="shared" si="15"/>
        <v>11</v>
      </c>
      <c r="E98" s="201">
        <f t="shared" si="19"/>
        <v>5.271134020618554</v>
      </c>
      <c r="F98" s="109">
        <f t="shared" si="16"/>
        <v>1</v>
      </c>
      <c r="G98" s="101">
        <f t="shared" si="17"/>
        <v>57.982474226804094</v>
      </c>
      <c r="H98" s="102">
        <f t="shared" si="18"/>
        <v>57.982474226804094</v>
      </c>
    </row>
    <row r="99" spans="1:8" ht="14.25" customHeight="1" x14ac:dyDescent="0.25">
      <c r="A99" s="247" t="s">
        <v>94</v>
      </c>
      <c r="B99" s="299" t="str">
        <f t="shared" si="15"/>
        <v>Maggi Cubes - مكعبات ماجي</v>
      </c>
      <c r="C99" s="299" t="str">
        <f t="shared" si="15"/>
        <v>gm</v>
      </c>
      <c r="D99" s="299">
        <f t="shared" si="15"/>
        <v>10</v>
      </c>
      <c r="E99" s="201">
        <f t="shared" si="19"/>
        <v>5.271134020618554</v>
      </c>
      <c r="F99" s="109">
        <f t="shared" si="16"/>
        <v>1</v>
      </c>
      <c r="G99" s="101">
        <f t="shared" si="17"/>
        <v>52.71134020618554</v>
      </c>
      <c r="H99" s="102">
        <f t="shared" si="18"/>
        <v>52.71134020618554</v>
      </c>
    </row>
    <row r="100" spans="1:8" ht="14.25" customHeight="1" x14ac:dyDescent="0.25">
      <c r="A100" s="247" t="s">
        <v>94</v>
      </c>
      <c r="B100" s="299" t="str">
        <f t="shared" si="15"/>
        <v>Black Pepper Whole - فلفل أسود حب</v>
      </c>
      <c r="C100" s="299" t="str">
        <f t="shared" si="15"/>
        <v>gm</v>
      </c>
      <c r="D100" s="299">
        <f t="shared" si="15"/>
        <v>3</v>
      </c>
      <c r="E100" s="201">
        <f t="shared" si="19"/>
        <v>5.271134020618554</v>
      </c>
      <c r="F100" s="109">
        <f t="shared" si="16"/>
        <v>1</v>
      </c>
      <c r="G100" s="101">
        <f t="shared" si="17"/>
        <v>15.813402061855662</v>
      </c>
      <c r="H100" s="102">
        <f t="shared" si="18"/>
        <v>15.813402061855662</v>
      </c>
    </row>
    <row r="101" spans="1:8" ht="14.25" customHeight="1" x14ac:dyDescent="0.25">
      <c r="A101" s="247" t="s">
        <v>94</v>
      </c>
      <c r="B101" s="299" t="str">
        <f t="shared" si="15"/>
        <v>Cumin Whole - كمون حب</v>
      </c>
      <c r="C101" s="299" t="str">
        <f t="shared" si="15"/>
        <v>gm</v>
      </c>
      <c r="D101" s="299">
        <f t="shared" si="15"/>
        <v>3</v>
      </c>
      <c r="E101" s="201">
        <f t="shared" si="19"/>
        <v>5.271134020618554</v>
      </c>
      <c r="F101" s="109">
        <f t="shared" si="16"/>
        <v>1</v>
      </c>
      <c r="G101" s="101">
        <f t="shared" si="17"/>
        <v>15.813402061855662</v>
      </c>
      <c r="H101" s="102">
        <f t="shared" si="18"/>
        <v>15.813402061855662</v>
      </c>
    </row>
    <row r="102" spans="1:8" ht="14.25" customHeight="1" x14ac:dyDescent="0.25">
      <c r="A102" s="247" t="s">
        <v>94</v>
      </c>
      <c r="B102" s="299" t="str">
        <f t="shared" si="15"/>
        <v>Cloves Whole - قرنفل حب</v>
      </c>
      <c r="C102" s="299" t="str">
        <f t="shared" si="15"/>
        <v>gm</v>
      </c>
      <c r="D102" s="299">
        <f t="shared" si="15"/>
        <v>3</v>
      </c>
      <c r="E102" s="201">
        <f t="shared" si="19"/>
        <v>5.271134020618554</v>
      </c>
      <c r="F102" s="109">
        <f t="shared" si="16"/>
        <v>1</v>
      </c>
      <c r="G102" s="101">
        <f t="shared" si="17"/>
        <v>15.813402061855662</v>
      </c>
      <c r="H102" s="102">
        <f t="shared" si="18"/>
        <v>15.813402061855662</v>
      </c>
    </row>
    <row r="103" spans="1:8" ht="14.25" customHeight="1" x14ac:dyDescent="0.25">
      <c r="A103" s="247" t="s">
        <v>94</v>
      </c>
      <c r="B103" s="299" t="str">
        <f t="shared" si="15"/>
        <v>Cinnamon whole - قرفة أعواد</v>
      </c>
      <c r="C103" s="299" t="str">
        <f t="shared" si="15"/>
        <v>gm</v>
      </c>
      <c r="D103" s="299">
        <f t="shared" si="15"/>
        <v>3</v>
      </c>
      <c r="E103" s="201">
        <f t="shared" si="19"/>
        <v>5.271134020618554</v>
      </c>
      <c r="F103" s="109">
        <f t="shared" si="16"/>
        <v>1</v>
      </c>
      <c r="G103" s="101">
        <f t="shared" si="17"/>
        <v>15.813402061855662</v>
      </c>
      <c r="H103" s="102">
        <f t="shared" si="18"/>
        <v>15.813402061855662</v>
      </c>
    </row>
    <row r="104" spans="1:8" ht="14.25" customHeight="1" x14ac:dyDescent="0.25">
      <c r="A104" s="247" t="s">
        <v>94</v>
      </c>
      <c r="B104" s="299" t="str">
        <f t="shared" ref="B104:D104" si="20">B21</f>
        <v>Cardamom Whole - هيل حب</v>
      </c>
      <c r="C104" s="299" t="str">
        <f t="shared" si="20"/>
        <v>gm</v>
      </c>
      <c r="D104" s="299">
        <f t="shared" si="20"/>
        <v>3</v>
      </c>
      <c r="E104" s="201">
        <f t="shared" si="19"/>
        <v>5.271134020618554</v>
      </c>
      <c r="F104" s="109">
        <f t="shared" si="16"/>
        <v>1</v>
      </c>
      <c r="G104" s="101">
        <f t="shared" si="17"/>
        <v>15.813402061855662</v>
      </c>
      <c r="H104" s="102">
        <f t="shared" si="18"/>
        <v>15.813402061855662</v>
      </c>
    </row>
    <row r="105" spans="1:8" ht="20.25" customHeight="1" x14ac:dyDescent="0.25">
      <c r="A105" s="191"/>
      <c r="B105" s="178" t="s">
        <v>287</v>
      </c>
      <c r="C105" s="180" t="s">
        <v>273</v>
      </c>
      <c r="D105" s="14"/>
      <c r="E105" s="180" t="s">
        <v>288</v>
      </c>
      <c r="F105" s="14"/>
      <c r="G105" s="804" t="s">
        <v>264</v>
      </c>
      <c r="H105" s="804" t="s">
        <v>673</v>
      </c>
    </row>
    <row r="106" spans="1:8" ht="20.25" x14ac:dyDescent="0.3">
      <c r="A106" s="191"/>
      <c r="B106" s="179">
        <f>$J$54</f>
        <v>7304</v>
      </c>
      <c r="C106" s="179">
        <f>E106+G106</f>
        <v>5112.9999999999973</v>
      </c>
      <c r="D106" s="839"/>
      <c r="E106" s="179">
        <f>$D$54*$S$44</f>
        <v>0</v>
      </c>
      <c r="F106" s="843"/>
      <c r="G106" s="179">
        <f>$D$54*$T$44</f>
        <v>5112.9999999999973</v>
      </c>
      <c r="H106" s="179">
        <f>B106+E106</f>
        <v>7304</v>
      </c>
    </row>
    <row r="110" spans="1:8" ht="18" customHeight="1" x14ac:dyDescent="0.25">
      <c r="A110" s="1526"/>
      <c r="B110" s="1636" t="str">
        <f>"ملوخية دجاج  3 / " &amp; COUNTIF($C$53:$C$55, "&gt;0")</f>
        <v>ملوخية دجاج  3 / 2</v>
      </c>
      <c r="C110" s="1637"/>
      <c r="D110" s="1637"/>
      <c r="E110" s="1637"/>
      <c r="F110" s="1637"/>
      <c r="G110" s="1637"/>
      <c r="H110" s="1637"/>
    </row>
    <row r="111" spans="1:8" ht="18" customHeight="1" x14ac:dyDescent="0.25">
      <c r="A111" s="1526"/>
      <c r="B111" s="1634" t="str">
        <f>"Chicken Molokeya  3 / " &amp; COUNTIF($C$53:$C$55, "&gt;0")</f>
        <v>Chicken Molokeya  3 / 2</v>
      </c>
      <c r="C111" s="1635"/>
      <c r="D111" s="1635"/>
      <c r="E111" s="1635"/>
      <c r="F111" s="1635"/>
      <c r="G111" s="1635"/>
      <c r="H111" s="1635"/>
    </row>
    <row r="112" spans="1:8" ht="43.5" customHeight="1" x14ac:dyDescent="0.2">
      <c r="A112" s="75"/>
      <c r="B112" s="75" t="s">
        <v>241</v>
      </c>
      <c r="C112" s="90" t="s">
        <v>242</v>
      </c>
      <c r="D112" s="75" t="s">
        <v>231</v>
      </c>
      <c r="E112" s="197" t="s">
        <v>234</v>
      </c>
      <c r="F112" s="91" t="s">
        <v>243</v>
      </c>
      <c r="G112" s="75" t="s">
        <v>244</v>
      </c>
      <c r="H112" s="197" t="s">
        <v>245</v>
      </c>
    </row>
    <row r="113" spans="1:8" ht="14.25" customHeight="1" x14ac:dyDescent="0.25">
      <c r="A113" s="247" t="s">
        <v>221</v>
      </c>
      <c r="B113" s="106" t="str">
        <f t="shared" ref="B113:D128" si="21">B5</f>
        <v>Chicken - دجاج</v>
      </c>
      <c r="C113" s="106" t="str">
        <f t="shared" si="21"/>
        <v>gm</v>
      </c>
      <c r="D113" s="106">
        <f t="shared" si="21"/>
        <v>2857.2</v>
      </c>
      <c r="E113" s="201">
        <f>H$55</f>
        <v>0</v>
      </c>
      <c r="F113" s="109">
        <f>F30</f>
        <v>0</v>
      </c>
      <c r="G113" s="101">
        <f t="shared" ref="G113:G129" si="22">D113*E113</f>
        <v>0</v>
      </c>
      <c r="H113" s="102">
        <f t="shared" ref="H113:H129" si="23">G113*F113</f>
        <v>0</v>
      </c>
    </row>
    <row r="114" spans="1:8" ht="14.25" customHeight="1" x14ac:dyDescent="0.25">
      <c r="A114" s="247" t="s">
        <v>13</v>
      </c>
      <c r="B114" s="106" t="str">
        <f t="shared" si="21"/>
        <v>Frozen Molokeya - ملوخية مجمدة</v>
      </c>
      <c r="C114" s="106" t="str">
        <f t="shared" si="21"/>
        <v>gm</v>
      </c>
      <c r="D114" s="106">
        <f t="shared" si="21"/>
        <v>520</v>
      </c>
      <c r="E114" s="201">
        <f t="shared" ref="E114:E129" si="24">$C$55</f>
        <v>0</v>
      </c>
      <c r="F114" s="109">
        <f t="shared" ref="F114:F129" si="25">F6</f>
        <v>1</v>
      </c>
      <c r="G114" s="101">
        <f t="shared" si="22"/>
        <v>0</v>
      </c>
      <c r="H114" s="102">
        <f t="shared" si="23"/>
        <v>0</v>
      </c>
    </row>
    <row r="115" spans="1:8" ht="14.25" customHeight="1" x14ac:dyDescent="0.25">
      <c r="A115" s="247" t="s">
        <v>204</v>
      </c>
      <c r="B115" s="106" t="str">
        <f t="shared" si="21"/>
        <v>Chicken Stock - مرق دجاج</v>
      </c>
      <c r="C115" s="106" t="str">
        <f t="shared" si="21"/>
        <v>ml</v>
      </c>
      <c r="D115" s="106">
        <f t="shared" si="21"/>
        <v>600</v>
      </c>
      <c r="E115" s="201">
        <f t="shared" si="24"/>
        <v>0</v>
      </c>
      <c r="F115" s="109">
        <f t="shared" si="25"/>
        <v>0.95</v>
      </c>
      <c r="G115" s="101">
        <f t="shared" si="22"/>
        <v>0</v>
      </c>
      <c r="H115" s="102">
        <f t="shared" si="23"/>
        <v>0</v>
      </c>
    </row>
    <row r="116" spans="1:8" ht="14.25" customHeight="1" x14ac:dyDescent="0.25">
      <c r="A116" s="247" t="s">
        <v>94</v>
      </c>
      <c r="B116" s="106" t="str">
        <f t="shared" si="21"/>
        <v>Cumin Powder - كمون مطحون</v>
      </c>
      <c r="C116" s="106" t="str">
        <f t="shared" si="21"/>
        <v>gm</v>
      </c>
      <c r="D116" s="106">
        <f t="shared" si="21"/>
        <v>4</v>
      </c>
      <c r="E116" s="201">
        <f t="shared" si="24"/>
        <v>0</v>
      </c>
      <c r="F116" s="109">
        <f t="shared" si="25"/>
        <v>0.75</v>
      </c>
      <c r="G116" s="101">
        <f t="shared" si="22"/>
        <v>0</v>
      </c>
      <c r="H116" s="102">
        <f t="shared" si="23"/>
        <v>0</v>
      </c>
    </row>
    <row r="117" spans="1:8" ht="14.25" customHeight="1" x14ac:dyDescent="0.25">
      <c r="A117" s="247" t="s">
        <v>94</v>
      </c>
      <c r="B117" s="106" t="str">
        <f t="shared" si="21"/>
        <v>Coriander Powder - كزبرة مطحونة</v>
      </c>
      <c r="C117" s="106" t="str">
        <f t="shared" si="21"/>
        <v>gm</v>
      </c>
      <c r="D117" s="106">
        <f t="shared" si="21"/>
        <v>4</v>
      </c>
      <c r="E117" s="201">
        <f t="shared" si="24"/>
        <v>0</v>
      </c>
      <c r="F117" s="109">
        <f t="shared" si="25"/>
        <v>0.75</v>
      </c>
      <c r="G117" s="101">
        <f t="shared" si="22"/>
        <v>0</v>
      </c>
      <c r="H117" s="102">
        <f t="shared" si="23"/>
        <v>0</v>
      </c>
    </row>
    <row r="118" spans="1:8" ht="14.25" customHeight="1" x14ac:dyDescent="0.25">
      <c r="A118" s="247" t="s">
        <v>94</v>
      </c>
      <c r="B118" s="106" t="str">
        <f t="shared" si="21"/>
        <v>Cinnamon Powder - قرفة مطحونة</v>
      </c>
      <c r="C118" s="106" t="str">
        <f t="shared" si="21"/>
        <v>gm</v>
      </c>
      <c r="D118" s="106">
        <f t="shared" si="21"/>
        <v>4</v>
      </c>
      <c r="E118" s="201">
        <f t="shared" si="24"/>
        <v>0</v>
      </c>
      <c r="F118" s="109">
        <f t="shared" si="25"/>
        <v>0.9</v>
      </c>
      <c r="G118" s="101">
        <f t="shared" si="22"/>
        <v>0</v>
      </c>
      <c r="H118" s="102">
        <f t="shared" si="23"/>
        <v>0</v>
      </c>
    </row>
    <row r="119" spans="1:8" ht="14.25" customHeight="1" x14ac:dyDescent="0.25">
      <c r="A119" s="247" t="s">
        <v>94</v>
      </c>
      <c r="B119" s="106" t="str">
        <f t="shared" si="21"/>
        <v>Black Pepper Powder - فلفل أسود مطحون</v>
      </c>
      <c r="C119" s="106" t="str">
        <f t="shared" si="21"/>
        <v>gm</v>
      </c>
      <c r="D119" s="106">
        <f t="shared" si="21"/>
        <v>4</v>
      </c>
      <c r="E119" s="201">
        <f t="shared" si="24"/>
        <v>0</v>
      </c>
      <c r="F119" s="109">
        <f t="shared" si="25"/>
        <v>0.9</v>
      </c>
      <c r="G119" s="101">
        <f t="shared" si="22"/>
        <v>0</v>
      </c>
      <c r="H119" s="102">
        <f t="shared" si="23"/>
        <v>0</v>
      </c>
    </row>
    <row r="120" spans="1:8" ht="14.25" customHeight="1" x14ac:dyDescent="0.25">
      <c r="A120" s="247" t="s">
        <v>94</v>
      </c>
      <c r="B120" s="106" t="str">
        <f t="shared" si="21"/>
        <v>Salt - ملح</v>
      </c>
      <c r="C120" s="106" t="str">
        <f t="shared" si="21"/>
        <v>gm</v>
      </c>
      <c r="D120" s="106">
        <f t="shared" si="21"/>
        <v>11</v>
      </c>
      <c r="E120" s="201">
        <f t="shared" si="24"/>
        <v>0</v>
      </c>
      <c r="F120" s="109">
        <f t="shared" si="25"/>
        <v>0.75</v>
      </c>
      <c r="G120" s="101">
        <f t="shared" si="22"/>
        <v>0</v>
      </c>
      <c r="H120" s="102">
        <f t="shared" si="23"/>
        <v>0</v>
      </c>
    </row>
    <row r="121" spans="1:8" ht="14.25" customHeight="1" x14ac:dyDescent="0.25">
      <c r="A121" s="247" t="s">
        <v>13</v>
      </c>
      <c r="B121" s="106" t="str">
        <f t="shared" si="21"/>
        <v>Garlic - ثوم مقشر</v>
      </c>
      <c r="C121" s="106" t="str">
        <f t="shared" si="21"/>
        <v>gm</v>
      </c>
      <c r="D121" s="106">
        <f t="shared" si="21"/>
        <v>25</v>
      </c>
      <c r="E121" s="201">
        <f t="shared" si="24"/>
        <v>0</v>
      </c>
      <c r="F121" s="109">
        <f t="shared" si="25"/>
        <v>1</v>
      </c>
      <c r="G121" s="101">
        <f t="shared" si="22"/>
        <v>0</v>
      </c>
      <c r="H121" s="102">
        <f t="shared" si="23"/>
        <v>0</v>
      </c>
    </row>
    <row r="122" spans="1:8" ht="14.25" customHeight="1" x14ac:dyDescent="0.25">
      <c r="A122" s="247" t="s">
        <v>153</v>
      </c>
      <c r="B122" s="106" t="str">
        <f t="shared" si="21"/>
        <v>Ghee - سمن</v>
      </c>
      <c r="C122" s="106" t="str">
        <f t="shared" si="21"/>
        <v>gm</v>
      </c>
      <c r="D122" s="106">
        <f t="shared" si="21"/>
        <v>38</v>
      </c>
      <c r="E122" s="201">
        <f t="shared" si="24"/>
        <v>0</v>
      </c>
      <c r="F122" s="109">
        <f t="shared" si="25"/>
        <v>1</v>
      </c>
      <c r="G122" s="101">
        <f t="shared" si="22"/>
        <v>0</v>
      </c>
      <c r="H122" s="102">
        <f t="shared" si="23"/>
        <v>0</v>
      </c>
    </row>
    <row r="123" spans="1:8" ht="14.25" customHeight="1" x14ac:dyDescent="0.25">
      <c r="A123" s="247" t="s">
        <v>213</v>
      </c>
      <c r="B123" s="106" t="str">
        <f t="shared" si="21"/>
        <v>Soda Bi Carb - بيكربونات الصوديوم</v>
      </c>
      <c r="C123" s="106" t="str">
        <f t="shared" si="21"/>
        <v>gm</v>
      </c>
      <c r="D123" s="106">
        <f t="shared" si="21"/>
        <v>11</v>
      </c>
      <c r="E123" s="201">
        <f t="shared" si="24"/>
        <v>0</v>
      </c>
      <c r="F123" s="109">
        <f t="shared" si="25"/>
        <v>1</v>
      </c>
      <c r="G123" s="101">
        <f t="shared" si="22"/>
        <v>0</v>
      </c>
      <c r="H123" s="102">
        <f t="shared" si="23"/>
        <v>0</v>
      </c>
    </row>
    <row r="124" spans="1:8" ht="14.25" customHeight="1" x14ac:dyDescent="0.25">
      <c r="A124" s="247" t="s">
        <v>94</v>
      </c>
      <c r="B124" s="106" t="str">
        <f t="shared" si="21"/>
        <v>Maggi Cubes - مكعبات ماجي</v>
      </c>
      <c r="C124" s="106" t="str">
        <f t="shared" si="21"/>
        <v>gm</v>
      </c>
      <c r="D124" s="106">
        <f t="shared" si="21"/>
        <v>10</v>
      </c>
      <c r="E124" s="201">
        <f t="shared" si="24"/>
        <v>0</v>
      </c>
      <c r="F124" s="109">
        <f t="shared" si="25"/>
        <v>1</v>
      </c>
      <c r="G124" s="101">
        <f t="shared" si="22"/>
        <v>0</v>
      </c>
      <c r="H124" s="102">
        <f t="shared" si="23"/>
        <v>0</v>
      </c>
    </row>
    <row r="125" spans="1:8" ht="14.25" customHeight="1" x14ac:dyDescent="0.25">
      <c r="A125" s="247" t="s">
        <v>94</v>
      </c>
      <c r="B125" s="106" t="str">
        <f t="shared" si="21"/>
        <v>Black Pepper Whole - فلفل أسود حب</v>
      </c>
      <c r="C125" s="106" t="str">
        <f t="shared" si="21"/>
        <v>gm</v>
      </c>
      <c r="D125" s="106">
        <f t="shared" si="21"/>
        <v>3</v>
      </c>
      <c r="E125" s="201">
        <f t="shared" si="24"/>
        <v>0</v>
      </c>
      <c r="F125" s="109">
        <f t="shared" si="25"/>
        <v>1</v>
      </c>
      <c r="G125" s="101">
        <f t="shared" si="22"/>
        <v>0</v>
      </c>
      <c r="H125" s="102">
        <f t="shared" si="23"/>
        <v>0</v>
      </c>
    </row>
    <row r="126" spans="1:8" ht="14.25" customHeight="1" x14ac:dyDescent="0.25">
      <c r="A126" s="247" t="s">
        <v>94</v>
      </c>
      <c r="B126" s="106" t="str">
        <f t="shared" si="21"/>
        <v>Cumin Whole - كمون حب</v>
      </c>
      <c r="C126" s="106" t="str">
        <f t="shared" si="21"/>
        <v>gm</v>
      </c>
      <c r="D126" s="106">
        <f t="shared" si="21"/>
        <v>3</v>
      </c>
      <c r="E126" s="201">
        <f t="shared" si="24"/>
        <v>0</v>
      </c>
      <c r="F126" s="109">
        <f t="shared" si="25"/>
        <v>1</v>
      </c>
      <c r="G126" s="101">
        <f t="shared" si="22"/>
        <v>0</v>
      </c>
      <c r="H126" s="102">
        <f t="shared" si="23"/>
        <v>0</v>
      </c>
    </row>
    <row r="127" spans="1:8" ht="14.25" customHeight="1" x14ac:dyDescent="0.25">
      <c r="A127" s="247" t="s">
        <v>94</v>
      </c>
      <c r="B127" s="106" t="str">
        <f t="shared" si="21"/>
        <v>Cloves Whole - قرنفل حب</v>
      </c>
      <c r="C127" s="106" t="str">
        <f t="shared" si="21"/>
        <v>gm</v>
      </c>
      <c r="D127" s="106">
        <f t="shared" si="21"/>
        <v>3</v>
      </c>
      <c r="E127" s="201">
        <f t="shared" si="24"/>
        <v>0</v>
      </c>
      <c r="F127" s="109">
        <f t="shared" si="25"/>
        <v>1</v>
      </c>
      <c r="G127" s="101">
        <f t="shared" si="22"/>
        <v>0</v>
      </c>
      <c r="H127" s="102">
        <f t="shared" si="23"/>
        <v>0</v>
      </c>
    </row>
    <row r="128" spans="1:8" ht="14.25" customHeight="1" x14ac:dyDescent="0.25">
      <c r="A128" s="247" t="s">
        <v>94</v>
      </c>
      <c r="B128" s="106" t="str">
        <f t="shared" si="21"/>
        <v>Cinnamon whole - قرفة أعواد</v>
      </c>
      <c r="C128" s="106" t="str">
        <f t="shared" si="21"/>
        <v>gm</v>
      </c>
      <c r="D128" s="106">
        <f t="shared" si="21"/>
        <v>3</v>
      </c>
      <c r="E128" s="201">
        <f t="shared" si="24"/>
        <v>0</v>
      </c>
      <c r="F128" s="109">
        <f t="shared" si="25"/>
        <v>1</v>
      </c>
      <c r="G128" s="101">
        <f t="shared" si="22"/>
        <v>0</v>
      </c>
      <c r="H128" s="102">
        <f t="shared" si="23"/>
        <v>0</v>
      </c>
    </row>
    <row r="129" spans="1:10" ht="20.25" customHeight="1" x14ac:dyDescent="0.3">
      <c r="A129" s="247" t="s">
        <v>94</v>
      </c>
      <c r="B129" s="106" t="str">
        <f t="shared" ref="B129:D129" si="26">B21</f>
        <v>Cardamom Whole - هيل حب</v>
      </c>
      <c r="C129" s="106" t="str">
        <f t="shared" si="26"/>
        <v>gm</v>
      </c>
      <c r="D129" s="106">
        <f t="shared" si="26"/>
        <v>3</v>
      </c>
      <c r="E129" s="201">
        <f t="shared" si="24"/>
        <v>0</v>
      </c>
      <c r="F129" s="109">
        <f t="shared" si="25"/>
        <v>1</v>
      </c>
      <c r="G129" s="101">
        <f t="shared" si="22"/>
        <v>0</v>
      </c>
      <c r="H129" s="102">
        <f t="shared" si="23"/>
        <v>0</v>
      </c>
      <c r="I129" s="184"/>
      <c r="J129" s="183"/>
    </row>
    <row r="130" spans="1:10" ht="20.25" customHeight="1" x14ac:dyDescent="0.25">
      <c r="A130" s="191"/>
      <c r="B130" s="178" t="s">
        <v>287</v>
      </c>
      <c r="C130" s="180" t="s">
        <v>273</v>
      </c>
      <c r="D130" s="14"/>
      <c r="E130" s="180" t="s">
        <v>288</v>
      </c>
      <c r="F130" s="14"/>
      <c r="G130" s="804" t="s">
        <v>264</v>
      </c>
      <c r="H130" s="804" t="s">
        <v>673</v>
      </c>
    </row>
    <row r="131" spans="1:10" ht="20.25" x14ac:dyDescent="0.3">
      <c r="A131" s="191"/>
      <c r="B131" s="179">
        <f>$J$55</f>
        <v>0</v>
      </c>
      <c r="C131" s="179">
        <f>E131+G131</f>
        <v>0</v>
      </c>
      <c r="D131" s="839"/>
      <c r="E131" s="179">
        <f>$D$55*$S$44</f>
        <v>0</v>
      </c>
      <c r="F131" s="843"/>
      <c r="G131" s="179">
        <f>$D$55*$T$44</f>
        <v>0</v>
      </c>
      <c r="H131" s="179">
        <f>B131+E131</f>
        <v>0</v>
      </c>
    </row>
  </sheetData>
  <mergeCells count="9">
    <mergeCell ref="B86:H86"/>
    <mergeCell ref="B110:H110"/>
    <mergeCell ref="B111:H111"/>
    <mergeCell ref="B2:K3"/>
    <mergeCell ref="R25:U25"/>
    <mergeCell ref="R26:U26"/>
    <mergeCell ref="B62:H62"/>
    <mergeCell ref="B63:H63"/>
    <mergeCell ref="B85:H85"/>
  </mergeCells>
  <printOptions horizontalCentered="1"/>
  <pageMargins left="0.5" right="0.5" top="1" bottom="0.5" header="0.3" footer="0.511811023622047"/>
  <pageSetup paperSize="9" scale="32" orientation="portrait" r:id="rId1"/>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500A9-8C03-49EC-AA6C-D6285B4457D0}">
  <sheetPr codeName="Sheet75">
    <tabColor theme="3" tint="-0.249977111117893"/>
    <pageSetUpPr fitToPage="1"/>
  </sheetPr>
  <dimension ref="A1:AP974"/>
  <sheetViews>
    <sheetView topLeftCell="A2" zoomScale="70" zoomScaleNormal="70" workbookViewId="0">
      <selection activeCell="B27" sqref="B27"/>
    </sheetView>
  </sheetViews>
  <sheetFormatPr defaultColWidth="12.5" defaultRowHeight="12.75" x14ac:dyDescent="0.2"/>
  <cols>
    <col min="1" max="1" width="12.5" style="14" customWidth="1"/>
    <col min="2" max="2" width="49.25" style="14"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5" width="3.875" style="14" customWidth="1"/>
    <col min="16" max="17" width="12.5" style="14" customWidth="1"/>
    <col min="18" max="18" width="24.625" style="14" customWidth="1"/>
    <col min="19" max="19" width="15.875" style="14" customWidth="1"/>
    <col min="20" max="27" width="12.5" style="14" customWidth="1"/>
    <col min="28" max="28" width="11" style="14" bestFit="1" customWidth="1"/>
    <col min="29" max="29" width="11.75" style="14" bestFit="1" customWidth="1"/>
    <col min="30" max="30" width="13.25" style="14" bestFit="1" customWidth="1"/>
    <col min="31" max="31" width="7" style="753" bestFit="1" customWidth="1"/>
    <col min="32" max="32" width="6.25" style="753" customWidth="1"/>
    <col min="33" max="35" width="6.25" style="14" customWidth="1"/>
    <col min="36" max="36" width="36.875" style="14" customWidth="1"/>
    <col min="37" max="37" width="12.5" style="14" customWidth="1"/>
    <col min="38" max="16384" width="12.5" style="14"/>
  </cols>
  <sheetData>
    <row r="1" spans="1:32" ht="28.5" customHeight="1" x14ac:dyDescent="0.2">
      <c r="B1" s="64" t="s">
        <v>331</v>
      </c>
      <c r="C1" s="65">
        <v>1</v>
      </c>
      <c r="D1" s="66" t="s">
        <v>232</v>
      </c>
      <c r="E1" s="99">
        <f>156</f>
        <v>156</v>
      </c>
      <c r="F1" s="64" t="s">
        <v>233</v>
      </c>
      <c r="G1" s="99">
        <f>E1/C1</f>
        <v>156</v>
      </c>
      <c r="H1" s="64" t="s">
        <v>234</v>
      </c>
      <c r="I1" s="99"/>
      <c r="J1" s="302" t="s">
        <v>235</v>
      </c>
      <c r="K1" s="303">
        <v>1</v>
      </c>
      <c r="L1" s="84"/>
      <c r="M1" s="84"/>
      <c r="N1" s="84"/>
      <c r="O1" s="75" t="s">
        <v>236</v>
      </c>
      <c r="P1" s="76" t="s">
        <v>471</v>
      </c>
      <c r="Q1" s="77" t="s">
        <v>238</v>
      </c>
      <c r="R1" s="1541">
        <v>0.5</v>
      </c>
      <c r="S1" s="77" t="s">
        <v>333</v>
      </c>
      <c r="T1" s="1542">
        <v>65</v>
      </c>
      <c r="U1" s="84"/>
      <c r="V1" s="84"/>
      <c r="Y1" s="75" t="s">
        <v>453</v>
      </c>
      <c r="Z1" s="766">
        <v>110</v>
      </c>
      <c r="AA1" s="75" t="s">
        <v>556</v>
      </c>
      <c r="AB1" s="766">
        <v>5</v>
      </c>
      <c r="AC1" s="75" t="s">
        <v>546</v>
      </c>
      <c r="AD1" s="766">
        <v>110</v>
      </c>
      <c r="AE1" s="75" t="s">
        <v>538</v>
      </c>
      <c r="AF1" s="766">
        <f>Z1+AB1</f>
        <v>115</v>
      </c>
    </row>
    <row r="2" spans="1:32" ht="12.75" customHeight="1" x14ac:dyDescent="0.2">
      <c r="A2" s="306"/>
      <c r="B2" s="1632" t="s">
        <v>472</v>
      </c>
      <c r="C2" s="1661"/>
      <c r="D2" s="1661"/>
      <c r="E2" s="1661"/>
      <c r="F2" s="1661"/>
      <c r="G2" s="1661"/>
      <c r="H2" s="1661"/>
      <c r="I2" s="306"/>
      <c r="J2" s="306"/>
      <c r="K2" s="306"/>
      <c r="L2" s="270"/>
      <c r="M2" s="84"/>
      <c r="N2" s="84"/>
      <c r="O2" s="84"/>
      <c r="P2" s="84"/>
      <c r="Q2" s="84"/>
      <c r="R2" s="84"/>
      <c r="S2" s="84"/>
      <c r="T2" s="84"/>
      <c r="U2" s="84"/>
    </row>
    <row r="3" spans="1:32" ht="12.75" customHeight="1" x14ac:dyDescent="0.2">
      <c r="A3" s="306"/>
      <c r="B3" s="1633"/>
      <c r="C3" s="1633"/>
      <c r="D3" s="1633"/>
      <c r="E3" s="1633"/>
      <c r="F3" s="1633"/>
      <c r="G3" s="1633"/>
      <c r="H3" s="1633"/>
      <c r="I3" s="1543"/>
      <c r="J3" s="1543"/>
      <c r="K3" s="1543"/>
      <c r="L3" s="270"/>
      <c r="M3" s="84"/>
      <c r="N3" s="84"/>
      <c r="O3" s="84"/>
      <c r="P3" s="84"/>
      <c r="Q3" s="84"/>
      <c r="R3" s="84"/>
      <c r="S3" s="84"/>
      <c r="T3" s="84"/>
      <c r="U3" s="84"/>
    </row>
    <row r="4" spans="1:32" ht="69" customHeight="1" x14ac:dyDescent="0.2">
      <c r="A4" s="75" t="s">
        <v>1</v>
      </c>
      <c r="B4" s="75" t="s">
        <v>241</v>
      </c>
      <c r="C4" s="90" t="s">
        <v>242</v>
      </c>
      <c r="D4" s="75" t="s">
        <v>482</v>
      </c>
      <c r="E4" s="91" t="s">
        <v>234</v>
      </c>
      <c r="F4" s="91" t="s">
        <v>243</v>
      </c>
      <c r="G4" s="75" t="s">
        <v>244</v>
      </c>
      <c r="H4" s="307" t="s">
        <v>335</v>
      </c>
      <c r="I4" s="75" t="s">
        <v>246</v>
      </c>
      <c r="J4" s="75" t="s">
        <v>247</v>
      </c>
      <c r="K4" s="75" t="s">
        <v>248</v>
      </c>
      <c r="L4" s="75" t="s">
        <v>249</v>
      </c>
      <c r="M4" s="347"/>
      <c r="N4" s="84"/>
      <c r="O4" s="84"/>
      <c r="P4" s="84"/>
      <c r="Q4" s="84"/>
      <c r="R4" s="84"/>
      <c r="S4" s="84"/>
    </row>
    <row r="5" spans="1:32" ht="14.25" customHeight="1" x14ac:dyDescent="0.2">
      <c r="A5" s="1544"/>
      <c r="B5" s="1545" t="s">
        <v>226</v>
      </c>
      <c r="C5" s="389" t="s">
        <v>14</v>
      </c>
      <c r="D5" s="416">
        <f>T1/R1</f>
        <v>130</v>
      </c>
      <c r="E5" s="177">
        <f>H53</f>
        <v>92</v>
      </c>
      <c r="F5" s="109">
        <v>1</v>
      </c>
      <c r="G5" s="227">
        <f>D5*E5</f>
        <v>11960</v>
      </c>
      <c r="H5" s="102">
        <f>G5*F5</f>
        <v>11960</v>
      </c>
      <c r="I5" s="65">
        <f>VLOOKUP(B5,All_Ingredients!$A$1:$F$156,6,FALSE())</f>
        <v>0.99</v>
      </c>
      <c r="J5" s="101">
        <f>VLOOKUP(B5,All_Ingredients!$A$1:$J$156,10,FALSE())</f>
        <v>11.75</v>
      </c>
      <c r="K5" s="104">
        <f t="shared" ref="K5" si="0">(H5/I5)/1000</f>
        <v>12.080808080808081</v>
      </c>
      <c r="L5" s="104">
        <f t="shared" ref="L5" si="1">K5*J5</f>
        <v>141.94949494949495</v>
      </c>
      <c r="M5" s="112"/>
      <c r="P5" s="495" t="s">
        <v>840</v>
      </c>
      <c r="R5" s="495"/>
    </row>
    <row r="6" spans="1:32" ht="14.25" customHeight="1" x14ac:dyDescent="0.2">
      <c r="A6" s="1546"/>
      <c r="B6" s="299" t="s">
        <v>222</v>
      </c>
      <c r="C6" s="310" t="s">
        <v>14</v>
      </c>
      <c r="D6" s="416">
        <f>20/R1</f>
        <v>40</v>
      </c>
      <c r="E6" s="177">
        <f>H54</f>
        <v>92</v>
      </c>
      <c r="F6" s="109">
        <v>1</v>
      </c>
      <c r="G6" s="103">
        <f>D6*E6</f>
        <v>3680</v>
      </c>
      <c r="H6" s="102">
        <f>G6*F6</f>
        <v>3680</v>
      </c>
      <c r="I6" s="65">
        <f>VLOOKUP(B6,All_Ingredients!$A$1:$F$156,6,FALSE())</f>
        <v>1</v>
      </c>
      <c r="J6" s="101">
        <f>VLOOKUP(B6,All_Ingredients!$A$1:$J$156,10,FALSE())</f>
        <v>30</v>
      </c>
      <c r="K6" s="104">
        <f t="shared" ref="K6:K7" si="2">(H6/I6)/1000</f>
        <v>3.68</v>
      </c>
      <c r="L6" s="104">
        <f t="shared" ref="L6:L7" si="3">K6*J6</f>
        <v>110.4</v>
      </c>
      <c r="M6" s="112"/>
      <c r="P6" s="495" t="s">
        <v>841</v>
      </c>
    </row>
    <row r="7" spans="1:32" ht="14.25" customHeight="1" x14ac:dyDescent="0.2">
      <c r="B7" s="981" t="s">
        <v>839</v>
      </c>
      <c r="C7" s="106" t="s">
        <v>230</v>
      </c>
      <c r="D7" s="98">
        <v>1</v>
      </c>
      <c r="E7" s="98">
        <f>$Z$1+$AB$1</f>
        <v>115</v>
      </c>
      <c r="F7" s="109">
        <v>1</v>
      </c>
      <c r="G7" s="103">
        <f>D7*($Z$1+$AB$1)</f>
        <v>115</v>
      </c>
      <c r="H7" s="102">
        <f>G7*F7</f>
        <v>115</v>
      </c>
      <c r="I7" s="65">
        <f>VLOOKUP(B7,All_Ingredients!$A$1:$F$156,6,FALSE())</f>
        <v>1</v>
      </c>
      <c r="J7" s="101">
        <f>VLOOKUP(B7,All_Ingredients!$A$1:$J$156,10,FALSE())</f>
        <v>1</v>
      </c>
      <c r="K7" s="104">
        <f t="shared" si="2"/>
        <v>0.115</v>
      </c>
      <c r="L7" s="104">
        <f t="shared" si="3"/>
        <v>0.115</v>
      </c>
      <c r="M7" s="112"/>
      <c r="R7" s="495"/>
    </row>
    <row r="8" spans="1:32" ht="14.25" customHeight="1" x14ac:dyDescent="0.2">
      <c r="B8" s="325"/>
      <c r="C8" s="114"/>
      <c r="D8" s="309"/>
      <c r="E8" s="309"/>
      <c r="F8" s="117"/>
      <c r="G8" s="121"/>
      <c r="H8" s="119"/>
      <c r="I8" s="65"/>
      <c r="J8" s="101"/>
      <c r="K8" s="104"/>
      <c r="L8" s="104"/>
      <c r="M8" s="112"/>
    </row>
    <row r="9" spans="1:32" ht="14.25" customHeight="1" x14ac:dyDescent="0.2">
      <c r="B9" s="78" t="s">
        <v>250</v>
      </c>
      <c r="C9" s="78">
        <v>10000</v>
      </c>
      <c r="D9" s="561" t="s">
        <v>502</v>
      </c>
      <c r="E9" s="562">
        <f>$S$30*$T$1</f>
        <v>7475</v>
      </c>
      <c r="F9" s="78" t="s">
        <v>239</v>
      </c>
      <c r="G9" s="305">
        <f>(($S$30*$T$1)/$R$1)/$C$9</f>
        <v>1.4950000000000001</v>
      </c>
      <c r="H9" s="79"/>
      <c r="I9" s="79"/>
      <c r="J9" s="79"/>
      <c r="K9" s="79"/>
      <c r="L9" s="79"/>
      <c r="M9" s="112"/>
    </row>
    <row r="10" spans="1:32" ht="9.75" customHeight="1" x14ac:dyDescent="0.2">
      <c r="B10" s="85"/>
      <c r="C10" s="1631" t="s">
        <v>472</v>
      </c>
      <c r="D10" s="1631"/>
      <c r="E10" s="1631"/>
      <c r="F10" s="85"/>
      <c r="G10" s="85"/>
      <c r="H10" s="85"/>
      <c r="I10" s="85"/>
      <c r="J10" s="85"/>
      <c r="K10" s="85"/>
      <c r="L10" s="85"/>
      <c r="M10" s="112"/>
    </row>
    <row r="11" spans="1:32" ht="26.25" customHeight="1" x14ac:dyDescent="0.2">
      <c r="B11" s="579"/>
      <c r="C11" s="85"/>
      <c r="D11" s="85"/>
      <c r="E11" s="85"/>
      <c r="F11" s="85"/>
      <c r="G11" s="85"/>
      <c r="H11" s="85"/>
      <c r="I11" s="85"/>
      <c r="J11" s="85"/>
      <c r="K11" s="85"/>
      <c r="L11" s="85"/>
      <c r="M11" s="112"/>
    </row>
    <row r="12" spans="1:32" ht="22.5" customHeight="1" x14ac:dyDescent="0.2">
      <c r="B12" s="78" t="s">
        <v>241</v>
      </c>
      <c r="C12" s="493" t="s">
        <v>242</v>
      </c>
      <c r="D12" s="78" t="s">
        <v>250</v>
      </c>
      <c r="E12" s="78" t="s">
        <v>234</v>
      </c>
      <c r="F12" s="78" t="s">
        <v>243</v>
      </c>
      <c r="G12" s="78" t="s">
        <v>244</v>
      </c>
      <c r="H12" s="78" t="s">
        <v>335</v>
      </c>
      <c r="I12" s="75" t="s">
        <v>246</v>
      </c>
      <c r="J12" s="75" t="s">
        <v>247</v>
      </c>
      <c r="K12" s="75" t="s">
        <v>248</v>
      </c>
      <c r="L12" s="75" t="s">
        <v>249</v>
      </c>
      <c r="M12" s="112"/>
    </row>
    <row r="13" spans="1:32" ht="14.25" customHeight="1" x14ac:dyDescent="0.2">
      <c r="A13" s="1603" t="s">
        <v>906</v>
      </c>
      <c r="B13" s="299" t="s">
        <v>54</v>
      </c>
      <c r="C13" s="310" t="s">
        <v>14</v>
      </c>
      <c r="D13" s="98">
        <v>200</v>
      </c>
      <c r="E13" s="108">
        <f t="shared" ref="E13:E24" si="4">$G$9</f>
        <v>1.4950000000000001</v>
      </c>
      <c r="F13" s="276">
        <v>1</v>
      </c>
      <c r="G13" s="101">
        <f t="shared" ref="G13:G21" si="5">D13*E13</f>
        <v>299</v>
      </c>
      <c r="H13" s="187">
        <f t="shared" ref="H13:H24" si="6">G13*F13</f>
        <v>299</v>
      </c>
      <c r="I13" s="65">
        <f>VLOOKUP(B13,All_Ingredients!$A$1:$F$156,6,FALSE())</f>
        <v>0.87</v>
      </c>
      <c r="J13" s="101">
        <f>VLOOKUP(B13,All_Ingredients!$A$1:$J$156,10,FALSE())</f>
        <v>7</v>
      </c>
      <c r="K13" s="104">
        <f t="shared" ref="K13" si="7">(H13/I13)/1000</f>
        <v>0.34367816091954023</v>
      </c>
      <c r="L13" s="104">
        <f t="shared" ref="L13" si="8">K13*J13</f>
        <v>2.4057471264367818</v>
      </c>
      <c r="M13" s="112"/>
    </row>
    <row r="14" spans="1:32" ht="14.25" customHeight="1" x14ac:dyDescent="0.2">
      <c r="A14" s="1603" t="s">
        <v>907</v>
      </c>
      <c r="B14" s="299" t="s">
        <v>727</v>
      </c>
      <c r="C14" s="310" t="s">
        <v>14</v>
      </c>
      <c r="D14" s="98">
        <v>200</v>
      </c>
      <c r="E14" s="108">
        <f t="shared" si="4"/>
        <v>1.4950000000000001</v>
      </c>
      <c r="F14" s="276">
        <v>1</v>
      </c>
      <c r="G14" s="101">
        <f t="shared" si="5"/>
        <v>299</v>
      </c>
      <c r="H14" s="187">
        <f t="shared" si="6"/>
        <v>299</v>
      </c>
      <c r="I14" s="65">
        <f>VLOOKUP(B14,All_Ingredients!$A$1:$F$156,6,FALSE())</f>
        <v>1</v>
      </c>
      <c r="J14" s="101">
        <f>VLOOKUP(B14,All_Ingredients!$A$1:$J$156,10,FALSE())</f>
        <v>10.5</v>
      </c>
      <c r="K14" s="104">
        <f t="shared" ref="K14:K24" si="9">(H14/I14)/1000</f>
        <v>0.29899999999999999</v>
      </c>
      <c r="L14" s="104">
        <f t="shared" ref="L14:L24" si="10">K14*J14</f>
        <v>3.1395</v>
      </c>
      <c r="M14" s="112"/>
      <c r="R14" s="314"/>
    </row>
    <row r="15" spans="1:32" s="515" customFormat="1" ht="14.25" customHeight="1" x14ac:dyDescent="0.2">
      <c r="A15" s="1603" t="s">
        <v>920</v>
      </c>
      <c r="B15" s="299" t="s">
        <v>12</v>
      </c>
      <c r="C15" s="310" t="s">
        <v>14</v>
      </c>
      <c r="D15" s="98">
        <v>1000</v>
      </c>
      <c r="E15" s="108">
        <f t="shared" si="4"/>
        <v>1.4950000000000001</v>
      </c>
      <c r="F15" s="276">
        <v>1</v>
      </c>
      <c r="G15" s="101">
        <f t="shared" si="5"/>
        <v>1495</v>
      </c>
      <c r="H15" s="187">
        <f t="shared" si="6"/>
        <v>1495</v>
      </c>
      <c r="I15" s="65">
        <f>VLOOKUP(B15,All_Ingredients!$A$1:$F$156,6,FALSE())</f>
        <v>0.9</v>
      </c>
      <c r="J15" s="101">
        <f>VLOOKUP(B15,All_Ingredients!$A$1:$J$156,10,FALSE())</f>
        <v>3</v>
      </c>
      <c r="K15" s="104">
        <f t="shared" si="9"/>
        <v>1.661111111111111</v>
      </c>
      <c r="L15" s="104">
        <f t="shared" si="10"/>
        <v>4.9833333333333325</v>
      </c>
      <c r="M15" s="444"/>
      <c r="N15" s="1547"/>
      <c r="O15" s="1547"/>
      <c r="R15" s="14"/>
      <c r="S15" s="14"/>
      <c r="T15" s="14"/>
      <c r="AE15" s="1548"/>
      <c r="AF15" s="1548"/>
    </row>
    <row r="16" spans="1:32" ht="14.25" customHeight="1" x14ac:dyDescent="0.2">
      <c r="A16" s="515" t="s">
        <v>947</v>
      </c>
      <c r="B16" s="299" t="s">
        <v>60</v>
      </c>
      <c r="C16" s="310" t="s">
        <v>14</v>
      </c>
      <c r="D16" s="98">
        <v>100</v>
      </c>
      <c r="E16" s="108">
        <f t="shared" si="4"/>
        <v>1.4950000000000001</v>
      </c>
      <c r="F16" s="276">
        <v>1</v>
      </c>
      <c r="G16" s="101">
        <f t="shared" si="5"/>
        <v>149.5</v>
      </c>
      <c r="H16" s="187">
        <f t="shared" si="6"/>
        <v>149.5</v>
      </c>
      <c r="I16" s="65">
        <f>VLOOKUP(B16,All_Ingredients!$A$1:$F$156,6,FALSE())</f>
        <v>0.94</v>
      </c>
      <c r="J16" s="101">
        <f>VLOOKUP(B16,All_Ingredients!$A$1:$J$156,10,FALSE())</f>
        <v>3.6363636363636367</v>
      </c>
      <c r="K16" s="104">
        <f t="shared" si="9"/>
        <v>0.15904255319148936</v>
      </c>
      <c r="L16" s="104">
        <f t="shared" si="10"/>
        <v>0.57833655705996134</v>
      </c>
      <c r="M16" s="118"/>
      <c r="N16" s="112"/>
      <c r="O16" s="112"/>
      <c r="R16" s="515"/>
      <c r="S16" s="515"/>
      <c r="T16" s="515"/>
    </row>
    <row r="17" spans="1:42" ht="14.25" customHeight="1" x14ac:dyDescent="0.2">
      <c r="A17" s="515"/>
      <c r="B17" s="299" t="s">
        <v>93</v>
      </c>
      <c r="C17" s="310" t="s">
        <v>14</v>
      </c>
      <c r="D17" s="98">
        <v>150</v>
      </c>
      <c r="E17" s="108">
        <f t="shared" si="4"/>
        <v>1.4950000000000001</v>
      </c>
      <c r="F17" s="276">
        <v>1</v>
      </c>
      <c r="G17" s="101">
        <f t="shared" si="5"/>
        <v>224.25000000000003</v>
      </c>
      <c r="H17" s="187">
        <f t="shared" si="6"/>
        <v>224.25000000000003</v>
      </c>
      <c r="I17" s="65">
        <f>VLOOKUP(B17,All_Ingredients!$A$1:$F$156,6,FALSE())</f>
        <v>1</v>
      </c>
      <c r="J17" s="101">
        <f>VLOOKUP(B17,All_Ingredients!$A$1:$J$156,10,FALSE())</f>
        <v>0.74</v>
      </c>
      <c r="K17" s="104">
        <f t="shared" si="9"/>
        <v>0.22425000000000003</v>
      </c>
      <c r="L17" s="104">
        <f t="shared" si="10"/>
        <v>0.16594500000000001</v>
      </c>
      <c r="M17" s="118"/>
      <c r="N17" s="112"/>
      <c r="O17" s="112"/>
    </row>
    <row r="18" spans="1:42" ht="14.25" customHeight="1" x14ac:dyDescent="0.2">
      <c r="A18" s="515"/>
      <c r="B18" s="299" t="s">
        <v>725</v>
      </c>
      <c r="C18" s="310" t="s">
        <v>14</v>
      </c>
      <c r="D18" s="98">
        <v>100</v>
      </c>
      <c r="E18" s="108">
        <f t="shared" si="4"/>
        <v>1.4950000000000001</v>
      </c>
      <c r="F18" s="276">
        <v>1</v>
      </c>
      <c r="G18" s="101">
        <f t="shared" si="5"/>
        <v>149.5</v>
      </c>
      <c r="H18" s="187">
        <f t="shared" si="6"/>
        <v>149.5</v>
      </c>
      <c r="I18" s="65">
        <f>VLOOKUP(B18,All_Ingredients!$A$1:$F$156,6,FALSE())</f>
        <v>1</v>
      </c>
      <c r="J18" s="101">
        <f>VLOOKUP(B18,All_Ingredients!$A$1:$J$156,10,FALSE())</f>
        <v>43.333333333333336</v>
      </c>
      <c r="K18" s="104">
        <f t="shared" si="9"/>
        <v>0.14949999999999999</v>
      </c>
      <c r="L18" s="104">
        <f t="shared" si="10"/>
        <v>6.4783333333333335</v>
      </c>
      <c r="M18" s="118"/>
      <c r="N18" s="112"/>
      <c r="O18" s="112"/>
      <c r="AJ18" s="325"/>
      <c r="AK18" s="308"/>
      <c r="AM18" s="116"/>
      <c r="AN18" s="498"/>
      <c r="AO18" s="118"/>
      <c r="AP18" s="499"/>
    </row>
    <row r="19" spans="1:42" ht="14.25" customHeight="1" x14ac:dyDescent="0.2">
      <c r="B19" s="299" t="s">
        <v>34</v>
      </c>
      <c r="C19" s="310" t="s">
        <v>14</v>
      </c>
      <c r="D19" s="98">
        <v>200</v>
      </c>
      <c r="E19" s="108">
        <f t="shared" si="4"/>
        <v>1.4950000000000001</v>
      </c>
      <c r="F19" s="276">
        <v>1</v>
      </c>
      <c r="G19" s="101">
        <f t="shared" si="5"/>
        <v>299</v>
      </c>
      <c r="H19" s="187">
        <f t="shared" si="6"/>
        <v>299</v>
      </c>
      <c r="I19" s="65">
        <f>VLOOKUP(B19,All_Ingredients!$A$1:$F$156,6,FALSE())</f>
        <v>0.86</v>
      </c>
      <c r="J19" s="101">
        <f>VLOOKUP(B19,All_Ingredients!$A$1:$J$156,10,FALSE())</f>
        <v>14</v>
      </c>
      <c r="K19" s="104">
        <f t="shared" si="9"/>
        <v>0.3476744186046512</v>
      </c>
      <c r="L19" s="104">
        <f t="shared" si="10"/>
        <v>4.8674418604651173</v>
      </c>
      <c r="M19" s="118"/>
      <c r="N19" s="112"/>
      <c r="O19" s="112"/>
      <c r="AJ19" s="325"/>
      <c r="AK19" s="308"/>
      <c r="AM19" s="116"/>
      <c r="AN19" s="498"/>
      <c r="AO19" s="118"/>
      <c r="AP19" s="499"/>
    </row>
    <row r="20" spans="1:42" ht="14.25" customHeight="1" x14ac:dyDescent="0.2">
      <c r="A20" s="515"/>
      <c r="B20" s="299" t="s">
        <v>118</v>
      </c>
      <c r="C20" s="310" t="s">
        <v>14</v>
      </c>
      <c r="D20" s="98">
        <v>30</v>
      </c>
      <c r="E20" s="108">
        <f t="shared" si="4"/>
        <v>1.4950000000000001</v>
      </c>
      <c r="F20" s="276">
        <v>1</v>
      </c>
      <c r="G20" s="101">
        <f t="shared" si="5"/>
        <v>44.85</v>
      </c>
      <c r="H20" s="187">
        <f t="shared" si="6"/>
        <v>44.85</v>
      </c>
      <c r="I20" s="65">
        <f>VLOOKUP(B20,All_Ingredients!$A$1:$F$156,6,FALSE())</f>
        <v>1</v>
      </c>
      <c r="J20" s="101">
        <f>VLOOKUP(B20,All_Ingredients!$A$1:$J$156,10,FALSE())</f>
        <v>15</v>
      </c>
      <c r="K20" s="104">
        <f t="shared" si="9"/>
        <v>4.4850000000000001E-2</v>
      </c>
      <c r="L20" s="104">
        <f t="shared" si="10"/>
        <v>0.67274999999999996</v>
      </c>
      <c r="M20" s="118"/>
      <c r="N20" s="112"/>
      <c r="O20" s="112"/>
      <c r="AJ20" s="325"/>
      <c r="AK20" s="308"/>
      <c r="AM20" s="116"/>
      <c r="AN20" s="498"/>
      <c r="AO20" s="118"/>
      <c r="AP20" s="499"/>
    </row>
    <row r="21" spans="1:42" ht="14.25" customHeight="1" x14ac:dyDescent="0.2">
      <c r="B21" s="299" t="s">
        <v>113</v>
      </c>
      <c r="C21" s="310" t="s">
        <v>14</v>
      </c>
      <c r="D21" s="98">
        <v>50</v>
      </c>
      <c r="E21" s="108">
        <f t="shared" si="4"/>
        <v>1.4950000000000001</v>
      </c>
      <c r="F21" s="276">
        <v>1</v>
      </c>
      <c r="G21" s="101">
        <f t="shared" si="5"/>
        <v>74.75</v>
      </c>
      <c r="H21" s="187">
        <f t="shared" si="6"/>
        <v>74.75</v>
      </c>
      <c r="I21" s="65">
        <f>VLOOKUP(B21,All_Ingredients!$A$1:$F$156,6,FALSE())</f>
        <v>1</v>
      </c>
      <c r="J21" s="101">
        <f>VLOOKUP(B21,All_Ingredients!$A$1:$J$156,10,FALSE())</f>
        <v>20</v>
      </c>
      <c r="K21" s="104">
        <f t="shared" si="9"/>
        <v>7.4749999999999997E-2</v>
      </c>
      <c r="L21" s="104">
        <f t="shared" si="10"/>
        <v>1.4949999999999999</v>
      </c>
      <c r="M21" s="118"/>
      <c r="N21" s="112"/>
      <c r="O21" s="112"/>
      <c r="AJ21" s="325"/>
      <c r="AK21" s="308"/>
      <c r="AM21" s="116"/>
      <c r="AN21" s="498"/>
      <c r="AO21" s="118"/>
      <c r="AP21" s="499"/>
    </row>
    <row r="22" spans="1:42" ht="14.25" customHeight="1" x14ac:dyDescent="0.2">
      <c r="B22" s="299" t="s">
        <v>107</v>
      </c>
      <c r="C22" s="310" t="s">
        <v>14</v>
      </c>
      <c r="D22" s="98">
        <v>55</v>
      </c>
      <c r="E22" s="108">
        <f t="shared" si="4"/>
        <v>1.4950000000000001</v>
      </c>
      <c r="F22" s="276">
        <v>1</v>
      </c>
      <c r="G22" s="101">
        <f>D22*E22</f>
        <v>82.225000000000009</v>
      </c>
      <c r="H22" s="187">
        <f t="shared" si="6"/>
        <v>82.225000000000009</v>
      </c>
      <c r="I22" s="65">
        <f>VLOOKUP(B22,All_Ingredients!$A$1:$F$156,6,FALSE())</f>
        <v>1</v>
      </c>
      <c r="J22" s="101">
        <f>VLOOKUP(B22,All_Ingredients!$A$1:$J$156,10,FALSE())</f>
        <v>8</v>
      </c>
      <c r="K22" s="104">
        <f t="shared" si="9"/>
        <v>8.2225000000000006E-2</v>
      </c>
      <c r="L22" s="104">
        <f t="shared" si="10"/>
        <v>0.65780000000000005</v>
      </c>
      <c r="M22" s="118"/>
      <c r="N22" s="112"/>
      <c r="O22" s="112"/>
    </row>
    <row r="23" spans="1:42" ht="12.75" customHeight="1" x14ac:dyDescent="0.2">
      <c r="B23" s="299" t="s">
        <v>105</v>
      </c>
      <c r="C23" s="310" t="s">
        <v>14</v>
      </c>
      <c r="D23" s="98">
        <v>55</v>
      </c>
      <c r="E23" s="108">
        <f t="shared" si="4"/>
        <v>1.4950000000000001</v>
      </c>
      <c r="F23" s="276">
        <v>1</v>
      </c>
      <c r="G23" s="101">
        <f>D23*E23</f>
        <v>82.225000000000009</v>
      </c>
      <c r="H23" s="187">
        <f t="shared" si="6"/>
        <v>82.225000000000009</v>
      </c>
      <c r="I23" s="65">
        <f>VLOOKUP(B23,All_Ingredients!$A$1:$F$156,6,FALSE())</f>
        <v>1</v>
      </c>
      <c r="J23" s="101">
        <f>VLOOKUP(B23,All_Ingredients!$A$1:$J$156,10,FALSE())</f>
        <v>15</v>
      </c>
      <c r="K23" s="104">
        <f t="shared" si="9"/>
        <v>8.2225000000000006E-2</v>
      </c>
      <c r="L23" s="104">
        <f t="shared" si="10"/>
        <v>1.2333750000000001</v>
      </c>
    </row>
    <row r="24" spans="1:42" ht="12.75" customHeight="1" x14ac:dyDescent="0.2">
      <c r="B24" s="299" t="s">
        <v>216</v>
      </c>
      <c r="C24" s="310" t="s">
        <v>14</v>
      </c>
      <c r="D24" s="98">
        <v>30</v>
      </c>
      <c r="E24" s="108">
        <f t="shared" si="4"/>
        <v>1.4950000000000001</v>
      </c>
      <c r="F24" s="276">
        <v>1</v>
      </c>
      <c r="G24" s="101">
        <f>D24*E24</f>
        <v>44.85</v>
      </c>
      <c r="H24" s="187">
        <f t="shared" si="6"/>
        <v>44.85</v>
      </c>
      <c r="I24" s="65">
        <f>VLOOKUP(B24,All_Ingredients!$A$1:$F$156,6,FALSE())</f>
        <v>1</v>
      </c>
      <c r="J24" s="101">
        <f>VLOOKUP(B24,All_Ingredients!$A$1:$J$156,10,FALSE())</f>
        <v>5</v>
      </c>
      <c r="K24" s="104">
        <f t="shared" si="9"/>
        <v>4.4850000000000001E-2</v>
      </c>
      <c r="L24" s="104">
        <f t="shared" si="10"/>
        <v>0.22425</v>
      </c>
      <c r="Z24" s="1073"/>
    </row>
    <row r="25" spans="1:42" ht="12.75" customHeight="1" x14ac:dyDescent="0.2">
      <c r="R25" s="1662" t="s">
        <v>472</v>
      </c>
      <c r="S25" s="1662"/>
      <c r="T25"/>
      <c r="U25"/>
      <c r="V25"/>
      <c r="Z25" s="122" t="s">
        <v>784</v>
      </c>
      <c r="AA25" s="123">
        <v>1</v>
      </c>
      <c r="AB25" s="122" t="s">
        <v>249</v>
      </c>
      <c r="AC25" s="124">
        <f>AE30*AA25</f>
        <v>2.4292722361749868</v>
      </c>
    </row>
    <row r="26" spans="1:42" ht="14.25" customHeight="1" x14ac:dyDescent="0.2">
      <c r="R26" s="1549" t="s">
        <v>291</v>
      </c>
      <c r="S26" s="1549"/>
    </row>
    <row r="27" spans="1:42" ht="14.25" customHeight="1" x14ac:dyDescent="0.2">
      <c r="J27" s="325"/>
      <c r="K27" s="280"/>
      <c r="L27" s="121"/>
      <c r="R27" s="126" t="s">
        <v>254</v>
      </c>
      <c r="S27" s="126" t="s">
        <v>473</v>
      </c>
      <c r="T27" s="126" t="s">
        <v>257</v>
      </c>
      <c r="U27" s="127" t="s">
        <v>772</v>
      </c>
      <c r="V27" s="127" t="s">
        <v>785</v>
      </c>
      <c r="W27" s="127" t="s">
        <v>780</v>
      </c>
      <c r="Z27" s="128" t="s">
        <v>258</v>
      </c>
      <c r="AA27" s="128" t="s">
        <v>772</v>
      </c>
      <c r="AB27" s="128" t="s">
        <v>259</v>
      </c>
      <c r="AC27" s="128" t="s">
        <v>783</v>
      </c>
      <c r="AD27" s="128" t="s">
        <v>780</v>
      </c>
      <c r="AE27" s="128" t="s">
        <v>262</v>
      </c>
    </row>
    <row r="28" spans="1:42" ht="14.25" customHeight="1" x14ac:dyDescent="0.2">
      <c r="J28" s="325"/>
      <c r="K28" s="280"/>
      <c r="L28" s="309"/>
      <c r="R28" s="126" t="s">
        <v>263</v>
      </c>
      <c r="S28" s="1206">
        <f>Z1</f>
        <v>110</v>
      </c>
      <c r="T28" s="1550"/>
      <c r="U28" s="1550">
        <f>SUM(H13:H24)</f>
        <v>3244.1499999999996</v>
      </c>
      <c r="V28" s="1550"/>
      <c r="W28" s="1550">
        <f>G7</f>
        <v>115</v>
      </c>
      <c r="Z28" s="1551"/>
      <c r="AA28" s="1552"/>
      <c r="AB28" s="133">
        <f>AA25*$S$40</f>
        <v>1</v>
      </c>
      <c r="AC28" s="1552"/>
      <c r="AD28" s="1552"/>
      <c r="AE28" s="135">
        <f>SUM(AB28:AD28)</f>
        <v>1</v>
      </c>
    </row>
    <row r="29" spans="1:42" ht="14.25" customHeight="1" x14ac:dyDescent="0.2">
      <c r="J29" s="325"/>
      <c r="K29" s="280"/>
      <c r="L29" s="309"/>
      <c r="R29" s="126" t="s">
        <v>265</v>
      </c>
      <c r="S29" s="1207">
        <f>AB1</f>
        <v>5</v>
      </c>
      <c r="T29" s="1553"/>
      <c r="U29" s="1553"/>
      <c r="V29" s="1553"/>
      <c r="W29" s="1553"/>
      <c r="Z29" s="1551"/>
      <c r="AA29" s="1552"/>
      <c r="AB29" s="137">
        <f>AB28/$AE$28</f>
        <v>1</v>
      </c>
      <c r="AC29" s="1552"/>
      <c r="AD29" s="1552"/>
      <c r="AE29" s="137">
        <f>AE28/$AE$28</f>
        <v>1</v>
      </c>
    </row>
    <row r="30" spans="1:42" ht="14.25" customHeight="1" thickBot="1" x14ac:dyDescent="0.25">
      <c r="D30" s="309"/>
      <c r="E30" s="117"/>
      <c r="F30" s="118"/>
      <c r="J30" s="325"/>
      <c r="K30" s="280"/>
      <c r="L30" s="309"/>
      <c r="R30" s="127" t="s">
        <v>257</v>
      </c>
      <c r="S30" s="316">
        <f>S28+S29</f>
        <v>115</v>
      </c>
      <c r="T30" s="1554"/>
      <c r="U30" s="1554"/>
      <c r="V30" s="1554"/>
      <c r="W30" s="1554"/>
      <c r="Z30" s="128" t="s">
        <v>266</v>
      </c>
      <c r="AA30" s="1018">
        <f>U33/$AF$1</f>
        <v>0.23392880183155246</v>
      </c>
      <c r="AB30" s="138">
        <f>S33/(AF1)</f>
        <v>2.1943434343434345</v>
      </c>
      <c r="AC30" s="157">
        <f>V33/AF1</f>
        <v>0</v>
      </c>
      <c r="AD30" s="1018">
        <f>W33/$AF$1</f>
        <v>1E-3</v>
      </c>
      <c r="AE30" s="994">
        <f>AA30+AB30+AC30+AD30</f>
        <v>2.4292722361749868</v>
      </c>
    </row>
    <row r="31" spans="1:42" ht="14.25" customHeight="1" thickBot="1" x14ac:dyDescent="0.3">
      <c r="D31" s="309"/>
      <c r="E31" s="117"/>
      <c r="F31" s="118"/>
      <c r="J31" s="325"/>
      <c r="K31" s="280"/>
      <c r="L31" s="309"/>
      <c r="R31" s="317" t="s">
        <v>254</v>
      </c>
      <c r="S31" s="318"/>
      <c r="T31" s="1555"/>
      <c r="U31" s="1555"/>
      <c r="V31" s="1555"/>
      <c r="W31" s="1555"/>
    </row>
    <row r="32" spans="1:42" ht="14.25" customHeight="1" thickBot="1" x14ac:dyDescent="0.25">
      <c r="D32" s="309"/>
      <c r="E32" s="117"/>
      <c r="F32" s="118"/>
      <c r="J32" s="325"/>
      <c r="K32" s="280"/>
      <c r="L32" s="309"/>
      <c r="R32" s="159" t="s">
        <v>269</v>
      </c>
      <c r="S32" s="320"/>
      <c r="T32" s="1556"/>
      <c r="U32" s="1556"/>
      <c r="V32" s="1556"/>
      <c r="W32" s="1556"/>
    </row>
    <row r="33" spans="2:23" ht="14.25" customHeight="1" thickBot="1" x14ac:dyDescent="0.25">
      <c r="D33" s="84"/>
      <c r="E33" s="84"/>
      <c r="J33" s="325"/>
      <c r="K33" s="280"/>
      <c r="L33" s="309"/>
      <c r="R33" s="144" t="s">
        <v>249</v>
      </c>
      <c r="S33" s="990">
        <f>$L$5+L6</f>
        <v>252.34949494949495</v>
      </c>
      <c r="T33" s="1557">
        <f>S33+U33+V33+W33</f>
        <v>279.36630716012348</v>
      </c>
      <c r="U33" s="1558">
        <f>SUM(L13:L24)</f>
        <v>26.901812210628531</v>
      </c>
      <c r="V33" s="1558">
        <v>0</v>
      </c>
      <c r="W33" s="1558">
        <f>L7</f>
        <v>0.115</v>
      </c>
    </row>
    <row r="34" spans="2:23" ht="14.25" customHeight="1" x14ac:dyDescent="0.2">
      <c r="D34" s="84"/>
      <c r="E34" s="84"/>
      <c r="J34" s="325"/>
      <c r="K34" s="280"/>
      <c r="L34" s="309"/>
      <c r="S34" s="492"/>
    </row>
    <row r="35" spans="2:23" ht="14.25" customHeight="1" x14ac:dyDescent="0.2">
      <c r="B35" s="1641" t="s">
        <v>800</v>
      </c>
      <c r="C35" s="1641"/>
      <c r="D35" s="1641"/>
      <c r="E35" s="1641"/>
      <c r="F35" s="1641"/>
      <c r="G35" s="803"/>
      <c r="H35" s="803"/>
      <c r="I35" s="803"/>
      <c r="J35" s="803"/>
      <c r="K35" s="803"/>
      <c r="L35" s="803"/>
      <c r="S35" s="492"/>
    </row>
    <row r="36" spans="2:23" ht="14.25" customHeight="1" x14ac:dyDescent="0.2">
      <c r="B36" s="776" t="s">
        <v>241</v>
      </c>
      <c r="C36" s="776" t="s">
        <v>317</v>
      </c>
      <c r="D36" s="778" t="s">
        <v>622</v>
      </c>
      <c r="E36" s="775" t="s">
        <v>623</v>
      </c>
      <c r="F36" s="778" t="s">
        <v>624</v>
      </c>
      <c r="G36" s="797"/>
      <c r="H36" s="778" t="s">
        <v>624</v>
      </c>
      <c r="I36" s="778" t="s">
        <v>246</v>
      </c>
      <c r="J36" s="778" t="s">
        <v>247</v>
      </c>
      <c r="K36" s="778" t="s">
        <v>248</v>
      </c>
      <c r="L36" s="778" t="s">
        <v>249</v>
      </c>
    </row>
    <row r="37" spans="2:23" ht="14.25" customHeight="1" x14ac:dyDescent="0.2">
      <c r="B37" s="772" t="s">
        <v>64</v>
      </c>
      <c r="C37" s="773" t="s">
        <v>14</v>
      </c>
      <c r="D37" s="774">
        <v>0.2</v>
      </c>
      <c r="E37" s="772">
        <f>$AD$1</f>
        <v>110</v>
      </c>
      <c r="F37" s="772">
        <f>D37*E37</f>
        <v>22</v>
      </c>
      <c r="G37" s="796"/>
      <c r="H37" s="772">
        <f>F37</f>
        <v>22</v>
      </c>
      <c r="I37" s="772">
        <f>VLOOKUP(B37,All_Ingredients!$A$1:$F$156,6,FALSE())</f>
        <v>0.65</v>
      </c>
      <c r="J37" s="772">
        <f>VLOOKUP(B37,All_Ingredients!$A$1:$J$156,10,FALSE())</f>
        <v>3.5</v>
      </c>
      <c r="K37" s="772">
        <f t="shared" ref="K37" si="11">(H37/I37)/1000</f>
        <v>3.3846153846153845E-2</v>
      </c>
      <c r="L37" s="772">
        <f t="shared" ref="L37" si="12">K37*J37</f>
        <v>0.11846153846153845</v>
      </c>
    </row>
    <row r="38" spans="2:23" ht="14.25" customHeight="1" x14ac:dyDescent="0.2">
      <c r="J38" s="325"/>
      <c r="L38" s="340"/>
    </row>
    <row r="39" spans="2:23" ht="14.25" customHeight="1" x14ac:dyDescent="0.2">
      <c r="B39" s="84"/>
      <c r="J39" s="325"/>
      <c r="L39" s="340"/>
    </row>
    <row r="40" spans="2:23" ht="46.5" customHeight="1" x14ac:dyDescent="0.2">
      <c r="B40" s="84"/>
      <c r="C40" s="84"/>
      <c r="D40" s="322"/>
      <c r="E40" s="84"/>
      <c r="F40" s="84"/>
      <c r="G40" s="84"/>
      <c r="H40" s="84"/>
      <c r="I40" s="84"/>
      <c r="J40" s="325"/>
      <c r="L40" s="340"/>
      <c r="R40" s="146" t="s">
        <v>270</v>
      </c>
      <c r="S40" s="147">
        <v>1</v>
      </c>
      <c r="T40" s="146" t="s">
        <v>271</v>
      </c>
      <c r="U40" s="148">
        <v>0</v>
      </c>
      <c r="V40" s="149">
        <f>S40+U40</f>
        <v>1</v>
      </c>
    </row>
    <row r="41" spans="2:23" ht="18" customHeight="1" x14ac:dyDescent="0.2">
      <c r="B41" s="84"/>
      <c r="C41" s="84"/>
      <c r="D41" s="84"/>
      <c r="E41" s="84"/>
      <c r="F41" s="84"/>
      <c r="G41" s="84"/>
      <c r="H41" s="84"/>
      <c r="I41" s="84"/>
      <c r="J41" s="84"/>
      <c r="U41" s="150"/>
    </row>
    <row r="42" spans="2:23" ht="18" customHeight="1" x14ac:dyDescent="0.2">
      <c r="B42" s="1671"/>
      <c r="C42" s="1671"/>
      <c r="D42" s="1671"/>
      <c r="E42" s="1671"/>
      <c r="F42" s="1671"/>
      <c r="G42" s="1671"/>
      <c r="H42" s="1671"/>
      <c r="I42" s="1671"/>
      <c r="J42" s="1671"/>
    </row>
    <row r="43" spans="2:23" ht="12.75" customHeight="1" x14ac:dyDescent="0.2">
      <c r="B43" s="1660"/>
      <c r="C43" s="1660"/>
      <c r="D43" s="1660"/>
      <c r="E43" s="1660"/>
      <c r="F43" s="1660"/>
      <c r="G43" s="1660"/>
      <c r="H43" s="1660"/>
      <c r="I43" s="1660"/>
      <c r="J43" s="1660"/>
      <c r="Q43" s="151" t="s">
        <v>272</v>
      </c>
      <c r="R43" s="151" t="s">
        <v>273</v>
      </c>
      <c r="S43" s="151" t="s">
        <v>274</v>
      </c>
      <c r="T43" s="151" t="s">
        <v>275</v>
      </c>
      <c r="U43" s="151" t="s">
        <v>276</v>
      </c>
      <c r="V43" s="151" t="s">
        <v>277</v>
      </c>
      <c r="W43" s="151" t="s">
        <v>278</v>
      </c>
    </row>
    <row r="44" spans="2:23" ht="14.25" customHeight="1" x14ac:dyDescent="0.2">
      <c r="B44" s="323"/>
      <c r="C44" s="324"/>
      <c r="D44" s="323"/>
      <c r="E44" s="323"/>
      <c r="F44" s="323"/>
      <c r="G44" s="323"/>
      <c r="H44" s="323"/>
      <c r="I44" s="323"/>
      <c r="J44" s="323"/>
      <c r="Q44" s="153">
        <v>18841</v>
      </c>
      <c r="R44" s="154">
        <f>E52</f>
        <v>0</v>
      </c>
      <c r="S44" s="155">
        <v>0</v>
      </c>
      <c r="T44" s="155">
        <v>0</v>
      </c>
      <c r="U44" s="220">
        <f>R44*S44</f>
        <v>0</v>
      </c>
      <c r="V44" s="157">
        <f>R44*T44</f>
        <v>0</v>
      </c>
      <c r="W44" s="157">
        <f>Q44-U44</f>
        <v>18841</v>
      </c>
    </row>
    <row r="45" spans="2:23" ht="14.25" customHeight="1" x14ac:dyDescent="0.2">
      <c r="B45" s="325"/>
      <c r="C45" s="325"/>
      <c r="D45" s="309"/>
      <c r="E45" s="309"/>
      <c r="F45" s="117"/>
      <c r="G45" s="118"/>
      <c r="H45" s="119"/>
      <c r="I45" s="76"/>
      <c r="J45" s="120"/>
    </row>
    <row r="46" spans="2:23" ht="14.25" customHeight="1" x14ac:dyDescent="0.2">
      <c r="B46" s="325"/>
      <c r="C46" s="325"/>
      <c r="D46" s="309"/>
      <c r="E46" s="309"/>
      <c r="F46" s="117"/>
      <c r="G46" s="118"/>
      <c r="H46" s="119"/>
      <c r="I46" s="76"/>
      <c r="J46" s="120"/>
    </row>
    <row r="47" spans="2:23" ht="14.25" customHeight="1" x14ac:dyDescent="0.2">
      <c r="B47" s="325"/>
      <c r="C47" s="325"/>
      <c r="D47" s="309"/>
      <c r="E47" s="309"/>
      <c r="F47" s="117"/>
      <c r="G47" s="118"/>
      <c r="H47" s="119"/>
      <c r="I47" s="76"/>
      <c r="J47" s="120"/>
    </row>
    <row r="48" spans="2:23" ht="14.25" customHeight="1" x14ac:dyDescent="0.2">
      <c r="B48" s="325"/>
      <c r="C48" s="325"/>
      <c r="D48" s="309"/>
      <c r="E48" s="309"/>
      <c r="F48" s="117"/>
      <c r="G48" s="118"/>
      <c r="H48" s="119"/>
      <c r="I48" s="76"/>
      <c r="J48" s="120"/>
    </row>
    <row r="49" spans="2:10" ht="14.25" customHeight="1" x14ac:dyDescent="0.2">
      <c r="B49" s="325"/>
      <c r="C49" s="325"/>
      <c r="D49" s="309"/>
      <c r="E49" s="309"/>
      <c r="F49" s="117"/>
      <c r="G49" s="118"/>
      <c r="H49" s="119"/>
      <c r="I49" s="76"/>
      <c r="J49" s="120"/>
    </row>
    <row r="50" spans="2:10" ht="14.25" customHeight="1" x14ac:dyDescent="0.2">
      <c r="B50" s="325"/>
      <c r="C50" s="325"/>
      <c r="D50" s="309"/>
      <c r="E50" s="309"/>
      <c r="F50" s="117"/>
      <c r="G50" s="118"/>
      <c r="H50" s="119"/>
      <c r="I50" s="76"/>
      <c r="J50" s="120"/>
    </row>
    <row r="51" spans="2:10" ht="14.25" customHeight="1" x14ac:dyDescent="0.2">
      <c r="B51" s="160"/>
      <c r="C51" s="160"/>
      <c r="D51" s="160"/>
      <c r="E51" s="84"/>
      <c r="F51" s="84"/>
      <c r="G51" s="126" t="s">
        <v>280</v>
      </c>
      <c r="H51" s="126" t="s">
        <v>233</v>
      </c>
      <c r="I51" s="159" t="s">
        <v>281</v>
      </c>
      <c r="J51" s="159" t="s">
        <v>282</v>
      </c>
    </row>
    <row r="52" spans="2:10" ht="14.25" customHeight="1" x14ac:dyDescent="0.2">
      <c r="B52" s="160"/>
      <c r="C52" s="813"/>
      <c r="D52" s="446"/>
      <c r="E52" s="164"/>
      <c r="F52" s="84"/>
      <c r="G52" s="161" t="s">
        <v>283</v>
      </c>
      <c r="H52" s="254">
        <f>I52/$D$5</f>
        <v>289.86153846153849</v>
      </c>
      <c r="I52" s="162">
        <f>J52/$R$1</f>
        <v>37682</v>
      </c>
      <c r="J52" s="162">
        <f>$W$44</f>
        <v>18841</v>
      </c>
    </row>
    <row r="53" spans="2:10" ht="14.25" customHeight="1" x14ac:dyDescent="0.2">
      <c r="B53" s="11"/>
      <c r="C53" s="312"/>
      <c r="D53" s="447"/>
      <c r="E53" s="84"/>
      <c r="F53" s="84"/>
      <c r="G53" s="129" t="s">
        <v>262</v>
      </c>
      <c r="H53" s="1559">
        <f>I53/$D$5</f>
        <v>92</v>
      </c>
      <c r="I53" s="157">
        <f>J53/$R$1</f>
        <v>11960</v>
      </c>
      <c r="J53" s="165">
        <f>$S$30*$T$1*0.8</f>
        <v>5980</v>
      </c>
    </row>
    <row r="54" spans="2:10" ht="14.25" customHeight="1" x14ac:dyDescent="0.2">
      <c r="B54" s="11"/>
      <c r="C54" s="312"/>
      <c r="D54" s="447"/>
      <c r="E54" s="84"/>
      <c r="F54" s="84"/>
      <c r="G54" s="129" t="s">
        <v>284</v>
      </c>
      <c r="H54" s="168">
        <f>MIN(H53,H52)</f>
        <v>92</v>
      </c>
      <c r="I54" s="157">
        <f>J54/$R$1</f>
        <v>11960</v>
      </c>
      <c r="J54" s="157">
        <f>MIN(J53,J52)</f>
        <v>5980</v>
      </c>
    </row>
    <row r="55" spans="2:10" ht="14.25" customHeight="1" x14ac:dyDescent="0.2">
      <c r="B55" s="11"/>
      <c r="C55" s="312"/>
      <c r="D55" s="447"/>
      <c r="E55" s="84"/>
      <c r="F55" s="84"/>
      <c r="G55" s="129" t="s">
        <v>285</v>
      </c>
      <c r="H55" s="168">
        <f>MIN(MAX(H53-H54),H52)</f>
        <v>0</v>
      </c>
      <c r="I55" s="157">
        <f>J55/$R$1</f>
        <v>0</v>
      </c>
      <c r="J55" s="157">
        <f>MIN(MAX(J53-J54),J52)</f>
        <v>0</v>
      </c>
    </row>
    <row r="56" spans="2:10" ht="14.25" customHeight="1" x14ac:dyDescent="0.2">
      <c r="B56" s="11"/>
      <c r="C56" s="312"/>
      <c r="D56" s="447"/>
      <c r="E56" s="84"/>
      <c r="F56" s="84"/>
      <c r="G56" s="126" t="s">
        <v>286</v>
      </c>
      <c r="H56" s="168">
        <f>MIN(MAX(H53-H54-H55),H52)</f>
        <v>0</v>
      </c>
      <c r="I56" s="157">
        <f>J56/$R$1</f>
        <v>0</v>
      </c>
      <c r="J56" s="157">
        <f>MIN(MAX(J53-J54-J55),J52)</f>
        <v>0</v>
      </c>
    </row>
    <row r="57" spans="2:10" ht="18" customHeight="1" x14ac:dyDescent="0.2"/>
    <row r="58" spans="2:10" ht="12.75" customHeight="1" x14ac:dyDescent="0.2">
      <c r="B58" s="1660"/>
      <c r="C58" s="1660"/>
      <c r="D58" s="1660"/>
      <c r="E58" s="1660"/>
      <c r="F58" s="1660"/>
      <c r="G58" s="1660"/>
      <c r="H58" s="1660"/>
      <c r="I58" s="1660"/>
      <c r="J58" s="1660"/>
    </row>
    <row r="59" spans="2:10" ht="14.25" customHeight="1" x14ac:dyDescent="0.2">
      <c r="B59" s="323"/>
      <c r="C59" s="324"/>
      <c r="D59" s="323"/>
      <c r="E59" s="323"/>
      <c r="F59" s="323"/>
      <c r="G59" s="323"/>
      <c r="H59" s="323"/>
      <c r="I59" s="323"/>
      <c r="J59" s="323"/>
    </row>
    <row r="60" spans="2:10" ht="14.25" customHeight="1" x14ac:dyDescent="0.2">
      <c r="B60" s="325"/>
      <c r="C60" s="325"/>
      <c r="D60" s="325"/>
      <c r="E60" s="309"/>
      <c r="F60" s="117"/>
      <c r="G60" s="118"/>
      <c r="H60" s="119"/>
      <c r="I60" s="76"/>
      <c r="J60" s="120"/>
    </row>
    <row r="61" spans="2:10" ht="14.25" customHeight="1" x14ac:dyDescent="0.2">
      <c r="B61" s="325"/>
      <c r="C61" s="325"/>
      <c r="D61" s="325"/>
      <c r="E61" s="309"/>
      <c r="F61" s="117"/>
      <c r="G61" s="118"/>
      <c r="H61" s="119"/>
      <c r="I61" s="76"/>
      <c r="J61" s="120"/>
    </row>
    <row r="62" spans="2:10" ht="14.25" customHeight="1" x14ac:dyDescent="0.2">
      <c r="B62" s="325"/>
      <c r="C62" s="325"/>
      <c r="D62" s="325"/>
      <c r="E62" s="309"/>
      <c r="F62" s="117"/>
      <c r="G62" s="118"/>
      <c r="H62" s="119"/>
      <c r="I62" s="76"/>
      <c r="J62" s="120"/>
    </row>
    <row r="63" spans="2:10" ht="18" customHeight="1" x14ac:dyDescent="0.2">
      <c r="B63" s="325"/>
      <c r="C63" s="325"/>
      <c r="D63" s="325"/>
      <c r="E63" s="309"/>
      <c r="F63" s="117"/>
      <c r="G63" s="118"/>
      <c r="H63" s="119"/>
      <c r="I63" s="76"/>
      <c r="J63" s="120"/>
    </row>
    <row r="64" spans="2:10" ht="24" customHeight="1" x14ac:dyDescent="0.2">
      <c r="B64" s="1660"/>
      <c r="C64" s="1653"/>
      <c r="D64" s="1653"/>
      <c r="E64" s="1653"/>
      <c r="F64" s="1653"/>
      <c r="G64" s="1653"/>
      <c r="H64" s="1653"/>
    </row>
    <row r="65" spans="1:14" ht="48" customHeight="1" x14ac:dyDescent="0.2">
      <c r="B65" s="1660"/>
      <c r="C65" s="1653"/>
      <c r="D65" s="1653"/>
      <c r="E65" s="1653"/>
      <c r="F65" s="1653"/>
      <c r="G65" s="1653"/>
      <c r="H65" s="1653"/>
      <c r="M65" s="112"/>
      <c r="N65" s="112"/>
    </row>
    <row r="66" spans="1:14" ht="14.25" customHeight="1" x14ac:dyDescent="0.2">
      <c r="A66" s="347"/>
      <c r="B66" s="323"/>
      <c r="C66" s="324"/>
      <c r="D66" s="323"/>
      <c r="E66" s="323"/>
      <c r="F66" s="323"/>
      <c r="G66" s="323"/>
      <c r="H66" s="323"/>
      <c r="I66" s="76"/>
      <c r="J66" s="118"/>
      <c r="K66" s="76"/>
      <c r="L66" s="118"/>
    </row>
    <row r="67" spans="1:14" ht="14.25" customHeight="1" x14ac:dyDescent="0.2">
      <c r="B67" s="325"/>
      <c r="C67" s="325"/>
      <c r="D67" s="325"/>
      <c r="E67" s="273"/>
      <c r="F67" s="117"/>
      <c r="G67" s="121"/>
      <c r="H67" s="119"/>
    </row>
    <row r="68" spans="1:14" ht="14.25" customHeight="1" x14ac:dyDescent="0.2">
      <c r="B68" s="325"/>
      <c r="C68" s="325"/>
      <c r="D68" s="325"/>
      <c r="E68" s="449"/>
      <c r="F68" s="117"/>
      <c r="G68" s="118"/>
      <c r="H68" s="119"/>
    </row>
    <row r="69" spans="1:14" ht="14.25" customHeight="1" x14ac:dyDescent="0.2">
      <c r="B69" s="325"/>
      <c r="C69" s="325"/>
      <c r="D69" s="325"/>
      <c r="E69" s="449"/>
      <c r="F69" s="117"/>
      <c r="G69" s="118"/>
      <c r="H69" s="119"/>
    </row>
    <row r="70" spans="1:14" ht="14.25" customHeight="1" x14ac:dyDescent="0.2">
      <c r="B70" s="325"/>
      <c r="C70" s="325"/>
      <c r="D70" s="325"/>
      <c r="E70" s="449"/>
      <c r="F70" s="117"/>
      <c r="G70" s="118"/>
      <c r="H70" s="119"/>
    </row>
    <row r="71" spans="1:14" ht="14.25" customHeight="1" x14ac:dyDescent="0.2">
      <c r="B71" s="325"/>
      <c r="C71" s="325"/>
      <c r="D71" s="325"/>
      <c r="E71" s="449"/>
      <c r="F71" s="117"/>
      <c r="G71" s="118"/>
      <c r="H71" s="119"/>
    </row>
    <row r="72" spans="1:14" ht="14.25" customHeight="1" x14ac:dyDescent="0.2">
      <c r="B72" s="325"/>
      <c r="C72" s="325"/>
      <c r="D72" s="325"/>
      <c r="E72" s="449"/>
      <c r="F72" s="117"/>
      <c r="G72" s="118"/>
      <c r="H72" s="119"/>
    </row>
    <row r="73" spans="1:14" ht="14.25" customHeight="1" x14ac:dyDescent="0.2">
      <c r="B73" s="325"/>
      <c r="C73" s="325"/>
      <c r="D73" s="325"/>
      <c r="E73" s="449"/>
      <c r="F73" s="117"/>
      <c r="G73" s="118"/>
      <c r="H73" s="119"/>
    </row>
    <row r="74" spans="1:14" ht="14.25" customHeight="1" x14ac:dyDescent="0.2">
      <c r="B74" s="325"/>
      <c r="C74" s="325"/>
      <c r="D74" s="325"/>
      <c r="E74" s="449"/>
      <c r="F74" s="117"/>
      <c r="G74" s="118"/>
      <c r="H74" s="119"/>
    </row>
    <row r="75" spans="1:14" ht="14.25" customHeight="1" x14ac:dyDescent="0.2">
      <c r="B75" s="325"/>
      <c r="C75" s="325"/>
      <c r="D75" s="325"/>
      <c r="E75" s="449"/>
      <c r="F75" s="117"/>
      <c r="G75" s="118"/>
      <c r="H75" s="119"/>
    </row>
    <row r="76" spans="1:14" ht="20.25" customHeight="1" x14ac:dyDescent="0.2">
      <c r="B76" s="325"/>
      <c r="C76" s="325"/>
      <c r="D76" s="325"/>
      <c r="E76" s="449"/>
      <c r="F76" s="117"/>
      <c r="G76" s="118"/>
      <c r="H76" s="119"/>
    </row>
    <row r="77" spans="1:14" ht="20.25" x14ac:dyDescent="0.3">
      <c r="B77" s="184"/>
      <c r="C77" s="450"/>
      <c r="D77" s="451"/>
      <c r="E77" s="452"/>
      <c r="F77" s="451"/>
      <c r="G77" s="453"/>
    </row>
    <row r="78" spans="1:14" ht="12.75" customHeight="1" x14ac:dyDescent="0.2"/>
    <row r="79" spans="1:14" ht="12.75" customHeight="1" x14ac:dyDescent="0.2">
      <c r="E79" s="84"/>
      <c r="F79" s="84"/>
    </row>
    <row r="80" spans="1:14" ht="18" customHeight="1" x14ac:dyDescent="0.2">
      <c r="E80" s="84"/>
      <c r="F80" s="84"/>
    </row>
    <row r="81" spans="1:8" ht="18" customHeight="1" x14ac:dyDescent="0.2">
      <c r="B81" s="1660"/>
      <c r="C81" s="1653"/>
      <c r="D81" s="1653"/>
      <c r="E81" s="1653"/>
      <c r="F81" s="1653"/>
      <c r="G81" s="1653"/>
      <c r="H81" s="1653"/>
    </row>
    <row r="82" spans="1:8" ht="25.5" customHeight="1" x14ac:dyDescent="0.2">
      <c r="B82" s="1660"/>
      <c r="C82" s="1653"/>
      <c r="D82" s="1653"/>
      <c r="E82" s="1653"/>
      <c r="F82" s="1653"/>
      <c r="G82" s="1653"/>
      <c r="H82" s="1653"/>
    </row>
    <row r="83" spans="1:8" ht="14.25" customHeight="1" x14ac:dyDescent="0.2">
      <c r="A83" s="347"/>
      <c r="B83" s="323"/>
      <c r="C83" s="324"/>
      <c r="D83" s="323"/>
      <c r="E83" s="323"/>
      <c r="F83" s="323"/>
      <c r="G83" s="323"/>
      <c r="H83" s="323"/>
    </row>
    <row r="84" spans="1:8" ht="14.25" customHeight="1" x14ac:dyDescent="0.2">
      <c r="B84" s="325"/>
      <c r="C84" s="325"/>
      <c r="D84" s="325"/>
      <c r="E84" s="273"/>
      <c r="F84" s="117"/>
      <c r="G84" s="121"/>
      <c r="H84" s="119"/>
    </row>
    <row r="85" spans="1:8" ht="14.25" customHeight="1" x14ac:dyDescent="0.2">
      <c r="B85" s="325"/>
      <c r="C85" s="325"/>
      <c r="D85" s="325"/>
      <c r="E85" s="449"/>
      <c r="F85" s="117"/>
      <c r="G85" s="118"/>
      <c r="H85" s="119"/>
    </row>
    <row r="86" spans="1:8" ht="14.25" customHeight="1" x14ac:dyDescent="0.2">
      <c r="B86" s="325"/>
      <c r="C86" s="325"/>
      <c r="D86" s="325"/>
      <c r="E86" s="449"/>
      <c r="F86" s="117"/>
      <c r="G86" s="118"/>
      <c r="H86" s="119"/>
    </row>
    <row r="87" spans="1:8" ht="14.25" customHeight="1" x14ac:dyDescent="0.2">
      <c r="B87" s="325"/>
      <c r="C87" s="325"/>
      <c r="D87" s="325"/>
      <c r="E87" s="449"/>
      <c r="F87" s="117"/>
      <c r="G87" s="118"/>
      <c r="H87" s="119"/>
    </row>
    <row r="88" spans="1:8" ht="14.25" customHeight="1" x14ac:dyDescent="0.2">
      <c r="B88" s="325"/>
      <c r="C88" s="325"/>
      <c r="D88" s="325"/>
      <c r="E88" s="449"/>
      <c r="F88" s="117"/>
      <c r="G88" s="118"/>
      <c r="H88" s="119"/>
    </row>
    <row r="89" spans="1:8" ht="14.25" customHeight="1" x14ac:dyDescent="0.2">
      <c r="B89" s="325"/>
      <c r="C89" s="325"/>
      <c r="D89" s="325"/>
      <c r="E89" s="449"/>
      <c r="F89" s="117"/>
      <c r="G89" s="118"/>
      <c r="H89" s="119"/>
    </row>
    <row r="90" spans="1:8" ht="14.25" customHeight="1" x14ac:dyDescent="0.2">
      <c r="B90" s="325"/>
      <c r="C90" s="325"/>
      <c r="D90" s="325"/>
      <c r="E90" s="449"/>
      <c r="F90" s="117"/>
      <c r="G90" s="118"/>
      <c r="H90" s="119"/>
    </row>
    <row r="91" spans="1:8" ht="14.25" customHeight="1" x14ac:dyDescent="0.2">
      <c r="B91" s="325"/>
      <c r="C91" s="325"/>
      <c r="D91" s="325"/>
      <c r="E91" s="449"/>
      <c r="F91" s="117"/>
      <c r="G91" s="118"/>
      <c r="H91" s="119"/>
    </row>
    <row r="92" spans="1:8" ht="14.25" customHeight="1" x14ac:dyDescent="0.2">
      <c r="B92" s="325"/>
      <c r="C92" s="325"/>
      <c r="D92" s="325"/>
      <c r="E92" s="449"/>
      <c r="F92" s="117"/>
      <c r="G92" s="118"/>
      <c r="H92" s="119"/>
    </row>
    <row r="93" spans="1:8" ht="20.25" customHeight="1" x14ac:dyDescent="0.2">
      <c r="B93" s="325"/>
      <c r="C93" s="325"/>
      <c r="D93" s="325"/>
      <c r="E93" s="449"/>
      <c r="F93" s="117"/>
      <c r="G93" s="118"/>
      <c r="H93" s="119"/>
    </row>
    <row r="94" spans="1:8" ht="12.75" customHeight="1" x14ac:dyDescent="0.3">
      <c r="B94" s="184"/>
      <c r="C94" s="450"/>
      <c r="D94" s="451"/>
      <c r="E94" s="452"/>
      <c r="F94" s="451"/>
      <c r="G94" s="453"/>
    </row>
    <row r="95" spans="1:8" ht="12.75" customHeight="1" x14ac:dyDescent="0.2">
      <c r="B95" s="84"/>
      <c r="E95" s="84"/>
      <c r="F95" s="84"/>
    </row>
    <row r="96" spans="1:8" ht="12.75" customHeight="1" x14ac:dyDescent="0.2">
      <c r="B96" s="84"/>
      <c r="E96" s="84"/>
      <c r="F96" s="84"/>
    </row>
    <row r="97" spans="2:6" ht="12.75" customHeight="1" x14ac:dyDescent="0.2">
      <c r="B97" s="84"/>
      <c r="E97" s="84"/>
      <c r="F97" s="84"/>
    </row>
    <row r="98" spans="2:6" ht="12.75" customHeight="1" x14ac:dyDescent="0.2">
      <c r="B98" s="84"/>
      <c r="E98" s="84"/>
      <c r="F98" s="84"/>
    </row>
    <row r="99" spans="2:6" ht="12.75" customHeight="1" x14ac:dyDescent="0.2">
      <c r="B99" s="84"/>
      <c r="E99" s="84"/>
      <c r="F99" s="84"/>
    </row>
    <row r="100" spans="2:6" ht="12.75" customHeight="1" x14ac:dyDescent="0.2">
      <c r="B100" s="84"/>
      <c r="E100" s="84"/>
      <c r="F100" s="84"/>
    </row>
    <row r="101" spans="2:6" ht="12.75" customHeight="1" x14ac:dyDescent="0.2">
      <c r="B101" s="84"/>
      <c r="E101" s="84"/>
      <c r="F101" s="84"/>
    </row>
    <row r="102" spans="2:6" ht="12.75" customHeight="1" x14ac:dyDescent="0.2">
      <c r="B102" s="84"/>
      <c r="E102" s="84"/>
      <c r="F102" s="84"/>
    </row>
    <row r="103" spans="2:6" ht="12.75" customHeight="1" x14ac:dyDescent="0.2">
      <c r="B103" s="84"/>
      <c r="E103" s="84"/>
      <c r="F103" s="84"/>
    </row>
    <row r="104" spans="2:6" ht="12.75" customHeight="1" x14ac:dyDescent="0.2">
      <c r="B104" s="84"/>
      <c r="E104" s="84"/>
      <c r="F104" s="84"/>
    </row>
    <row r="105" spans="2:6" ht="12.75" customHeight="1" x14ac:dyDescent="0.2">
      <c r="B105" s="84"/>
      <c r="E105" s="84"/>
      <c r="F105" s="84"/>
    </row>
    <row r="106" spans="2:6" ht="12.75" customHeight="1" x14ac:dyDescent="0.2">
      <c r="B106" s="84"/>
      <c r="E106" s="84"/>
      <c r="F106" s="84"/>
    </row>
    <row r="107" spans="2:6" ht="12.75" customHeight="1" x14ac:dyDescent="0.2">
      <c r="B107" s="84"/>
      <c r="E107" s="84"/>
      <c r="F107" s="84"/>
    </row>
    <row r="108" spans="2:6" ht="12.75" customHeight="1" x14ac:dyDescent="0.2">
      <c r="B108" s="84"/>
      <c r="E108" s="84"/>
      <c r="F108" s="84"/>
    </row>
    <row r="109" spans="2:6" ht="12.75" customHeight="1" x14ac:dyDescent="0.2">
      <c r="B109" s="84"/>
      <c r="E109" s="84"/>
      <c r="F109" s="84"/>
    </row>
    <row r="110" spans="2:6" ht="12.75" customHeight="1" x14ac:dyDescent="0.2">
      <c r="B110" s="84"/>
      <c r="E110" s="84"/>
      <c r="F110" s="84"/>
    </row>
    <row r="111" spans="2:6" ht="12.75" customHeight="1" x14ac:dyDescent="0.2">
      <c r="B111" s="84"/>
      <c r="E111" s="84"/>
      <c r="F111" s="84"/>
    </row>
    <row r="112" spans="2:6" ht="12.75" customHeight="1" x14ac:dyDescent="0.2">
      <c r="B112" s="84"/>
      <c r="E112" s="84"/>
      <c r="F112" s="84"/>
    </row>
    <row r="113" spans="2:6" ht="12.75" customHeight="1" x14ac:dyDescent="0.2">
      <c r="B113" s="84"/>
      <c r="E113" s="84"/>
      <c r="F113" s="84"/>
    </row>
    <row r="114" spans="2:6" ht="12.75" customHeight="1" x14ac:dyDescent="0.2">
      <c r="B114" s="84"/>
      <c r="E114" s="84"/>
      <c r="F114" s="84"/>
    </row>
    <row r="115" spans="2:6" ht="12.75" customHeight="1" x14ac:dyDescent="0.2">
      <c r="B115" s="84"/>
      <c r="E115" s="84"/>
      <c r="F115" s="84"/>
    </row>
    <row r="116" spans="2:6" ht="12.75" customHeight="1" x14ac:dyDescent="0.2">
      <c r="B116" s="84"/>
      <c r="E116" s="84"/>
      <c r="F116" s="84"/>
    </row>
    <row r="117" spans="2:6" ht="12.75" customHeight="1" x14ac:dyDescent="0.2">
      <c r="B117" s="84"/>
      <c r="E117" s="84"/>
      <c r="F117" s="84"/>
    </row>
    <row r="118" spans="2:6" ht="12.75" customHeight="1" x14ac:dyDescent="0.2">
      <c r="B118" s="84"/>
      <c r="E118" s="84"/>
      <c r="F118" s="84"/>
    </row>
    <row r="119" spans="2:6" ht="12.75" customHeight="1" x14ac:dyDescent="0.2">
      <c r="B119" s="84"/>
      <c r="E119" s="84"/>
      <c r="F119" s="84"/>
    </row>
    <row r="120" spans="2:6" ht="12.75" customHeight="1" x14ac:dyDescent="0.2">
      <c r="B120" s="84"/>
      <c r="E120" s="84"/>
      <c r="F120" s="84"/>
    </row>
    <row r="121" spans="2:6" ht="12.75" customHeight="1" x14ac:dyDescent="0.2">
      <c r="B121" s="84"/>
      <c r="E121" s="84"/>
      <c r="F121" s="84"/>
    </row>
    <row r="122" spans="2:6" ht="12.75" customHeight="1" x14ac:dyDescent="0.2">
      <c r="B122" s="84"/>
      <c r="E122" s="84"/>
      <c r="F122" s="84"/>
    </row>
    <row r="123" spans="2:6" ht="12.75" customHeight="1" x14ac:dyDescent="0.2">
      <c r="B123" s="84"/>
      <c r="E123" s="84"/>
      <c r="F123" s="84"/>
    </row>
    <row r="124" spans="2:6" ht="12.75" customHeight="1" x14ac:dyDescent="0.2">
      <c r="B124" s="84"/>
      <c r="E124" s="84"/>
      <c r="F124" s="84"/>
    </row>
    <row r="125" spans="2:6" ht="12.75" customHeight="1" x14ac:dyDescent="0.2">
      <c r="B125" s="84"/>
      <c r="E125" s="84"/>
      <c r="F125" s="84"/>
    </row>
    <row r="126" spans="2:6" ht="12.75" customHeight="1" x14ac:dyDescent="0.2">
      <c r="B126" s="84"/>
      <c r="E126" s="84"/>
      <c r="F126" s="84"/>
    </row>
    <row r="127" spans="2:6" ht="12.75" customHeight="1" x14ac:dyDescent="0.2">
      <c r="B127" s="84"/>
      <c r="E127" s="84"/>
      <c r="F127" s="84"/>
    </row>
    <row r="128" spans="2:6" ht="12.75" customHeight="1" x14ac:dyDescent="0.2">
      <c r="B128" s="84"/>
      <c r="E128" s="84"/>
      <c r="F128" s="84"/>
    </row>
    <row r="129" spans="2:6" ht="12.75" customHeight="1" x14ac:dyDescent="0.2">
      <c r="B129" s="84"/>
      <c r="E129" s="84"/>
      <c r="F129" s="84"/>
    </row>
    <row r="130" spans="2:6" ht="12.75" customHeight="1" x14ac:dyDescent="0.2">
      <c r="B130" s="84"/>
      <c r="E130" s="84"/>
      <c r="F130" s="84"/>
    </row>
    <row r="131" spans="2:6" ht="12.75" customHeight="1" x14ac:dyDescent="0.2">
      <c r="B131" s="84"/>
      <c r="E131" s="84"/>
      <c r="F131" s="84"/>
    </row>
    <row r="132" spans="2:6" ht="12.75" customHeight="1" x14ac:dyDescent="0.2">
      <c r="B132" s="84"/>
      <c r="E132" s="84"/>
      <c r="F132" s="84"/>
    </row>
    <row r="133" spans="2:6" ht="12.75" customHeight="1" x14ac:dyDescent="0.2">
      <c r="B133" s="84"/>
      <c r="E133" s="84"/>
      <c r="F133" s="84"/>
    </row>
    <row r="134" spans="2:6" ht="12.75" customHeight="1" x14ac:dyDescent="0.2">
      <c r="B134" s="84"/>
      <c r="E134" s="84"/>
      <c r="F134" s="84"/>
    </row>
    <row r="135" spans="2:6" ht="12.75" customHeight="1" x14ac:dyDescent="0.2">
      <c r="B135" s="84"/>
      <c r="E135" s="84"/>
      <c r="F135" s="84"/>
    </row>
    <row r="136" spans="2:6" ht="12.75" customHeight="1" x14ac:dyDescent="0.2">
      <c r="B136" s="84"/>
      <c r="E136" s="84"/>
      <c r="F136" s="84"/>
    </row>
    <row r="137" spans="2:6" ht="12.75" customHeight="1" x14ac:dyDescent="0.2">
      <c r="B137" s="84"/>
      <c r="E137" s="84"/>
      <c r="F137" s="84"/>
    </row>
    <row r="138" spans="2:6" ht="12.75" customHeight="1" x14ac:dyDescent="0.2">
      <c r="B138" s="84"/>
      <c r="E138" s="84"/>
      <c r="F138" s="84"/>
    </row>
    <row r="139" spans="2:6" ht="12.75" customHeight="1" x14ac:dyDescent="0.2">
      <c r="B139" s="84"/>
      <c r="E139" s="84"/>
      <c r="F139" s="84"/>
    </row>
    <row r="140" spans="2:6" ht="12.75" customHeight="1" x14ac:dyDescent="0.2">
      <c r="B140" s="84"/>
      <c r="E140" s="84"/>
      <c r="F140" s="84"/>
    </row>
    <row r="141" spans="2:6" ht="12.75" customHeight="1" x14ac:dyDescent="0.2">
      <c r="B141" s="84"/>
      <c r="E141" s="84"/>
      <c r="F141" s="84"/>
    </row>
    <row r="142" spans="2:6" ht="12.75" customHeight="1" x14ac:dyDescent="0.2">
      <c r="B142" s="84"/>
      <c r="E142" s="84"/>
      <c r="F142" s="84"/>
    </row>
    <row r="143" spans="2:6" ht="12.75" customHeight="1" x14ac:dyDescent="0.2">
      <c r="B143" s="84"/>
      <c r="E143" s="84"/>
      <c r="F143" s="84"/>
    </row>
    <row r="144" spans="2:6" ht="12.75" customHeight="1" x14ac:dyDescent="0.2">
      <c r="B144" s="84"/>
      <c r="E144" s="84"/>
      <c r="F144" s="84"/>
    </row>
    <row r="145" spans="2:6" ht="12.75" customHeight="1" x14ac:dyDescent="0.2">
      <c r="B145" s="84"/>
      <c r="E145" s="84"/>
      <c r="F145" s="84"/>
    </row>
    <row r="146" spans="2:6" ht="12.75" customHeight="1" x14ac:dyDescent="0.2">
      <c r="B146" s="84"/>
      <c r="E146" s="84"/>
      <c r="F146" s="84"/>
    </row>
    <row r="147" spans="2:6" ht="12.75" customHeight="1" x14ac:dyDescent="0.2">
      <c r="B147" s="84"/>
      <c r="E147" s="84"/>
      <c r="F147" s="84"/>
    </row>
    <row r="148" spans="2:6" ht="12.75" customHeight="1" x14ac:dyDescent="0.2">
      <c r="B148" s="84"/>
      <c r="E148" s="84"/>
      <c r="F148" s="84"/>
    </row>
    <row r="149" spans="2:6" ht="12.75" customHeight="1" x14ac:dyDescent="0.2">
      <c r="B149" s="84"/>
      <c r="E149" s="84"/>
      <c r="F149" s="84"/>
    </row>
    <row r="150" spans="2:6" ht="12.75" customHeight="1" x14ac:dyDescent="0.2">
      <c r="B150" s="84"/>
      <c r="E150" s="84"/>
      <c r="F150" s="84"/>
    </row>
    <row r="151" spans="2:6" ht="12.75" customHeight="1" x14ac:dyDescent="0.2">
      <c r="B151" s="84"/>
      <c r="E151" s="84"/>
      <c r="F151" s="84"/>
    </row>
    <row r="152" spans="2:6" ht="12.75" customHeight="1" x14ac:dyDescent="0.2">
      <c r="B152" s="84"/>
      <c r="E152" s="84"/>
      <c r="F152" s="84"/>
    </row>
    <row r="153" spans="2:6" ht="12.75" customHeight="1" x14ac:dyDescent="0.2">
      <c r="B153" s="84"/>
      <c r="E153" s="84"/>
      <c r="F153" s="84"/>
    </row>
    <row r="154" spans="2:6" ht="12.75" customHeight="1" x14ac:dyDescent="0.2">
      <c r="B154" s="84"/>
      <c r="E154" s="84"/>
      <c r="F154" s="84"/>
    </row>
    <row r="155" spans="2:6" ht="12.75" customHeight="1" x14ac:dyDescent="0.2">
      <c r="B155" s="84"/>
      <c r="E155" s="84"/>
      <c r="F155" s="84"/>
    </row>
    <row r="156" spans="2:6" ht="12.75" customHeight="1" x14ac:dyDescent="0.2">
      <c r="B156" s="84"/>
      <c r="E156" s="84"/>
      <c r="F156" s="84"/>
    </row>
    <row r="157" spans="2:6" ht="12.75" customHeight="1" x14ac:dyDescent="0.2">
      <c r="B157" s="84"/>
      <c r="E157" s="84"/>
      <c r="F157" s="84"/>
    </row>
    <row r="158" spans="2:6" ht="12.75" customHeight="1" x14ac:dyDescent="0.2">
      <c r="B158" s="84"/>
      <c r="E158" s="84"/>
      <c r="F158" s="84"/>
    </row>
    <row r="159" spans="2:6" ht="12.75" customHeight="1" x14ac:dyDescent="0.2">
      <c r="B159" s="84"/>
      <c r="E159" s="84"/>
      <c r="F159" s="84"/>
    </row>
    <row r="160" spans="2:6" ht="12.75" customHeight="1" x14ac:dyDescent="0.2">
      <c r="B160" s="84"/>
      <c r="E160" s="84"/>
      <c r="F160" s="84"/>
    </row>
    <row r="161" spans="2:6" ht="12.75" customHeight="1" x14ac:dyDescent="0.2">
      <c r="B161" s="84"/>
      <c r="E161" s="84"/>
      <c r="F161" s="84"/>
    </row>
    <row r="162" spans="2:6" ht="12.75" customHeight="1" x14ac:dyDescent="0.2">
      <c r="B162" s="84"/>
      <c r="E162" s="84"/>
      <c r="F162" s="84"/>
    </row>
    <row r="163" spans="2:6" ht="12.75" customHeight="1" x14ac:dyDescent="0.2">
      <c r="B163" s="84"/>
      <c r="E163" s="84"/>
      <c r="F163" s="84"/>
    </row>
    <row r="164" spans="2:6" ht="12.75" customHeight="1" x14ac:dyDescent="0.2">
      <c r="B164" s="84"/>
      <c r="E164" s="84"/>
      <c r="F164" s="84"/>
    </row>
    <row r="165" spans="2:6" ht="12.75" customHeight="1" x14ac:dyDescent="0.2">
      <c r="B165" s="84"/>
      <c r="E165" s="84"/>
      <c r="F165" s="84"/>
    </row>
    <row r="166" spans="2:6" ht="12.75" customHeight="1" x14ac:dyDescent="0.2">
      <c r="B166" s="84"/>
      <c r="E166" s="84"/>
      <c r="F166" s="84"/>
    </row>
    <row r="167" spans="2:6" ht="12.75" customHeight="1" x14ac:dyDescent="0.2">
      <c r="B167" s="84"/>
      <c r="E167" s="84"/>
      <c r="F167" s="84"/>
    </row>
    <row r="168" spans="2:6" ht="12.75" customHeight="1" x14ac:dyDescent="0.2">
      <c r="B168" s="84"/>
      <c r="E168" s="84"/>
      <c r="F168" s="84"/>
    </row>
    <row r="169" spans="2:6" ht="12.75" customHeight="1" x14ac:dyDescent="0.2">
      <c r="B169" s="84"/>
      <c r="E169" s="84"/>
      <c r="F169" s="84"/>
    </row>
    <row r="170" spans="2:6" ht="12.75" customHeight="1" x14ac:dyDescent="0.2">
      <c r="B170" s="84"/>
      <c r="E170" s="84"/>
      <c r="F170" s="84"/>
    </row>
    <row r="171" spans="2:6" ht="12.75" customHeight="1" x14ac:dyDescent="0.2">
      <c r="B171" s="84"/>
      <c r="E171" s="84"/>
      <c r="F171" s="84"/>
    </row>
    <row r="172" spans="2:6" ht="12.75" customHeight="1" x14ac:dyDescent="0.2">
      <c r="B172" s="84"/>
      <c r="E172" s="84"/>
      <c r="F172" s="84"/>
    </row>
    <row r="173" spans="2:6" ht="12.75" customHeight="1" x14ac:dyDescent="0.2">
      <c r="B173" s="84"/>
      <c r="E173" s="84"/>
      <c r="F173" s="84"/>
    </row>
    <row r="174" spans="2:6" ht="12.75" customHeight="1" x14ac:dyDescent="0.2">
      <c r="B174" s="84"/>
      <c r="E174" s="84"/>
      <c r="F174" s="84"/>
    </row>
    <row r="175" spans="2:6" ht="12.75" customHeight="1" x14ac:dyDescent="0.2">
      <c r="B175" s="84"/>
      <c r="E175" s="84"/>
      <c r="F175" s="84"/>
    </row>
    <row r="176" spans="2: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row r="972" spans="2:6" ht="12.75" customHeight="1" x14ac:dyDescent="0.2">
      <c r="B972" s="84"/>
      <c r="E972" s="84"/>
      <c r="F972" s="84"/>
    </row>
    <row r="973" spans="2:6" ht="12.75" customHeight="1" x14ac:dyDescent="0.2">
      <c r="B973" s="84"/>
      <c r="E973" s="84"/>
      <c r="F973" s="84"/>
    </row>
    <row r="974" spans="2:6" x14ac:dyDescent="0.2">
      <c r="B974" s="84"/>
      <c r="E974" s="84"/>
      <c r="F974" s="84"/>
    </row>
  </sheetData>
  <mergeCells count="11">
    <mergeCell ref="B58:J58"/>
    <mergeCell ref="B64:H64"/>
    <mergeCell ref="B65:H65"/>
    <mergeCell ref="B81:H81"/>
    <mergeCell ref="B82:H82"/>
    <mergeCell ref="B43:J43"/>
    <mergeCell ref="B2:H3"/>
    <mergeCell ref="C10:E10"/>
    <mergeCell ref="R25:S25"/>
    <mergeCell ref="B35:F35"/>
    <mergeCell ref="B42:J42"/>
  </mergeCells>
  <printOptions horizontalCentered="1"/>
  <pageMargins left="0.5" right="0.5" top="1" bottom="0.5" header="0.3" footer="0.511811023622047"/>
  <pageSetup paperSize="9" scale="30" orientation="portrait" r:id="rId1"/>
  <legacyDrawing r:id="rId2"/>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26FD5-DBD5-4363-8F7A-855EBEAE537A}">
  <sheetPr codeName="Sheet94">
    <tabColor theme="3" tint="-0.249977111117893"/>
    <pageSetUpPr fitToPage="1"/>
  </sheetPr>
  <dimension ref="A1:AT973"/>
  <sheetViews>
    <sheetView zoomScale="115" zoomScaleNormal="115" workbookViewId="0">
      <selection activeCell="B17" sqref="B17"/>
    </sheetView>
  </sheetViews>
  <sheetFormatPr defaultColWidth="12.5" defaultRowHeight="12.75" x14ac:dyDescent="0.2"/>
  <cols>
    <col min="1" max="1" width="12.5" style="14" customWidth="1"/>
    <col min="2" max="2" width="53.25" style="14" customWidth="1"/>
    <col min="3" max="3" width="24"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4" width="3.75" style="14" customWidth="1"/>
    <col min="15" max="15" width="16.75" style="14" customWidth="1"/>
    <col min="16" max="18" width="12.5" style="14" customWidth="1"/>
    <col min="19" max="19" width="15.875" style="14" customWidth="1"/>
    <col min="20" max="26" width="12.5" style="14" customWidth="1"/>
    <col min="27" max="27" width="11.125" style="14" bestFit="1" customWidth="1"/>
    <col min="28" max="28" width="11.875" style="14" bestFit="1" customWidth="1"/>
    <col min="29" max="29" width="13.375" style="14" bestFit="1" customWidth="1"/>
    <col min="30" max="30" width="12.375" style="14" bestFit="1" customWidth="1"/>
    <col min="31" max="31" width="8.375" style="14" customWidth="1"/>
    <col min="32" max="32" width="15.875" style="14" customWidth="1"/>
    <col min="33" max="35" width="2.875" style="14" customWidth="1"/>
    <col min="36" max="36" width="38.375" style="14" customWidth="1"/>
    <col min="37" max="37" width="12.5" style="14" customWidth="1"/>
    <col min="38" max="41" width="12.5" style="14"/>
    <col min="42" max="42" width="18.375" style="14" customWidth="1"/>
    <col min="43" max="16384" width="12.5" style="14"/>
  </cols>
  <sheetData>
    <row r="1" spans="1:46" ht="28.5" customHeight="1" x14ac:dyDescent="0.2">
      <c r="B1" s="64" t="s">
        <v>331</v>
      </c>
      <c r="C1" s="65">
        <v>1</v>
      </c>
      <c r="D1" s="66" t="s">
        <v>232</v>
      </c>
      <c r="E1" s="99">
        <f>U32</f>
        <v>200</v>
      </c>
      <c r="F1" s="64" t="s">
        <v>233</v>
      </c>
      <c r="G1" s="99">
        <f>E1/C1</f>
        <v>200</v>
      </c>
      <c r="H1" s="64" t="s">
        <v>234</v>
      </c>
      <c r="I1" s="99"/>
      <c r="J1" s="302" t="s">
        <v>235</v>
      </c>
      <c r="K1" s="303">
        <v>1</v>
      </c>
      <c r="L1" s="84"/>
      <c r="M1" s="84"/>
      <c r="N1" s="84"/>
      <c r="O1" s="75" t="s">
        <v>236</v>
      </c>
      <c r="P1" s="76" t="s">
        <v>933</v>
      </c>
      <c r="Q1" s="77" t="s">
        <v>238</v>
      </c>
      <c r="R1" s="76">
        <v>0.89</v>
      </c>
      <c r="S1" s="77" t="s">
        <v>333</v>
      </c>
      <c r="T1" s="304">
        <v>100</v>
      </c>
      <c r="U1" s="84"/>
      <c r="V1" s="84"/>
      <c r="Y1" s="75" t="s">
        <v>453</v>
      </c>
      <c r="Z1" s="766">
        <v>198</v>
      </c>
      <c r="AA1" s="75" t="s">
        <v>556</v>
      </c>
      <c r="AB1" s="766">
        <v>2</v>
      </c>
      <c r="AC1" s="75" t="s">
        <v>546</v>
      </c>
      <c r="AD1" s="766">
        <v>198</v>
      </c>
      <c r="AE1" s="75" t="s">
        <v>538</v>
      </c>
      <c r="AF1" s="766">
        <f>Z1+AB1</f>
        <v>200</v>
      </c>
      <c r="AJ1" s="78" t="s">
        <v>250</v>
      </c>
      <c r="AK1" s="78">
        <v>10000</v>
      </c>
      <c r="AL1" s="561" t="s">
        <v>485</v>
      </c>
      <c r="AM1" s="562">
        <f>$S$32*$T$1</f>
        <v>20000</v>
      </c>
      <c r="AN1" s="78" t="s">
        <v>239</v>
      </c>
      <c r="AO1" s="305">
        <f>((S32*T1)/$R$1)/$AK$1</f>
        <v>2.2471910112359552</v>
      </c>
      <c r="AP1" s="79"/>
    </row>
    <row r="2" spans="1:46" ht="12.75" customHeight="1" x14ac:dyDescent="0.2">
      <c r="A2" s="306"/>
      <c r="B2" s="1644" t="s">
        <v>844</v>
      </c>
      <c r="C2" s="1644"/>
      <c r="D2" s="1644"/>
      <c r="E2" s="1644"/>
      <c r="F2" s="1644"/>
      <c r="G2" s="1644"/>
      <c r="H2" s="1644"/>
      <c r="I2" s="580"/>
      <c r="J2" s="580"/>
      <c r="K2" s="580"/>
      <c r="L2" s="270"/>
      <c r="M2" s="84"/>
      <c r="N2" s="84"/>
      <c r="O2" s="84"/>
      <c r="P2" s="84"/>
      <c r="Q2" s="84"/>
      <c r="R2" s="84"/>
      <c r="S2" s="84"/>
      <c r="T2" s="84"/>
      <c r="U2" s="84"/>
      <c r="AJ2" s="85"/>
      <c r="AK2" s="1631" t="s">
        <v>844</v>
      </c>
      <c r="AL2" s="1631"/>
      <c r="AM2" s="1631"/>
      <c r="AN2" s="86"/>
      <c r="AO2" s="85"/>
      <c r="AP2" s="85"/>
    </row>
    <row r="3" spans="1:46" ht="12.75" customHeight="1" x14ac:dyDescent="0.2">
      <c r="A3" s="306"/>
      <c r="B3" s="1645"/>
      <c r="C3" s="1645"/>
      <c r="D3" s="1645"/>
      <c r="E3" s="1645"/>
      <c r="F3" s="1645"/>
      <c r="G3" s="1645"/>
      <c r="H3" s="1645"/>
      <c r="I3" s="581"/>
      <c r="J3" s="581"/>
      <c r="K3" s="581"/>
      <c r="L3" s="270"/>
      <c r="M3" s="84"/>
      <c r="N3" s="84"/>
      <c r="O3" s="84"/>
      <c r="P3" s="84"/>
      <c r="Q3" s="84"/>
      <c r="R3" s="84"/>
      <c r="S3" s="84"/>
      <c r="T3" s="84"/>
      <c r="U3" s="84"/>
      <c r="AJ3" s="88"/>
      <c r="AK3" s="88"/>
      <c r="AL3" s="1670"/>
      <c r="AM3" s="1670"/>
      <c r="AN3" s="89"/>
      <c r="AO3" s="88"/>
      <c r="AP3" s="88"/>
    </row>
    <row r="4" spans="1:46" ht="69" customHeight="1" x14ac:dyDescent="0.2">
      <c r="A4" s="75"/>
      <c r="B4" s="75" t="s">
        <v>241</v>
      </c>
      <c r="C4" s="90" t="s">
        <v>242</v>
      </c>
      <c r="D4" s="75" t="s">
        <v>231</v>
      </c>
      <c r="E4" s="91" t="s">
        <v>234</v>
      </c>
      <c r="F4" s="91" t="s">
        <v>243</v>
      </c>
      <c r="G4" s="75" t="s">
        <v>244</v>
      </c>
      <c r="H4" s="307" t="s">
        <v>335</v>
      </c>
      <c r="I4" s="75" t="s">
        <v>246</v>
      </c>
      <c r="J4" s="75" t="s">
        <v>247</v>
      </c>
      <c r="K4" s="75" t="s">
        <v>248</v>
      </c>
      <c r="L4" s="75" t="s">
        <v>249</v>
      </c>
      <c r="M4" s="347"/>
      <c r="N4" s="84"/>
      <c r="O4" s="84"/>
      <c r="P4" s="84"/>
      <c r="Q4" s="84"/>
      <c r="R4" s="84"/>
      <c r="S4" s="84"/>
      <c r="AJ4" s="93" t="s">
        <v>241</v>
      </c>
      <c r="AK4" s="94" t="s">
        <v>242</v>
      </c>
      <c r="AL4" s="93" t="s">
        <v>250</v>
      </c>
      <c r="AM4" s="93" t="s">
        <v>234</v>
      </c>
      <c r="AN4" s="93" t="s">
        <v>243</v>
      </c>
      <c r="AO4" s="93" t="s">
        <v>244</v>
      </c>
      <c r="AP4" s="95" t="s">
        <v>245</v>
      </c>
      <c r="AQ4" s="75" t="s">
        <v>246</v>
      </c>
      <c r="AR4" s="75" t="s">
        <v>247</v>
      </c>
      <c r="AS4" s="75" t="s">
        <v>248</v>
      </c>
      <c r="AT4" s="75" t="s">
        <v>249</v>
      </c>
    </row>
    <row r="5" spans="1:46" ht="14.25" customHeight="1" x14ac:dyDescent="0.2">
      <c r="A5" s="1260"/>
      <c r="B5" s="299" t="s">
        <v>487</v>
      </c>
      <c r="C5" s="1261" t="s">
        <v>14</v>
      </c>
      <c r="D5" s="245">
        <v>120</v>
      </c>
      <c r="E5" s="98">
        <f>$G$1</f>
        <v>200</v>
      </c>
      <c r="F5" s="109">
        <v>1</v>
      </c>
      <c r="G5" s="101">
        <f>D5*E5</f>
        <v>24000</v>
      </c>
      <c r="H5" s="102">
        <f>G5*F5</f>
        <v>24000</v>
      </c>
      <c r="I5" s="65">
        <f>VLOOKUP(B5,All_Ingredients!$A$1:$F$156,6,FALSE())</f>
        <v>0.97</v>
      </c>
      <c r="J5" s="101">
        <f>VLOOKUP(B5,All_Ingredients!$A$1:$J$156,10,FALSE())</f>
        <v>37.82</v>
      </c>
      <c r="K5" s="104">
        <f t="shared" ref="K5" si="0">(H5/I5)/1000</f>
        <v>24.742268041237114</v>
      </c>
      <c r="L5" s="104">
        <f t="shared" ref="L5" si="1">K5*J5</f>
        <v>935.75257731958766</v>
      </c>
      <c r="M5" s="112"/>
      <c r="AJ5" s="299" t="s">
        <v>487</v>
      </c>
      <c r="AK5" s="106" t="s">
        <v>227</v>
      </c>
      <c r="AL5" s="1262">
        <v>10</v>
      </c>
      <c r="AM5" s="1263">
        <f t="shared" ref="AM5:AM14" si="2">$AO$1</f>
        <v>2.2471910112359552</v>
      </c>
      <c r="AN5" s="109">
        <v>1</v>
      </c>
      <c r="AO5" s="103">
        <f t="shared" ref="AO5:AO14" si="3">AL5*AM5</f>
        <v>22.471910112359552</v>
      </c>
      <c r="AP5" s="102">
        <f t="shared" ref="AP5:AP14" si="4">AO5*AN5</f>
        <v>22.471910112359552</v>
      </c>
      <c r="AQ5" s="272"/>
      <c r="AR5" s="1017"/>
      <c r="AS5" s="156"/>
      <c r="AT5" s="1018"/>
    </row>
    <row r="6" spans="1:46" ht="14.25" customHeight="1" x14ac:dyDescent="0.2">
      <c r="A6" s="1546"/>
      <c r="B6" s="299" t="s">
        <v>805</v>
      </c>
      <c r="C6" s="106" t="s">
        <v>230</v>
      </c>
      <c r="D6" s="1262">
        <v>1</v>
      </c>
      <c r="E6" s="1262">
        <f>$Z$1+$AB$1</f>
        <v>200</v>
      </c>
      <c r="F6" s="109">
        <v>1</v>
      </c>
      <c r="G6" s="101">
        <f>D6*E6</f>
        <v>200</v>
      </c>
      <c r="H6" s="102">
        <f>G6*F6</f>
        <v>200</v>
      </c>
      <c r="I6" s="65">
        <f>VLOOKUP(B6,All_Ingredients!$A$1:$F$156,6,FALSE())</f>
        <v>1</v>
      </c>
      <c r="J6" s="101">
        <f>VLOOKUP(B6,All_Ingredients!$A$1:$J$156,10,FALSE())</f>
        <v>0.6</v>
      </c>
      <c r="K6" s="104">
        <f t="shared" ref="K6:K9" si="5">(H6/I6)/1000</f>
        <v>0.2</v>
      </c>
      <c r="L6" s="104">
        <f t="shared" ref="L6:L9" si="6">K6*J6</f>
        <v>0.12</v>
      </c>
      <c r="M6" s="112"/>
      <c r="AJ6" s="299" t="s">
        <v>12</v>
      </c>
      <c r="AK6" s="106" t="s">
        <v>14</v>
      </c>
      <c r="AL6" s="1262">
        <v>800</v>
      </c>
      <c r="AM6" s="1263">
        <f t="shared" si="2"/>
        <v>2.2471910112359552</v>
      </c>
      <c r="AN6" s="109">
        <v>1</v>
      </c>
      <c r="AO6" s="103">
        <f t="shared" si="3"/>
        <v>1797.7528089887642</v>
      </c>
      <c r="AP6" s="102">
        <f t="shared" si="4"/>
        <v>1797.7528089887642</v>
      </c>
      <c r="AQ6" s="1018">
        <f>VLOOKUP(AJ6,Marination_Ordering!$A:$J,6,FALSE)</f>
        <v>0.9</v>
      </c>
      <c r="AR6" s="1018">
        <f>VLOOKUP(AJ6,Marination_Ordering!$A:$J,10,FALSE)</f>
        <v>3</v>
      </c>
      <c r="AS6" s="156">
        <f>AP6/AQ6</f>
        <v>1997.5031210986267</v>
      </c>
      <c r="AT6" s="1018">
        <f>AR6*(AS6/1000)</f>
        <v>5.9925093632958806</v>
      </c>
    </row>
    <row r="7" spans="1:46" ht="14.25" customHeight="1" x14ac:dyDescent="0.2">
      <c r="B7" s="299" t="s">
        <v>992</v>
      </c>
      <c r="C7" s="1261" t="s">
        <v>14</v>
      </c>
      <c r="D7" s="1262">
        <v>10</v>
      </c>
      <c r="E7" s="98">
        <f t="shared" ref="E7:E9" si="7">$G$1</f>
        <v>200</v>
      </c>
      <c r="F7" s="109">
        <v>1</v>
      </c>
      <c r="G7" s="103">
        <f>D7*($Z$1+$AB$1)</f>
        <v>2000</v>
      </c>
      <c r="H7" s="102">
        <f>G7*F7</f>
        <v>2000</v>
      </c>
      <c r="I7" s="65">
        <f>VLOOKUP(B7,All_Ingredients!$A$1:$F$156,6,FALSE())</f>
        <v>0.5</v>
      </c>
      <c r="J7" s="101">
        <f>VLOOKUP(B7,All_Ingredients!$A$1:$J$156,10,FALSE())</f>
        <v>8.5</v>
      </c>
      <c r="K7" s="104">
        <f t="shared" si="5"/>
        <v>4</v>
      </c>
      <c r="L7" s="104">
        <f t="shared" si="6"/>
        <v>34</v>
      </c>
      <c r="M7" s="112"/>
      <c r="AJ7" s="299" t="s">
        <v>99</v>
      </c>
      <c r="AK7" s="106" t="s">
        <v>14</v>
      </c>
      <c r="AL7" s="1262">
        <v>23</v>
      </c>
      <c r="AM7" s="1263">
        <f t="shared" si="2"/>
        <v>2.2471910112359552</v>
      </c>
      <c r="AN7" s="109">
        <v>1</v>
      </c>
      <c r="AO7" s="103">
        <f t="shared" si="3"/>
        <v>51.68539325842697</v>
      </c>
      <c r="AP7" s="102">
        <f t="shared" si="4"/>
        <v>51.68539325842697</v>
      </c>
      <c r="AQ7" s="1018">
        <f>VLOOKUP(AJ7,Marination_Ordering!$A:$J,6,FALSE)</f>
        <v>1</v>
      </c>
      <c r="AR7" s="1018">
        <f>VLOOKUP(AJ7,Marination_Ordering!$A:$J,10,FALSE)</f>
        <v>31</v>
      </c>
      <c r="AS7" s="156">
        <f t="shared" ref="AS7:AS14" si="8">AP7/AQ7</f>
        <v>51.68539325842697</v>
      </c>
      <c r="AT7" s="1018">
        <f t="shared" ref="AT7:AT14" si="9">AR7*(AS7/1000)</f>
        <v>1.6022471910112361</v>
      </c>
    </row>
    <row r="8" spans="1:46" ht="14.25" customHeight="1" x14ac:dyDescent="0.2">
      <c r="B8" s="299" t="s">
        <v>845</v>
      </c>
      <c r="C8" s="1261" t="s">
        <v>14</v>
      </c>
      <c r="D8" s="1262">
        <v>20</v>
      </c>
      <c r="E8" s="98">
        <f t="shared" si="7"/>
        <v>200</v>
      </c>
      <c r="F8" s="109">
        <v>1</v>
      </c>
      <c r="G8" s="103">
        <f t="shared" ref="G8:G9" si="10">D8*($Z$1+$AB$1)</f>
        <v>4000</v>
      </c>
      <c r="H8" s="102">
        <f t="shared" ref="H8:H9" si="11">G8*F8</f>
        <v>4000</v>
      </c>
      <c r="I8" s="65">
        <f>VLOOKUP(B8,All_Ingredients!$A$1:$F$156,6,FALSE())</f>
        <v>0.66</v>
      </c>
      <c r="J8" s="101">
        <f>VLOOKUP(B8,All_Ingredients!$A$1:$J$156,10,FALSE())</f>
        <v>3.5</v>
      </c>
      <c r="K8" s="104">
        <f t="shared" si="5"/>
        <v>6.0606060606060597</v>
      </c>
      <c r="L8" s="104">
        <f t="shared" si="6"/>
        <v>21.212121212121207</v>
      </c>
      <c r="M8" s="112"/>
      <c r="AJ8" s="299" t="s">
        <v>93</v>
      </c>
      <c r="AK8" s="106" t="s">
        <v>14</v>
      </c>
      <c r="AL8" s="1262">
        <v>32</v>
      </c>
      <c r="AM8" s="1263">
        <f t="shared" si="2"/>
        <v>2.2471910112359552</v>
      </c>
      <c r="AN8" s="109">
        <v>1</v>
      </c>
      <c r="AO8" s="103">
        <f t="shared" si="3"/>
        <v>71.910112359550567</v>
      </c>
      <c r="AP8" s="102">
        <f t="shared" si="4"/>
        <v>71.910112359550567</v>
      </c>
      <c r="AQ8" s="1018">
        <f>VLOOKUP(AJ8,Marination_Ordering!$A:$J,6,FALSE)</f>
        <v>1</v>
      </c>
      <c r="AR8" s="1018">
        <f>VLOOKUP(AJ8,Marination_Ordering!$A:$J,10,FALSE)</f>
        <v>0.74</v>
      </c>
      <c r="AS8" s="156">
        <f t="shared" si="8"/>
        <v>71.910112359550567</v>
      </c>
      <c r="AT8" s="1018">
        <f t="shared" si="9"/>
        <v>5.3213483146067421E-2</v>
      </c>
    </row>
    <row r="9" spans="1:46" ht="14.25" customHeight="1" x14ac:dyDescent="0.2">
      <c r="B9" s="299" t="s">
        <v>12</v>
      </c>
      <c r="C9" s="1261" t="s">
        <v>14</v>
      </c>
      <c r="D9" s="1262">
        <v>10</v>
      </c>
      <c r="E9" s="98">
        <f t="shared" si="7"/>
        <v>200</v>
      </c>
      <c r="F9" s="109">
        <v>1</v>
      </c>
      <c r="G9" s="103">
        <f t="shared" si="10"/>
        <v>2000</v>
      </c>
      <c r="H9" s="102">
        <f t="shared" si="11"/>
        <v>2000</v>
      </c>
      <c r="I9" s="65">
        <f>VLOOKUP(B9,All_Ingredients!$A$1:$F$156,6,FALSE())</f>
        <v>0.9</v>
      </c>
      <c r="J9" s="101">
        <f>VLOOKUP(B9,All_Ingredients!$A$1:$J$156,10,FALSE())</f>
        <v>3</v>
      </c>
      <c r="K9" s="104">
        <f t="shared" si="5"/>
        <v>2.2222222222222223</v>
      </c>
      <c r="L9" s="104">
        <f t="shared" si="6"/>
        <v>6.666666666666667</v>
      </c>
      <c r="M9" s="112"/>
      <c r="AJ9" s="299" t="s">
        <v>229</v>
      </c>
      <c r="AK9" s="106" t="s">
        <v>230</v>
      </c>
      <c r="AL9" s="1262">
        <v>10</v>
      </c>
      <c r="AM9" s="1263">
        <f t="shared" si="2"/>
        <v>2.2471910112359552</v>
      </c>
      <c r="AN9" s="109">
        <v>1</v>
      </c>
      <c r="AO9" s="103">
        <f t="shared" si="3"/>
        <v>22.471910112359552</v>
      </c>
      <c r="AP9" s="102">
        <f t="shared" si="4"/>
        <v>22.471910112359552</v>
      </c>
      <c r="AQ9" s="1018">
        <f>VLOOKUP(AJ9,Marination_Ordering!$A:$J,6,FALSE)</f>
        <v>1</v>
      </c>
      <c r="AR9" s="1018">
        <f>VLOOKUP(AJ9,Marination_Ordering!$A:$J,10,FALSE)</f>
        <v>0.43333333333333335</v>
      </c>
      <c r="AS9" s="156">
        <f t="shared" si="8"/>
        <v>22.471910112359552</v>
      </c>
      <c r="AT9" s="1018">
        <f t="shared" si="9"/>
        <v>9.7378277153558068E-3</v>
      </c>
    </row>
    <row r="10" spans="1:46" ht="14.25" customHeight="1" x14ac:dyDescent="0.2">
      <c r="B10" s="325"/>
      <c r="C10" s="325"/>
      <c r="D10" s="309"/>
      <c r="E10" s="309"/>
      <c r="F10" s="117"/>
      <c r="G10" s="118"/>
      <c r="H10" s="119"/>
      <c r="I10" s="76"/>
      <c r="J10" s="118"/>
      <c r="K10" s="112"/>
      <c r="L10" s="112"/>
      <c r="M10" s="112"/>
      <c r="AJ10" s="299" t="s">
        <v>188</v>
      </c>
      <c r="AK10" s="106" t="s">
        <v>14</v>
      </c>
      <c r="AL10" s="1262">
        <v>600</v>
      </c>
      <c r="AM10" s="1263">
        <f t="shared" si="2"/>
        <v>2.2471910112359552</v>
      </c>
      <c r="AN10" s="109">
        <v>1</v>
      </c>
      <c r="AO10" s="103">
        <f t="shared" si="3"/>
        <v>1348.3146067415732</v>
      </c>
      <c r="AP10" s="102">
        <f t="shared" si="4"/>
        <v>1348.3146067415732</v>
      </c>
      <c r="AQ10" s="1018">
        <f>VLOOKUP(AJ10,Marination_Ordering!$A:$J,6,FALSE)</f>
        <v>1</v>
      </c>
      <c r="AR10" s="1018">
        <f>VLOOKUP(AJ10,Marination_Ordering!$A:$J,10,FALSE)</f>
        <v>8.5</v>
      </c>
      <c r="AS10" s="156">
        <f t="shared" si="8"/>
        <v>1348.3146067415732</v>
      </c>
      <c r="AT10" s="1018">
        <f t="shared" si="9"/>
        <v>11.460674157303373</v>
      </c>
    </row>
    <row r="11" spans="1:46" ht="14.25" customHeight="1" x14ac:dyDescent="0.2">
      <c r="B11" s="325"/>
      <c r="C11" s="325"/>
      <c r="D11" s="309"/>
      <c r="E11" s="309"/>
      <c r="F11" s="117"/>
      <c r="G11" s="118"/>
      <c r="H11" s="119"/>
      <c r="I11" s="76"/>
      <c r="J11" s="118"/>
      <c r="K11" s="112"/>
      <c r="L11" s="112"/>
      <c r="M11" s="112"/>
      <c r="AJ11" s="299" t="s">
        <v>64</v>
      </c>
      <c r="AK11" s="106" t="s">
        <v>14</v>
      </c>
      <c r="AL11" s="1262">
        <v>200</v>
      </c>
      <c r="AM11" s="1263">
        <f t="shared" si="2"/>
        <v>2.2471910112359552</v>
      </c>
      <c r="AN11" s="109">
        <v>1</v>
      </c>
      <c r="AO11" s="103">
        <f t="shared" si="3"/>
        <v>449.43820224719104</v>
      </c>
      <c r="AP11" s="102">
        <f t="shared" si="4"/>
        <v>449.43820224719104</v>
      </c>
      <c r="AQ11" s="1018">
        <f>VLOOKUP(AJ11,Marination_Ordering!$A:$J,6,FALSE)</f>
        <v>0.65</v>
      </c>
      <c r="AR11" s="1018">
        <f>VLOOKUP(AJ11,Marination_Ordering!$A:$J,10,FALSE)</f>
        <v>3.5</v>
      </c>
      <c r="AS11" s="156">
        <f t="shared" si="8"/>
        <v>691.44338807260158</v>
      </c>
      <c r="AT11" s="1018">
        <f t="shared" si="9"/>
        <v>2.4200518582541055</v>
      </c>
    </row>
    <row r="12" spans="1:46" ht="14.25" customHeight="1" x14ac:dyDescent="0.2">
      <c r="B12" s="325"/>
      <c r="C12" s="325"/>
      <c r="D12" s="309"/>
      <c r="E12" s="309"/>
      <c r="F12" s="117"/>
      <c r="G12" s="118"/>
      <c r="H12" s="119"/>
      <c r="I12" s="76"/>
      <c r="J12" s="118"/>
      <c r="K12" s="112"/>
      <c r="L12" s="112"/>
      <c r="M12" s="112"/>
      <c r="AJ12" s="299" t="s">
        <v>32</v>
      </c>
      <c r="AK12" s="106" t="s">
        <v>14</v>
      </c>
      <c r="AL12" s="1262">
        <v>300</v>
      </c>
      <c r="AM12" s="1263">
        <f t="shared" si="2"/>
        <v>2.2471910112359552</v>
      </c>
      <c r="AN12" s="109">
        <v>1</v>
      </c>
      <c r="AO12" s="103">
        <f t="shared" si="3"/>
        <v>674.15730337078662</v>
      </c>
      <c r="AP12" s="102">
        <f t="shared" si="4"/>
        <v>674.15730337078662</v>
      </c>
      <c r="AQ12" s="1018">
        <f>VLOOKUP(AJ12,Marination_Ordering!$A:$J,6,FALSE)</f>
        <v>0.69</v>
      </c>
      <c r="AR12" s="1018">
        <f>VLOOKUP(AJ12,Marination_Ordering!$A:$J,10,FALSE)</f>
        <v>4</v>
      </c>
      <c r="AS12" s="156">
        <f t="shared" si="8"/>
        <v>977.03957010258944</v>
      </c>
      <c r="AT12" s="1018">
        <f t="shared" si="9"/>
        <v>3.9081582804103578</v>
      </c>
    </row>
    <row r="13" spans="1:46" ht="14.25" customHeight="1" x14ac:dyDescent="0.2">
      <c r="B13" s="325"/>
      <c r="C13" s="325"/>
      <c r="D13" s="309"/>
      <c r="E13" s="309"/>
      <c r="F13" s="117"/>
      <c r="G13" s="118"/>
      <c r="H13" s="119"/>
      <c r="I13" s="76"/>
      <c r="J13" s="118"/>
      <c r="K13" s="112"/>
      <c r="L13" s="112"/>
      <c r="M13" s="112"/>
      <c r="AJ13" s="299" t="s">
        <v>34</v>
      </c>
      <c r="AK13" s="106" t="s">
        <v>14</v>
      </c>
      <c r="AL13" s="1262">
        <v>45</v>
      </c>
      <c r="AM13" s="1263">
        <f t="shared" si="2"/>
        <v>2.2471910112359552</v>
      </c>
      <c r="AN13" s="415">
        <v>1</v>
      </c>
      <c r="AO13" s="416">
        <f t="shared" si="3"/>
        <v>101.12359550561798</v>
      </c>
      <c r="AP13" s="417">
        <f t="shared" si="4"/>
        <v>101.12359550561798</v>
      </c>
      <c r="AQ13" s="1018">
        <f>VLOOKUP(AJ13,Marination_Ordering!$A:$J,6,FALSE)</f>
        <v>0.86</v>
      </c>
      <c r="AR13" s="1018">
        <f>VLOOKUP(AJ13,Marination_Ordering!$A:$J,10,FALSE)</f>
        <v>14</v>
      </c>
      <c r="AS13" s="156">
        <f t="shared" si="8"/>
        <v>117.58557616932325</v>
      </c>
      <c r="AT13" s="1018">
        <f t="shared" si="9"/>
        <v>1.6461980663705256</v>
      </c>
    </row>
    <row r="14" spans="1:46" ht="14.25" customHeight="1" x14ac:dyDescent="0.2">
      <c r="B14" s="325"/>
      <c r="C14" s="325"/>
      <c r="D14" s="309"/>
      <c r="E14" s="309"/>
      <c r="F14" s="117"/>
      <c r="G14" s="118"/>
      <c r="H14" s="119"/>
      <c r="I14" s="76"/>
      <c r="J14" s="118"/>
      <c r="K14" s="112"/>
      <c r="L14" s="112"/>
      <c r="M14" s="112"/>
      <c r="AJ14" s="299" t="s">
        <v>30</v>
      </c>
      <c r="AK14" s="106" t="s">
        <v>14</v>
      </c>
      <c r="AL14" s="1262">
        <v>300</v>
      </c>
      <c r="AM14" s="1263">
        <f t="shared" si="2"/>
        <v>2.2471910112359552</v>
      </c>
      <c r="AN14" s="415">
        <v>1</v>
      </c>
      <c r="AO14" s="416">
        <f t="shared" si="3"/>
        <v>674.15730337078662</v>
      </c>
      <c r="AP14" s="417">
        <f t="shared" si="4"/>
        <v>674.15730337078662</v>
      </c>
      <c r="AQ14" s="1018">
        <f>VLOOKUP(AJ14,Marination_Ordering!$A:$J,6,FALSE)</f>
        <v>0.71</v>
      </c>
      <c r="AR14" s="1018">
        <f>VLOOKUP(AJ14,Marination_Ordering!$A:$J,10,FALSE)</f>
        <v>8.5</v>
      </c>
      <c r="AS14" s="156">
        <f t="shared" si="8"/>
        <v>949.51732869124885</v>
      </c>
      <c r="AT14" s="1018">
        <f t="shared" si="9"/>
        <v>8.0708972938756158</v>
      </c>
    </row>
    <row r="15" spans="1:46" ht="14.25" customHeight="1" x14ac:dyDescent="0.2">
      <c r="B15" s="325"/>
      <c r="C15" s="325"/>
      <c r="D15" s="309"/>
      <c r="E15" s="309"/>
      <c r="F15" s="117"/>
      <c r="G15" s="118"/>
      <c r="H15" s="119"/>
      <c r="I15" s="76"/>
      <c r="J15" s="118"/>
      <c r="K15" s="112"/>
      <c r="L15" s="112"/>
      <c r="M15" s="112"/>
      <c r="AJ15" s="325"/>
      <c r="AK15" s="114"/>
      <c r="AL15" s="309"/>
      <c r="AM15" s="273"/>
      <c r="AN15" s="117"/>
      <c r="AO15" s="121"/>
      <c r="AP15" s="119"/>
      <c r="AQ15" s="991"/>
      <c r="AR15" s="991"/>
      <c r="AS15" s="514"/>
      <c r="AT15" s="991"/>
    </row>
    <row r="16" spans="1:46" ht="14.25" customHeight="1" x14ac:dyDescent="0.2">
      <c r="B16" s="325"/>
      <c r="C16" s="325"/>
      <c r="D16" s="309"/>
      <c r="E16" s="309"/>
      <c r="F16" s="117"/>
      <c r="G16" s="118"/>
      <c r="H16" s="119"/>
      <c r="I16" s="76"/>
      <c r="J16" s="118"/>
      <c r="K16" s="112"/>
      <c r="L16" s="112"/>
      <c r="M16" s="112"/>
      <c r="AJ16" s="325"/>
      <c r="AK16" s="114"/>
      <c r="AL16" s="309"/>
      <c r="AM16" s="273"/>
      <c r="AN16" s="117"/>
      <c r="AO16" s="121"/>
      <c r="AP16" s="119"/>
      <c r="AQ16" s="991"/>
      <c r="AR16" s="991"/>
      <c r="AS16" s="514"/>
      <c r="AT16" s="991"/>
    </row>
    <row r="17" spans="2:46" ht="14.25" customHeight="1" x14ac:dyDescent="0.2">
      <c r="B17" s="376"/>
      <c r="C17" s="376"/>
      <c r="D17" s="309"/>
      <c r="E17" s="309"/>
      <c r="F17" s="117"/>
      <c r="G17" s="118"/>
      <c r="H17" s="119"/>
      <c r="I17" s="76"/>
      <c r="J17" s="118"/>
      <c r="K17" s="112"/>
      <c r="L17" s="112"/>
      <c r="M17" s="112"/>
      <c r="AJ17" s="325"/>
      <c r="AK17" s="114"/>
      <c r="AL17" s="309"/>
      <c r="AM17" s="273"/>
      <c r="AN17" s="117"/>
      <c r="AO17" s="121"/>
      <c r="AP17" s="119"/>
      <c r="AQ17" s="991"/>
      <c r="AR17" s="991"/>
      <c r="AS17" s="514"/>
      <c r="AT17" s="991"/>
    </row>
    <row r="18" spans="2:46" ht="14.25" customHeight="1" x14ac:dyDescent="0.2">
      <c r="B18" s="325"/>
      <c r="C18" s="325"/>
      <c r="D18" s="309"/>
      <c r="E18" s="309"/>
      <c r="F18" s="117"/>
      <c r="G18" s="118"/>
      <c r="H18" s="119"/>
      <c r="I18" s="76"/>
      <c r="J18" s="118"/>
      <c r="K18" s="112"/>
      <c r="L18" s="112"/>
      <c r="M18" s="118"/>
      <c r="N18" s="112"/>
      <c r="O18" s="112"/>
    </row>
    <row r="19" spans="2:46" ht="14.25" customHeight="1" x14ac:dyDescent="0.2">
      <c r="B19" s="11"/>
      <c r="C19" s="11"/>
      <c r="D19" s="313"/>
      <c r="E19" s="84"/>
      <c r="F19" s="84"/>
      <c r="K19" s="120"/>
      <c r="L19" s="76"/>
      <c r="M19" s="118"/>
      <c r="N19" s="112"/>
      <c r="O19" s="112"/>
    </row>
    <row r="20" spans="2:46" ht="14.25" customHeight="1" x14ac:dyDescent="0.2">
      <c r="B20" s="11"/>
      <c r="C20" s="312"/>
      <c r="D20" s="313"/>
      <c r="E20" s="84"/>
      <c r="F20" s="84"/>
      <c r="K20" s="120"/>
      <c r="L20" s="76"/>
      <c r="M20" s="118"/>
      <c r="N20" s="112"/>
      <c r="O20" s="112"/>
    </row>
    <row r="21" spans="2:46" ht="12.75" customHeight="1" x14ac:dyDescent="0.2">
      <c r="B21" s="11"/>
      <c r="C21" s="312"/>
      <c r="D21" s="313"/>
      <c r="E21" s="84"/>
      <c r="F21" s="84"/>
      <c r="K21" s="120"/>
      <c r="L21" s="76"/>
      <c r="M21" s="118"/>
      <c r="N21" s="112"/>
      <c r="O21" s="112"/>
    </row>
    <row r="22" spans="2:46" ht="12.75" customHeight="1" x14ac:dyDescent="0.2">
      <c r="B22" s="84"/>
      <c r="E22" s="84"/>
      <c r="F22" s="84"/>
      <c r="K22" s="120"/>
      <c r="L22" s="76"/>
      <c r="M22" s="118"/>
      <c r="N22" s="112"/>
      <c r="O22" s="112"/>
    </row>
    <row r="23" spans="2:46" ht="12.75" customHeight="1" x14ac:dyDescent="0.2">
      <c r="B23" s="84"/>
      <c r="E23" s="84"/>
      <c r="F23" s="84"/>
      <c r="K23" s="120"/>
      <c r="L23" s="76"/>
    </row>
    <row r="24" spans="2:46" ht="12.75" customHeight="1" x14ac:dyDescent="0.2">
      <c r="Z24" s="1073"/>
    </row>
    <row r="25" spans="2:46" ht="12.75" customHeight="1" x14ac:dyDescent="0.2">
      <c r="R25" s="1662" t="s">
        <v>844</v>
      </c>
      <c r="S25" s="1633"/>
      <c r="T25" s="1633"/>
      <c r="U25" s="1633"/>
      <c r="V25" s="997"/>
      <c r="W25" s="997"/>
      <c r="X25" s="997"/>
      <c r="Z25" s="122" t="s">
        <v>252</v>
      </c>
      <c r="AA25" s="123">
        <v>1</v>
      </c>
      <c r="AB25" s="122" t="s">
        <v>249</v>
      </c>
      <c r="AC25" s="124">
        <f>AE30*AA25</f>
        <v>4.984826837735473</v>
      </c>
    </row>
    <row r="26" spans="2:46" ht="12.75" customHeight="1" x14ac:dyDescent="0.2">
      <c r="R26" s="1646" t="s">
        <v>291</v>
      </c>
      <c r="S26" s="1655"/>
      <c r="T26" s="1655"/>
      <c r="U26" s="1655"/>
      <c r="V26" s="997"/>
      <c r="W26" s="997"/>
      <c r="X26" s="997"/>
    </row>
    <row r="27" spans="2:46" ht="14.25" customHeight="1" thickBot="1" x14ac:dyDescent="0.25">
      <c r="R27" s="126" t="s">
        <v>254</v>
      </c>
      <c r="S27" s="126" t="s">
        <v>298</v>
      </c>
      <c r="T27" s="126" t="s">
        <v>256</v>
      </c>
      <c r="U27" s="126" t="s">
        <v>262</v>
      </c>
      <c r="V27" s="127" t="s">
        <v>772</v>
      </c>
      <c r="W27" s="127" t="s">
        <v>795</v>
      </c>
      <c r="X27" s="127" t="s">
        <v>794</v>
      </c>
      <c r="Z27" s="122" t="s">
        <v>258</v>
      </c>
      <c r="AA27" s="128" t="s">
        <v>772</v>
      </c>
      <c r="AB27" s="128" t="s">
        <v>259</v>
      </c>
      <c r="AC27" s="128" t="s">
        <v>783</v>
      </c>
      <c r="AD27" s="128" t="s">
        <v>780</v>
      </c>
      <c r="AE27" s="128" t="s">
        <v>262</v>
      </c>
    </row>
    <row r="28" spans="2:46" ht="14.25" customHeight="1" thickBot="1" x14ac:dyDescent="0.25">
      <c r="M28" s="314"/>
      <c r="R28" s="126" t="s">
        <v>263</v>
      </c>
      <c r="S28" s="1206">
        <f>$Z$1</f>
        <v>198</v>
      </c>
      <c r="T28" s="1216"/>
      <c r="U28" s="1216">
        <f>S28</f>
        <v>198</v>
      </c>
      <c r="V28" s="130">
        <f>SUM(AP5:AP13)</f>
        <v>4539.3258426966295</v>
      </c>
      <c r="W28" s="130">
        <f>SUM(L6)</f>
        <v>0.12</v>
      </c>
      <c r="X28" s="130">
        <f>K13</f>
        <v>0</v>
      </c>
      <c r="Z28" s="132"/>
      <c r="AA28" s="1051"/>
      <c r="AB28" s="133">
        <f>AA25*$S$40</f>
        <v>1</v>
      </c>
      <c r="AC28" s="1051"/>
      <c r="AD28" s="1051"/>
      <c r="AE28" s="135">
        <f>SUM(AB28:AB28)</f>
        <v>1</v>
      </c>
    </row>
    <row r="29" spans="2:46" ht="14.25" customHeight="1" thickBot="1" x14ac:dyDescent="0.25">
      <c r="R29" s="126" t="s">
        <v>264</v>
      </c>
      <c r="S29" s="1224"/>
      <c r="T29" s="315"/>
      <c r="U29" s="1216">
        <f>T29</f>
        <v>0</v>
      </c>
      <c r="V29" s="130"/>
      <c r="W29" s="130"/>
      <c r="X29" s="130"/>
      <c r="Z29" s="132"/>
      <c r="AA29" s="1051"/>
      <c r="AB29" s="137">
        <f>AB28/$AE$28</f>
        <v>1</v>
      </c>
      <c r="AC29" s="1051"/>
      <c r="AD29" s="1051"/>
      <c r="AE29" s="137">
        <f>AE28/$AE$28</f>
        <v>1</v>
      </c>
    </row>
    <row r="30" spans="2:46" ht="14.25" customHeight="1" thickBot="1" x14ac:dyDescent="0.25">
      <c r="R30" s="126" t="s">
        <v>265</v>
      </c>
      <c r="S30" s="1207">
        <f>$AB$1</f>
        <v>2</v>
      </c>
      <c r="T30" s="1216"/>
      <c r="U30" s="1216"/>
      <c r="V30" s="989"/>
      <c r="W30" s="989"/>
      <c r="X30" s="989"/>
      <c r="Z30" s="122" t="s">
        <v>266</v>
      </c>
      <c r="AA30" s="991">
        <f>V35/$AF$1</f>
        <v>0.13546395113753451</v>
      </c>
      <c r="AB30" s="138">
        <f>S35/(AF1)</f>
        <v>4.678762886597938</v>
      </c>
      <c r="AC30" s="991">
        <f>W35/AF1</f>
        <v>5.9999999999999995E-4</v>
      </c>
      <c r="AD30" s="991">
        <f>X35/$AF$1</f>
        <v>0.17</v>
      </c>
      <c r="AE30" s="1048">
        <f>AB30+AD30+AC30+AA30</f>
        <v>4.984826837735473</v>
      </c>
    </row>
    <row r="31" spans="2:46" ht="14.25" customHeight="1" thickBot="1" x14ac:dyDescent="0.25">
      <c r="R31" s="126" t="s">
        <v>267</v>
      </c>
      <c r="S31" s="271" t="s">
        <v>310</v>
      </c>
      <c r="T31" s="315"/>
      <c r="U31" s="315"/>
      <c r="V31" s="130"/>
      <c r="W31" s="130"/>
      <c r="X31" s="130"/>
    </row>
    <row r="32" spans="2:46" ht="14.25" customHeight="1" thickBot="1" x14ac:dyDescent="0.3">
      <c r="R32" s="127" t="s">
        <v>257</v>
      </c>
      <c r="S32" s="1116">
        <f>S28+S30</f>
        <v>200</v>
      </c>
      <c r="T32" s="316">
        <f>SUM(T28:T30)</f>
        <v>0</v>
      </c>
      <c r="U32" s="316">
        <f>T32+S32</f>
        <v>200</v>
      </c>
      <c r="V32" s="130"/>
      <c r="W32" s="130"/>
      <c r="X32" s="130"/>
    </row>
    <row r="33" spans="2:24" ht="14.25" customHeight="1" thickBot="1" x14ac:dyDescent="0.3">
      <c r="R33" s="317" t="s">
        <v>254</v>
      </c>
      <c r="S33" s="318"/>
      <c r="T33" s="318">
        <f>F40+F59</f>
        <v>0</v>
      </c>
      <c r="U33" s="319"/>
      <c r="V33" s="136"/>
      <c r="W33" s="136"/>
      <c r="X33" s="136"/>
    </row>
    <row r="34" spans="2:24" ht="14.25" customHeight="1" thickBot="1" x14ac:dyDescent="0.25">
      <c r="R34" s="159" t="s">
        <v>269</v>
      </c>
      <c r="S34" s="320"/>
      <c r="T34" s="321">
        <f>T33-(T28+T29)</f>
        <v>0</v>
      </c>
      <c r="U34" s="320"/>
      <c r="V34" s="136"/>
      <c r="W34" s="136"/>
      <c r="X34" s="136"/>
    </row>
    <row r="35" spans="2:24" ht="12.75" customHeight="1" thickBot="1" x14ac:dyDescent="0.25">
      <c r="R35" s="144" t="s">
        <v>249</v>
      </c>
      <c r="S35" s="990">
        <f>L5</f>
        <v>935.75257731958766</v>
      </c>
      <c r="T35" s="990">
        <f>SUM(O6:O19)</f>
        <v>0</v>
      </c>
      <c r="U35" s="1049">
        <f>S35+T35+V35+W35+X35</f>
        <v>996.96536754709462</v>
      </c>
      <c r="V35" s="990">
        <f>SUM(AT6:AT13)</f>
        <v>27.092790227506903</v>
      </c>
      <c r="W35" s="990">
        <f>L6</f>
        <v>0.12</v>
      </c>
      <c r="X35" s="990">
        <f>L7</f>
        <v>34</v>
      </c>
    </row>
    <row r="36" spans="2:24" ht="12.75" customHeight="1" x14ac:dyDescent="0.2"/>
    <row r="37" spans="2:24" ht="12.75" customHeight="1" x14ac:dyDescent="0.2"/>
    <row r="38" spans="2:24" ht="12.75" customHeight="1" x14ac:dyDescent="0.2"/>
    <row r="39" spans="2:24" ht="12.75" customHeight="1" x14ac:dyDescent="0.2">
      <c r="B39" s="84"/>
      <c r="E39" s="84"/>
      <c r="F39" s="84"/>
    </row>
    <row r="40" spans="2:24" ht="46.5" customHeight="1" x14ac:dyDescent="0.2">
      <c r="B40" s="84"/>
      <c r="C40" s="84"/>
      <c r="D40" s="322"/>
      <c r="E40" s="84"/>
      <c r="F40" s="84"/>
      <c r="G40" s="84"/>
      <c r="H40" s="84"/>
      <c r="I40" s="84"/>
      <c r="J40" s="84"/>
      <c r="R40" s="146" t="s">
        <v>270</v>
      </c>
      <c r="S40" s="147">
        <v>1</v>
      </c>
      <c r="T40" s="146" t="s">
        <v>271</v>
      </c>
      <c r="U40" s="148">
        <v>0</v>
      </c>
      <c r="V40" s="149">
        <f>S40+U40</f>
        <v>1</v>
      </c>
    </row>
    <row r="41" spans="2:24" ht="18" customHeight="1" x14ac:dyDescent="0.2">
      <c r="B41" s="84"/>
      <c r="C41" s="84"/>
      <c r="D41" s="84"/>
      <c r="E41" s="84"/>
      <c r="F41" s="84"/>
      <c r="G41" s="84"/>
      <c r="H41" s="84"/>
      <c r="I41" s="84"/>
      <c r="J41" s="84"/>
      <c r="U41" s="150"/>
    </row>
    <row r="42" spans="2:24" ht="18" customHeight="1" x14ac:dyDescent="0.2">
      <c r="B42" s="1671"/>
      <c r="C42" s="1655"/>
      <c r="D42" s="1655"/>
      <c r="E42" s="1655"/>
      <c r="F42" s="1655"/>
      <c r="G42" s="1655"/>
      <c r="H42" s="1655"/>
      <c r="I42" s="1655"/>
      <c r="J42" s="1655"/>
    </row>
    <row r="43" spans="2:24" ht="12.75" customHeight="1" x14ac:dyDescent="0.2">
      <c r="B43" s="1660"/>
      <c r="C43" s="1655"/>
      <c r="D43" s="1655"/>
      <c r="E43" s="1655"/>
      <c r="F43" s="1655"/>
      <c r="G43" s="1655"/>
      <c r="H43" s="1655"/>
      <c r="I43" s="1655"/>
      <c r="J43" s="1655"/>
      <c r="Q43" s="151" t="s">
        <v>272</v>
      </c>
      <c r="R43" s="151" t="s">
        <v>273</v>
      </c>
      <c r="S43" s="151" t="s">
        <v>274</v>
      </c>
      <c r="T43" s="151" t="s">
        <v>275</v>
      </c>
      <c r="U43" s="151" t="s">
        <v>276</v>
      </c>
      <c r="V43" s="151" t="s">
        <v>277</v>
      </c>
      <c r="W43" s="151" t="s">
        <v>278</v>
      </c>
    </row>
    <row r="44" spans="2:24" ht="14.25" customHeight="1" x14ac:dyDescent="0.2">
      <c r="B44" s="323"/>
      <c r="C44" s="324"/>
      <c r="D44" s="323"/>
      <c r="E44" s="323"/>
      <c r="F44" s="323"/>
      <c r="G44" s="323"/>
      <c r="H44" s="323"/>
      <c r="I44" s="323"/>
      <c r="J44" s="323"/>
      <c r="Q44" s="153">
        <v>18841</v>
      </c>
      <c r="R44" s="154">
        <f>E51</f>
        <v>0</v>
      </c>
      <c r="S44" s="155">
        <v>0</v>
      </c>
      <c r="T44" s="155">
        <v>0</v>
      </c>
      <c r="U44" s="220">
        <f>R44*S44</f>
        <v>0</v>
      </c>
      <c r="V44" s="157">
        <f>R44*T44</f>
        <v>0</v>
      </c>
      <c r="W44" s="157">
        <f>Q44-U44</f>
        <v>18841</v>
      </c>
    </row>
    <row r="45" spans="2:24" ht="14.25" customHeight="1" x14ac:dyDescent="0.2">
      <c r="B45" s="325"/>
      <c r="C45" s="325"/>
      <c r="D45" s="309"/>
      <c r="E45" s="309"/>
      <c r="F45" s="117"/>
      <c r="G45" s="118"/>
      <c r="H45" s="119"/>
      <c r="I45" s="76"/>
      <c r="J45" s="120"/>
    </row>
    <row r="46" spans="2:24" ht="14.25" customHeight="1" x14ac:dyDescent="0.2">
      <c r="B46" s="325"/>
      <c r="C46" s="325"/>
      <c r="D46" s="309"/>
      <c r="E46" s="309"/>
      <c r="F46" s="117"/>
      <c r="G46" s="118"/>
      <c r="H46" s="119"/>
      <c r="I46" s="76"/>
      <c r="J46" s="120"/>
    </row>
    <row r="47" spans="2:24" ht="14.25" customHeight="1" x14ac:dyDescent="0.2">
      <c r="B47" s="325"/>
      <c r="C47" s="325"/>
      <c r="D47" s="309"/>
      <c r="E47" s="309"/>
      <c r="F47" s="117"/>
      <c r="G47" s="118"/>
      <c r="H47" s="119"/>
      <c r="I47" s="76"/>
      <c r="J47" s="120"/>
    </row>
    <row r="48" spans="2:24" ht="14.25" customHeight="1" x14ac:dyDescent="0.2">
      <c r="B48" s="325"/>
      <c r="C48" s="325"/>
      <c r="D48" s="309"/>
      <c r="E48" s="309"/>
      <c r="F48" s="117"/>
      <c r="G48" s="118"/>
      <c r="H48" s="119"/>
      <c r="I48" s="76"/>
      <c r="J48" s="120"/>
    </row>
    <row r="49" spans="1:14" ht="14.25" customHeight="1" x14ac:dyDescent="0.2">
      <c r="B49" s="325"/>
      <c r="C49" s="325"/>
      <c r="D49" s="309"/>
      <c r="E49" s="309"/>
      <c r="F49" s="117"/>
      <c r="G49" s="118"/>
      <c r="H49" s="119"/>
      <c r="I49" s="76"/>
      <c r="J49" s="120"/>
    </row>
    <row r="50" spans="1:14" ht="14.25" customHeight="1" x14ac:dyDescent="0.2">
      <c r="B50" s="326"/>
      <c r="C50" s="159" t="s">
        <v>233</v>
      </c>
      <c r="D50" s="159" t="s">
        <v>279</v>
      </c>
      <c r="E50" s="84"/>
      <c r="F50" s="84"/>
      <c r="G50" s="126" t="s">
        <v>280</v>
      </c>
      <c r="H50" s="126" t="s">
        <v>233</v>
      </c>
      <c r="I50" s="159" t="s">
        <v>281</v>
      </c>
      <c r="J50" s="159" t="s">
        <v>282</v>
      </c>
    </row>
    <row r="51" spans="1:14" ht="14.25" customHeight="1" x14ac:dyDescent="0.2">
      <c r="B51" s="161" t="s">
        <v>283</v>
      </c>
      <c r="C51" s="162">
        <f>10/$K$1</f>
        <v>10</v>
      </c>
      <c r="D51" s="163">
        <f>$C$1*10</f>
        <v>10</v>
      </c>
      <c r="E51" s="164"/>
      <c r="F51" s="84"/>
      <c r="G51" s="161" t="s">
        <v>283</v>
      </c>
      <c r="H51" s="254">
        <f>I51/$D$5</f>
        <v>176.41385767790263</v>
      </c>
      <c r="I51" s="162">
        <f>J51/$R$1</f>
        <v>21169.662921348314</v>
      </c>
      <c r="J51" s="162">
        <f>$W$44</f>
        <v>18841</v>
      </c>
    </row>
    <row r="52" spans="1:14" ht="14.25" customHeight="1" x14ac:dyDescent="0.2">
      <c r="B52" s="209" t="s">
        <v>262</v>
      </c>
      <c r="C52" s="210">
        <f>$I$1</f>
        <v>0</v>
      </c>
      <c r="D52" s="211">
        <f>$E$1</f>
        <v>200</v>
      </c>
      <c r="E52" s="84"/>
      <c r="F52" s="84"/>
      <c r="G52" s="129" t="s">
        <v>262</v>
      </c>
      <c r="H52" s="97">
        <f>I52/$D$5</f>
        <v>149.81273408239701</v>
      </c>
      <c r="I52" s="157">
        <f>J52/$R$1</f>
        <v>17977.528089887641</v>
      </c>
      <c r="J52" s="165">
        <f>$U$32*$T$1*0.8</f>
        <v>16000</v>
      </c>
    </row>
    <row r="53" spans="1:14" ht="14.25" customHeight="1" x14ac:dyDescent="0.2">
      <c r="B53" s="209" t="s">
        <v>284</v>
      </c>
      <c r="C53" s="212">
        <f>MIN(C52, C51)</f>
        <v>0</v>
      </c>
      <c r="D53" s="211">
        <f>(C53*$K$1)*$C$1</f>
        <v>0</v>
      </c>
      <c r="E53" s="84"/>
      <c r="F53" s="84"/>
      <c r="G53" s="129" t="s">
        <v>284</v>
      </c>
      <c r="H53" s="168">
        <f>MIN(H52,H51)</f>
        <v>149.81273408239701</v>
      </c>
      <c r="I53" s="157">
        <f>J53/$R$1</f>
        <v>17977.528089887641</v>
      </c>
      <c r="J53" s="157">
        <f>MIN(J52,J51)</f>
        <v>16000</v>
      </c>
    </row>
    <row r="54" spans="1:14" ht="14.25" customHeight="1" x14ac:dyDescent="0.2">
      <c r="B54" s="209" t="s">
        <v>285</v>
      </c>
      <c r="C54" s="212">
        <f>MIN(MAX(C52-C53,0),C51)</f>
        <v>0</v>
      </c>
      <c r="D54" s="211">
        <f>(C54*$K$1)*$C$1</f>
        <v>0</v>
      </c>
      <c r="E54" s="84"/>
      <c r="F54" s="84"/>
      <c r="G54" s="129" t="s">
        <v>285</v>
      </c>
      <c r="H54" s="168">
        <f>MIN(MAX(H52-H53),H51)</f>
        <v>0</v>
      </c>
      <c r="I54" s="157">
        <f>J54/$R$1</f>
        <v>0</v>
      </c>
      <c r="J54" s="157">
        <f>MIN(MAX(J52-J53),J51)</f>
        <v>0</v>
      </c>
    </row>
    <row r="55" spans="1:14" ht="14.25" customHeight="1" x14ac:dyDescent="0.2">
      <c r="B55" s="209" t="s">
        <v>286</v>
      </c>
      <c r="C55" s="212">
        <f>MIN(MAX(C52-C53-C54,0),C51)</f>
        <v>0</v>
      </c>
      <c r="D55" s="211">
        <f>(C55*$K$1)*$C$1</f>
        <v>0</v>
      </c>
      <c r="E55" s="84"/>
      <c r="F55" s="84"/>
      <c r="G55" s="126" t="s">
        <v>286</v>
      </c>
      <c r="H55" s="168">
        <f>MIN(MAX(H52-H53-H54),H51)</f>
        <v>0</v>
      </c>
      <c r="I55" s="157">
        <f>J55/$R$1</f>
        <v>0</v>
      </c>
      <c r="J55" s="157">
        <f>MIN(MAX(J52-J53-J54),J51)</f>
        <v>0</v>
      </c>
    </row>
    <row r="56" spans="1:14" ht="14.25" customHeight="1" x14ac:dyDescent="0.2"/>
    <row r="57" spans="1:14" ht="18" customHeight="1" x14ac:dyDescent="0.2"/>
    <row r="58" spans="1:14" ht="12.75" customHeight="1" x14ac:dyDescent="0.2">
      <c r="B58" s="1660"/>
      <c r="C58" s="1655"/>
      <c r="D58" s="1655"/>
      <c r="E58" s="1655"/>
      <c r="F58" s="1655"/>
      <c r="G58" s="1655"/>
      <c r="H58" s="1655"/>
      <c r="I58" s="1655"/>
      <c r="J58" s="1655"/>
    </row>
    <row r="59" spans="1:14" ht="14.25" customHeight="1" x14ac:dyDescent="0.2">
      <c r="B59" s="323"/>
      <c r="C59" s="324"/>
      <c r="D59" s="323"/>
      <c r="E59" s="323"/>
      <c r="F59" s="323"/>
      <c r="G59" s="323"/>
      <c r="H59" s="323"/>
      <c r="I59" s="323"/>
      <c r="J59" s="323"/>
    </row>
    <row r="60" spans="1:14" ht="14.25" customHeight="1" x14ac:dyDescent="0.2">
      <c r="B60" s="325"/>
      <c r="C60" s="325"/>
      <c r="D60" s="325"/>
      <c r="E60" s="309"/>
      <c r="F60" s="117"/>
      <c r="G60" s="118"/>
      <c r="H60" s="119"/>
      <c r="I60" s="76"/>
      <c r="J60" s="120"/>
    </row>
    <row r="61" spans="1:14" ht="14.25" customHeight="1" x14ac:dyDescent="0.2">
      <c r="B61" s="325"/>
      <c r="C61" s="325"/>
      <c r="D61" s="325"/>
      <c r="E61" s="309"/>
      <c r="F61" s="117"/>
      <c r="G61" s="118"/>
      <c r="H61" s="119"/>
      <c r="I61" s="76"/>
      <c r="J61" s="120"/>
    </row>
    <row r="62" spans="1:14" ht="18" customHeight="1" x14ac:dyDescent="0.2">
      <c r="A62" s="1560"/>
      <c r="B62" s="1642"/>
      <c r="C62" s="1656"/>
      <c r="D62" s="1656"/>
      <c r="E62" s="1656"/>
      <c r="F62" s="1656"/>
      <c r="G62" s="1656"/>
      <c r="H62" s="1656"/>
    </row>
    <row r="63" spans="1:14" ht="14.25" x14ac:dyDescent="0.2">
      <c r="A63" s="1560"/>
      <c r="B63" s="1636" t="s">
        <v>844</v>
      </c>
      <c r="C63" s="1637"/>
      <c r="D63" s="1637"/>
      <c r="E63" s="1637"/>
      <c r="F63" s="1637"/>
      <c r="G63" s="1637"/>
      <c r="H63" s="1637"/>
    </row>
    <row r="64" spans="1:14" ht="39" customHeight="1" x14ac:dyDescent="0.2">
      <c r="A64" s="75" t="s">
        <v>1</v>
      </c>
      <c r="B64" s="221" t="s">
        <v>241</v>
      </c>
      <c r="C64" s="222" t="s">
        <v>242</v>
      </c>
      <c r="D64" s="223" t="s">
        <v>231</v>
      </c>
      <c r="E64" s="197" t="s">
        <v>234</v>
      </c>
      <c r="F64" s="197" t="s">
        <v>243</v>
      </c>
      <c r="G64" s="223" t="s">
        <v>244</v>
      </c>
      <c r="H64" s="197" t="s">
        <v>245</v>
      </c>
      <c r="M64" s="112"/>
      <c r="N64" s="112"/>
    </row>
    <row r="65" spans="1:12" ht="14.25" customHeight="1" x14ac:dyDescent="0.2">
      <c r="A65" s="272" t="s">
        <v>221</v>
      </c>
      <c r="B65" s="1561" t="str">
        <f t="shared" ref="B65:D69" si="12">B5</f>
        <v>Top Side - توب سايد مفروم</v>
      </c>
      <c r="C65" s="1562" t="str">
        <f t="shared" si="12"/>
        <v>gm</v>
      </c>
      <c r="D65" s="1563">
        <f t="shared" si="12"/>
        <v>120</v>
      </c>
      <c r="E65" s="1564">
        <f>$D$52</f>
        <v>200</v>
      </c>
      <c r="F65" s="1565">
        <f>F5</f>
        <v>1</v>
      </c>
      <c r="G65" s="1566">
        <f>D65*E65</f>
        <v>24000</v>
      </c>
      <c r="H65" s="1564">
        <f>G65*F65</f>
        <v>24000</v>
      </c>
      <c r="I65" s="76"/>
      <c r="J65" s="118"/>
      <c r="K65" s="76"/>
      <c r="L65" s="118"/>
    </row>
    <row r="66" spans="1:12" ht="14.25" customHeight="1" x14ac:dyDescent="0.2">
      <c r="A66" s="272" t="s">
        <v>94</v>
      </c>
      <c r="B66" s="1561" t="str">
        <f t="shared" si="12"/>
        <v>Whole Wheat Burger Buns 70gm - خبز برجر بني</v>
      </c>
      <c r="C66" s="1562" t="str">
        <f t="shared" si="12"/>
        <v>Piece</v>
      </c>
      <c r="D66" s="1563">
        <f t="shared" si="12"/>
        <v>1</v>
      </c>
      <c r="E66" s="1564">
        <f t="shared" ref="E66:E69" si="13">$D$52</f>
        <v>200</v>
      </c>
      <c r="F66" s="1565">
        <f t="shared" ref="F66:F69" si="14">F6</f>
        <v>1</v>
      </c>
      <c r="G66" s="1566">
        <f t="shared" ref="G66:G69" si="15">D66*E66</f>
        <v>200</v>
      </c>
      <c r="H66" s="1564">
        <f t="shared" ref="H66:H69" si="16">G66*F66</f>
        <v>200</v>
      </c>
    </row>
    <row r="67" spans="1:12" ht="14.25" customHeight="1" x14ac:dyDescent="0.2">
      <c r="B67" s="1561" t="str">
        <f t="shared" si="12"/>
        <v>Iceberg Lettuce - خس مدور أمريكى</v>
      </c>
      <c r="C67" s="1562" t="str">
        <f t="shared" si="12"/>
        <v>gm</v>
      </c>
      <c r="D67" s="1563">
        <f t="shared" si="12"/>
        <v>10</v>
      </c>
      <c r="E67" s="1564">
        <f t="shared" si="13"/>
        <v>200</v>
      </c>
      <c r="F67" s="1565">
        <f t="shared" si="14"/>
        <v>1</v>
      </c>
      <c r="G67" s="1566">
        <f t="shared" si="15"/>
        <v>2000</v>
      </c>
      <c r="H67" s="1564">
        <f t="shared" si="16"/>
        <v>2000</v>
      </c>
    </row>
    <row r="68" spans="1:12" ht="18" x14ac:dyDescent="0.25">
      <c r="A68" s="191"/>
      <c r="B68" s="1561" t="str">
        <f t="shared" si="12"/>
        <v>Sliced tomato - طماطم شرائح</v>
      </c>
      <c r="C68" s="1562" t="str">
        <f t="shared" si="12"/>
        <v>gm</v>
      </c>
      <c r="D68" s="1563">
        <f t="shared" si="12"/>
        <v>20</v>
      </c>
      <c r="E68" s="1564">
        <f t="shared" si="13"/>
        <v>200</v>
      </c>
      <c r="F68" s="1565">
        <f t="shared" si="14"/>
        <v>1</v>
      </c>
      <c r="G68" s="1566">
        <f t="shared" si="15"/>
        <v>4000</v>
      </c>
      <c r="H68" s="1564">
        <f t="shared" si="16"/>
        <v>4000</v>
      </c>
    </row>
    <row r="69" spans="1:12" ht="18" x14ac:dyDescent="0.25">
      <c r="A69" s="191"/>
      <c r="B69" s="1561" t="str">
        <f t="shared" si="12"/>
        <v>Onion - بصل</v>
      </c>
      <c r="C69" s="1562" t="str">
        <f t="shared" si="12"/>
        <v>gm</v>
      </c>
      <c r="D69" s="1563">
        <f t="shared" si="12"/>
        <v>10</v>
      </c>
      <c r="E69" s="1564">
        <f t="shared" si="13"/>
        <v>200</v>
      </c>
      <c r="F69" s="1565">
        <f t="shared" si="14"/>
        <v>1</v>
      </c>
      <c r="G69" s="1566">
        <f t="shared" si="15"/>
        <v>2000</v>
      </c>
      <c r="H69" s="1564">
        <f t="shared" si="16"/>
        <v>2000</v>
      </c>
    </row>
    <row r="70" spans="1:12" ht="20.25" customHeight="1" x14ac:dyDescent="0.2">
      <c r="B70" s="178" t="s">
        <v>287</v>
      </c>
      <c r="C70" s="851" t="s">
        <v>273</v>
      </c>
      <c r="D70" s="850"/>
      <c r="E70" s="851" t="s">
        <v>288</v>
      </c>
      <c r="F70" s="850"/>
      <c r="G70" s="852" t="s">
        <v>264</v>
      </c>
      <c r="H70" s="852" t="s">
        <v>673</v>
      </c>
    </row>
    <row r="71" spans="1:12" ht="26.25" customHeight="1" x14ac:dyDescent="0.3">
      <c r="B71" s="179">
        <f>$J$53</f>
        <v>16000</v>
      </c>
      <c r="C71" s="179">
        <f>E71+G71</f>
        <v>0</v>
      </c>
      <c r="D71" s="839"/>
      <c r="E71" s="179">
        <f>$C$53*$S$44</f>
        <v>0</v>
      </c>
      <c r="F71" s="843"/>
      <c r="G71" s="179">
        <f>$D$53*$T$44</f>
        <v>0</v>
      </c>
      <c r="H71" s="179">
        <f>B71+E71</f>
        <v>16000</v>
      </c>
    </row>
    <row r="72" spans="1:12" ht="14.25" customHeight="1" x14ac:dyDescent="0.2">
      <c r="E72" s="84"/>
      <c r="F72" s="84"/>
    </row>
    <row r="73" spans="1:12" ht="14.25" customHeight="1" x14ac:dyDescent="0.2">
      <c r="B73" s="84"/>
      <c r="E73" s="84"/>
      <c r="F73" s="84"/>
    </row>
    <row r="74" spans="1:12" ht="12.75" customHeight="1" x14ac:dyDescent="0.2">
      <c r="B74" s="84"/>
      <c r="E74" s="84"/>
      <c r="F74" s="84"/>
    </row>
    <row r="75" spans="1:12" x14ac:dyDescent="0.2">
      <c r="B75" s="84"/>
      <c r="E75" s="84"/>
      <c r="F75" s="84"/>
    </row>
    <row r="76" spans="1:12" ht="12.75" customHeight="1" x14ac:dyDescent="0.2">
      <c r="B76" s="84"/>
    </row>
    <row r="77" spans="1:12" ht="12.75" customHeight="1" x14ac:dyDescent="0.2"/>
    <row r="78" spans="1:12" ht="12.75" customHeight="1" x14ac:dyDescent="0.2">
      <c r="E78" s="84"/>
      <c r="F78" s="84"/>
    </row>
    <row r="79" spans="1:12" ht="12.75" customHeight="1" x14ac:dyDescent="0.2">
      <c r="E79" s="84"/>
      <c r="F79" s="84"/>
    </row>
    <row r="80" spans="1:12" ht="12.75" customHeight="1" x14ac:dyDescent="0.2">
      <c r="B80" s="84"/>
      <c r="E80" s="84"/>
      <c r="F80" s="84"/>
    </row>
    <row r="81" spans="2:6" ht="12.75" customHeight="1" x14ac:dyDescent="0.2">
      <c r="B81" s="84"/>
      <c r="E81" s="84"/>
      <c r="F81" s="84"/>
    </row>
    <row r="82" spans="2:6" ht="12.75" customHeight="1" x14ac:dyDescent="0.2">
      <c r="B82" s="84"/>
      <c r="E82" s="84"/>
      <c r="F82" s="84"/>
    </row>
    <row r="83" spans="2:6" ht="12.75" customHeight="1" x14ac:dyDescent="0.2">
      <c r="B83" s="84"/>
      <c r="E83" s="84"/>
      <c r="F83" s="84"/>
    </row>
    <row r="84" spans="2:6" ht="12.75" customHeight="1" x14ac:dyDescent="0.2">
      <c r="B84" s="84"/>
      <c r="E84" s="84"/>
      <c r="F84" s="84"/>
    </row>
    <row r="85" spans="2:6" ht="12.75" customHeight="1" x14ac:dyDescent="0.2">
      <c r="B85" s="84"/>
      <c r="E85" s="84"/>
      <c r="F85" s="84"/>
    </row>
    <row r="86" spans="2:6" ht="12.75" customHeight="1" x14ac:dyDescent="0.2">
      <c r="B86" s="84"/>
      <c r="E86" s="84"/>
      <c r="F86" s="84"/>
    </row>
    <row r="87" spans="2:6" ht="12.75" customHeight="1" x14ac:dyDescent="0.2">
      <c r="B87" s="84"/>
      <c r="E87" s="84"/>
      <c r="F87" s="84"/>
    </row>
    <row r="88" spans="2:6" ht="12.75" customHeight="1" x14ac:dyDescent="0.2">
      <c r="B88" s="84"/>
      <c r="E88" s="84"/>
      <c r="F88" s="84"/>
    </row>
    <row r="89" spans="2:6" ht="12.75" customHeight="1" x14ac:dyDescent="0.2">
      <c r="B89" s="84"/>
      <c r="E89" s="84"/>
      <c r="F89" s="84"/>
    </row>
    <row r="90" spans="2:6" ht="12.75" customHeight="1" x14ac:dyDescent="0.2">
      <c r="B90" s="84"/>
      <c r="E90" s="84"/>
      <c r="F90" s="84"/>
    </row>
    <row r="91" spans="2:6" ht="12.75" customHeight="1" x14ac:dyDescent="0.2">
      <c r="B91" s="84"/>
      <c r="E91" s="84"/>
      <c r="F91" s="84"/>
    </row>
    <row r="92" spans="2:6" ht="12.75" customHeight="1" x14ac:dyDescent="0.2">
      <c r="B92" s="84"/>
      <c r="E92" s="84"/>
      <c r="F92" s="84"/>
    </row>
    <row r="93" spans="2:6" ht="12.75" customHeight="1" x14ac:dyDescent="0.2">
      <c r="B93" s="84"/>
      <c r="E93" s="84"/>
      <c r="F93" s="84"/>
    </row>
    <row r="94" spans="2:6" ht="12.75" customHeight="1" x14ac:dyDescent="0.2">
      <c r="B94" s="84"/>
      <c r="E94" s="84"/>
      <c r="F94" s="84"/>
    </row>
    <row r="95" spans="2:6" ht="12.75" customHeight="1" x14ac:dyDescent="0.2">
      <c r="B95" s="84"/>
      <c r="E95" s="84"/>
      <c r="F95" s="84"/>
    </row>
    <row r="96" spans="2:6" ht="12.75" customHeight="1" x14ac:dyDescent="0.2">
      <c r="B96" s="84"/>
      <c r="E96" s="84"/>
      <c r="F96" s="84"/>
    </row>
    <row r="97" spans="2:6" ht="12.75" customHeight="1" x14ac:dyDescent="0.2">
      <c r="B97" s="84"/>
      <c r="E97" s="84"/>
      <c r="F97" s="84"/>
    </row>
    <row r="98" spans="2:6" ht="12.75" customHeight="1" x14ac:dyDescent="0.2">
      <c r="B98" s="84"/>
      <c r="E98" s="84"/>
      <c r="F98" s="84"/>
    </row>
    <row r="99" spans="2:6" ht="12.75" customHeight="1" x14ac:dyDescent="0.2">
      <c r="B99" s="84"/>
      <c r="E99" s="84"/>
      <c r="F99" s="84"/>
    </row>
    <row r="100" spans="2:6" ht="12.75" customHeight="1" x14ac:dyDescent="0.2">
      <c r="B100" s="84"/>
      <c r="E100" s="84"/>
      <c r="F100" s="84"/>
    </row>
    <row r="101" spans="2:6" ht="12.75" customHeight="1" x14ac:dyDescent="0.2">
      <c r="B101" s="84"/>
      <c r="E101" s="84"/>
      <c r="F101" s="84"/>
    </row>
    <row r="102" spans="2:6" ht="12.75" customHeight="1" x14ac:dyDescent="0.2">
      <c r="B102" s="84"/>
      <c r="E102" s="84"/>
      <c r="F102" s="84"/>
    </row>
    <row r="103" spans="2:6" ht="12.75" customHeight="1" x14ac:dyDescent="0.2">
      <c r="B103" s="84"/>
      <c r="E103" s="84"/>
      <c r="F103" s="84"/>
    </row>
    <row r="104" spans="2:6" ht="12.75" customHeight="1" x14ac:dyDescent="0.2">
      <c r="B104" s="84"/>
      <c r="E104" s="84"/>
      <c r="F104" s="84"/>
    </row>
    <row r="105" spans="2:6" ht="12.75" customHeight="1" x14ac:dyDescent="0.2">
      <c r="B105" s="84"/>
      <c r="E105" s="84"/>
      <c r="F105" s="84"/>
    </row>
    <row r="106" spans="2:6" ht="12.75" customHeight="1" x14ac:dyDescent="0.2">
      <c r="B106" s="84"/>
      <c r="E106" s="84"/>
      <c r="F106" s="84"/>
    </row>
    <row r="107" spans="2:6" ht="12.75" customHeight="1" x14ac:dyDescent="0.2">
      <c r="B107" s="84"/>
      <c r="E107" s="84"/>
      <c r="F107" s="84"/>
    </row>
    <row r="108" spans="2:6" ht="12.75" customHeight="1" x14ac:dyDescent="0.2">
      <c r="B108" s="84"/>
      <c r="E108" s="84"/>
      <c r="F108" s="84"/>
    </row>
    <row r="109" spans="2:6" ht="12.75" customHeight="1" x14ac:dyDescent="0.2">
      <c r="B109" s="84"/>
      <c r="E109" s="84"/>
      <c r="F109" s="84"/>
    </row>
    <row r="110" spans="2:6" ht="12.75" customHeight="1" x14ac:dyDescent="0.2">
      <c r="B110" s="84"/>
      <c r="E110" s="84"/>
      <c r="F110" s="84"/>
    </row>
    <row r="111" spans="2:6" ht="12.75" customHeight="1" x14ac:dyDescent="0.2">
      <c r="B111" s="84"/>
      <c r="E111" s="84"/>
      <c r="F111" s="84"/>
    </row>
    <row r="112" spans="2:6" ht="12.75" customHeight="1" x14ac:dyDescent="0.2">
      <c r="B112" s="84"/>
      <c r="E112" s="84"/>
      <c r="F112" s="84"/>
    </row>
    <row r="113" spans="2:6" ht="12.75" customHeight="1" x14ac:dyDescent="0.2">
      <c r="B113" s="84"/>
      <c r="E113" s="84"/>
      <c r="F113" s="84"/>
    </row>
    <row r="114" spans="2:6" ht="12.75" customHeight="1" x14ac:dyDescent="0.2">
      <c r="B114" s="84"/>
      <c r="E114" s="84"/>
      <c r="F114" s="84"/>
    </row>
    <row r="115" spans="2:6" ht="12.75" customHeight="1" x14ac:dyDescent="0.2">
      <c r="B115" s="84"/>
      <c r="E115" s="84"/>
      <c r="F115" s="84"/>
    </row>
    <row r="116" spans="2:6" ht="12.75" customHeight="1" x14ac:dyDescent="0.2">
      <c r="B116" s="84"/>
      <c r="E116" s="84"/>
      <c r="F116" s="84"/>
    </row>
    <row r="117" spans="2:6" ht="12.75" customHeight="1" x14ac:dyDescent="0.2">
      <c r="B117" s="84"/>
      <c r="E117" s="84"/>
      <c r="F117" s="84"/>
    </row>
    <row r="118" spans="2:6" ht="12.75" customHeight="1" x14ac:dyDescent="0.2">
      <c r="B118" s="84"/>
      <c r="E118" s="84"/>
      <c r="F118" s="84"/>
    </row>
    <row r="119" spans="2:6" ht="12.75" customHeight="1" x14ac:dyDescent="0.2">
      <c r="B119" s="84"/>
      <c r="E119" s="84"/>
      <c r="F119" s="84"/>
    </row>
    <row r="120" spans="2:6" ht="12.75" customHeight="1" x14ac:dyDescent="0.2">
      <c r="B120" s="84"/>
      <c r="E120" s="84"/>
      <c r="F120" s="84"/>
    </row>
    <row r="121" spans="2:6" ht="12.75" customHeight="1" x14ac:dyDescent="0.2">
      <c r="B121" s="84"/>
      <c r="E121" s="84"/>
      <c r="F121" s="84"/>
    </row>
    <row r="122" spans="2:6" ht="12.75" customHeight="1" x14ac:dyDescent="0.2">
      <c r="B122" s="84"/>
      <c r="E122" s="84"/>
      <c r="F122" s="84"/>
    </row>
    <row r="123" spans="2:6" ht="12.75" customHeight="1" x14ac:dyDescent="0.2">
      <c r="B123" s="84"/>
      <c r="E123" s="84"/>
      <c r="F123" s="84"/>
    </row>
    <row r="124" spans="2:6" ht="12.75" customHeight="1" x14ac:dyDescent="0.2">
      <c r="B124" s="84"/>
      <c r="E124" s="84"/>
      <c r="F124" s="84"/>
    </row>
    <row r="125" spans="2:6" ht="12.75" customHeight="1" x14ac:dyDescent="0.2">
      <c r="B125" s="84"/>
      <c r="E125" s="84"/>
      <c r="F125" s="84"/>
    </row>
    <row r="126" spans="2:6" ht="12.75" customHeight="1" x14ac:dyDescent="0.2">
      <c r="B126" s="84"/>
      <c r="E126" s="84"/>
      <c r="F126" s="84"/>
    </row>
    <row r="127" spans="2:6" ht="12.75" customHeight="1" x14ac:dyDescent="0.2">
      <c r="B127" s="84"/>
      <c r="E127" s="84"/>
      <c r="F127" s="84"/>
    </row>
    <row r="128" spans="2:6" ht="12.75" customHeight="1" x14ac:dyDescent="0.2">
      <c r="B128" s="84"/>
      <c r="E128" s="84"/>
      <c r="F128" s="84"/>
    </row>
    <row r="129" spans="2:6" ht="12.75" customHeight="1" x14ac:dyDescent="0.2">
      <c r="B129" s="84"/>
      <c r="E129" s="84"/>
      <c r="F129" s="84"/>
    </row>
    <row r="130" spans="2:6" ht="12.75" customHeight="1" x14ac:dyDescent="0.2">
      <c r="B130" s="84"/>
      <c r="E130" s="84"/>
      <c r="F130" s="84"/>
    </row>
    <row r="131" spans="2:6" ht="12.75" customHeight="1" x14ac:dyDescent="0.2">
      <c r="B131" s="84"/>
      <c r="E131" s="84"/>
      <c r="F131" s="84"/>
    </row>
    <row r="132" spans="2:6" ht="12.75" customHeight="1" x14ac:dyDescent="0.2">
      <c r="B132" s="84"/>
      <c r="E132" s="84"/>
      <c r="F132" s="84"/>
    </row>
    <row r="133" spans="2:6" ht="12.75" customHeight="1" x14ac:dyDescent="0.2">
      <c r="B133" s="84"/>
      <c r="E133" s="84"/>
      <c r="F133" s="84"/>
    </row>
    <row r="134" spans="2:6" ht="12.75" customHeight="1" x14ac:dyDescent="0.2">
      <c r="B134" s="84"/>
      <c r="E134" s="84"/>
      <c r="F134" s="84"/>
    </row>
    <row r="135" spans="2:6" ht="12.75" customHeight="1" x14ac:dyDescent="0.2">
      <c r="B135" s="84"/>
      <c r="E135" s="84"/>
      <c r="F135" s="84"/>
    </row>
    <row r="136" spans="2:6" ht="12.75" customHeight="1" x14ac:dyDescent="0.2">
      <c r="B136" s="84"/>
      <c r="E136" s="84"/>
      <c r="F136" s="84"/>
    </row>
    <row r="137" spans="2:6" ht="12.75" customHeight="1" x14ac:dyDescent="0.2">
      <c r="B137" s="84"/>
      <c r="E137" s="84"/>
      <c r="F137" s="84"/>
    </row>
    <row r="138" spans="2:6" ht="12.75" customHeight="1" x14ac:dyDescent="0.2">
      <c r="B138" s="84"/>
      <c r="E138" s="84"/>
      <c r="F138" s="84"/>
    </row>
    <row r="139" spans="2:6" ht="12.75" customHeight="1" x14ac:dyDescent="0.2">
      <c r="B139" s="84"/>
      <c r="E139" s="84"/>
      <c r="F139" s="84"/>
    </row>
    <row r="140" spans="2:6" ht="12.75" customHeight="1" x14ac:dyDescent="0.2">
      <c r="B140" s="84"/>
      <c r="E140" s="84"/>
      <c r="F140" s="84"/>
    </row>
    <row r="141" spans="2:6" ht="12.75" customHeight="1" x14ac:dyDescent="0.2">
      <c r="B141" s="84"/>
      <c r="E141" s="84"/>
      <c r="F141" s="84"/>
    </row>
    <row r="142" spans="2:6" ht="12.75" customHeight="1" x14ac:dyDescent="0.2">
      <c r="B142" s="84"/>
      <c r="E142" s="84"/>
      <c r="F142" s="84"/>
    </row>
    <row r="143" spans="2:6" ht="12.75" customHeight="1" x14ac:dyDescent="0.2">
      <c r="B143" s="84"/>
      <c r="E143" s="84"/>
      <c r="F143" s="84"/>
    </row>
    <row r="144" spans="2:6" ht="12.75" customHeight="1" x14ac:dyDescent="0.2">
      <c r="B144" s="84"/>
      <c r="E144" s="84"/>
      <c r="F144" s="84"/>
    </row>
    <row r="145" spans="2:6" ht="12.75" customHeight="1" x14ac:dyDescent="0.2">
      <c r="B145" s="84"/>
      <c r="E145" s="84"/>
      <c r="F145" s="84"/>
    </row>
    <row r="146" spans="2:6" ht="12.75" customHeight="1" x14ac:dyDescent="0.2">
      <c r="B146" s="84"/>
      <c r="E146" s="84"/>
      <c r="F146" s="84"/>
    </row>
    <row r="147" spans="2:6" ht="12.75" customHeight="1" x14ac:dyDescent="0.2">
      <c r="B147" s="84"/>
      <c r="E147" s="84"/>
      <c r="F147" s="84"/>
    </row>
    <row r="148" spans="2:6" ht="12.75" customHeight="1" x14ac:dyDescent="0.2">
      <c r="B148" s="84"/>
      <c r="E148" s="84"/>
      <c r="F148" s="84"/>
    </row>
    <row r="149" spans="2:6" ht="12.75" customHeight="1" x14ac:dyDescent="0.2">
      <c r="B149" s="84"/>
      <c r="E149" s="84"/>
      <c r="F149" s="84"/>
    </row>
    <row r="150" spans="2:6" ht="12.75" customHeight="1" x14ac:dyDescent="0.2">
      <c r="B150" s="84"/>
      <c r="E150" s="84"/>
      <c r="F150" s="84"/>
    </row>
    <row r="151" spans="2:6" ht="12.75" customHeight="1" x14ac:dyDescent="0.2">
      <c r="B151" s="84"/>
      <c r="E151" s="84"/>
      <c r="F151" s="84"/>
    </row>
    <row r="152" spans="2:6" ht="12.75" customHeight="1" x14ac:dyDescent="0.2">
      <c r="B152" s="84"/>
      <c r="E152" s="84"/>
      <c r="F152" s="84"/>
    </row>
    <row r="153" spans="2:6" ht="12.75" customHeight="1" x14ac:dyDescent="0.2">
      <c r="B153" s="84"/>
      <c r="E153" s="84"/>
      <c r="F153" s="84"/>
    </row>
    <row r="154" spans="2:6" ht="12.75" customHeight="1" x14ac:dyDescent="0.2">
      <c r="B154" s="84"/>
      <c r="E154" s="84"/>
      <c r="F154" s="84"/>
    </row>
    <row r="155" spans="2:6" ht="12.75" customHeight="1" x14ac:dyDescent="0.2">
      <c r="B155" s="84"/>
      <c r="E155" s="84"/>
      <c r="F155" s="84"/>
    </row>
    <row r="156" spans="2:6" ht="12.75" customHeight="1" x14ac:dyDescent="0.2">
      <c r="B156" s="84"/>
      <c r="E156" s="84"/>
      <c r="F156" s="84"/>
    </row>
    <row r="157" spans="2:6" ht="12.75" customHeight="1" x14ac:dyDescent="0.2">
      <c r="B157" s="84"/>
      <c r="E157" s="84"/>
      <c r="F157" s="84"/>
    </row>
    <row r="158" spans="2:6" ht="12.75" customHeight="1" x14ac:dyDescent="0.2">
      <c r="B158" s="84"/>
      <c r="E158" s="84"/>
      <c r="F158" s="84"/>
    </row>
    <row r="159" spans="2:6" ht="12.75" customHeight="1" x14ac:dyDescent="0.2">
      <c r="B159" s="84"/>
      <c r="E159" s="84"/>
      <c r="F159" s="84"/>
    </row>
    <row r="160" spans="2:6" ht="12.75" customHeight="1" x14ac:dyDescent="0.2">
      <c r="B160" s="84"/>
      <c r="E160" s="84"/>
      <c r="F160" s="84"/>
    </row>
    <row r="161" spans="2:6" ht="12.75" customHeight="1" x14ac:dyDescent="0.2">
      <c r="B161" s="84"/>
      <c r="E161" s="84"/>
      <c r="F161" s="84"/>
    </row>
    <row r="162" spans="2:6" ht="12.75" customHeight="1" x14ac:dyDescent="0.2">
      <c r="B162" s="84"/>
      <c r="E162" s="84"/>
      <c r="F162" s="84"/>
    </row>
    <row r="163" spans="2:6" ht="12.75" customHeight="1" x14ac:dyDescent="0.2">
      <c r="B163" s="84"/>
      <c r="E163" s="84"/>
      <c r="F163" s="84"/>
    </row>
    <row r="164" spans="2:6" ht="12.75" customHeight="1" x14ac:dyDescent="0.2">
      <c r="B164" s="84"/>
      <c r="E164" s="84"/>
      <c r="F164" s="84"/>
    </row>
    <row r="165" spans="2:6" ht="12.75" customHeight="1" x14ac:dyDescent="0.2">
      <c r="B165" s="84"/>
      <c r="E165" s="84"/>
      <c r="F165" s="84"/>
    </row>
    <row r="166" spans="2:6" ht="12.75" customHeight="1" x14ac:dyDescent="0.2">
      <c r="B166" s="84"/>
      <c r="E166" s="84"/>
      <c r="F166" s="84"/>
    </row>
    <row r="167" spans="2:6" ht="12.75" customHeight="1" x14ac:dyDescent="0.2">
      <c r="B167" s="84"/>
      <c r="E167" s="84"/>
      <c r="F167" s="84"/>
    </row>
    <row r="168" spans="2:6" ht="12.75" customHeight="1" x14ac:dyDescent="0.2">
      <c r="B168" s="84"/>
      <c r="E168" s="84"/>
      <c r="F168" s="84"/>
    </row>
    <row r="169" spans="2:6" ht="12.75" customHeight="1" x14ac:dyDescent="0.2">
      <c r="B169" s="84"/>
      <c r="E169" s="84"/>
      <c r="F169" s="84"/>
    </row>
    <row r="170" spans="2:6" ht="12.75" customHeight="1" x14ac:dyDescent="0.2">
      <c r="B170" s="84"/>
      <c r="E170" s="84"/>
      <c r="F170" s="84"/>
    </row>
    <row r="171" spans="2:6" ht="12.75" customHeight="1" x14ac:dyDescent="0.2">
      <c r="B171" s="84"/>
      <c r="E171" s="84"/>
      <c r="F171" s="84"/>
    </row>
    <row r="172" spans="2:6" ht="12.75" customHeight="1" x14ac:dyDescent="0.2">
      <c r="B172" s="84"/>
      <c r="E172" s="84"/>
      <c r="F172" s="84"/>
    </row>
    <row r="173" spans="2:6" ht="12.75" customHeight="1" x14ac:dyDescent="0.2">
      <c r="B173" s="84"/>
      <c r="E173" s="84"/>
      <c r="F173" s="84"/>
    </row>
    <row r="174" spans="2:6" ht="12.75" customHeight="1" x14ac:dyDescent="0.2">
      <c r="B174" s="84"/>
      <c r="E174" s="84"/>
      <c r="F174" s="84"/>
    </row>
    <row r="175" spans="2:6" ht="12.75" customHeight="1" x14ac:dyDescent="0.2">
      <c r="B175" s="84"/>
      <c r="E175" s="84"/>
      <c r="F175" s="84"/>
    </row>
    <row r="176" spans="2:6" ht="12.75" customHeight="1" x14ac:dyDescent="0.2">
      <c r="B176" s="84"/>
      <c r="E176" s="84"/>
      <c r="F176" s="84"/>
    </row>
    <row r="177" spans="2:6" ht="12.75" customHeight="1" x14ac:dyDescent="0.2">
      <c r="B177" s="84"/>
      <c r="E177" s="84"/>
      <c r="F177" s="84"/>
    </row>
    <row r="178" spans="2:6" ht="12.75" customHeight="1" x14ac:dyDescent="0.2">
      <c r="B178" s="84"/>
      <c r="E178" s="84"/>
      <c r="F178" s="84"/>
    </row>
    <row r="179" spans="2:6" ht="12.75" customHeight="1" x14ac:dyDescent="0.2">
      <c r="B179" s="84"/>
      <c r="E179" s="84"/>
      <c r="F179" s="84"/>
    </row>
    <row r="180" spans="2:6" ht="12.75" customHeight="1" x14ac:dyDescent="0.2">
      <c r="B180" s="84"/>
      <c r="E180" s="84"/>
      <c r="F180" s="84"/>
    </row>
    <row r="181" spans="2:6" ht="12.75" customHeight="1" x14ac:dyDescent="0.2">
      <c r="B181" s="84"/>
      <c r="E181" s="84"/>
      <c r="F181" s="84"/>
    </row>
    <row r="182" spans="2:6" ht="12.75" customHeight="1" x14ac:dyDescent="0.2">
      <c r="B182" s="84"/>
      <c r="E182" s="84"/>
      <c r="F182" s="84"/>
    </row>
    <row r="183" spans="2:6" ht="12.75" customHeight="1" x14ac:dyDescent="0.2">
      <c r="B183" s="84"/>
      <c r="E183" s="84"/>
      <c r="F183" s="84"/>
    </row>
    <row r="184" spans="2:6" ht="12.75" customHeight="1" x14ac:dyDescent="0.2">
      <c r="B184" s="84"/>
      <c r="E184" s="84"/>
      <c r="F184" s="84"/>
    </row>
    <row r="185" spans="2:6" ht="12.75" customHeight="1" x14ac:dyDescent="0.2">
      <c r="B185" s="84"/>
      <c r="E185" s="84"/>
      <c r="F185" s="84"/>
    </row>
    <row r="186" spans="2:6" ht="12.75" customHeight="1" x14ac:dyDescent="0.2">
      <c r="B186" s="84"/>
      <c r="E186" s="84"/>
      <c r="F186" s="84"/>
    </row>
    <row r="187" spans="2:6" ht="12.75" customHeight="1" x14ac:dyDescent="0.2">
      <c r="B187" s="84"/>
      <c r="E187" s="84"/>
      <c r="F187" s="84"/>
    </row>
    <row r="188" spans="2:6" ht="12.75" customHeight="1" x14ac:dyDescent="0.2">
      <c r="B188" s="84"/>
      <c r="E188" s="84"/>
      <c r="F188" s="84"/>
    </row>
    <row r="189" spans="2:6" ht="12.75" customHeight="1" x14ac:dyDescent="0.2">
      <c r="B189" s="84"/>
      <c r="E189" s="84"/>
      <c r="F189" s="84"/>
    </row>
    <row r="190" spans="2:6" ht="12.75" customHeight="1" x14ac:dyDescent="0.2">
      <c r="B190" s="84"/>
      <c r="E190" s="84"/>
      <c r="F190" s="84"/>
    </row>
    <row r="191" spans="2:6" ht="12.75" customHeight="1" x14ac:dyDescent="0.2">
      <c r="B191" s="84"/>
      <c r="E191" s="84"/>
      <c r="F191" s="84"/>
    </row>
    <row r="192" spans="2:6" ht="12.75" customHeight="1" x14ac:dyDescent="0.2">
      <c r="B192" s="84"/>
      <c r="E192" s="84"/>
      <c r="F192" s="84"/>
    </row>
    <row r="193" spans="2:6" ht="12.75" customHeight="1" x14ac:dyDescent="0.2">
      <c r="B193" s="84"/>
      <c r="E193" s="84"/>
      <c r="F193" s="84"/>
    </row>
    <row r="194" spans="2:6" ht="12.75" customHeight="1" x14ac:dyDescent="0.2">
      <c r="B194" s="84"/>
      <c r="E194" s="84"/>
      <c r="F194" s="84"/>
    </row>
    <row r="195" spans="2:6" ht="12.75" customHeight="1" x14ac:dyDescent="0.2">
      <c r="B195" s="84"/>
      <c r="E195" s="84"/>
      <c r="F195" s="84"/>
    </row>
    <row r="196" spans="2:6" ht="12.75" customHeight="1" x14ac:dyDescent="0.2">
      <c r="B196" s="84"/>
      <c r="E196" s="84"/>
      <c r="F196" s="84"/>
    </row>
    <row r="197" spans="2:6" ht="12.75" customHeight="1" x14ac:dyDescent="0.2">
      <c r="B197" s="84"/>
      <c r="E197" s="84"/>
      <c r="F197" s="84"/>
    </row>
    <row r="198" spans="2:6" ht="12.75" customHeight="1" x14ac:dyDescent="0.2">
      <c r="B198" s="84"/>
      <c r="E198" s="84"/>
      <c r="F198" s="84"/>
    </row>
    <row r="199" spans="2:6" ht="12.75" customHeight="1" x14ac:dyDescent="0.2">
      <c r="B199" s="84"/>
      <c r="E199" s="84"/>
      <c r="F199" s="84"/>
    </row>
    <row r="200" spans="2:6" ht="12.75" customHeight="1" x14ac:dyDescent="0.2">
      <c r="B200" s="84"/>
      <c r="E200" s="84"/>
      <c r="F200" s="84"/>
    </row>
    <row r="201" spans="2:6" ht="12.75" customHeight="1" x14ac:dyDescent="0.2">
      <c r="B201" s="84"/>
      <c r="E201" s="84"/>
      <c r="F201" s="84"/>
    </row>
    <row r="202" spans="2:6" ht="12.75" customHeight="1" x14ac:dyDescent="0.2">
      <c r="B202" s="84"/>
      <c r="E202" s="84"/>
      <c r="F202" s="84"/>
    </row>
    <row r="203" spans="2:6" ht="12.75" customHeight="1" x14ac:dyDescent="0.2">
      <c r="B203" s="84"/>
      <c r="E203" s="84"/>
      <c r="F203" s="84"/>
    </row>
    <row r="204" spans="2:6" ht="12.75" customHeight="1" x14ac:dyDescent="0.2">
      <c r="B204" s="84"/>
      <c r="E204" s="84"/>
      <c r="F204" s="84"/>
    </row>
    <row r="205" spans="2:6" ht="12.75" customHeight="1" x14ac:dyDescent="0.2">
      <c r="B205" s="84"/>
      <c r="E205" s="84"/>
      <c r="F205" s="84"/>
    </row>
    <row r="206" spans="2:6" ht="12.75" customHeight="1" x14ac:dyDescent="0.2">
      <c r="B206" s="84"/>
      <c r="E206" s="84"/>
      <c r="F206" s="84"/>
    </row>
    <row r="207" spans="2:6" ht="12.75" customHeight="1" x14ac:dyDescent="0.2">
      <c r="B207" s="84"/>
      <c r="E207" s="84"/>
      <c r="F207" s="84"/>
    </row>
    <row r="208" spans="2:6" ht="12.75" customHeight="1" x14ac:dyDescent="0.2">
      <c r="B208" s="84"/>
      <c r="E208" s="84"/>
      <c r="F208" s="84"/>
    </row>
    <row r="209" spans="2:6" ht="12.75" customHeight="1" x14ac:dyDescent="0.2">
      <c r="B209" s="84"/>
      <c r="E209" s="84"/>
      <c r="F209" s="84"/>
    </row>
    <row r="210" spans="2:6" ht="12.75" customHeight="1" x14ac:dyDescent="0.2">
      <c r="B210" s="84"/>
      <c r="E210" s="84"/>
      <c r="F210" s="84"/>
    </row>
    <row r="211" spans="2:6" ht="12.75" customHeight="1" x14ac:dyDescent="0.2">
      <c r="B211" s="84"/>
      <c r="E211" s="84"/>
      <c r="F211" s="84"/>
    </row>
    <row r="212" spans="2:6" ht="12.75" customHeight="1" x14ac:dyDescent="0.2">
      <c r="B212" s="84"/>
      <c r="E212" s="84"/>
      <c r="F212" s="84"/>
    </row>
    <row r="213" spans="2:6" ht="12.75" customHeight="1" x14ac:dyDescent="0.2">
      <c r="B213" s="84"/>
      <c r="E213" s="84"/>
      <c r="F213" s="84"/>
    </row>
    <row r="214" spans="2:6" ht="12.75" customHeight="1" x14ac:dyDescent="0.2">
      <c r="B214" s="84"/>
      <c r="E214" s="84"/>
      <c r="F214" s="84"/>
    </row>
    <row r="215" spans="2:6" ht="12.75" customHeight="1" x14ac:dyDescent="0.2">
      <c r="B215" s="84"/>
      <c r="E215" s="84"/>
      <c r="F215" s="84"/>
    </row>
    <row r="216" spans="2:6" ht="12.75" customHeight="1" x14ac:dyDescent="0.2">
      <c r="B216" s="84"/>
      <c r="E216" s="84"/>
      <c r="F216" s="84"/>
    </row>
    <row r="217" spans="2:6" ht="12.75" customHeight="1" x14ac:dyDescent="0.2">
      <c r="B217" s="84"/>
      <c r="E217" s="84"/>
      <c r="F217" s="84"/>
    </row>
    <row r="218" spans="2:6" ht="12.75" customHeight="1" x14ac:dyDescent="0.2">
      <c r="B218" s="84"/>
      <c r="E218" s="84"/>
      <c r="F218" s="84"/>
    </row>
    <row r="219" spans="2:6" ht="12.75" customHeight="1" x14ac:dyDescent="0.2">
      <c r="B219" s="84"/>
      <c r="E219" s="84"/>
      <c r="F219" s="84"/>
    </row>
    <row r="220" spans="2:6" ht="12.75" customHeight="1" x14ac:dyDescent="0.2">
      <c r="B220" s="84"/>
      <c r="E220" s="84"/>
      <c r="F220" s="84"/>
    </row>
    <row r="221" spans="2:6" ht="12.75" customHeight="1" x14ac:dyDescent="0.2">
      <c r="B221" s="84"/>
      <c r="E221" s="84"/>
      <c r="F221" s="84"/>
    </row>
    <row r="222" spans="2:6" ht="12.75" customHeight="1" x14ac:dyDescent="0.2">
      <c r="B222" s="84"/>
      <c r="E222" s="84"/>
      <c r="F222" s="84"/>
    </row>
    <row r="223" spans="2:6" ht="12.75" customHeight="1" x14ac:dyDescent="0.2">
      <c r="B223" s="84"/>
      <c r="E223" s="84"/>
      <c r="F223" s="84"/>
    </row>
    <row r="224" spans="2:6" ht="12.75" customHeight="1" x14ac:dyDescent="0.2">
      <c r="B224" s="84"/>
      <c r="E224" s="84"/>
      <c r="F224" s="84"/>
    </row>
    <row r="225" spans="2:6" ht="12.75" customHeight="1" x14ac:dyDescent="0.2">
      <c r="B225" s="84"/>
      <c r="E225" s="84"/>
      <c r="F225" s="84"/>
    </row>
    <row r="226" spans="2:6" ht="12.75" customHeight="1" x14ac:dyDescent="0.2">
      <c r="B226" s="84"/>
      <c r="E226" s="84"/>
      <c r="F226" s="84"/>
    </row>
    <row r="227" spans="2:6" ht="12.75" customHeight="1" x14ac:dyDescent="0.2">
      <c r="B227" s="84"/>
      <c r="E227" s="84"/>
      <c r="F227" s="84"/>
    </row>
    <row r="228" spans="2:6" ht="12.75" customHeight="1" x14ac:dyDescent="0.2">
      <c r="B228" s="84"/>
      <c r="E228" s="84"/>
      <c r="F228" s="84"/>
    </row>
    <row r="229" spans="2:6" ht="12.75" customHeight="1" x14ac:dyDescent="0.2">
      <c r="B229" s="84"/>
      <c r="E229" s="84"/>
      <c r="F229" s="84"/>
    </row>
    <row r="230" spans="2:6" ht="12.75" customHeight="1" x14ac:dyDescent="0.2">
      <c r="B230" s="84"/>
      <c r="E230" s="84"/>
      <c r="F230" s="84"/>
    </row>
    <row r="231" spans="2:6" ht="12.75" customHeight="1" x14ac:dyDescent="0.2">
      <c r="B231" s="84"/>
      <c r="E231" s="84"/>
      <c r="F231" s="84"/>
    </row>
    <row r="232" spans="2:6" ht="12.75" customHeight="1" x14ac:dyDescent="0.2">
      <c r="B232" s="84"/>
      <c r="E232" s="84"/>
      <c r="F232" s="84"/>
    </row>
    <row r="233" spans="2:6" ht="12.75" customHeight="1" x14ac:dyDescent="0.2">
      <c r="B233" s="84"/>
      <c r="E233" s="84"/>
      <c r="F233" s="84"/>
    </row>
    <row r="234" spans="2:6" ht="12.75" customHeight="1" x14ac:dyDescent="0.2">
      <c r="B234" s="84"/>
      <c r="E234" s="84"/>
      <c r="F234" s="84"/>
    </row>
    <row r="235" spans="2:6" ht="12.75" customHeight="1" x14ac:dyDescent="0.2">
      <c r="B235" s="84"/>
      <c r="E235" s="84"/>
      <c r="F235" s="84"/>
    </row>
    <row r="236" spans="2:6" ht="12.75" customHeight="1" x14ac:dyDescent="0.2">
      <c r="B236" s="84"/>
      <c r="E236" s="84"/>
      <c r="F236" s="84"/>
    </row>
    <row r="237" spans="2:6" ht="12.75" customHeight="1" x14ac:dyDescent="0.2">
      <c r="B237" s="84"/>
      <c r="E237" s="84"/>
      <c r="F237" s="84"/>
    </row>
    <row r="238" spans="2:6" ht="12.75" customHeight="1" x14ac:dyDescent="0.2">
      <c r="B238" s="84"/>
      <c r="E238" s="84"/>
      <c r="F238" s="84"/>
    </row>
    <row r="239" spans="2:6" ht="12.75" customHeight="1" x14ac:dyDescent="0.2">
      <c r="B239" s="84"/>
      <c r="E239" s="84"/>
      <c r="F239" s="84"/>
    </row>
    <row r="240" spans="2:6" ht="12.75" customHeight="1" x14ac:dyDescent="0.2">
      <c r="B240" s="84"/>
      <c r="E240" s="84"/>
      <c r="F240" s="84"/>
    </row>
    <row r="241" spans="2:6" ht="12.75" customHeight="1" x14ac:dyDescent="0.2">
      <c r="B241" s="84"/>
      <c r="E241" s="84"/>
      <c r="F241" s="84"/>
    </row>
    <row r="242" spans="2:6" ht="12.75" customHeight="1" x14ac:dyDescent="0.2">
      <c r="B242" s="84"/>
      <c r="E242" s="84"/>
      <c r="F242" s="84"/>
    </row>
    <row r="243" spans="2:6" ht="12.75" customHeight="1" x14ac:dyDescent="0.2">
      <c r="B243" s="84"/>
      <c r="E243" s="84"/>
      <c r="F243" s="84"/>
    </row>
    <row r="244" spans="2:6" ht="12.75" customHeight="1" x14ac:dyDescent="0.2">
      <c r="B244" s="84"/>
      <c r="E244" s="84"/>
      <c r="F244" s="84"/>
    </row>
    <row r="245" spans="2:6" ht="12.75" customHeight="1" x14ac:dyDescent="0.2">
      <c r="B245" s="84"/>
      <c r="E245" s="84"/>
      <c r="F245" s="84"/>
    </row>
    <row r="246" spans="2:6" ht="12.75" customHeight="1" x14ac:dyDescent="0.2">
      <c r="B246" s="84"/>
      <c r="E246" s="84"/>
      <c r="F246" s="84"/>
    </row>
    <row r="247" spans="2:6" ht="12.75" customHeight="1" x14ac:dyDescent="0.2">
      <c r="B247" s="84"/>
      <c r="E247" s="84"/>
      <c r="F247" s="84"/>
    </row>
    <row r="248" spans="2:6" ht="12.75" customHeight="1" x14ac:dyDescent="0.2">
      <c r="B248" s="84"/>
      <c r="E248" s="84"/>
      <c r="F248" s="84"/>
    </row>
    <row r="249" spans="2:6" ht="12.75" customHeight="1" x14ac:dyDescent="0.2">
      <c r="B249" s="84"/>
      <c r="E249" s="84"/>
      <c r="F249" s="84"/>
    </row>
    <row r="250" spans="2:6" ht="12.75" customHeight="1" x14ac:dyDescent="0.2">
      <c r="B250" s="84"/>
      <c r="E250" s="84"/>
      <c r="F250" s="84"/>
    </row>
    <row r="251" spans="2:6" ht="12.75" customHeight="1" x14ac:dyDescent="0.2">
      <c r="B251" s="84"/>
      <c r="E251" s="84"/>
      <c r="F251" s="84"/>
    </row>
    <row r="252" spans="2:6" ht="12.75" customHeight="1" x14ac:dyDescent="0.2">
      <c r="B252" s="84"/>
      <c r="E252" s="84"/>
      <c r="F252" s="84"/>
    </row>
    <row r="253" spans="2:6" ht="12.75" customHeight="1" x14ac:dyDescent="0.2">
      <c r="B253" s="84"/>
      <c r="E253" s="84"/>
      <c r="F253" s="84"/>
    </row>
    <row r="254" spans="2:6" ht="12.75" customHeight="1" x14ac:dyDescent="0.2">
      <c r="B254" s="84"/>
      <c r="E254" s="84"/>
      <c r="F254" s="84"/>
    </row>
    <row r="255" spans="2:6" ht="12.75" customHeight="1" x14ac:dyDescent="0.2">
      <c r="B255" s="84"/>
      <c r="E255" s="84"/>
      <c r="F255" s="84"/>
    </row>
    <row r="256" spans="2:6" ht="12.75" customHeight="1" x14ac:dyDescent="0.2">
      <c r="B256" s="84"/>
      <c r="E256" s="84"/>
      <c r="F256" s="84"/>
    </row>
    <row r="257" spans="2:6" ht="12.75" customHeight="1" x14ac:dyDescent="0.2">
      <c r="B257" s="84"/>
      <c r="E257" s="84"/>
      <c r="F257" s="84"/>
    </row>
    <row r="258" spans="2:6" ht="12.75" customHeight="1" x14ac:dyDescent="0.2">
      <c r="B258" s="84"/>
      <c r="E258" s="84"/>
      <c r="F258" s="84"/>
    </row>
    <row r="259" spans="2:6" ht="12.75" customHeight="1" x14ac:dyDescent="0.2">
      <c r="B259" s="84"/>
      <c r="E259" s="84"/>
      <c r="F259" s="84"/>
    </row>
    <row r="260" spans="2:6" ht="12.75" customHeight="1" x14ac:dyDescent="0.2">
      <c r="B260" s="84"/>
      <c r="E260" s="84"/>
      <c r="F260" s="84"/>
    </row>
    <row r="261" spans="2:6" ht="12.75" customHeight="1" x14ac:dyDescent="0.2">
      <c r="B261" s="84"/>
      <c r="E261" s="84"/>
      <c r="F261" s="84"/>
    </row>
    <row r="262" spans="2:6" ht="12.75" customHeight="1" x14ac:dyDescent="0.2">
      <c r="B262" s="84"/>
      <c r="E262" s="84"/>
      <c r="F262" s="84"/>
    </row>
    <row r="263" spans="2:6" ht="12.75" customHeight="1" x14ac:dyDescent="0.2">
      <c r="B263" s="84"/>
      <c r="E263" s="84"/>
      <c r="F263" s="84"/>
    </row>
    <row r="264" spans="2:6" ht="12.75" customHeight="1" x14ac:dyDescent="0.2">
      <c r="B264" s="84"/>
      <c r="E264" s="84"/>
      <c r="F264" s="84"/>
    </row>
    <row r="265" spans="2:6" ht="12.75" customHeight="1" x14ac:dyDescent="0.2">
      <c r="B265" s="84"/>
      <c r="E265" s="84"/>
      <c r="F265" s="84"/>
    </row>
    <row r="266" spans="2:6" ht="12.75" customHeight="1" x14ac:dyDescent="0.2">
      <c r="B266" s="84"/>
      <c r="E266" s="84"/>
      <c r="F266" s="84"/>
    </row>
    <row r="267" spans="2:6" ht="12.75" customHeight="1" x14ac:dyDescent="0.2">
      <c r="B267" s="84"/>
      <c r="E267" s="84"/>
      <c r="F267" s="84"/>
    </row>
    <row r="268" spans="2:6" ht="12.75" customHeight="1" x14ac:dyDescent="0.2">
      <c r="B268" s="84"/>
      <c r="E268" s="84"/>
      <c r="F268" s="84"/>
    </row>
    <row r="269" spans="2:6" ht="12.75" customHeight="1" x14ac:dyDescent="0.2">
      <c r="B269" s="84"/>
      <c r="E269" s="84"/>
      <c r="F269" s="84"/>
    </row>
    <row r="270" spans="2:6" ht="12.75" customHeight="1" x14ac:dyDescent="0.2">
      <c r="B270" s="84"/>
      <c r="E270" s="84"/>
      <c r="F270" s="84"/>
    </row>
    <row r="271" spans="2:6" ht="12.75" customHeight="1" x14ac:dyDescent="0.2">
      <c r="B271" s="84"/>
      <c r="E271" s="84"/>
      <c r="F271" s="84"/>
    </row>
    <row r="272" spans="2:6" ht="12.75" customHeight="1" x14ac:dyDescent="0.2">
      <c r="B272" s="84"/>
      <c r="E272" s="84"/>
      <c r="F272" s="84"/>
    </row>
    <row r="273" spans="2:6" ht="12.75" customHeight="1" x14ac:dyDescent="0.2">
      <c r="B273" s="84"/>
      <c r="E273" s="84"/>
      <c r="F273" s="84"/>
    </row>
    <row r="274" spans="2:6" ht="12.75" customHeight="1" x14ac:dyDescent="0.2">
      <c r="B274" s="84"/>
      <c r="E274" s="84"/>
      <c r="F274" s="84"/>
    </row>
    <row r="275" spans="2:6" ht="12.75" customHeight="1" x14ac:dyDescent="0.2">
      <c r="B275" s="84"/>
      <c r="E275" s="84"/>
      <c r="F275" s="84"/>
    </row>
    <row r="276" spans="2:6" ht="12.75" customHeight="1" x14ac:dyDescent="0.2">
      <c r="B276" s="84"/>
      <c r="E276" s="84"/>
      <c r="F276" s="84"/>
    </row>
    <row r="277" spans="2:6" ht="12.75" customHeight="1" x14ac:dyDescent="0.2">
      <c r="B277" s="84"/>
      <c r="E277" s="84"/>
      <c r="F277" s="84"/>
    </row>
    <row r="278" spans="2:6" ht="12.75" customHeight="1" x14ac:dyDescent="0.2">
      <c r="B278" s="84"/>
      <c r="E278" s="84"/>
      <c r="F278" s="84"/>
    </row>
    <row r="279" spans="2:6" ht="12.75" customHeight="1" x14ac:dyDescent="0.2">
      <c r="B279" s="84"/>
      <c r="E279" s="84"/>
      <c r="F279" s="84"/>
    </row>
    <row r="280" spans="2:6" ht="12.75" customHeight="1" x14ac:dyDescent="0.2">
      <c r="B280" s="84"/>
      <c r="E280" s="84"/>
      <c r="F280" s="84"/>
    </row>
    <row r="281" spans="2:6" ht="12.75" customHeight="1" x14ac:dyDescent="0.2">
      <c r="B281" s="84"/>
      <c r="E281" s="84"/>
      <c r="F281" s="84"/>
    </row>
    <row r="282" spans="2:6" ht="12.75" customHeight="1" x14ac:dyDescent="0.2">
      <c r="B282" s="84"/>
      <c r="E282" s="84"/>
      <c r="F282" s="84"/>
    </row>
    <row r="283" spans="2:6" ht="12.75" customHeight="1" x14ac:dyDescent="0.2">
      <c r="B283" s="84"/>
      <c r="E283" s="84"/>
      <c r="F283" s="84"/>
    </row>
    <row r="284" spans="2:6" ht="12.75" customHeight="1" x14ac:dyDescent="0.2">
      <c r="B284" s="84"/>
      <c r="E284" s="84"/>
      <c r="F284" s="84"/>
    </row>
    <row r="285" spans="2:6" ht="12.75" customHeight="1" x14ac:dyDescent="0.2">
      <c r="B285" s="84"/>
      <c r="E285" s="84"/>
      <c r="F285" s="84"/>
    </row>
    <row r="286" spans="2:6" ht="12.75" customHeight="1" x14ac:dyDescent="0.2">
      <c r="B286" s="84"/>
      <c r="E286" s="84"/>
      <c r="F286" s="84"/>
    </row>
    <row r="287" spans="2:6" ht="12.75" customHeight="1" x14ac:dyDescent="0.2">
      <c r="B287" s="84"/>
      <c r="E287" s="84"/>
      <c r="F287" s="84"/>
    </row>
    <row r="288" spans="2:6" ht="12.75" customHeight="1" x14ac:dyDescent="0.2">
      <c r="B288" s="84"/>
      <c r="E288" s="84"/>
      <c r="F288" s="84"/>
    </row>
    <row r="289" spans="2:6" ht="12.75" customHeight="1" x14ac:dyDescent="0.2">
      <c r="B289" s="84"/>
      <c r="E289" s="84"/>
      <c r="F289" s="84"/>
    </row>
    <row r="290" spans="2:6" ht="12.75" customHeight="1" x14ac:dyDescent="0.2">
      <c r="B290" s="84"/>
      <c r="E290" s="84"/>
      <c r="F290" s="84"/>
    </row>
    <row r="291" spans="2:6" ht="12.75" customHeight="1" x14ac:dyDescent="0.2">
      <c r="B291" s="84"/>
      <c r="E291" s="84"/>
      <c r="F291" s="84"/>
    </row>
    <row r="292" spans="2:6" ht="12.75" customHeight="1" x14ac:dyDescent="0.2">
      <c r="B292" s="84"/>
      <c r="E292" s="84"/>
      <c r="F292" s="84"/>
    </row>
    <row r="293" spans="2:6" ht="12.75" customHeight="1" x14ac:dyDescent="0.2">
      <c r="B293" s="84"/>
      <c r="E293" s="84"/>
      <c r="F293" s="84"/>
    </row>
    <row r="294" spans="2:6" ht="12.75" customHeight="1" x14ac:dyDescent="0.2">
      <c r="B294" s="84"/>
      <c r="E294" s="84"/>
      <c r="F294" s="84"/>
    </row>
    <row r="295" spans="2:6" ht="12.75" customHeight="1" x14ac:dyDescent="0.2">
      <c r="B295" s="84"/>
      <c r="E295" s="84"/>
      <c r="F295" s="84"/>
    </row>
    <row r="296" spans="2:6" ht="12.75" customHeight="1" x14ac:dyDescent="0.2">
      <c r="B296" s="84"/>
      <c r="E296" s="84"/>
      <c r="F296" s="84"/>
    </row>
    <row r="297" spans="2:6" ht="12.75" customHeight="1" x14ac:dyDescent="0.2">
      <c r="B297" s="84"/>
      <c r="E297" s="84"/>
      <c r="F297" s="84"/>
    </row>
    <row r="298" spans="2:6" ht="12.75" customHeight="1" x14ac:dyDescent="0.2">
      <c r="B298" s="84"/>
      <c r="E298" s="84"/>
      <c r="F298" s="84"/>
    </row>
    <row r="299" spans="2:6" ht="12.75" customHeight="1" x14ac:dyDescent="0.2">
      <c r="B299" s="84"/>
      <c r="E299" s="84"/>
      <c r="F299" s="84"/>
    </row>
    <row r="300" spans="2:6" ht="12.75" customHeight="1" x14ac:dyDescent="0.2">
      <c r="B300" s="84"/>
      <c r="E300" s="84"/>
      <c r="F300" s="84"/>
    </row>
    <row r="301" spans="2:6" ht="12.75" customHeight="1" x14ac:dyDescent="0.2">
      <c r="B301" s="84"/>
      <c r="E301" s="84"/>
      <c r="F301" s="84"/>
    </row>
    <row r="302" spans="2:6" ht="12.75" customHeight="1" x14ac:dyDescent="0.2">
      <c r="B302" s="84"/>
      <c r="E302" s="84"/>
      <c r="F302" s="84"/>
    </row>
    <row r="303" spans="2:6" ht="12.75" customHeight="1" x14ac:dyDescent="0.2">
      <c r="B303" s="84"/>
      <c r="E303" s="84"/>
      <c r="F303" s="84"/>
    </row>
    <row r="304" spans="2:6" ht="12.75" customHeight="1" x14ac:dyDescent="0.2">
      <c r="B304" s="84"/>
      <c r="E304" s="84"/>
      <c r="F304" s="84"/>
    </row>
    <row r="305" spans="2:6" ht="12.75" customHeight="1" x14ac:dyDescent="0.2">
      <c r="B305" s="84"/>
      <c r="E305" s="84"/>
      <c r="F305" s="84"/>
    </row>
    <row r="306" spans="2:6" ht="12.75" customHeight="1" x14ac:dyDescent="0.2">
      <c r="B306" s="84"/>
      <c r="E306" s="84"/>
      <c r="F306" s="84"/>
    </row>
    <row r="307" spans="2:6" ht="12.75" customHeight="1" x14ac:dyDescent="0.2">
      <c r="B307" s="84"/>
      <c r="E307" s="84"/>
      <c r="F307" s="84"/>
    </row>
    <row r="308" spans="2:6" ht="12.75" customHeight="1" x14ac:dyDescent="0.2">
      <c r="B308" s="84"/>
      <c r="E308" s="84"/>
      <c r="F308" s="84"/>
    </row>
    <row r="309" spans="2:6" ht="12.75" customHeight="1" x14ac:dyDescent="0.2">
      <c r="B309" s="84"/>
      <c r="E309" s="84"/>
      <c r="F309" s="84"/>
    </row>
    <row r="310" spans="2:6" ht="12.75" customHeight="1" x14ac:dyDescent="0.2">
      <c r="B310" s="84"/>
      <c r="E310" s="84"/>
      <c r="F310" s="84"/>
    </row>
    <row r="311" spans="2:6" ht="12.75" customHeight="1" x14ac:dyDescent="0.2">
      <c r="B311" s="84"/>
      <c r="E311" s="84"/>
      <c r="F311" s="84"/>
    </row>
    <row r="312" spans="2:6" ht="12.75" customHeight="1" x14ac:dyDescent="0.2">
      <c r="B312" s="84"/>
      <c r="E312" s="84"/>
      <c r="F312" s="84"/>
    </row>
    <row r="313" spans="2:6" ht="12.75" customHeight="1" x14ac:dyDescent="0.2">
      <c r="B313" s="84"/>
      <c r="E313" s="84"/>
      <c r="F313" s="84"/>
    </row>
    <row r="314" spans="2:6" ht="12.75" customHeight="1" x14ac:dyDescent="0.2">
      <c r="B314" s="84"/>
      <c r="E314" s="84"/>
      <c r="F314" s="84"/>
    </row>
    <row r="315" spans="2:6" ht="12.75" customHeight="1" x14ac:dyDescent="0.2">
      <c r="B315" s="84"/>
      <c r="E315" s="84"/>
      <c r="F315" s="84"/>
    </row>
    <row r="316" spans="2:6" ht="12.75" customHeight="1" x14ac:dyDescent="0.2">
      <c r="B316" s="84"/>
      <c r="E316" s="84"/>
      <c r="F316" s="84"/>
    </row>
    <row r="317" spans="2:6" ht="12.75" customHeight="1" x14ac:dyDescent="0.2">
      <c r="B317" s="84"/>
      <c r="E317" s="84"/>
      <c r="F317" s="84"/>
    </row>
    <row r="318" spans="2:6" ht="12.75" customHeight="1" x14ac:dyDescent="0.2">
      <c r="B318" s="84"/>
      <c r="E318" s="84"/>
      <c r="F318" s="84"/>
    </row>
    <row r="319" spans="2:6" ht="12.75" customHeight="1" x14ac:dyDescent="0.2">
      <c r="B319" s="84"/>
      <c r="E319" s="84"/>
      <c r="F319" s="84"/>
    </row>
    <row r="320" spans="2:6" ht="12.75" customHeight="1" x14ac:dyDescent="0.2">
      <c r="B320" s="84"/>
      <c r="E320" s="84"/>
      <c r="F320" s="84"/>
    </row>
    <row r="321" spans="2:6" ht="12.75" customHeight="1" x14ac:dyDescent="0.2">
      <c r="B321" s="84"/>
      <c r="E321" s="84"/>
      <c r="F321" s="84"/>
    </row>
    <row r="322" spans="2:6" ht="12.75" customHeight="1" x14ac:dyDescent="0.2">
      <c r="B322" s="84"/>
      <c r="E322" s="84"/>
      <c r="F322" s="84"/>
    </row>
    <row r="323" spans="2:6" ht="12.75" customHeight="1" x14ac:dyDescent="0.2">
      <c r="B323" s="84"/>
      <c r="E323" s="84"/>
      <c r="F323" s="84"/>
    </row>
    <row r="324" spans="2:6" ht="12.75" customHeight="1" x14ac:dyDescent="0.2">
      <c r="B324" s="84"/>
      <c r="E324" s="84"/>
      <c r="F324" s="84"/>
    </row>
    <row r="325" spans="2:6" ht="12.75" customHeight="1" x14ac:dyDescent="0.2">
      <c r="B325" s="84"/>
      <c r="E325" s="84"/>
      <c r="F325" s="84"/>
    </row>
    <row r="326" spans="2:6" ht="12.75" customHeight="1" x14ac:dyDescent="0.2">
      <c r="B326" s="84"/>
      <c r="E326" s="84"/>
      <c r="F326" s="84"/>
    </row>
    <row r="327" spans="2:6" ht="12.75" customHeight="1" x14ac:dyDescent="0.2">
      <c r="B327" s="84"/>
      <c r="E327" s="84"/>
      <c r="F327" s="84"/>
    </row>
    <row r="328" spans="2:6" ht="12.75" customHeight="1" x14ac:dyDescent="0.2">
      <c r="B328" s="84"/>
      <c r="E328" s="84"/>
      <c r="F328" s="84"/>
    </row>
    <row r="329" spans="2:6" ht="12.75" customHeight="1" x14ac:dyDescent="0.2">
      <c r="B329" s="84"/>
      <c r="E329" s="84"/>
      <c r="F329" s="84"/>
    </row>
    <row r="330" spans="2:6" ht="12.75" customHeight="1" x14ac:dyDescent="0.2">
      <c r="B330" s="84"/>
      <c r="E330" s="84"/>
      <c r="F330" s="84"/>
    </row>
    <row r="331" spans="2:6" ht="12.75" customHeight="1" x14ac:dyDescent="0.2">
      <c r="B331" s="84"/>
      <c r="E331" s="84"/>
      <c r="F331" s="84"/>
    </row>
    <row r="332" spans="2:6" ht="12.75" customHeight="1" x14ac:dyDescent="0.2">
      <c r="B332" s="84"/>
      <c r="E332" s="84"/>
      <c r="F332" s="84"/>
    </row>
    <row r="333" spans="2:6" ht="12.75" customHeight="1" x14ac:dyDescent="0.2">
      <c r="B333" s="84"/>
      <c r="E333" s="84"/>
      <c r="F333" s="84"/>
    </row>
    <row r="334" spans="2:6" ht="12.75" customHeight="1" x14ac:dyDescent="0.2">
      <c r="B334" s="84"/>
      <c r="E334" s="84"/>
      <c r="F334" s="84"/>
    </row>
    <row r="335" spans="2:6" ht="12.75" customHeight="1" x14ac:dyDescent="0.2">
      <c r="B335" s="84"/>
      <c r="E335" s="84"/>
      <c r="F335" s="84"/>
    </row>
    <row r="336" spans="2:6" ht="12.75" customHeight="1" x14ac:dyDescent="0.2">
      <c r="B336" s="84"/>
      <c r="E336" s="84"/>
      <c r="F336" s="84"/>
    </row>
    <row r="337" spans="2:6" ht="12.75" customHeight="1" x14ac:dyDescent="0.2">
      <c r="B337" s="84"/>
      <c r="E337" s="84"/>
      <c r="F337" s="84"/>
    </row>
    <row r="338" spans="2:6" ht="12.75" customHeight="1" x14ac:dyDescent="0.2">
      <c r="B338" s="84"/>
      <c r="E338" s="84"/>
      <c r="F338" s="84"/>
    </row>
    <row r="339" spans="2:6" ht="12.75" customHeight="1" x14ac:dyDescent="0.2">
      <c r="B339" s="84"/>
      <c r="E339" s="84"/>
      <c r="F339" s="84"/>
    </row>
    <row r="340" spans="2:6" ht="12.75" customHeight="1" x14ac:dyDescent="0.2">
      <c r="B340" s="84"/>
      <c r="E340" s="84"/>
      <c r="F340" s="84"/>
    </row>
    <row r="341" spans="2:6" ht="12.75" customHeight="1" x14ac:dyDescent="0.2">
      <c r="B341" s="84"/>
      <c r="E341" s="84"/>
      <c r="F341" s="84"/>
    </row>
    <row r="342" spans="2:6" ht="12.75" customHeight="1" x14ac:dyDescent="0.2">
      <c r="B342" s="84"/>
      <c r="E342" s="84"/>
      <c r="F342" s="84"/>
    </row>
    <row r="343" spans="2:6" ht="12.75" customHeight="1" x14ac:dyDescent="0.2">
      <c r="B343" s="84"/>
      <c r="E343" s="84"/>
      <c r="F343" s="84"/>
    </row>
    <row r="344" spans="2:6" ht="12.75" customHeight="1" x14ac:dyDescent="0.2">
      <c r="B344" s="84"/>
      <c r="E344" s="84"/>
      <c r="F344" s="84"/>
    </row>
    <row r="345" spans="2:6" ht="12.75" customHeight="1" x14ac:dyDescent="0.2">
      <c r="B345" s="84"/>
      <c r="E345" s="84"/>
      <c r="F345" s="84"/>
    </row>
    <row r="346" spans="2:6" ht="12.75" customHeight="1" x14ac:dyDescent="0.2">
      <c r="B346" s="84"/>
      <c r="E346" s="84"/>
      <c r="F346" s="84"/>
    </row>
    <row r="347" spans="2:6" ht="12.75" customHeight="1" x14ac:dyDescent="0.2">
      <c r="B347" s="84"/>
      <c r="E347" s="84"/>
      <c r="F347" s="84"/>
    </row>
    <row r="348" spans="2:6" ht="12.75" customHeight="1" x14ac:dyDescent="0.2">
      <c r="B348" s="84"/>
      <c r="E348" s="84"/>
      <c r="F348" s="84"/>
    </row>
    <row r="349" spans="2:6" ht="12.75" customHeight="1" x14ac:dyDescent="0.2">
      <c r="B349" s="84"/>
      <c r="E349" s="84"/>
      <c r="F349" s="84"/>
    </row>
    <row r="350" spans="2:6" ht="12.75" customHeight="1" x14ac:dyDescent="0.2">
      <c r="B350" s="84"/>
      <c r="E350" s="84"/>
      <c r="F350" s="84"/>
    </row>
    <row r="351" spans="2:6" ht="12.75" customHeight="1" x14ac:dyDescent="0.2">
      <c r="B351" s="84"/>
      <c r="E351" s="84"/>
      <c r="F351" s="84"/>
    </row>
    <row r="352" spans="2:6" ht="12.75" customHeight="1" x14ac:dyDescent="0.2">
      <c r="B352" s="84"/>
      <c r="E352" s="84"/>
      <c r="F352" s="84"/>
    </row>
    <row r="353" spans="2:6" ht="12.75" customHeight="1" x14ac:dyDescent="0.2">
      <c r="B353" s="84"/>
      <c r="E353" s="84"/>
      <c r="F353" s="84"/>
    </row>
    <row r="354" spans="2:6" ht="12.75" customHeight="1" x14ac:dyDescent="0.2">
      <c r="B354" s="84"/>
      <c r="E354" s="84"/>
      <c r="F354" s="84"/>
    </row>
    <row r="355" spans="2:6" ht="12.75" customHeight="1" x14ac:dyDescent="0.2">
      <c r="B355" s="84"/>
      <c r="E355" s="84"/>
      <c r="F355" s="84"/>
    </row>
    <row r="356" spans="2:6" ht="12.75" customHeight="1" x14ac:dyDescent="0.2">
      <c r="B356" s="84"/>
      <c r="E356" s="84"/>
      <c r="F356" s="84"/>
    </row>
    <row r="357" spans="2:6" ht="12.75" customHeight="1" x14ac:dyDescent="0.2">
      <c r="B357" s="84"/>
      <c r="E357" s="84"/>
      <c r="F357" s="84"/>
    </row>
    <row r="358" spans="2:6" ht="12.75" customHeight="1" x14ac:dyDescent="0.2">
      <c r="B358" s="84"/>
      <c r="E358" s="84"/>
      <c r="F358" s="84"/>
    </row>
    <row r="359" spans="2:6" ht="12.75" customHeight="1" x14ac:dyDescent="0.2">
      <c r="B359" s="84"/>
      <c r="E359" s="84"/>
      <c r="F359" s="84"/>
    </row>
    <row r="360" spans="2:6" ht="12.75" customHeight="1" x14ac:dyDescent="0.2">
      <c r="B360" s="84"/>
      <c r="E360" s="84"/>
      <c r="F360" s="84"/>
    </row>
    <row r="361" spans="2:6" ht="12.75" customHeight="1" x14ac:dyDescent="0.2">
      <c r="B361" s="84"/>
      <c r="E361" s="84"/>
      <c r="F361" s="84"/>
    </row>
    <row r="362" spans="2:6" ht="12.75" customHeight="1" x14ac:dyDescent="0.2">
      <c r="B362" s="84"/>
      <c r="E362" s="84"/>
      <c r="F362" s="84"/>
    </row>
    <row r="363" spans="2:6" ht="12.75" customHeight="1" x14ac:dyDescent="0.2">
      <c r="B363" s="84"/>
      <c r="E363" s="84"/>
      <c r="F363" s="84"/>
    </row>
    <row r="364" spans="2:6" ht="12.75" customHeight="1" x14ac:dyDescent="0.2">
      <c r="B364" s="84"/>
      <c r="E364" s="84"/>
      <c r="F364" s="84"/>
    </row>
    <row r="365" spans="2:6" ht="12.75" customHeight="1" x14ac:dyDescent="0.2">
      <c r="B365" s="84"/>
      <c r="E365" s="84"/>
      <c r="F365" s="84"/>
    </row>
    <row r="366" spans="2:6" ht="12.75" customHeight="1" x14ac:dyDescent="0.2">
      <c r="B366" s="84"/>
      <c r="E366" s="84"/>
      <c r="F366" s="84"/>
    </row>
    <row r="367" spans="2:6" ht="12.75" customHeight="1" x14ac:dyDescent="0.2">
      <c r="B367" s="84"/>
      <c r="E367" s="84"/>
      <c r="F367" s="84"/>
    </row>
    <row r="368" spans="2:6" ht="12.75" customHeight="1" x14ac:dyDescent="0.2">
      <c r="B368" s="84"/>
      <c r="E368" s="84"/>
      <c r="F368" s="84"/>
    </row>
    <row r="369" spans="2:6" ht="12.75" customHeight="1" x14ac:dyDescent="0.2">
      <c r="B369" s="84"/>
      <c r="E369" s="84"/>
      <c r="F369" s="84"/>
    </row>
    <row r="370" spans="2:6" ht="12.75" customHeight="1" x14ac:dyDescent="0.2">
      <c r="B370" s="84"/>
      <c r="E370" s="84"/>
      <c r="F370" s="84"/>
    </row>
    <row r="371" spans="2:6" ht="12.75" customHeight="1" x14ac:dyDescent="0.2">
      <c r="B371" s="84"/>
      <c r="E371" s="84"/>
      <c r="F371" s="84"/>
    </row>
    <row r="372" spans="2:6" ht="12.75" customHeight="1" x14ac:dyDescent="0.2">
      <c r="B372" s="84"/>
      <c r="E372" s="84"/>
      <c r="F372" s="84"/>
    </row>
    <row r="373" spans="2:6" ht="12.75" customHeight="1" x14ac:dyDescent="0.2">
      <c r="B373" s="84"/>
      <c r="E373" s="84"/>
      <c r="F373" s="84"/>
    </row>
    <row r="374" spans="2:6" ht="12.75" customHeight="1" x14ac:dyDescent="0.2">
      <c r="B374" s="84"/>
      <c r="E374" s="84"/>
      <c r="F374" s="84"/>
    </row>
    <row r="375" spans="2:6" ht="12.75" customHeight="1" x14ac:dyDescent="0.2">
      <c r="B375" s="84"/>
      <c r="E375" s="84"/>
      <c r="F375" s="84"/>
    </row>
    <row r="376" spans="2:6" ht="12.75" customHeight="1" x14ac:dyDescent="0.2">
      <c r="B376" s="84"/>
      <c r="E376" s="84"/>
      <c r="F376" s="84"/>
    </row>
    <row r="377" spans="2:6" ht="12.75" customHeight="1" x14ac:dyDescent="0.2">
      <c r="B377" s="84"/>
      <c r="E377" s="84"/>
      <c r="F377" s="84"/>
    </row>
    <row r="378" spans="2:6" ht="12.75" customHeight="1" x14ac:dyDescent="0.2">
      <c r="B378" s="84"/>
      <c r="E378" s="84"/>
      <c r="F378" s="84"/>
    </row>
    <row r="379" spans="2:6" ht="12.75" customHeight="1" x14ac:dyDescent="0.2">
      <c r="B379" s="84"/>
      <c r="E379" s="84"/>
      <c r="F379" s="84"/>
    </row>
    <row r="380" spans="2:6" ht="12.75" customHeight="1" x14ac:dyDescent="0.2">
      <c r="B380" s="84"/>
      <c r="E380" s="84"/>
      <c r="F380" s="84"/>
    </row>
    <row r="381" spans="2:6" ht="12.75" customHeight="1" x14ac:dyDescent="0.2">
      <c r="B381" s="84"/>
      <c r="E381" s="84"/>
      <c r="F381" s="84"/>
    </row>
    <row r="382" spans="2:6" ht="12.75" customHeight="1" x14ac:dyDescent="0.2">
      <c r="B382" s="84"/>
      <c r="E382" s="84"/>
      <c r="F382" s="84"/>
    </row>
    <row r="383" spans="2:6" ht="12.75" customHeight="1" x14ac:dyDescent="0.2">
      <c r="B383" s="84"/>
      <c r="E383" s="84"/>
      <c r="F383" s="84"/>
    </row>
    <row r="384" spans="2:6" ht="12.75" customHeight="1" x14ac:dyDescent="0.2">
      <c r="B384" s="84"/>
      <c r="E384" s="84"/>
      <c r="F384" s="84"/>
    </row>
    <row r="385" spans="2:6" ht="12.75" customHeight="1" x14ac:dyDescent="0.2">
      <c r="B385" s="84"/>
      <c r="E385" s="84"/>
      <c r="F385" s="84"/>
    </row>
    <row r="386" spans="2:6" ht="12.75" customHeight="1" x14ac:dyDescent="0.2">
      <c r="B386" s="84"/>
      <c r="E386" s="84"/>
      <c r="F386" s="84"/>
    </row>
    <row r="387" spans="2:6" ht="12.75" customHeight="1" x14ac:dyDescent="0.2">
      <c r="B387" s="84"/>
      <c r="E387" s="84"/>
      <c r="F387" s="84"/>
    </row>
    <row r="388" spans="2:6" ht="12.75" customHeight="1" x14ac:dyDescent="0.2">
      <c r="B388" s="84"/>
      <c r="E388" s="84"/>
      <c r="F388" s="84"/>
    </row>
    <row r="389" spans="2:6" ht="12.75" customHeight="1" x14ac:dyDescent="0.2">
      <c r="B389" s="84"/>
      <c r="E389" s="84"/>
      <c r="F389" s="84"/>
    </row>
    <row r="390" spans="2:6" ht="12.75" customHeight="1" x14ac:dyDescent="0.2">
      <c r="B390" s="84"/>
      <c r="E390" s="84"/>
      <c r="F390" s="84"/>
    </row>
    <row r="391" spans="2:6" ht="12.75" customHeight="1" x14ac:dyDescent="0.2">
      <c r="B391" s="84"/>
      <c r="E391" s="84"/>
      <c r="F391" s="84"/>
    </row>
    <row r="392" spans="2:6" ht="12.75" customHeight="1" x14ac:dyDescent="0.2">
      <c r="B392" s="84"/>
      <c r="E392" s="84"/>
      <c r="F392" s="84"/>
    </row>
    <row r="393" spans="2:6" ht="12.75" customHeight="1" x14ac:dyDescent="0.2">
      <c r="B393" s="84"/>
      <c r="E393" s="84"/>
      <c r="F393" s="84"/>
    </row>
    <row r="394" spans="2:6" ht="12.75" customHeight="1" x14ac:dyDescent="0.2">
      <c r="B394" s="84"/>
      <c r="E394" s="84"/>
      <c r="F394" s="84"/>
    </row>
    <row r="395" spans="2:6" ht="12.75" customHeight="1" x14ac:dyDescent="0.2">
      <c r="B395" s="84"/>
      <c r="E395" s="84"/>
      <c r="F395" s="84"/>
    </row>
    <row r="396" spans="2:6" ht="12.75" customHeight="1" x14ac:dyDescent="0.2">
      <c r="B396" s="84"/>
      <c r="E396" s="84"/>
      <c r="F396" s="84"/>
    </row>
    <row r="397" spans="2:6" ht="12.75" customHeight="1" x14ac:dyDescent="0.2">
      <c r="B397" s="84"/>
      <c r="E397" s="84"/>
      <c r="F397" s="84"/>
    </row>
    <row r="398" spans="2:6" ht="12.75" customHeight="1" x14ac:dyDescent="0.2">
      <c r="B398" s="84"/>
      <c r="E398" s="84"/>
      <c r="F398" s="84"/>
    </row>
    <row r="399" spans="2:6" ht="12.75" customHeight="1" x14ac:dyDescent="0.2">
      <c r="B399" s="84"/>
      <c r="E399" s="84"/>
      <c r="F399" s="84"/>
    </row>
    <row r="400" spans="2:6" ht="12.75" customHeight="1" x14ac:dyDescent="0.2">
      <c r="B400" s="84"/>
      <c r="E400" s="84"/>
      <c r="F400" s="84"/>
    </row>
    <row r="401" spans="2:6" ht="12.75" customHeight="1" x14ac:dyDescent="0.2">
      <c r="B401" s="84"/>
      <c r="E401" s="84"/>
      <c r="F401" s="84"/>
    </row>
    <row r="402" spans="2:6" ht="12.75" customHeight="1" x14ac:dyDescent="0.2">
      <c r="B402" s="84"/>
      <c r="E402" s="84"/>
      <c r="F402" s="84"/>
    </row>
    <row r="403" spans="2:6" ht="12.75" customHeight="1" x14ac:dyDescent="0.2">
      <c r="B403" s="84"/>
      <c r="E403" s="84"/>
      <c r="F403" s="84"/>
    </row>
    <row r="404" spans="2:6" ht="12.75" customHeight="1" x14ac:dyDescent="0.2">
      <c r="B404" s="84"/>
      <c r="E404" s="84"/>
      <c r="F404" s="84"/>
    </row>
    <row r="405" spans="2:6" ht="12.75" customHeight="1" x14ac:dyDescent="0.2">
      <c r="B405" s="84"/>
      <c r="E405" s="84"/>
      <c r="F405" s="84"/>
    </row>
    <row r="406" spans="2:6" ht="12.75" customHeight="1" x14ac:dyDescent="0.2">
      <c r="B406" s="84"/>
      <c r="E406" s="84"/>
      <c r="F406" s="84"/>
    </row>
    <row r="407" spans="2:6" ht="12.75" customHeight="1" x14ac:dyDescent="0.2">
      <c r="B407" s="84"/>
      <c r="E407" s="84"/>
      <c r="F407" s="84"/>
    </row>
    <row r="408" spans="2:6" ht="12.75" customHeight="1" x14ac:dyDescent="0.2">
      <c r="B408" s="84"/>
      <c r="E408" s="84"/>
      <c r="F408" s="84"/>
    </row>
    <row r="409" spans="2:6" ht="12.75" customHeight="1" x14ac:dyDescent="0.2">
      <c r="B409" s="84"/>
      <c r="E409" s="84"/>
      <c r="F409" s="84"/>
    </row>
    <row r="410" spans="2:6" ht="12.75" customHeight="1" x14ac:dyDescent="0.2">
      <c r="B410" s="84"/>
      <c r="E410" s="84"/>
      <c r="F410" s="84"/>
    </row>
    <row r="411" spans="2:6" ht="12.75" customHeight="1" x14ac:dyDescent="0.2">
      <c r="B411" s="84"/>
      <c r="E411" s="84"/>
      <c r="F411" s="84"/>
    </row>
    <row r="412" spans="2:6" ht="12.75" customHeight="1" x14ac:dyDescent="0.2">
      <c r="B412" s="84"/>
      <c r="E412" s="84"/>
      <c r="F412" s="84"/>
    </row>
    <row r="413" spans="2:6" ht="12.75" customHeight="1" x14ac:dyDescent="0.2">
      <c r="B413" s="84"/>
      <c r="E413" s="84"/>
      <c r="F413" s="84"/>
    </row>
    <row r="414" spans="2:6" ht="12.75" customHeight="1" x14ac:dyDescent="0.2">
      <c r="B414" s="84"/>
      <c r="E414" s="84"/>
      <c r="F414" s="84"/>
    </row>
    <row r="415" spans="2:6" ht="12.75" customHeight="1" x14ac:dyDescent="0.2">
      <c r="B415" s="84"/>
      <c r="E415" s="84"/>
      <c r="F415" s="84"/>
    </row>
    <row r="416" spans="2:6" ht="12.75" customHeight="1" x14ac:dyDescent="0.2">
      <c r="B416" s="84"/>
      <c r="E416" s="84"/>
      <c r="F416" s="84"/>
    </row>
    <row r="417" spans="2:6" ht="12.75" customHeight="1" x14ac:dyDescent="0.2">
      <c r="B417" s="84"/>
      <c r="E417" s="84"/>
      <c r="F417" s="84"/>
    </row>
    <row r="418" spans="2:6" ht="12.75" customHeight="1" x14ac:dyDescent="0.2">
      <c r="B418" s="84"/>
      <c r="E418" s="84"/>
      <c r="F418" s="84"/>
    </row>
    <row r="419" spans="2:6" ht="12.75" customHeight="1" x14ac:dyDescent="0.2">
      <c r="B419" s="84"/>
      <c r="E419" s="84"/>
      <c r="F419" s="84"/>
    </row>
    <row r="420" spans="2:6" ht="12.75" customHeight="1" x14ac:dyDescent="0.2">
      <c r="B420" s="84"/>
      <c r="E420" s="84"/>
      <c r="F420" s="84"/>
    </row>
    <row r="421" spans="2:6" ht="12.75" customHeight="1" x14ac:dyDescent="0.2">
      <c r="B421" s="84"/>
      <c r="E421" s="84"/>
      <c r="F421" s="84"/>
    </row>
    <row r="422" spans="2:6" ht="12.75" customHeight="1" x14ac:dyDescent="0.2">
      <c r="B422" s="84"/>
      <c r="E422" s="84"/>
      <c r="F422" s="84"/>
    </row>
    <row r="423" spans="2:6" ht="12.75" customHeight="1" x14ac:dyDescent="0.2">
      <c r="B423" s="84"/>
      <c r="E423" s="84"/>
      <c r="F423" s="84"/>
    </row>
    <row r="424" spans="2:6" ht="12.75" customHeight="1" x14ac:dyDescent="0.2">
      <c r="B424" s="84"/>
      <c r="E424" s="84"/>
      <c r="F424" s="84"/>
    </row>
    <row r="425" spans="2:6" ht="12.75" customHeight="1" x14ac:dyDescent="0.2">
      <c r="B425" s="84"/>
      <c r="E425" s="84"/>
      <c r="F425" s="84"/>
    </row>
    <row r="426" spans="2:6" ht="12.75" customHeight="1" x14ac:dyDescent="0.2">
      <c r="B426" s="84"/>
      <c r="E426" s="84"/>
      <c r="F426" s="84"/>
    </row>
    <row r="427" spans="2:6" ht="12.75" customHeight="1" x14ac:dyDescent="0.2">
      <c r="B427" s="84"/>
      <c r="E427" s="84"/>
      <c r="F427" s="84"/>
    </row>
    <row r="428" spans="2:6" ht="12.75" customHeight="1" x14ac:dyDescent="0.2">
      <c r="B428" s="84"/>
      <c r="E428" s="84"/>
      <c r="F428" s="84"/>
    </row>
    <row r="429" spans="2:6" ht="12.75" customHeight="1" x14ac:dyDescent="0.2">
      <c r="B429" s="84"/>
      <c r="E429" s="84"/>
      <c r="F429" s="84"/>
    </row>
    <row r="430" spans="2:6" ht="12.75" customHeight="1" x14ac:dyDescent="0.2">
      <c r="B430" s="84"/>
      <c r="E430" s="84"/>
      <c r="F430" s="84"/>
    </row>
    <row r="431" spans="2:6" ht="12.75" customHeight="1" x14ac:dyDescent="0.2">
      <c r="B431" s="84"/>
      <c r="E431" s="84"/>
      <c r="F431" s="84"/>
    </row>
    <row r="432" spans="2:6" ht="12.75" customHeight="1" x14ac:dyDescent="0.2">
      <c r="B432" s="84"/>
      <c r="E432" s="84"/>
      <c r="F432" s="84"/>
    </row>
    <row r="433" spans="2:6" ht="12.75" customHeight="1" x14ac:dyDescent="0.2">
      <c r="B433" s="84"/>
      <c r="E433" s="84"/>
      <c r="F433" s="84"/>
    </row>
    <row r="434" spans="2:6" ht="12.75" customHeight="1" x14ac:dyDescent="0.2">
      <c r="B434" s="84"/>
      <c r="E434" s="84"/>
      <c r="F434" s="84"/>
    </row>
    <row r="435" spans="2:6" ht="12.75" customHeight="1" x14ac:dyDescent="0.2">
      <c r="B435" s="84"/>
      <c r="E435" s="84"/>
      <c r="F435" s="84"/>
    </row>
    <row r="436" spans="2:6" ht="12.75" customHeight="1" x14ac:dyDescent="0.2">
      <c r="B436" s="84"/>
      <c r="E436" s="84"/>
      <c r="F436" s="84"/>
    </row>
    <row r="437" spans="2:6" ht="12.75" customHeight="1" x14ac:dyDescent="0.2">
      <c r="B437" s="84"/>
      <c r="E437" s="84"/>
      <c r="F437" s="84"/>
    </row>
    <row r="438" spans="2:6" ht="12.75" customHeight="1" x14ac:dyDescent="0.2">
      <c r="B438" s="84"/>
      <c r="E438" s="84"/>
      <c r="F438" s="84"/>
    </row>
    <row r="439" spans="2:6" ht="12.75" customHeight="1" x14ac:dyDescent="0.2">
      <c r="B439" s="84"/>
      <c r="E439" s="84"/>
      <c r="F439" s="84"/>
    </row>
    <row r="440" spans="2:6" ht="12.75" customHeight="1" x14ac:dyDescent="0.2">
      <c r="B440" s="84"/>
      <c r="E440" s="84"/>
      <c r="F440" s="84"/>
    </row>
    <row r="441" spans="2:6" ht="12.75" customHeight="1" x14ac:dyDescent="0.2">
      <c r="B441" s="84"/>
      <c r="E441" s="84"/>
      <c r="F441" s="84"/>
    </row>
    <row r="442" spans="2:6" ht="12.75" customHeight="1" x14ac:dyDescent="0.2">
      <c r="B442" s="84"/>
      <c r="E442" s="84"/>
      <c r="F442" s="84"/>
    </row>
    <row r="443" spans="2:6" ht="12.75" customHeight="1" x14ac:dyDescent="0.2">
      <c r="B443" s="84"/>
      <c r="E443" s="84"/>
      <c r="F443" s="84"/>
    </row>
    <row r="444" spans="2:6" ht="12.75" customHeight="1" x14ac:dyDescent="0.2">
      <c r="B444" s="84"/>
      <c r="E444" s="84"/>
      <c r="F444" s="84"/>
    </row>
    <row r="445" spans="2:6" ht="12.75" customHeight="1" x14ac:dyDescent="0.2">
      <c r="B445" s="84"/>
      <c r="E445" s="84"/>
      <c r="F445" s="84"/>
    </row>
    <row r="446" spans="2:6" ht="12.75" customHeight="1" x14ac:dyDescent="0.2">
      <c r="B446" s="84"/>
      <c r="E446" s="84"/>
      <c r="F446" s="84"/>
    </row>
    <row r="447" spans="2:6" ht="12.75" customHeight="1" x14ac:dyDescent="0.2">
      <c r="B447" s="84"/>
      <c r="E447" s="84"/>
      <c r="F447" s="84"/>
    </row>
    <row r="448" spans="2:6" ht="12.75" customHeight="1" x14ac:dyDescent="0.2">
      <c r="B448" s="84"/>
      <c r="E448" s="84"/>
      <c r="F448" s="84"/>
    </row>
    <row r="449" spans="2:6" ht="12.75" customHeight="1" x14ac:dyDescent="0.2">
      <c r="B449" s="84"/>
      <c r="E449" s="84"/>
      <c r="F449" s="84"/>
    </row>
    <row r="450" spans="2:6" ht="12.75" customHeight="1" x14ac:dyDescent="0.2">
      <c r="B450" s="84"/>
      <c r="E450" s="84"/>
      <c r="F450" s="84"/>
    </row>
    <row r="451" spans="2:6" ht="12.75" customHeight="1" x14ac:dyDescent="0.2">
      <c r="B451" s="84"/>
      <c r="E451" s="84"/>
      <c r="F451" s="84"/>
    </row>
    <row r="452" spans="2:6" ht="12.75" customHeight="1" x14ac:dyDescent="0.2">
      <c r="B452" s="84"/>
      <c r="E452" s="84"/>
      <c r="F452" s="84"/>
    </row>
    <row r="453" spans="2:6" ht="12.75" customHeight="1" x14ac:dyDescent="0.2">
      <c r="B453" s="84"/>
      <c r="E453" s="84"/>
      <c r="F453" s="84"/>
    </row>
    <row r="454" spans="2:6" ht="12.75" customHeight="1" x14ac:dyDescent="0.2">
      <c r="B454" s="84"/>
      <c r="E454" s="84"/>
      <c r="F454" s="84"/>
    </row>
    <row r="455" spans="2:6" ht="12.75" customHeight="1" x14ac:dyDescent="0.2">
      <c r="B455" s="84"/>
      <c r="E455" s="84"/>
      <c r="F455" s="84"/>
    </row>
    <row r="456" spans="2:6" ht="12.75" customHeight="1" x14ac:dyDescent="0.2">
      <c r="B456" s="84"/>
      <c r="E456" s="84"/>
      <c r="F456" s="84"/>
    </row>
    <row r="457" spans="2:6" ht="12.75" customHeight="1" x14ac:dyDescent="0.2">
      <c r="B457" s="84"/>
      <c r="E457" s="84"/>
      <c r="F457" s="84"/>
    </row>
    <row r="458" spans="2:6" ht="12.75" customHeight="1" x14ac:dyDescent="0.2">
      <c r="B458" s="84"/>
      <c r="E458" s="84"/>
      <c r="F458" s="84"/>
    </row>
    <row r="459" spans="2:6" ht="12.75" customHeight="1" x14ac:dyDescent="0.2">
      <c r="B459" s="84"/>
      <c r="E459" s="84"/>
      <c r="F459" s="84"/>
    </row>
    <row r="460" spans="2:6" ht="12.75" customHeight="1" x14ac:dyDescent="0.2">
      <c r="B460" s="84"/>
      <c r="E460" s="84"/>
      <c r="F460" s="84"/>
    </row>
    <row r="461" spans="2:6" ht="12.75" customHeight="1" x14ac:dyDescent="0.2">
      <c r="B461" s="84"/>
      <c r="E461" s="84"/>
      <c r="F461" s="84"/>
    </row>
    <row r="462" spans="2:6" ht="12.75" customHeight="1" x14ac:dyDescent="0.2">
      <c r="B462" s="84"/>
      <c r="E462" s="84"/>
      <c r="F462" s="84"/>
    </row>
    <row r="463" spans="2:6" ht="12.75" customHeight="1" x14ac:dyDescent="0.2">
      <c r="B463" s="84"/>
      <c r="E463" s="84"/>
      <c r="F463" s="84"/>
    </row>
    <row r="464" spans="2:6" ht="12.75" customHeight="1" x14ac:dyDescent="0.2">
      <c r="B464" s="84"/>
      <c r="E464" s="84"/>
      <c r="F464" s="84"/>
    </row>
    <row r="465" spans="2:6" ht="12.75" customHeight="1" x14ac:dyDescent="0.2">
      <c r="B465" s="84"/>
      <c r="E465" s="84"/>
      <c r="F465" s="84"/>
    </row>
    <row r="466" spans="2:6" ht="12.75" customHeight="1" x14ac:dyDescent="0.2">
      <c r="B466" s="84"/>
      <c r="E466" s="84"/>
      <c r="F466" s="84"/>
    </row>
    <row r="467" spans="2:6" ht="12.75" customHeight="1" x14ac:dyDescent="0.2">
      <c r="B467" s="84"/>
      <c r="E467" s="84"/>
      <c r="F467" s="84"/>
    </row>
    <row r="468" spans="2:6" ht="12.75" customHeight="1" x14ac:dyDescent="0.2">
      <c r="B468" s="84"/>
      <c r="E468" s="84"/>
      <c r="F468" s="84"/>
    </row>
    <row r="469" spans="2:6" ht="12.75" customHeight="1" x14ac:dyDescent="0.2">
      <c r="B469" s="84"/>
      <c r="E469" s="84"/>
      <c r="F469" s="84"/>
    </row>
    <row r="470" spans="2:6" ht="12.75" customHeight="1" x14ac:dyDescent="0.2">
      <c r="B470" s="84"/>
      <c r="E470" s="84"/>
      <c r="F470" s="84"/>
    </row>
    <row r="471" spans="2:6" ht="12.75" customHeight="1" x14ac:dyDescent="0.2">
      <c r="B471" s="84"/>
      <c r="E471" s="84"/>
      <c r="F471" s="84"/>
    </row>
    <row r="472" spans="2:6" ht="12.75" customHeight="1" x14ac:dyDescent="0.2">
      <c r="B472" s="84"/>
      <c r="E472" s="84"/>
      <c r="F472" s="84"/>
    </row>
    <row r="473" spans="2:6" ht="12.75" customHeight="1" x14ac:dyDescent="0.2">
      <c r="B473" s="84"/>
      <c r="E473" s="84"/>
      <c r="F473" s="84"/>
    </row>
    <row r="474" spans="2:6" ht="12.75" customHeight="1" x14ac:dyDescent="0.2">
      <c r="B474" s="84"/>
      <c r="E474" s="84"/>
      <c r="F474" s="84"/>
    </row>
    <row r="475" spans="2:6" ht="12.75" customHeight="1" x14ac:dyDescent="0.2">
      <c r="B475" s="84"/>
      <c r="E475" s="84"/>
      <c r="F475" s="84"/>
    </row>
    <row r="476" spans="2:6" ht="12.75" customHeight="1" x14ac:dyDescent="0.2">
      <c r="B476" s="84"/>
      <c r="E476" s="84"/>
      <c r="F476" s="84"/>
    </row>
    <row r="477" spans="2:6" ht="12.75" customHeight="1" x14ac:dyDescent="0.2">
      <c r="B477" s="84"/>
      <c r="E477" s="84"/>
      <c r="F477" s="84"/>
    </row>
    <row r="478" spans="2:6" ht="12.75" customHeight="1" x14ac:dyDescent="0.2">
      <c r="B478" s="84"/>
      <c r="E478" s="84"/>
      <c r="F478" s="84"/>
    </row>
    <row r="479" spans="2:6" ht="12.75" customHeight="1" x14ac:dyDescent="0.2">
      <c r="B479" s="84"/>
      <c r="E479" s="84"/>
      <c r="F479" s="84"/>
    </row>
    <row r="480" spans="2:6" ht="12.75" customHeight="1" x14ac:dyDescent="0.2">
      <c r="B480" s="84"/>
      <c r="E480" s="84"/>
      <c r="F480" s="84"/>
    </row>
    <row r="481" spans="2:6" ht="12.75" customHeight="1" x14ac:dyDescent="0.2">
      <c r="B481" s="84"/>
      <c r="E481" s="84"/>
      <c r="F481" s="84"/>
    </row>
    <row r="482" spans="2:6" ht="12.75" customHeight="1" x14ac:dyDescent="0.2">
      <c r="B482" s="84"/>
      <c r="E482" s="84"/>
      <c r="F482" s="84"/>
    </row>
    <row r="483" spans="2:6" ht="12.75" customHeight="1" x14ac:dyDescent="0.2">
      <c r="B483" s="84"/>
      <c r="E483" s="84"/>
      <c r="F483" s="84"/>
    </row>
    <row r="484" spans="2:6" ht="12.75" customHeight="1" x14ac:dyDescent="0.2">
      <c r="B484" s="84"/>
      <c r="E484" s="84"/>
      <c r="F484" s="84"/>
    </row>
    <row r="485" spans="2:6" ht="12.75" customHeight="1" x14ac:dyDescent="0.2">
      <c r="B485" s="84"/>
      <c r="E485" s="84"/>
      <c r="F485" s="84"/>
    </row>
    <row r="486" spans="2:6" ht="12.75" customHeight="1" x14ac:dyDescent="0.2">
      <c r="B486" s="84"/>
      <c r="E486" s="84"/>
      <c r="F486" s="84"/>
    </row>
    <row r="487" spans="2:6" ht="12.75" customHeight="1" x14ac:dyDescent="0.2">
      <c r="B487" s="84"/>
      <c r="E487" s="84"/>
      <c r="F487" s="84"/>
    </row>
    <row r="488" spans="2:6" ht="12.75" customHeight="1" x14ac:dyDescent="0.2">
      <c r="B488" s="84"/>
      <c r="E488" s="84"/>
      <c r="F488" s="84"/>
    </row>
    <row r="489" spans="2:6" ht="12.75" customHeight="1" x14ac:dyDescent="0.2">
      <c r="B489" s="84"/>
      <c r="E489" s="84"/>
      <c r="F489" s="84"/>
    </row>
    <row r="490" spans="2:6" ht="12.75" customHeight="1" x14ac:dyDescent="0.2">
      <c r="B490" s="84"/>
      <c r="E490" s="84"/>
      <c r="F490" s="84"/>
    </row>
    <row r="491" spans="2:6" ht="12.75" customHeight="1" x14ac:dyDescent="0.2">
      <c r="B491" s="84"/>
      <c r="E491" s="84"/>
      <c r="F491" s="84"/>
    </row>
    <row r="492" spans="2:6" ht="12.75" customHeight="1" x14ac:dyDescent="0.2">
      <c r="B492" s="84"/>
      <c r="E492" s="84"/>
      <c r="F492" s="84"/>
    </row>
    <row r="493" spans="2:6" ht="12.75" customHeight="1" x14ac:dyDescent="0.2">
      <c r="B493" s="84"/>
      <c r="E493" s="84"/>
      <c r="F493" s="84"/>
    </row>
    <row r="494" spans="2:6" ht="12.75" customHeight="1" x14ac:dyDescent="0.2">
      <c r="B494" s="84"/>
      <c r="E494" s="84"/>
      <c r="F494" s="84"/>
    </row>
    <row r="495" spans="2:6" ht="12.75" customHeight="1" x14ac:dyDescent="0.2">
      <c r="B495" s="84"/>
      <c r="E495" s="84"/>
      <c r="F495" s="84"/>
    </row>
    <row r="496" spans="2:6" ht="12.75" customHeight="1" x14ac:dyDescent="0.2">
      <c r="B496" s="84"/>
      <c r="E496" s="84"/>
      <c r="F496" s="84"/>
    </row>
    <row r="497" spans="2:6" ht="12.75" customHeight="1" x14ac:dyDescent="0.2">
      <c r="B497" s="84"/>
      <c r="E497" s="84"/>
      <c r="F497" s="84"/>
    </row>
    <row r="498" spans="2:6" ht="12.75" customHeight="1" x14ac:dyDescent="0.2">
      <c r="B498" s="84"/>
      <c r="E498" s="84"/>
      <c r="F498" s="84"/>
    </row>
    <row r="499" spans="2:6" ht="12.75" customHeight="1" x14ac:dyDescent="0.2">
      <c r="B499" s="84"/>
      <c r="E499" s="84"/>
      <c r="F499" s="84"/>
    </row>
    <row r="500" spans="2:6" ht="12.75" customHeight="1" x14ac:dyDescent="0.2">
      <c r="B500" s="84"/>
      <c r="E500" s="84"/>
      <c r="F500" s="84"/>
    </row>
    <row r="501" spans="2:6" ht="12.75" customHeight="1" x14ac:dyDescent="0.2">
      <c r="B501" s="84"/>
      <c r="E501" s="84"/>
      <c r="F501" s="84"/>
    </row>
    <row r="502" spans="2:6" ht="12.75" customHeight="1" x14ac:dyDescent="0.2">
      <c r="B502" s="84"/>
      <c r="E502" s="84"/>
      <c r="F502" s="84"/>
    </row>
    <row r="503" spans="2:6" ht="12.75" customHeight="1" x14ac:dyDescent="0.2">
      <c r="B503" s="84"/>
      <c r="E503" s="84"/>
      <c r="F503" s="84"/>
    </row>
    <row r="504" spans="2:6" ht="12.75" customHeight="1" x14ac:dyDescent="0.2">
      <c r="B504" s="84"/>
      <c r="E504" s="84"/>
      <c r="F504" s="84"/>
    </row>
    <row r="505" spans="2:6" ht="12.75" customHeight="1" x14ac:dyDescent="0.2">
      <c r="B505" s="84"/>
      <c r="E505" s="84"/>
      <c r="F505" s="84"/>
    </row>
    <row r="506" spans="2:6" ht="12.75" customHeight="1" x14ac:dyDescent="0.2">
      <c r="B506" s="84"/>
      <c r="E506" s="84"/>
      <c r="F506" s="84"/>
    </row>
    <row r="507" spans="2:6" ht="12.75" customHeight="1" x14ac:dyDescent="0.2">
      <c r="B507" s="84"/>
      <c r="E507" s="84"/>
      <c r="F507" s="84"/>
    </row>
    <row r="508" spans="2:6" ht="12.75" customHeight="1" x14ac:dyDescent="0.2">
      <c r="B508" s="84"/>
      <c r="E508" s="84"/>
      <c r="F508" s="84"/>
    </row>
    <row r="509" spans="2:6" ht="12.75" customHeight="1" x14ac:dyDescent="0.2">
      <c r="B509" s="84"/>
      <c r="E509" s="84"/>
      <c r="F509" s="84"/>
    </row>
    <row r="510" spans="2:6" ht="12.75" customHeight="1" x14ac:dyDescent="0.2">
      <c r="B510" s="84"/>
      <c r="E510" s="84"/>
      <c r="F510" s="84"/>
    </row>
    <row r="511" spans="2:6" ht="12.75" customHeight="1" x14ac:dyDescent="0.2">
      <c r="B511" s="84"/>
      <c r="E511" s="84"/>
      <c r="F511" s="84"/>
    </row>
    <row r="512" spans="2:6" ht="12.75" customHeight="1" x14ac:dyDescent="0.2">
      <c r="B512" s="84"/>
      <c r="E512" s="84"/>
      <c r="F512" s="84"/>
    </row>
    <row r="513" spans="2:6" ht="12.75" customHeight="1" x14ac:dyDescent="0.2">
      <c r="B513" s="84"/>
      <c r="E513" s="84"/>
      <c r="F513" s="84"/>
    </row>
    <row r="514" spans="2:6" ht="12.75" customHeight="1" x14ac:dyDescent="0.2">
      <c r="B514" s="84"/>
      <c r="E514" s="84"/>
      <c r="F514" s="84"/>
    </row>
    <row r="515" spans="2:6" ht="12.75" customHeight="1" x14ac:dyDescent="0.2">
      <c r="B515" s="84"/>
      <c r="E515" s="84"/>
      <c r="F515" s="84"/>
    </row>
    <row r="516" spans="2:6" ht="12.75" customHeight="1" x14ac:dyDescent="0.2">
      <c r="B516" s="84"/>
      <c r="E516" s="84"/>
      <c r="F516" s="84"/>
    </row>
    <row r="517" spans="2:6" ht="12.75" customHeight="1" x14ac:dyDescent="0.2">
      <c r="B517" s="84"/>
      <c r="E517" s="84"/>
      <c r="F517" s="84"/>
    </row>
    <row r="518" spans="2:6" ht="12.75" customHeight="1" x14ac:dyDescent="0.2">
      <c r="B518" s="84"/>
      <c r="E518" s="84"/>
      <c r="F518" s="84"/>
    </row>
    <row r="519" spans="2:6" ht="12.75" customHeight="1" x14ac:dyDescent="0.2">
      <c r="B519" s="84"/>
      <c r="E519" s="84"/>
      <c r="F519" s="84"/>
    </row>
    <row r="520" spans="2:6" ht="12.75" customHeight="1" x14ac:dyDescent="0.2">
      <c r="B520" s="84"/>
      <c r="E520" s="84"/>
      <c r="F520" s="84"/>
    </row>
    <row r="521" spans="2:6" ht="12.75" customHeight="1" x14ac:dyDescent="0.2">
      <c r="B521" s="84"/>
      <c r="E521" s="84"/>
      <c r="F521" s="84"/>
    </row>
    <row r="522" spans="2:6" ht="12.75" customHeight="1" x14ac:dyDescent="0.2">
      <c r="B522" s="84"/>
      <c r="E522" s="84"/>
      <c r="F522" s="84"/>
    </row>
    <row r="523" spans="2:6" ht="12.75" customHeight="1" x14ac:dyDescent="0.2">
      <c r="B523" s="84"/>
      <c r="E523" s="84"/>
      <c r="F523" s="84"/>
    </row>
    <row r="524" spans="2:6" ht="12.75" customHeight="1" x14ac:dyDescent="0.2">
      <c r="B524" s="84"/>
      <c r="E524" s="84"/>
      <c r="F524" s="84"/>
    </row>
    <row r="525" spans="2:6" ht="12.75" customHeight="1" x14ac:dyDescent="0.2">
      <c r="B525" s="84"/>
      <c r="E525" s="84"/>
      <c r="F525" s="84"/>
    </row>
    <row r="526" spans="2:6" ht="12.75" customHeight="1" x14ac:dyDescent="0.2">
      <c r="B526" s="84"/>
      <c r="E526" s="84"/>
      <c r="F526" s="84"/>
    </row>
    <row r="527" spans="2:6" ht="12.75" customHeight="1" x14ac:dyDescent="0.2">
      <c r="B527" s="84"/>
      <c r="E527" s="84"/>
      <c r="F527" s="84"/>
    </row>
    <row r="528" spans="2:6" ht="12.75" customHeight="1" x14ac:dyDescent="0.2">
      <c r="B528" s="84"/>
      <c r="E528" s="84"/>
      <c r="F528" s="84"/>
    </row>
    <row r="529" spans="2:6" ht="12.75" customHeight="1" x14ac:dyDescent="0.2">
      <c r="B529" s="84"/>
      <c r="E529" s="84"/>
      <c r="F529" s="84"/>
    </row>
    <row r="530" spans="2:6" ht="12.75" customHeight="1" x14ac:dyDescent="0.2">
      <c r="B530" s="84"/>
      <c r="E530" s="84"/>
      <c r="F530" s="84"/>
    </row>
    <row r="531" spans="2:6" ht="12.75" customHeight="1" x14ac:dyDescent="0.2">
      <c r="B531" s="84"/>
      <c r="E531" s="84"/>
      <c r="F531" s="84"/>
    </row>
    <row r="532" spans="2:6" ht="12.75" customHeight="1" x14ac:dyDescent="0.2">
      <c r="B532" s="84"/>
      <c r="E532" s="84"/>
      <c r="F532" s="84"/>
    </row>
    <row r="533" spans="2:6" ht="12.75" customHeight="1" x14ac:dyDescent="0.2">
      <c r="B533" s="84"/>
      <c r="E533" s="84"/>
      <c r="F533" s="84"/>
    </row>
    <row r="534" spans="2:6" ht="12.75" customHeight="1" x14ac:dyDescent="0.2">
      <c r="B534" s="84"/>
      <c r="E534" s="84"/>
      <c r="F534" s="84"/>
    </row>
    <row r="535" spans="2:6" ht="12.75" customHeight="1" x14ac:dyDescent="0.2">
      <c r="B535" s="84"/>
      <c r="E535" s="84"/>
      <c r="F535" s="84"/>
    </row>
    <row r="536" spans="2:6" ht="12.75" customHeight="1" x14ac:dyDescent="0.2">
      <c r="B536" s="84"/>
      <c r="E536" s="84"/>
      <c r="F536" s="84"/>
    </row>
    <row r="537" spans="2:6" ht="12.75" customHeight="1" x14ac:dyDescent="0.2">
      <c r="B537" s="84"/>
      <c r="E537" s="84"/>
      <c r="F537" s="84"/>
    </row>
    <row r="538" spans="2:6" ht="12.75" customHeight="1" x14ac:dyDescent="0.2">
      <c r="B538" s="84"/>
      <c r="E538" s="84"/>
      <c r="F538" s="84"/>
    </row>
    <row r="539" spans="2:6" ht="12.75" customHeight="1" x14ac:dyDescent="0.2">
      <c r="B539" s="84"/>
      <c r="E539" s="84"/>
      <c r="F539" s="84"/>
    </row>
    <row r="540" spans="2:6" ht="12.75" customHeight="1" x14ac:dyDescent="0.2">
      <c r="B540" s="84"/>
      <c r="E540" s="84"/>
      <c r="F540" s="84"/>
    </row>
    <row r="541" spans="2:6" ht="12.75" customHeight="1" x14ac:dyDescent="0.2">
      <c r="B541" s="84"/>
      <c r="E541" s="84"/>
      <c r="F541" s="84"/>
    </row>
    <row r="542" spans="2:6" ht="12.75" customHeight="1" x14ac:dyDescent="0.2">
      <c r="B542" s="84"/>
      <c r="E542" s="84"/>
      <c r="F542" s="84"/>
    </row>
    <row r="543" spans="2:6" ht="12.75" customHeight="1" x14ac:dyDescent="0.2">
      <c r="B543" s="84"/>
      <c r="E543" s="84"/>
      <c r="F543" s="84"/>
    </row>
    <row r="544" spans="2:6" ht="12.75" customHeight="1" x14ac:dyDescent="0.2">
      <c r="B544" s="84"/>
      <c r="E544" s="84"/>
      <c r="F544" s="84"/>
    </row>
    <row r="545" spans="2:6" ht="12.75" customHeight="1" x14ac:dyDescent="0.2">
      <c r="B545" s="84"/>
      <c r="E545" s="84"/>
      <c r="F545" s="84"/>
    </row>
    <row r="546" spans="2:6" ht="12.75" customHeight="1" x14ac:dyDescent="0.2">
      <c r="B546" s="84"/>
      <c r="E546" s="84"/>
      <c r="F546" s="84"/>
    </row>
    <row r="547" spans="2:6" ht="12.75" customHeight="1" x14ac:dyDescent="0.2">
      <c r="B547" s="84"/>
      <c r="E547" s="84"/>
      <c r="F547" s="84"/>
    </row>
    <row r="548" spans="2:6" ht="12.75" customHeight="1" x14ac:dyDescent="0.2">
      <c r="B548" s="84"/>
      <c r="E548" s="84"/>
      <c r="F548" s="84"/>
    </row>
    <row r="549" spans="2:6" ht="12.75" customHeight="1" x14ac:dyDescent="0.2">
      <c r="B549" s="84"/>
      <c r="E549" s="84"/>
      <c r="F549" s="84"/>
    </row>
    <row r="550" spans="2:6" ht="12.75" customHeight="1" x14ac:dyDescent="0.2">
      <c r="B550" s="84"/>
      <c r="E550" s="84"/>
      <c r="F550" s="84"/>
    </row>
    <row r="551" spans="2:6" ht="12.75" customHeight="1" x14ac:dyDescent="0.2">
      <c r="B551" s="84"/>
      <c r="E551" s="84"/>
      <c r="F551" s="84"/>
    </row>
    <row r="552" spans="2:6" ht="12.75" customHeight="1" x14ac:dyDescent="0.2">
      <c r="B552" s="84"/>
      <c r="E552" s="84"/>
      <c r="F552" s="84"/>
    </row>
    <row r="553" spans="2:6" ht="12.75" customHeight="1" x14ac:dyDescent="0.2">
      <c r="B553" s="84"/>
      <c r="E553" s="84"/>
      <c r="F553" s="84"/>
    </row>
    <row r="554" spans="2:6" ht="12.75" customHeight="1" x14ac:dyDescent="0.2">
      <c r="B554" s="84"/>
      <c r="E554" s="84"/>
      <c r="F554" s="84"/>
    </row>
    <row r="555" spans="2:6" ht="12.75" customHeight="1" x14ac:dyDescent="0.2">
      <c r="B555" s="84"/>
      <c r="E555" s="84"/>
      <c r="F555" s="84"/>
    </row>
    <row r="556" spans="2:6" ht="12.75" customHeight="1" x14ac:dyDescent="0.2">
      <c r="B556" s="84"/>
      <c r="E556" s="84"/>
      <c r="F556" s="84"/>
    </row>
    <row r="557" spans="2:6" ht="12.75" customHeight="1" x14ac:dyDescent="0.2">
      <c r="B557" s="84"/>
      <c r="E557" s="84"/>
      <c r="F557" s="84"/>
    </row>
    <row r="558" spans="2:6" ht="12.75" customHeight="1" x14ac:dyDescent="0.2">
      <c r="B558" s="84"/>
      <c r="E558" s="84"/>
      <c r="F558" s="84"/>
    </row>
    <row r="559" spans="2:6" ht="12.75" customHeight="1" x14ac:dyDescent="0.2">
      <c r="B559" s="84"/>
      <c r="E559" s="84"/>
      <c r="F559" s="84"/>
    </row>
    <row r="560" spans="2:6" ht="12.75" customHeight="1" x14ac:dyDescent="0.2">
      <c r="B560" s="84"/>
      <c r="E560" s="84"/>
      <c r="F560" s="84"/>
    </row>
    <row r="561" spans="2:6" ht="12.75" customHeight="1" x14ac:dyDescent="0.2">
      <c r="B561" s="84"/>
      <c r="E561" s="84"/>
      <c r="F561" s="84"/>
    </row>
    <row r="562" spans="2:6" ht="12.75" customHeight="1" x14ac:dyDescent="0.2">
      <c r="B562" s="84"/>
      <c r="E562" s="84"/>
      <c r="F562" s="84"/>
    </row>
    <row r="563" spans="2:6" ht="12.75" customHeight="1" x14ac:dyDescent="0.2">
      <c r="B563" s="84"/>
      <c r="E563" s="84"/>
      <c r="F563" s="84"/>
    </row>
    <row r="564" spans="2:6" ht="12.75" customHeight="1" x14ac:dyDescent="0.2">
      <c r="B564" s="84"/>
      <c r="E564" s="84"/>
      <c r="F564" s="84"/>
    </row>
    <row r="565" spans="2:6" ht="12.75" customHeight="1" x14ac:dyDescent="0.2">
      <c r="B565" s="84"/>
      <c r="E565" s="84"/>
      <c r="F565" s="84"/>
    </row>
    <row r="566" spans="2:6" ht="12.75" customHeight="1" x14ac:dyDescent="0.2">
      <c r="B566" s="84"/>
      <c r="E566" s="84"/>
      <c r="F566" s="84"/>
    </row>
    <row r="567" spans="2:6" ht="12.75" customHeight="1" x14ac:dyDescent="0.2">
      <c r="B567" s="84"/>
      <c r="E567" s="84"/>
      <c r="F567" s="84"/>
    </row>
    <row r="568" spans="2:6" ht="12.75" customHeight="1" x14ac:dyDescent="0.2">
      <c r="B568" s="84"/>
      <c r="E568" s="84"/>
      <c r="F568" s="84"/>
    </row>
    <row r="569" spans="2:6" ht="12.75" customHeight="1" x14ac:dyDescent="0.2">
      <c r="B569" s="84"/>
      <c r="E569" s="84"/>
      <c r="F569" s="84"/>
    </row>
    <row r="570" spans="2:6" ht="12.75" customHeight="1" x14ac:dyDescent="0.2">
      <c r="B570" s="84"/>
      <c r="E570" s="84"/>
      <c r="F570" s="84"/>
    </row>
    <row r="571" spans="2:6" ht="12.75" customHeight="1" x14ac:dyDescent="0.2">
      <c r="B571" s="84"/>
      <c r="E571" s="84"/>
      <c r="F571" s="84"/>
    </row>
    <row r="572" spans="2:6" ht="12.75" customHeight="1" x14ac:dyDescent="0.2">
      <c r="B572" s="84"/>
      <c r="E572" s="84"/>
      <c r="F572" s="84"/>
    </row>
    <row r="573" spans="2:6" ht="12.75" customHeight="1" x14ac:dyDescent="0.2">
      <c r="B573" s="84"/>
      <c r="E573" s="84"/>
      <c r="F573" s="84"/>
    </row>
    <row r="574" spans="2:6" ht="12.75" customHeight="1" x14ac:dyDescent="0.2">
      <c r="B574" s="84"/>
      <c r="E574" s="84"/>
      <c r="F574" s="84"/>
    </row>
    <row r="575" spans="2:6" ht="12.75" customHeight="1" x14ac:dyDescent="0.2">
      <c r="B575" s="84"/>
      <c r="E575" s="84"/>
      <c r="F575" s="84"/>
    </row>
    <row r="576" spans="2:6" ht="12.75" customHeight="1" x14ac:dyDescent="0.2">
      <c r="B576" s="84"/>
      <c r="E576" s="84"/>
      <c r="F576" s="84"/>
    </row>
    <row r="577" spans="2:6" ht="12.75" customHeight="1" x14ac:dyDescent="0.2">
      <c r="B577" s="84"/>
      <c r="E577" s="84"/>
      <c r="F577" s="84"/>
    </row>
    <row r="578" spans="2:6" ht="12.75" customHeight="1" x14ac:dyDescent="0.2">
      <c r="B578" s="84"/>
      <c r="E578" s="84"/>
      <c r="F578" s="84"/>
    </row>
    <row r="579" spans="2:6" ht="12.75" customHeight="1" x14ac:dyDescent="0.2">
      <c r="B579" s="84"/>
      <c r="E579" s="84"/>
      <c r="F579" s="84"/>
    </row>
    <row r="580" spans="2:6" ht="12.75" customHeight="1" x14ac:dyDescent="0.2">
      <c r="B580" s="84"/>
      <c r="E580" s="84"/>
      <c r="F580" s="84"/>
    </row>
    <row r="581" spans="2:6" ht="12.75" customHeight="1" x14ac:dyDescent="0.2">
      <c r="B581" s="84"/>
      <c r="E581" s="84"/>
      <c r="F581" s="84"/>
    </row>
    <row r="582" spans="2:6" ht="12.75" customHeight="1" x14ac:dyDescent="0.2">
      <c r="B582" s="84"/>
      <c r="E582" s="84"/>
      <c r="F582" s="84"/>
    </row>
    <row r="583" spans="2:6" ht="12.75" customHeight="1" x14ac:dyDescent="0.2">
      <c r="B583" s="84"/>
      <c r="E583" s="84"/>
      <c r="F583" s="84"/>
    </row>
    <row r="584" spans="2:6" ht="12.75" customHeight="1" x14ac:dyDescent="0.2">
      <c r="B584" s="84"/>
      <c r="E584" s="84"/>
      <c r="F584" s="84"/>
    </row>
    <row r="585" spans="2:6" ht="12.75" customHeight="1" x14ac:dyDescent="0.2">
      <c r="B585" s="84"/>
      <c r="E585" s="84"/>
      <c r="F585" s="84"/>
    </row>
    <row r="586" spans="2:6" ht="12.75" customHeight="1" x14ac:dyDescent="0.2">
      <c r="B586" s="84"/>
      <c r="E586" s="84"/>
      <c r="F586" s="84"/>
    </row>
    <row r="587" spans="2:6" ht="12.75" customHeight="1" x14ac:dyDescent="0.2">
      <c r="B587" s="84"/>
      <c r="E587" s="84"/>
      <c r="F587" s="84"/>
    </row>
    <row r="588" spans="2:6" ht="12.75" customHeight="1" x14ac:dyDescent="0.2">
      <c r="B588" s="84"/>
      <c r="E588" s="84"/>
      <c r="F588" s="84"/>
    </row>
    <row r="589" spans="2:6" ht="12.75" customHeight="1" x14ac:dyDescent="0.2">
      <c r="B589" s="84"/>
      <c r="E589" s="84"/>
      <c r="F589" s="84"/>
    </row>
    <row r="590" spans="2:6" ht="12.75" customHeight="1" x14ac:dyDescent="0.2">
      <c r="B590" s="84"/>
      <c r="E590" s="84"/>
      <c r="F590" s="84"/>
    </row>
    <row r="591" spans="2:6" ht="12.75" customHeight="1" x14ac:dyDescent="0.2">
      <c r="B591" s="84"/>
      <c r="E591" s="84"/>
      <c r="F591" s="84"/>
    </row>
    <row r="592" spans="2:6" ht="12.75" customHeight="1" x14ac:dyDescent="0.2">
      <c r="B592" s="84"/>
      <c r="E592" s="84"/>
      <c r="F592" s="84"/>
    </row>
    <row r="593" spans="2:6" ht="12.75" customHeight="1" x14ac:dyDescent="0.2">
      <c r="B593" s="84"/>
      <c r="E593" s="84"/>
      <c r="F593" s="84"/>
    </row>
    <row r="594" spans="2:6" ht="12.75" customHeight="1" x14ac:dyDescent="0.2">
      <c r="B594" s="84"/>
      <c r="E594" s="84"/>
      <c r="F594" s="84"/>
    </row>
    <row r="595" spans="2:6" ht="12.75" customHeight="1" x14ac:dyDescent="0.2">
      <c r="B595" s="84"/>
      <c r="E595" s="84"/>
      <c r="F595" s="84"/>
    </row>
    <row r="596" spans="2:6" ht="12.75" customHeight="1" x14ac:dyDescent="0.2">
      <c r="B596" s="84"/>
      <c r="E596" s="84"/>
      <c r="F596" s="84"/>
    </row>
    <row r="597" spans="2:6" ht="12.75" customHeight="1" x14ac:dyDescent="0.2">
      <c r="B597" s="84"/>
      <c r="E597" s="84"/>
      <c r="F597" s="84"/>
    </row>
    <row r="598" spans="2:6" ht="12.75" customHeight="1" x14ac:dyDescent="0.2">
      <c r="B598" s="84"/>
      <c r="E598" s="84"/>
      <c r="F598" s="84"/>
    </row>
    <row r="599" spans="2:6" ht="12.75" customHeight="1" x14ac:dyDescent="0.2">
      <c r="B599" s="84"/>
      <c r="E599" s="84"/>
      <c r="F599" s="84"/>
    </row>
    <row r="600" spans="2:6" ht="12.75" customHeight="1" x14ac:dyDescent="0.2">
      <c r="B600" s="84"/>
      <c r="E600" s="84"/>
      <c r="F600" s="84"/>
    </row>
    <row r="601" spans="2:6" ht="12.75" customHeight="1" x14ac:dyDescent="0.2">
      <c r="B601" s="84"/>
      <c r="E601" s="84"/>
      <c r="F601" s="84"/>
    </row>
    <row r="602" spans="2:6" ht="12.75" customHeight="1" x14ac:dyDescent="0.2">
      <c r="B602" s="84"/>
      <c r="E602" s="84"/>
      <c r="F602" s="84"/>
    </row>
    <row r="603" spans="2:6" ht="12.75" customHeight="1" x14ac:dyDescent="0.2">
      <c r="B603" s="84"/>
      <c r="E603" s="84"/>
      <c r="F603" s="84"/>
    </row>
    <row r="604" spans="2:6" ht="12.75" customHeight="1" x14ac:dyDescent="0.2">
      <c r="B604" s="84"/>
      <c r="E604" s="84"/>
      <c r="F604" s="84"/>
    </row>
    <row r="605" spans="2:6" ht="12.75" customHeight="1" x14ac:dyDescent="0.2">
      <c r="B605" s="84"/>
      <c r="E605" s="84"/>
      <c r="F605" s="84"/>
    </row>
    <row r="606" spans="2:6" ht="12.75" customHeight="1" x14ac:dyDescent="0.2">
      <c r="B606" s="84"/>
      <c r="E606" s="84"/>
      <c r="F606" s="84"/>
    </row>
    <row r="607" spans="2:6" ht="12.75" customHeight="1" x14ac:dyDescent="0.2">
      <c r="B607" s="84"/>
      <c r="E607" s="84"/>
      <c r="F607" s="84"/>
    </row>
    <row r="608" spans="2:6" ht="12.75" customHeight="1" x14ac:dyDescent="0.2">
      <c r="B608" s="84"/>
      <c r="E608" s="84"/>
      <c r="F608" s="84"/>
    </row>
    <row r="609" spans="2:6" ht="12.75" customHeight="1" x14ac:dyDescent="0.2">
      <c r="B609" s="84"/>
      <c r="E609" s="84"/>
      <c r="F609" s="84"/>
    </row>
    <row r="610" spans="2:6" ht="12.75" customHeight="1" x14ac:dyDescent="0.2">
      <c r="B610" s="84"/>
      <c r="E610" s="84"/>
      <c r="F610" s="84"/>
    </row>
    <row r="611" spans="2:6" ht="12.75" customHeight="1" x14ac:dyDescent="0.2">
      <c r="B611" s="84"/>
      <c r="E611" s="84"/>
      <c r="F611" s="84"/>
    </row>
    <row r="612" spans="2:6" ht="12.75" customHeight="1" x14ac:dyDescent="0.2">
      <c r="B612" s="84"/>
      <c r="E612" s="84"/>
      <c r="F612" s="84"/>
    </row>
    <row r="613" spans="2:6" ht="12.75" customHeight="1" x14ac:dyDescent="0.2">
      <c r="B613" s="84"/>
      <c r="E613" s="84"/>
      <c r="F613" s="84"/>
    </row>
    <row r="614" spans="2:6" ht="12.75" customHeight="1" x14ac:dyDescent="0.2">
      <c r="B614" s="84"/>
      <c r="E614" s="84"/>
      <c r="F614" s="84"/>
    </row>
    <row r="615" spans="2:6" ht="12.75" customHeight="1" x14ac:dyDescent="0.2">
      <c r="B615" s="84"/>
      <c r="E615" s="84"/>
      <c r="F615" s="84"/>
    </row>
    <row r="616" spans="2:6" ht="12.75" customHeight="1" x14ac:dyDescent="0.2">
      <c r="B616" s="84"/>
      <c r="E616" s="84"/>
      <c r="F616" s="84"/>
    </row>
    <row r="617" spans="2:6" ht="12.75" customHeight="1" x14ac:dyDescent="0.2">
      <c r="B617" s="84"/>
      <c r="E617" s="84"/>
      <c r="F617" s="84"/>
    </row>
    <row r="618" spans="2:6" ht="12.75" customHeight="1" x14ac:dyDescent="0.2">
      <c r="B618" s="84"/>
      <c r="E618" s="84"/>
      <c r="F618" s="84"/>
    </row>
    <row r="619" spans="2:6" ht="12.75" customHeight="1" x14ac:dyDescent="0.2">
      <c r="B619" s="84"/>
      <c r="E619" s="84"/>
      <c r="F619" s="84"/>
    </row>
    <row r="620" spans="2:6" ht="12.75" customHeight="1" x14ac:dyDescent="0.2">
      <c r="B620" s="84"/>
      <c r="E620" s="84"/>
      <c r="F620" s="84"/>
    </row>
    <row r="621" spans="2:6" ht="12.75" customHeight="1" x14ac:dyDescent="0.2">
      <c r="B621" s="84"/>
      <c r="E621" s="84"/>
      <c r="F621" s="84"/>
    </row>
    <row r="622" spans="2:6" ht="12.75" customHeight="1" x14ac:dyDescent="0.2">
      <c r="B622" s="84"/>
      <c r="E622" s="84"/>
      <c r="F622" s="84"/>
    </row>
    <row r="623" spans="2:6" ht="12.75" customHeight="1" x14ac:dyDescent="0.2">
      <c r="B623" s="84"/>
      <c r="E623" s="84"/>
      <c r="F623" s="84"/>
    </row>
    <row r="624" spans="2:6" ht="12.75" customHeight="1" x14ac:dyDescent="0.2">
      <c r="B624" s="84"/>
      <c r="E624" s="84"/>
      <c r="F624" s="84"/>
    </row>
    <row r="625" spans="2:6" ht="12.75" customHeight="1" x14ac:dyDescent="0.2">
      <c r="B625" s="84"/>
      <c r="E625" s="84"/>
      <c r="F625" s="84"/>
    </row>
    <row r="626" spans="2:6" ht="12.75" customHeight="1" x14ac:dyDescent="0.2">
      <c r="B626" s="84"/>
      <c r="E626" s="84"/>
      <c r="F626" s="84"/>
    </row>
    <row r="627" spans="2:6" ht="12.75" customHeight="1" x14ac:dyDescent="0.2">
      <c r="B627" s="84"/>
      <c r="E627" s="84"/>
      <c r="F627" s="84"/>
    </row>
    <row r="628" spans="2:6" ht="12.75" customHeight="1" x14ac:dyDescent="0.2">
      <c r="B628" s="84"/>
      <c r="E628" s="84"/>
      <c r="F628" s="84"/>
    </row>
    <row r="629" spans="2:6" ht="12.75" customHeight="1" x14ac:dyDescent="0.2">
      <c r="B629" s="84"/>
      <c r="E629" s="84"/>
      <c r="F629" s="84"/>
    </row>
    <row r="630" spans="2:6" ht="12.75" customHeight="1" x14ac:dyDescent="0.2">
      <c r="B630" s="84"/>
      <c r="E630" s="84"/>
      <c r="F630" s="84"/>
    </row>
    <row r="631" spans="2:6" ht="12.75" customHeight="1" x14ac:dyDescent="0.2">
      <c r="B631" s="84"/>
      <c r="E631" s="84"/>
      <c r="F631" s="84"/>
    </row>
    <row r="632" spans="2:6" ht="12.75" customHeight="1" x14ac:dyDescent="0.2">
      <c r="B632" s="84"/>
      <c r="E632" s="84"/>
      <c r="F632" s="84"/>
    </row>
    <row r="633" spans="2:6" ht="12.75" customHeight="1" x14ac:dyDescent="0.2">
      <c r="B633" s="84"/>
      <c r="E633" s="84"/>
      <c r="F633" s="84"/>
    </row>
    <row r="634" spans="2:6" ht="12.75" customHeight="1" x14ac:dyDescent="0.2">
      <c r="B634" s="84"/>
      <c r="E634" s="84"/>
      <c r="F634" s="84"/>
    </row>
    <row r="635" spans="2:6" ht="12.75" customHeight="1" x14ac:dyDescent="0.2">
      <c r="B635" s="84"/>
      <c r="E635" s="84"/>
      <c r="F635" s="84"/>
    </row>
    <row r="636" spans="2:6" ht="12.75" customHeight="1" x14ac:dyDescent="0.2">
      <c r="B636" s="84"/>
      <c r="E636" s="84"/>
      <c r="F636" s="84"/>
    </row>
    <row r="637" spans="2:6" ht="12.75" customHeight="1" x14ac:dyDescent="0.2">
      <c r="B637" s="84"/>
      <c r="E637" s="84"/>
      <c r="F637" s="84"/>
    </row>
    <row r="638" spans="2:6" ht="12.75" customHeight="1" x14ac:dyDescent="0.2">
      <c r="B638" s="84"/>
      <c r="E638" s="84"/>
      <c r="F638" s="84"/>
    </row>
    <row r="639" spans="2:6" ht="12.75" customHeight="1" x14ac:dyDescent="0.2">
      <c r="B639" s="84"/>
      <c r="E639" s="84"/>
      <c r="F639" s="84"/>
    </row>
    <row r="640" spans="2:6" ht="12.75" customHeight="1" x14ac:dyDescent="0.2">
      <c r="B640" s="84"/>
      <c r="E640" s="84"/>
      <c r="F640" s="84"/>
    </row>
    <row r="641" spans="2:6" ht="12.75" customHeight="1" x14ac:dyDescent="0.2">
      <c r="B641" s="84"/>
      <c r="E641" s="84"/>
      <c r="F641" s="84"/>
    </row>
    <row r="642" spans="2:6" ht="12.75" customHeight="1" x14ac:dyDescent="0.2">
      <c r="B642" s="84"/>
      <c r="E642" s="84"/>
      <c r="F642" s="84"/>
    </row>
    <row r="643" spans="2:6" ht="12.75" customHeight="1" x14ac:dyDescent="0.2">
      <c r="B643" s="84"/>
      <c r="E643" s="84"/>
      <c r="F643" s="84"/>
    </row>
    <row r="644" spans="2:6" ht="12.75" customHeight="1" x14ac:dyDescent="0.2">
      <c r="B644" s="84"/>
      <c r="E644" s="84"/>
      <c r="F644" s="84"/>
    </row>
    <row r="645" spans="2:6" ht="12.75" customHeight="1" x14ac:dyDescent="0.2">
      <c r="B645" s="84"/>
      <c r="E645" s="84"/>
      <c r="F645" s="84"/>
    </row>
    <row r="646" spans="2:6" ht="12.75" customHeight="1" x14ac:dyDescent="0.2">
      <c r="B646" s="84"/>
      <c r="E646" s="84"/>
      <c r="F646" s="84"/>
    </row>
    <row r="647" spans="2:6" ht="12.75" customHeight="1" x14ac:dyDescent="0.2">
      <c r="B647" s="84"/>
      <c r="E647" s="84"/>
      <c r="F647" s="84"/>
    </row>
    <row r="648" spans="2:6" ht="12.75" customHeight="1" x14ac:dyDescent="0.2">
      <c r="B648" s="84"/>
      <c r="E648" s="84"/>
      <c r="F648" s="84"/>
    </row>
    <row r="649" spans="2:6" ht="12.75" customHeight="1" x14ac:dyDescent="0.2">
      <c r="B649" s="84"/>
      <c r="E649" s="84"/>
      <c r="F649" s="84"/>
    </row>
    <row r="650" spans="2:6" ht="12.75" customHeight="1" x14ac:dyDescent="0.2">
      <c r="B650" s="84"/>
      <c r="E650" s="84"/>
      <c r="F650" s="84"/>
    </row>
    <row r="651" spans="2:6" ht="12.75" customHeight="1" x14ac:dyDescent="0.2">
      <c r="B651" s="84"/>
      <c r="E651" s="84"/>
      <c r="F651" s="84"/>
    </row>
    <row r="652" spans="2:6" ht="12.75" customHeight="1" x14ac:dyDescent="0.2">
      <c r="B652" s="84"/>
      <c r="E652" s="84"/>
      <c r="F652" s="84"/>
    </row>
    <row r="653" spans="2:6" ht="12.75" customHeight="1" x14ac:dyDescent="0.2">
      <c r="B653" s="84"/>
      <c r="E653" s="84"/>
      <c r="F653" s="84"/>
    </row>
    <row r="654" spans="2:6" ht="12.75" customHeight="1" x14ac:dyDescent="0.2">
      <c r="B654" s="84"/>
      <c r="E654" s="84"/>
      <c r="F654" s="84"/>
    </row>
    <row r="655" spans="2:6" ht="12.75" customHeight="1" x14ac:dyDescent="0.2">
      <c r="B655" s="84"/>
      <c r="E655" s="84"/>
      <c r="F655" s="84"/>
    </row>
    <row r="656" spans="2:6" ht="12.75" customHeight="1" x14ac:dyDescent="0.2">
      <c r="B656" s="84"/>
      <c r="E656" s="84"/>
      <c r="F656" s="84"/>
    </row>
    <row r="657" spans="2:6" ht="12.75" customHeight="1" x14ac:dyDescent="0.2">
      <c r="B657" s="84"/>
      <c r="E657" s="84"/>
      <c r="F657" s="84"/>
    </row>
    <row r="658" spans="2:6" ht="12.75" customHeight="1" x14ac:dyDescent="0.2">
      <c r="B658" s="84"/>
      <c r="E658" s="84"/>
      <c r="F658" s="84"/>
    </row>
    <row r="659" spans="2:6" ht="12.75" customHeight="1" x14ac:dyDescent="0.2">
      <c r="B659" s="84"/>
      <c r="E659" s="84"/>
      <c r="F659" s="84"/>
    </row>
    <row r="660" spans="2:6" ht="12.75" customHeight="1" x14ac:dyDescent="0.2">
      <c r="B660" s="84"/>
      <c r="E660" s="84"/>
      <c r="F660" s="84"/>
    </row>
    <row r="661" spans="2:6" ht="12.75" customHeight="1" x14ac:dyDescent="0.2">
      <c r="B661" s="84"/>
      <c r="E661" s="84"/>
      <c r="F661" s="84"/>
    </row>
    <row r="662" spans="2:6" ht="12.75" customHeight="1" x14ac:dyDescent="0.2">
      <c r="B662" s="84"/>
      <c r="E662" s="84"/>
      <c r="F662" s="84"/>
    </row>
    <row r="663" spans="2:6" ht="12.75" customHeight="1" x14ac:dyDescent="0.2">
      <c r="B663" s="84"/>
      <c r="E663" s="84"/>
      <c r="F663" s="84"/>
    </row>
    <row r="664" spans="2:6" ht="12.75" customHeight="1" x14ac:dyDescent="0.2">
      <c r="B664" s="84"/>
      <c r="E664" s="84"/>
      <c r="F664" s="84"/>
    </row>
    <row r="665" spans="2:6" ht="12.75" customHeight="1" x14ac:dyDescent="0.2">
      <c r="B665" s="84"/>
      <c r="E665" s="84"/>
      <c r="F665" s="84"/>
    </row>
    <row r="666" spans="2:6" ht="12.75" customHeight="1" x14ac:dyDescent="0.2">
      <c r="B666" s="84"/>
      <c r="E666" s="84"/>
      <c r="F666" s="84"/>
    </row>
    <row r="667" spans="2:6" ht="12.75" customHeight="1" x14ac:dyDescent="0.2">
      <c r="B667" s="84"/>
      <c r="E667" s="84"/>
      <c r="F667" s="84"/>
    </row>
    <row r="668" spans="2:6" ht="12.75" customHeight="1" x14ac:dyDescent="0.2">
      <c r="B668" s="84"/>
      <c r="E668" s="84"/>
      <c r="F668" s="84"/>
    </row>
    <row r="669" spans="2:6" ht="12.75" customHeight="1" x14ac:dyDescent="0.2">
      <c r="B669" s="84"/>
      <c r="E669" s="84"/>
      <c r="F669" s="84"/>
    </row>
    <row r="670" spans="2:6" ht="12.75" customHeight="1" x14ac:dyDescent="0.2">
      <c r="B670" s="84"/>
      <c r="E670" s="84"/>
      <c r="F670" s="84"/>
    </row>
    <row r="671" spans="2:6" ht="12.75" customHeight="1" x14ac:dyDescent="0.2">
      <c r="B671" s="84"/>
      <c r="E671" s="84"/>
      <c r="F671" s="84"/>
    </row>
    <row r="672" spans="2:6" ht="12.75" customHeight="1" x14ac:dyDescent="0.2">
      <c r="B672" s="84"/>
      <c r="E672" s="84"/>
      <c r="F672" s="84"/>
    </row>
    <row r="673" spans="2:6" ht="12.75" customHeight="1" x14ac:dyDescent="0.2">
      <c r="B673" s="84"/>
      <c r="E673" s="84"/>
      <c r="F673" s="84"/>
    </row>
    <row r="674" spans="2:6" ht="12.75" customHeight="1" x14ac:dyDescent="0.2">
      <c r="B674" s="84"/>
      <c r="E674" s="84"/>
      <c r="F674" s="84"/>
    </row>
    <row r="675" spans="2:6" ht="12.75" customHeight="1" x14ac:dyDescent="0.2">
      <c r="B675" s="84"/>
      <c r="E675" s="84"/>
      <c r="F675" s="84"/>
    </row>
    <row r="676" spans="2:6" ht="12.75" customHeight="1" x14ac:dyDescent="0.2">
      <c r="B676" s="84"/>
      <c r="E676" s="84"/>
      <c r="F676" s="84"/>
    </row>
    <row r="677" spans="2:6" ht="12.75" customHeight="1" x14ac:dyDescent="0.2">
      <c r="B677" s="84"/>
      <c r="E677" s="84"/>
      <c r="F677" s="84"/>
    </row>
    <row r="678" spans="2:6" ht="12.75" customHeight="1" x14ac:dyDescent="0.2">
      <c r="B678" s="84"/>
      <c r="E678" s="84"/>
      <c r="F678" s="84"/>
    </row>
    <row r="679" spans="2:6" ht="12.75" customHeight="1" x14ac:dyDescent="0.2">
      <c r="B679" s="84"/>
      <c r="E679" s="84"/>
      <c r="F679" s="84"/>
    </row>
    <row r="680" spans="2:6" ht="12.75" customHeight="1" x14ac:dyDescent="0.2">
      <c r="B680" s="84"/>
      <c r="E680" s="84"/>
      <c r="F680" s="84"/>
    </row>
    <row r="681" spans="2:6" ht="12.75" customHeight="1" x14ac:dyDescent="0.2">
      <c r="B681" s="84"/>
      <c r="E681" s="84"/>
      <c r="F681" s="84"/>
    </row>
    <row r="682" spans="2:6" ht="12.75" customHeight="1" x14ac:dyDescent="0.2">
      <c r="B682" s="84"/>
      <c r="E682" s="84"/>
      <c r="F682" s="84"/>
    </row>
    <row r="683" spans="2:6" ht="12.75" customHeight="1" x14ac:dyDescent="0.2">
      <c r="B683" s="84"/>
      <c r="E683" s="84"/>
      <c r="F683" s="84"/>
    </row>
    <row r="684" spans="2:6" ht="12.75" customHeight="1" x14ac:dyDescent="0.2">
      <c r="B684" s="84"/>
      <c r="E684" s="84"/>
      <c r="F684" s="84"/>
    </row>
    <row r="685" spans="2:6" ht="12.75" customHeight="1" x14ac:dyDescent="0.2">
      <c r="B685" s="84"/>
      <c r="E685" s="84"/>
      <c r="F685" s="84"/>
    </row>
    <row r="686" spans="2:6" ht="12.75" customHeight="1" x14ac:dyDescent="0.2">
      <c r="B686" s="84"/>
      <c r="E686" s="84"/>
      <c r="F686" s="84"/>
    </row>
    <row r="687" spans="2:6" ht="12.75" customHeight="1" x14ac:dyDescent="0.2">
      <c r="B687" s="84"/>
      <c r="E687" s="84"/>
      <c r="F687" s="84"/>
    </row>
    <row r="688" spans="2:6" ht="12.75" customHeight="1" x14ac:dyDescent="0.2">
      <c r="B688" s="84"/>
      <c r="E688" s="84"/>
      <c r="F688" s="84"/>
    </row>
    <row r="689" spans="2:6" ht="12.75" customHeight="1" x14ac:dyDescent="0.2">
      <c r="B689" s="84"/>
      <c r="E689" s="84"/>
      <c r="F689" s="84"/>
    </row>
    <row r="690" spans="2:6" ht="12.75" customHeight="1" x14ac:dyDescent="0.2">
      <c r="B690" s="84"/>
      <c r="E690" s="84"/>
      <c r="F690" s="84"/>
    </row>
    <row r="691" spans="2:6" ht="12.75" customHeight="1" x14ac:dyDescent="0.2">
      <c r="B691" s="84"/>
      <c r="E691" s="84"/>
      <c r="F691" s="84"/>
    </row>
    <row r="692" spans="2:6" ht="12.75" customHeight="1" x14ac:dyDescent="0.2">
      <c r="B692" s="84"/>
      <c r="E692" s="84"/>
      <c r="F692" s="84"/>
    </row>
    <row r="693" spans="2:6" ht="12.75" customHeight="1" x14ac:dyDescent="0.2">
      <c r="B693" s="84"/>
      <c r="E693" s="84"/>
      <c r="F693" s="84"/>
    </row>
    <row r="694" spans="2:6" ht="12.75" customHeight="1" x14ac:dyDescent="0.2">
      <c r="B694" s="84"/>
      <c r="E694" s="84"/>
      <c r="F694" s="84"/>
    </row>
    <row r="695" spans="2:6" ht="12.75" customHeight="1" x14ac:dyDescent="0.2">
      <c r="B695" s="84"/>
      <c r="E695" s="84"/>
      <c r="F695" s="84"/>
    </row>
    <row r="696" spans="2:6" ht="12.75" customHeight="1" x14ac:dyDescent="0.2">
      <c r="B696" s="84"/>
      <c r="E696" s="84"/>
      <c r="F696" s="84"/>
    </row>
    <row r="697" spans="2:6" ht="12.75" customHeight="1" x14ac:dyDescent="0.2">
      <c r="B697" s="84"/>
      <c r="E697" s="84"/>
      <c r="F697" s="84"/>
    </row>
    <row r="698" spans="2:6" ht="12.75" customHeight="1" x14ac:dyDescent="0.2">
      <c r="B698" s="84"/>
      <c r="E698" s="84"/>
      <c r="F698" s="84"/>
    </row>
    <row r="699" spans="2:6" ht="12.75" customHeight="1" x14ac:dyDescent="0.2">
      <c r="B699" s="84"/>
      <c r="E699" s="84"/>
      <c r="F699" s="84"/>
    </row>
    <row r="700" spans="2:6" ht="12.75" customHeight="1" x14ac:dyDescent="0.2">
      <c r="B700" s="84"/>
      <c r="E700" s="84"/>
      <c r="F700" s="84"/>
    </row>
    <row r="701" spans="2:6" ht="12.75" customHeight="1" x14ac:dyDescent="0.2">
      <c r="B701" s="84"/>
      <c r="E701" s="84"/>
      <c r="F701" s="84"/>
    </row>
    <row r="702" spans="2:6" ht="12.75" customHeight="1" x14ac:dyDescent="0.2">
      <c r="B702" s="84"/>
      <c r="E702" s="84"/>
      <c r="F702" s="84"/>
    </row>
    <row r="703" spans="2:6" ht="12.75" customHeight="1" x14ac:dyDescent="0.2">
      <c r="B703" s="84"/>
      <c r="E703" s="84"/>
      <c r="F703" s="84"/>
    </row>
    <row r="704" spans="2:6" ht="12.75" customHeight="1" x14ac:dyDescent="0.2">
      <c r="B704" s="84"/>
      <c r="E704" s="84"/>
      <c r="F704" s="84"/>
    </row>
    <row r="705" spans="2:6" ht="12.75" customHeight="1" x14ac:dyDescent="0.2">
      <c r="B705" s="84"/>
      <c r="E705" s="84"/>
      <c r="F705" s="84"/>
    </row>
    <row r="706" spans="2:6" ht="12.75" customHeight="1" x14ac:dyDescent="0.2">
      <c r="B706" s="84"/>
      <c r="E706" s="84"/>
      <c r="F706" s="84"/>
    </row>
    <row r="707" spans="2:6" ht="12.75" customHeight="1" x14ac:dyDescent="0.2">
      <c r="B707" s="84"/>
      <c r="E707" s="84"/>
      <c r="F707" s="84"/>
    </row>
    <row r="708" spans="2:6" ht="12.75" customHeight="1" x14ac:dyDescent="0.2">
      <c r="B708" s="84"/>
      <c r="E708" s="84"/>
      <c r="F708" s="84"/>
    </row>
    <row r="709" spans="2:6" ht="12.75" customHeight="1" x14ac:dyDescent="0.2">
      <c r="B709" s="84"/>
      <c r="E709" s="84"/>
      <c r="F709" s="84"/>
    </row>
    <row r="710" spans="2:6" ht="12.75" customHeight="1" x14ac:dyDescent="0.2">
      <c r="B710" s="84"/>
      <c r="E710" s="84"/>
      <c r="F710" s="84"/>
    </row>
    <row r="711" spans="2:6" ht="12.75" customHeight="1" x14ac:dyDescent="0.2">
      <c r="B711" s="84"/>
      <c r="E711" s="84"/>
      <c r="F711" s="84"/>
    </row>
    <row r="712" spans="2:6" ht="12.75" customHeight="1" x14ac:dyDescent="0.2">
      <c r="B712" s="84"/>
      <c r="E712" s="84"/>
      <c r="F712" s="84"/>
    </row>
    <row r="713" spans="2:6" ht="12.75" customHeight="1" x14ac:dyDescent="0.2">
      <c r="B713" s="84"/>
      <c r="E713" s="84"/>
      <c r="F713" s="84"/>
    </row>
    <row r="714" spans="2:6" ht="12.75" customHeight="1" x14ac:dyDescent="0.2">
      <c r="B714" s="84"/>
      <c r="E714" s="84"/>
      <c r="F714" s="84"/>
    </row>
    <row r="715" spans="2:6" ht="12.75" customHeight="1" x14ac:dyDescent="0.2">
      <c r="B715" s="84"/>
      <c r="E715" s="84"/>
      <c r="F715" s="84"/>
    </row>
    <row r="716" spans="2:6" ht="12.75" customHeight="1" x14ac:dyDescent="0.2">
      <c r="B716" s="84"/>
      <c r="E716" s="84"/>
      <c r="F716" s="84"/>
    </row>
    <row r="717" spans="2:6" ht="12.75" customHeight="1" x14ac:dyDescent="0.2">
      <c r="B717" s="84"/>
      <c r="E717" s="84"/>
      <c r="F717" s="84"/>
    </row>
    <row r="718" spans="2:6" ht="12.75" customHeight="1" x14ac:dyDescent="0.2">
      <c r="B718" s="84"/>
      <c r="E718" s="84"/>
      <c r="F718" s="84"/>
    </row>
    <row r="719" spans="2:6" ht="12.75" customHeight="1" x14ac:dyDescent="0.2">
      <c r="B719" s="84"/>
      <c r="E719" s="84"/>
      <c r="F719" s="84"/>
    </row>
    <row r="720" spans="2:6" ht="12.75" customHeight="1" x14ac:dyDescent="0.2">
      <c r="B720" s="84"/>
      <c r="E720" s="84"/>
      <c r="F720" s="84"/>
    </row>
    <row r="721" spans="2:6" ht="12.75" customHeight="1" x14ac:dyDescent="0.2">
      <c r="B721" s="84"/>
      <c r="E721" s="84"/>
      <c r="F721" s="84"/>
    </row>
    <row r="722" spans="2:6" ht="12.75" customHeight="1" x14ac:dyDescent="0.2">
      <c r="B722" s="84"/>
      <c r="E722" s="84"/>
      <c r="F722" s="84"/>
    </row>
    <row r="723" spans="2:6" ht="12.75" customHeight="1" x14ac:dyDescent="0.2">
      <c r="B723" s="84"/>
      <c r="E723" s="84"/>
      <c r="F723" s="84"/>
    </row>
    <row r="724" spans="2:6" ht="12.75" customHeight="1" x14ac:dyDescent="0.2">
      <c r="B724" s="84"/>
      <c r="E724" s="84"/>
      <c r="F724" s="84"/>
    </row>
    <row r="725" spans="2:6" ht="12.75" customHeight="1" x14ac:dyDescent="0.2">
      <c r="B725" s="84"/>
      <c r="E725" s="84"/>
      <c r="F725" s="84"/>
    </row>
    <row r="726" spans="2:6" ht="12.75" customHeight="1" x14ac:dyDescent="0.2">
      <c r="B726" s="84"/>
      <c r="E726" s="84"/>
      <c r="F726" s="84"/>
    </row>
    <row r="727" spans="2:6" ht="12.75" customHeight="1" x14ac:dyDescent="0.2">
      <c r="B727" s="84"/>
      <c r="E727" s="84"/>
      <c r="F727" s="84"/>
    </row>
    <row r="728" spans="2:6" ht="12.75" customHeight="1" x14ac:dyDescent="0.2">
      <c r="B728" s="84"/>
      <c r="E728" s="84"/>
      <c r="F728" s="84"/>
    </row>
    <row r="729" spans="2:6" ht="12.75" customHeight="1" x14ac:dyDescent="0.2">
      <c r="B729" s="84"/>
      <c r="E729" s="84"/>
      <c r="F729" s="84"/>
    </row>
    <row r="730" spans="2:6" ht="12.75" customHeight="1" x14ac:dyDescent="0.2">
      <c r="B730" s="84"/>
      <c r="E730" s="84"/>
      <c r="F730" s="84"/>
    </row>
    <row r="731" spans="2:6" ht="12.75" customHeight="1" x14ac:dyDescent="0.2">
      <c r="B731" s="84"/>
      <c r="E731" s="84"/>
      <c r="F731" s="84"/>
    </row>
    <row r="732" spans="2:6" ht="12.75" customHeight="1" x14ac:dyDescent="0.2">
      <c r="B732" s="84"/>
      <c r="E732" s="84"/>
      <c r="F732" s="84"/>
    </row>
    <row r="733" spans="2:6" ht="12.75" customHeight="1" x14ac:dyDescent="0.2">
      <c r="B733" s="84"/>
      <c r="E733" s="84"/>
      <c r="F733" s="84"/>
    </row>
    <row r="734" spans="2:6" ht="12.75" customHeight="1" x14ac:dyDescent="0.2">
      <c r="B734" s="84"/>
      <c r="E734" s="84"/>
      <c r="F734" s="84"/>
    </row>
    <row r="735" spans="2:6" ht="12.75" customHeight="1" x14ac:dyDescent="0.2">
      <c r="B735" s="84"/>
      <c r="E735" s="84"/>
      <c r="F735" s="84"/>
    </row>
    <row r="736" spans="2:6" ht="12.75" customHeight="1" x14ac:dyDescent="0.2">
      <c r="B736" s="84"/>
      <c r="E736" s="84"/>
      <c r="F736" s="84"/>
    </row>
    <row r="737" spans="2:6" ht="12.75" customHeight="1" x14ac:dyDescent="0.2">
      <c r="B737" s="84"/>
      <c r="E737" s="84"/>
      <c r="F737" s="84"/>
    </row>
    <row r="738" spans="2:6" ht="12.75" customHeight="1" x14ac:dyDescent="0.2">
      <c r="B738" s="84"/>
      <c r="E738" s="84"/>
      <c r="F738" s="84"/>
    </row>
    <row r="739" spans="2:6" ht="12.75" customHeight="1" x14ac:dyDescent="0.2">
      <c r="B739" s="84"/>
      <c r="E739" s="84"/>
      <c r="F739" s="84"/>
    </row>
    <row r="740" spans="2:6" ht="12.75" customHeight="1" x14ac:dyDescent="0.2">
      <c r="B740" s="84"/>
      <c r="E740" s="84"/>
      <c r="F740" s="84"/>
    </row>
    <row r="741" spans="2:6" ht="12.75" customHeight="1" x14ac:dyDescent="0.2">
      <c r="B741" s="84"/>
      <c r="E741" s="84"/>
      <c r="F741" s="84"/>
    </row>
    <row r="742" spans="2:6" ht="12.75" customHeight="1" x14ac:dyDescent="0.2">
      <c r="B742" s="84"/>
      <c r="E742" s="84"/>
      <c r="F742" s="84"/>
    </row>
    <row r="743" spans="2:6" ht="12.75" customHeight="1" x14ac:dyDescent="0.2">
      <c r="B743" s="84"/>
      <c r="E743" s="84"/>
      <c r="F743" s="84"/>
    </row>
    <row r="744" spans="2:6" ht="12.75" customHeight="1" x14ac:dyDescent="0.2">
      <c r="B744" s="84"/>
      <c r="E744" s="84"/>
      <c r="F744" s="84"/>
    </row>
    <row r="745" spans="2:6" ht="12.75" customHeight="1" x14ac:dyDescent="0.2">
      <c r="B745" s="84"/>
      <c r="E745" s="84"/>
      <c r="F745" s="84"/>
    </row>
    <row r="746" spans="2:6" ht="12.75" customHeight="1" x14ac:dyDescent="0.2">
      <c r="B746" s="84"/>
      <c r="E746" s="84"/>
      <c r="F746" s="84"/>
    </row>
    <row r="747" spans="2:6" ht="12.75" customHeight="1" x14ac:dyDescent="0.2">
      <c r="B747" s="84"/>
      <c r="E747" s="84"/>
      <c r="F747" s="84"/>
    </row>
    <row r="748" spans="2:6" ht="12.75" customHeight="1" x14ac:dyDescent="0.2">
      <c r="B748" s="84"/>
      <c r="E748" s="84"/>
      <c r="F748" s="84"/>
    </row>
    <row r="749" spans="2:6" ht="12.75" customHeight="1" x14ac:dyDescent="0.2">
      <c r="B749" s="84"/>
      <c r="E749" s="84"/>
      <c r="F749" s="84"/>
    </row>
    <row r="750" spans="2:6" ht="12.75" customHeight="1" x14ac:dyDescent="0.2">
      <c r="B750" s="84"/>
      <c r="E750" s="84"/>
      <c r="F750" s="84"/>
    </row>
    <row r="751" spans="2:6" ht="12.75" customHeight="1" x14ac:dyDescent="0.2">
      <c r="B751" s="84"/>
      <c r="E751" s="84"/>
      <c r="F751" s="84"/>
    </row>
    <row r="752" spans="2:6" ht="12.75" customHeight="1" x14ac:dyDescent="0.2">
      <c r="B752" s="84"/>
      <c r="E752" s="84"/>
      <c r="F752" s="84"/>
    </row>
    <row r="753" spans="2:6" ht="12.75" customHeight="1" x14ac:dyDescent="0.2">
      <c r="B753" s="84"/>
      <c r="E753" s="84"/>
      <c r="F753" s="84"/>
    </row>
    <row r="754" spans="2:6" ht="12.75" customHeight="1" x14ac:dyDescent="0.2">
      <c r="B754" s="84"/>
      <c r="E754" s="84"/>
      <c r="F754" s="84"/>
    </row>
    <row r="755" spans="2:6" ht="12.75" customHeight="1" x14ac:dyDescent="0.2">
      <c r="B755" s="84"/>
      <c r="E755" s="84"/>
      <c r="F755" s="84"/>
    </row>
    <row r="756" spans="2:6" ht="12.75" customHeight="1" x14ac:dyDescent="0.2">
      <c r="B756" s="84"/>
      <c r="E756" s="84"/>
      <c r="F756" s="84"/>
    </row>
    <row r="757" spans="2:6" ht="12.75" customHeight="1" x14ac:dyDescent="0.2">
      <c r="B757" s="84"/>
      <c r="E757" s="84"/>
      <c r="F757" s="84"/>
    </row>
    <row r="758" spans="2:6" ht="12.75" customHeight="1" x14ac:dyDescent="0.2">
      <c r="B758" s="84"/>
      <c r="E758" s="84"/>
      <c r="F758" s="84"/>
    </row>
    <row r="759" spans="2:6" ht="12.75" customHeight="1" x14ac:dyDescent="0.2">
      <c r="B759" s="84"/>
      <c r="E759" s="84"/>
      <c r="F759" s="84"/>
    </row>
    <row r="760" spans="2:6" ht="12.75" customHeight="1" x14ac:dyDescent="0.2">
      <c r="B760" s="84"/>
      <c r="E760" s="84"/>
      <c r="F760" s="84"/>
    </row>
    <row r="761" spans="2:6" ht="12.75" customHeight="1" x14ac:dyDescent="0.2">
      <c r="B761" s="84"/>
      <c r="E761" s="84"/>
      <c r="F761" s="84"/>
    </row>
    <row r="762" spans="2:6" ht="12.75" customHeight="1" x14ac:dyDescent="0.2">
      <c r="B762" s="84"/>
      <c r="E762" s="84"/>
      <c r="F762" s="84"/>
    </row>
    <row r="763" spans="2:6" ht="12.75" customHeight="1" x14ac:dyDescent="0.2">
      <c r="B763" s="84"/>
      <c r="E763" s="84"/>
      <c r="F763" s="84"/>
    </row>
    <row r="764" spans="2:6" ht="12.75" customHeight="1" x14ac:dyDescent="0.2">
      <c r="B764" s="84"/>
      <c r="E764" s="84"/>
      <c r="F764" s="84"/>
    </row>
    <row r="765" spans="2:6" ht="12.75" customHeight="1" x14ac:dyDescent="0.2">
      <c r="B765" s="84"/>
      <c r="E765" s="84"/>
      <c r="F765" s="84"/>
    </row>
    <row r="766" spans="2:6" ht="12.75" customHeight="1" x14ac:dyDescent="0.2">
      <c r="B766" s="84"/>
      <c r="E766" s="84"/>
      <c r="F766" s="84"/>
    </row>
    <row r="767" spans="2:6" ht="12.75" customHeight="1" x14ac:dyDescent="0.2">
      <c r="B767" s="84"/>
      <c r="E767" s="84"/>
      <c r="F767" s="84"/>
    </row>
    <row r="768" spans="2:6" ht="12.75" customHeight="1" x14ac:dyDescent="0.2">
      <c r="B768" s="84"/>
      <c r="E768" s="84"/>
      <c r="F768" s="84"/>
    </row>
    <row r="769" spans="2:6" ht="12.75" customHeight="1" x14ac:dyDescent="0.2">
      <c r="B769" s="84"/>
      <c r="E769" s="84"/>
      <c r="F769" s="84"/>
    </row>
    <row r="770" spans="2:6" ht="12.75" customHeight="1" x14ac:dyDescent="0.2">
      <c r="B770" s="84"/>
      <c r="E770" s="84"/>
      <c r="F770" s="84"/>
    </row>
    <row r="771" spans="2:6" ht="12.75" customHeight="1" x14ac:dyDescent="0.2">
      <c r="B771" s="84"/>
      <c r="E771" s="84"/>
      <c r="F771" s="84"/>
    </row>
    <row r="772" spans="2:6" ht="12.75" customHeight="1" x14ac:dyDescent="0.2">
      <c r="B772" s="84"/>
      <c r="E772" s="84"/>
      <c r="F772" s="84"/>
    </row>
    <row r="773" spans="2:6" ht="12.75" customHeight="1" x14ac:dyDescent="0.2">
      <c r="B773" s="84"/>
      <c r="E773" s="84"/>
      <c r="F773" s="84"/>
    </row>
    <row r="774" spans="2:6" ht="12.75" customHeight="1" x14ac:dyDescent="0.2">
      <c r="B774" s="84"/>
      <c r="E774" s="84"/>
      <c r="F774" s="84"/>
    </row>
    <row r="775" spans="2:6" ht="12.75" customHeight="1" x14ac:dyDescent="0.2">
      <c r="B775" s="84"/>
      <c r="E775" s="84"/>
      <c r="F775" s="84"/>
    </row>
    <row r="776" spans="2:6" ht="12.75" customHeight="1" x14ac:dyDescent="0.2">
      <c r="B776" s="84"/>
      <c r="E776" s="84"/>
      <c r="F776" s="84"/>
    </row>
    <row r="777" spans="2:6" ht="12.75" customHeight="1" x14ac:dyDescent="0.2">
      <c r="B777" s="84"/>
      <c r="E777" s="84"/>
      <c r="F777" s="84"/>
    </row>
    <row r="778" spans="2:6" ht="12.75" customHeight="1" x14ac:dyDescent="0.2">
      <c r="B778" s="84"/>
      <c r="E778" s="84"/>
      <c r="F778" s="84"/>
    </row>
    <row r="779" spans="2:6" ht="12.75" customHeight="1" x14ac:dyDescent="0.2">
      <c r="B779" s="84"/>
      <c r="E779" s="84"/>
      <c r="F779" s="84"/>
    </row>
    <row r="780" spans="2:6" ht="12.75" customHeight="1" x14ac:dyDescent="0.2">
      <c r="B780" s="84"/>
      <c r="E780" s="84"/>
      <c r="F780" s="84"/>
    </row>
    <row r="781" spans="2:6" ht="12.75" customHeight="1" x14ac:dyDescent="0.2">
      <c r="B781" s="84"/>
      <c r="E781" s="84"/>
      <c r="F781" s="84"/>
    </row>
    <row r="782" spans="2:6" ht="12.75" customHeight="1" x14ac:dyDescent="0.2">
      <c r="B782" s="84"/>
      <c r="E782" s="84"/>
      <c r="F782" s="84"/>
    </row>
    <row r="783" spans="2:6" ht="12.75" customHeight="1" x14ac:dyDescent="0.2">
      <c r="B783" s="84"/>
      <c r="E783" s="84"/>
      <c r="F783" s="84"/>
    </row>
    <row r="784" spans="2:6" ht="12.75" customHeight="1" x14ac:dyDescent="0.2">
      <c r="B784" s="84"/>
      <c r="E784" s="84"/>
      <c r="F784" s="84"/>
    </row>
    <row r="785" spans="2:6" ht="12.75" customHeight="1" x14ac:dyDescent="0.2">
      <c r="B785" s="84"/>
      <c r="E785" s="84"/>
      <c r="F785" s="84"/>
    </row>
    <row r="786" spans="2:6" ht="12.75" customHeight="1" x14ac:dyDescent="0.2">
      <c r="B786" s="84"/>
      <c r="E786" s="84"/>
      <c r="F786" s="84"/>
    </row>
    <row r="787" spans="2:6" ht="12.75" customHeight="1" x14ac:dyDescent="0.2">
      <c r="B787" s="84"/>
      <c r="E787" s="84"/>
      <c r="F787" s="84"/>
    </row>
    <row r="788" spans="2:6" ht="12.75" customHeight="1" x14ac:dyDescent="0.2">
      <c r="B788" s="84"/>
      <c r="E788" s="84"/>
      <c r="F788" s="84"/>
    </row>
    <row r="789" spans="2:6" ht="12.75" customHeight="1" x14ac:dyDescent="0.2">
      <c r="B789" s="84"/>
      <c r="E789" s="84"/>
      <c r="F789" s="84"/>
    </row>
    <row r="790" spans="2:6" ht="12.75" customHeight="1" x14ac:dyDescent="0.2">
      <c r="B790" s="84"/>
      <c r="E790" s="84"/>
      <c r="F790" s="84"/>
    </row>
    <row r="791" spans="2:6" ht="12.75" customHeight="1" x14ac:dyDescent="0.2">
      <c r="B791" s="84"/>
      <c r="E791" s="84"/>
      <c r="F791" s="84"/>
    </row>
    <row r="792" spans="2:6" ht="12.75" customHeight="1" x14ac:dyDescent="0.2">
      <c r="B792" s="84"/>
      <c r="E792" s="84"/>
      <c r="F792" s="84"/>
    </row>
    <row r="793" spans="2:6" ht="12.75" customHeight="1" x14ac:dyDescent="0.2">
      <c r="B793" s="84"/>
      <c r="E793" s="84"/>
      <c r="F793" s="84"/>
    </row>
    <row r="794" spans="2:6" ht="12.75" customHeight="1" x14ac:dyDescent="0.2">
      <c r="B794" s="84"/>
      <c r="E794" s="84"/>
      <c r="F794" s="84"/>
    </row>
    <row r="795" spans="2:6" ht="12.75" customHeight="1" x14ac:dyDescent="0.2">
      <c r="B795" s="84"/>
      <c r="E795" s="84"/>
      <c r="F795" s="84"/>
    </row>
    <row r="796" spans="2:6" ht="12.75" customHeight="1" x14ac:dyDescent="0.2">
      <c r="B796" s="84"/>
      <c r="E796" s="84"/>
      <c r="F796" s="84"/>
    </row>
    <row r="797" spans="2:6" ht="12.75" customHeight="1" x14ac:dyDescent="0.2">
      <c r="B797" s="84"/>
      <c r="E797" s="84"/>
      <c r="F797" s="84"/>
    </row>
    <row r="798" spans="2:6" ht="12.75" customHeight="1" x14ac:dyDescent="0.2">
      <c r="B798" s="84"/>
      <c r="E798" s="84"/>
      <c r="F798" s="84"/>
    </row>
    <row r="799" spans="2:6" ht="12.75" customHeight="1" x14ac:dyDescent="0.2">
      <c r="B799" s="84"/>
      <c r="E799" s="84"/>
      <c r="F799" s="84"/>
    </row>
    <row r="800" spans="2:6" ht="12.75" customHeight="1" x14ac:dyDescent="0.2">
      <c r="B800" s="84"/>
      <c r="E800" s="84"/>
      <c r="F800" s="84"/>
    </row>
    <row r="801" spans="2:6" ht="12.75" customHeight="1" x14ac:dyDescent="0.2">
      <c r="B801" s="84"/>
      <c r="E801" s="84"/>
      <c r="F801" s="84"/>
    </row>
    <row r="802" spans="2:6" ht="12.75" customHeight="1" x14ac:dyDescent="0.2">
      <c r="B802" s="84"/>
      <c r="E802" s="84"/>
      <c r="F802" s="84"/>
    </row>
    <row r="803" spans="2:6" ht="12.75" customHeight="1" x14ac:dyDescent="0.2">
      <c r="B803" s="84"/>
      <c r="E803" s="84"/>
      <c r="F803" s="84"/>
    </row>
    <row r="804" spans="2:6" ht="12.75" customHeight="1" x14ac:dyDescent="0.2">
      <c r="B804" s="84"/>
      <c r="E804" s="84"/>
      <c r="F804" s="84"/>
    </row>
    <row r="805" spans="2:6" ht="12.75" customHeight="1" x14ac:dyDescent="0.2">
      <c r="B805" s="84"/>
      <c r="E805" s="84"/>
      <c r="F805" s="84"/>
    </row>
    <row r="806" spans="2:6" ht="12.75" customHeight="1" x14ac:dyDescent="0.2">
      <c r="B806" s="84"/>
      <c r="E806" s="84"/>
      <c r="F806" s="84"/>
    </row>
    <row r="807" spans="2:6" ht="12.75" customHeight="1" x14ac:dyDescent="0.2">
      <c r="B807" s="84"/>
      <c r="E807" s="84"/>
      <c r="F807" s="84"/>
    </row>
    <row r="808" spans="2:6" ht="12.75" customHeight="1" x14ac:dyDescent="0.2">
      <c r="B808" s="84"/>
      <c r="E808" s="84"/>
      <c r="F808" s="84"/>
    </row>
    <row r="809" spans="2:6" ht="12.75" customHeight="1" x14ac:dyDescent="0.2">
      <c r="B809" s="84"/>
      <c r="E809" s="84"/>
      <c r="F809" s="84"/>
    </row>
    <row r="810" spans="2:6" ht="12.75" customHeight="1" x14ac:dyDescent="0.2">
      <c r="B810" s="84"/>
      <c r="E810" s="84"/>
      <c r="F810" s="84"/>
    </row>
    <row r="811" spans="2:6" ht="12.75" customHeight="1" x14ac:dyDescent="0.2">
      <c r="B811" s="84"/>
      <c r="E811" s="84"/>
      <c r="F811" s="84"/>
    </row>
    <row r="812" spans="2:6" ht="12.75" customHeight="1" x14ac:dyDescent="0.2">
      <c r="B812" s="84"/>
      <c r="E812" s="84"/>
      <c r="F812" s="84"/>
    </row>
    <row r="813" spans="2:6" ht="12.75" customHeight="1" x14ac:dyDescent="0.2">
      <c r="B813" s="84"/>
      <c r="E813" s="84"/>
      <c r="F813" s="84"/>
    </row>
    <row r="814" spans="2:6" ht="12.75" customHeight="1" x14ac:dyDescent="0.2">
      <c r="B814" s="84"/>
      <c r="E814" s="84"/>
      <c r="F814" s="84"/>
    </row>
    <row r="815" spans="2:6" ht="12.75" customHeight="1" x14ac:dyDescent="0.2">
      <c r="B815" s="84"/>
      <c r="E815" s="84"/>
      <c r="F815" s="84"/>
    </row>
    <row r="816" spans="2:6" ht="12.75" customHeight="1" x14ac:dyDescent="0.2">
      <c r="B816" s="84"/>
      <c r="E816" s="84"/>
      <c r="F816" s="84"/>
    </row>
    <row r="817" spans="2:6" ht="12.75" customHeight="1" x14ac:dyDescent="0.2">
      <c r="B817" s="84"/>
      <c r="E817" s="84"/>
      <c r="F817" s="84"/>
    </row>
    <row r="818" spans="2:6" ht="12.75" customHeight="1" x14ac:dyDescent="0.2">
      <c r="B818" s="84"/>
      <c r="E818" s="84"/>
      <c r="F818" s="84"/>
    </row>
    <row r="819" spans="2:6" ht="12.75" customHeight="1" x14ac:dyDescent="0.2">
      <c r="B819" s="84"/>
      <c r="E819" s="84"/>
      <c r="F819" s="84"/>
    </row>
    <row r="820" spans="2:6" ht="12.75" customHeight="1" x14ac:dyDescent="0.2">
      <c r="B820" s="84"/>
      <c r="E820" s="84"/>
      <c r="F820" s="84"/>
    </row>
    <row r="821" spans="2:6" ht="12.75" customHeight="1" x14ac:dyDescent="0.2">
      <c r="B821" s="84"/>
      <c r="E821" s="84"/>
      <c r="F821" s="84"/>
    </row>
    <row r="822" spans="2:6" ht="12.75" customHeight="1" x14ac:dyDescent="0.2">
      <c r="B822" s="84"/>
      <c r="E822" s="84"/>
      <c r="F822" s="84"/>
    </row>
    <row r="823" spans="2:6" ht="12.75" customHeight="1" x14ac:dyDescent="0.2">
      <c r="B823" s="84"/>
      <c r="E823" s="84"/>
      <c r="F823" s="84"/>
    </row>
    <row r="824" spans="2:6" ht="12.75" customHeight="1" x14ac:dyDescent="0.2">
      <c r="B824" s="84"/>
      <c r="E824" s="84"/>
      <c r="F824" s="84"/>
    </row>
    <row r="825" spans="2:6" ht="12.75" customHeight="1" x14ac:dyDescent="0.2">
      <c r="B825" s="84"/>
      <c r="E825" s="84"/>
      <c r="F825" s="84"/>
    </row>
    <row r="826" spans="2:6" ht="12.75" customHeight="1" x14ac:dyDescent="0.2">
      <c r="B826" s="84"/>
      <c r="E826" s="84"/>
      <c r="F826" s="84"/>
    </row>
    <row r="827" spans="2:6" ht="12.75" customHeight="1" x14ac:dyDescent="0.2">
      <c r="B827" s="84"/>
      <c r="E827" s="84"/>
      <c r="F827" s="84"/>
    </row>
    <row r="828" spans="2:6" ht="12.75" customHeight="1" x14ac:dyDescent="0.2">
      <c r="B828" s="84"/>
      <c r="E828" s="84"/>
      <c r="F828" s="84"/>
    </row>
    <row r="829" spans="2:6" ht="12.75" customHeight="1" x14ac:dyDescent="0.2">
      <c r="B829" s="84"/>
      <c r="E829" s="84"/>
      <c r="F829" s="84"/>
    </row>
    <row r="830" spans="2:6" ht="12.75" customHeight="1" x14ac:dyDescent="0.2">
      <c r="B830" s="84"/>
      <c r="E830" s="84"/>
      <c r="F830" s="84"/>
    </row>
    <row r="831" spans="2:6" ht="12.75" customHeight="1" x14ac:dyDescent="0.2">
      <c r="B831" s="84"/>
      <c r="E831" s="84"/>
      <c r="F831" s="84"/>
    </row>
    <row r="832" spans="2:6" ht="12.75" customHeight="1" x14ac:dyDescent="0.2">
      <c r="B832" s="84"/>
      <c r="E832" s="84"/>
      <c r="F832" s="84"/>
    </row>
    <row r="833" spans="2:6" ht="12.75" customHeight="1" x14ac:dyDescent="0.2">
      <c r="B833" s="84"/>
      <c r="E833" s="84"/>
      <c r="F833" s="84"/>
    </row>
    <row r="834" spans="2:6" ht="12.75" customHeight="1" x14ac:dyDescent="0.2">
      <c r="B834" s="84"/>
      <c r="E834" s="84"/>
      <c r="F834" s="84"/>
    </row>
    <row r="835" spans="2:6" ht="12.75" customHeight="1" x14ac:dyDescent="0.2">
      <c r="B835" s="84"/>
      <c r="E835" s="84"/>
      <c r="F835" s="84"/>
    </row>
    <row r="836" spans="2:6" ht="12.75" customHeight="1" x14ac:dyDescent="0.2">
      <c r="B836" s="84"/>
      <c r="E836" s="84"/>
      <c r="F836" s="84"/>
    </row>
    <row r="837" spans="2:6" ht="12.75" customHeight="1" x14ac:dyDescent="0.2">
      <c r="B837" s="84"/>
      <c r="E837" s="84"/>
      <c r="F837" s="84"/>
    </row>
    <row r="838" spans="2:6" ht="12.75" customHeight="1" x14ac:dyDescent="0.2">
      <c r="B838" s="84"/>
      <c r="E838" s="84"/>
      <c r="F838" s="84"/>
    </row>
    <row r="839" spans="2:6" ht="12.75" customHeight="1" x14ac:dyDescent="0.2">
      <c r="B839" s="84"/>
      <c r="E839" s="84"/>
      <c r="F839" s="84"/>
    </row>
    <row r="840" spans="2:6" ht="12.75" customHeight="1" x14ac:dyDescent="0.2">
      <c r="B840" s="84"/>
      <c r="E840" s="84"/>
      <c r="F840" s="84"/>
    </row>
    <row r="841" spans="2:6" ht="12.75" customHeight="1" x14ac:dyDescent="0.2">
      <c r="B841" s="84"/>
      <c r="E841" s="84"/>
      <c r="F841" s="84"/>
    </row>
    <row r="842" spans="2:6" ht="12.75" customHeight="1" x14ac:dyDescent="0.2">
      <c r="B842" s="84"/>
      <c r="E842" s="84"/>
      <c r="F842" s="84"/>
    </row>
    <row r="843" spans="2:6" ht="12.75" customHeight="1" x14ac:dyDescent="0.2">
      <c r="B843" s="84"/>
      <c r="E843" s="84"/>
      <c r="F843" s="84"/>
    </row>
    <row r="844" spans="2:6" ht="12.75" customHeight="1" x14ac:dyDescent="0.2">
      <c r="B844" s="84"/>
      <c r="E844" s="84"/>
      <c r="F844" s="84"/>
    </row>
    <row r="845" spans="2:6" ht="12.75" customHeight="1" x14ac:dyDescent="0.2">
      <c r="B845" s="84"/>
      <c r="E845" s="84"/>
      <c r="F845" s="84"/>
    </row>
    <row r="846" spans="2:6" ht="12.75" customHeight="1" x14ac:dyDescent="0.2">
      <c r="B846" s="84"/>
      <c r="E846" s="84"/>
      <c r="F846" s="84"/>
    </row>
    <row r="847" spans="2:6" ht="12.75" customHeight="1" x14ac:dyDescent="0.2">
      <c r="B847" s="84"/>
      <c r="E847" s="84"/>
      <c r="F847" s="84"/>
    </row>
    <row r="848" spans="2:6" ht="12.75" customHeight="1" x14ac:dyDescent="0.2">
      <c r="B848" s="84"/>
      <c r="E848" s="84"/>
      <c r="F848" s="84"/>
    </row>
    <row r="849" spans="2:6" ht="12.75" customHeight="1" x14ac:dyDescent="0.2">
      <c r="B849" s="84"/>
      <c r="E849" s="84"/>
      <c r="F849" s="84"/>
    </row>
    <row r="850" spans="2:6" ht="12.75" customHeight="1" x14ac:dyDescent="0.2">
      <c r="B850" s="84"/>
      <c r="E850" s="84"/>
      <c r="F850" s="84"/>
    </row>
    <row r="851" spans="2:6" ht="12.75" customHeight="1" x14ac:dyDescent="0.2">
      <c r="B851" s="84"/>
      <c r="E851" s="84"/>
      <c r="F851" s="84"/>
    </row>
    <row r="852" spans="2:6" ht="12.75" customHeight="1" x14ac:dyDescent="0.2">
      <c r="B852" s="84"/>
      <c r="E852" s="84"/>
      <c r="F852" s="84"/>
    </row>
    <row r="853" spans="2:6" ht="12.75" customHeight="1" x14ac:dyDescent="0.2">
      <c r="B853" s="84"/>
      <c r="E853" s="84"/>
      <c r="F853" s="84"/>
    </row>
    <row r="854" spans="2:6" ht="12.75" customHeight="1" x14ac:dyDescent="0.2">
      <c r="B854" s="84"/>
      <c r="E854" s="84"/>
      <c r="F854" s="84"/>
    </row>
    <row r="855" spans="2:6" ht="12.75" customHeight="1" x14ac:dyDescent="0.2">
      <c r="B855" s="84"/>
      <c r="E855" s="84"/>
      <c r="F855" s="84"/>
    </row>
    <row r="856" spans="2:6" ht="12.75" customHeight="1" x14ac:dyDescent="0.2">
      <c r="B856" s="84"/>
      <c r="E856" s="84"/>
      <c r="F856" s="84"/>
    </row>
    <row r="857" spans="2:6" ht="12.75" customHeight="1" x14ac:dyDescent="0.2">
      <c r="B857" s="84"/>
      <c r="E857" s="84"/>
      <c r="F857" s="84"/>
    </row>
    <row r="858" spans="2:6" ht="12.75" customHeight="1" x14ac:dyDescent="0.2">
      <c r="B858" s="84"/>
      <c r="E858" s="84"/>
      <c r="F858" s="84"/>
    </row>
    <row r="859" spans="2:6" ht="12.75" customHeight="1" x14ac:dyDescent="0.2">
      <c r="B859" s="84"/>
      <c r="E859" s="84"/>
      <c r="F859" s="84"/>
    </row>
    <row r="860" spans="2:6" ht="12.75" customHeight="1" x14ac:dyDescent="0.2">
      <c r="B860" s="84"/>
      <c r="E860" s="84"/>
      <c r="F860" s="84"/>
    </row>
    <row r="861" spans="2:6" ht="12.75" customHeight="1" x14ac:dyDescent="0.2">
      <c r="B861" s="84"/>
      <c r="E861" s="84"/>
      <c r="F861" s="84"/>
    </row>
    <row r="862" spans="2:6" ht="12.75" customHeight="1" x14ac:dyDescent="0.2">
      <c r="B862" s="84"/>
      <c r="E862" s="84"/>
      <c r="F862" s="84"/>
    </row>
    <row r="863" spans="2:6" ht="12.75" customHeight="1" x14ac:dyDescent="0.2">
      <c r="B863" s="84"/>
      <c r="E863" s="84"/>
      <c r="F863" s="84"/>
    </row>
    <row r="864" spans="2:6" ht="12.75" customHeight="1" x14ac:dyDescent="0.2">
      <c r="B864" s="84"/>
      <c r="E864" s="84"/>
      <c r="F864" s="84"/>
    </row>
    <row r="865" spans="2:6" ht="12.75" customHeight="1" x14ac:dyDescent="0.2">
      <c r="B865" s="84"/>
      <c r="E865" s="84"/>
      <c r="F865" s="84"/>
    </row>
    <row r="866" spans="2:6" ht="12.75" customHeight="1" x14ac:dyDescent="0.2">
      <c r="B866" s="84"/>
      <c r="E866" s="84"/>
      <c r="F866" s="84"/>
    </row>
    <row r="867" spans="2:6" ht="12.75" customHeight="1" x14ac:dyDescent="0.2">
      <c r="B867" s="84"/>
      <c r="E867" s="84"/>
      <c r="F867" s="84"/>
    </row>
    <row r="868" spans="2:6" ht="12.75" customHeight="1" x14ac:dyDescent="0.2">
      <c r="B868" s="84"/>
      <c r="E868" s="84"/>
      <c r="F868" s="84"/>
    </row>
    <row r="869" spans="2:6" ht="12.75" customHeight="1" x14ac:dyDescent="0.2">
      <c r="B869" s="84"/>
      <c r="E869" s="84"/>
      <c r="F869" s="84"/>
    </row>
    <row r="870" spans="2:6" ht="12.75" customHeight="1" x14ac:dyDescent="0.2">
      <c r="B870" s="84"/>
      <c r="E870" s="84"/>
      <c r="F870" s="84"/>
    </row>
    <row r="871" spans="2:6" ht="12.75" customHeight="1" x14ac:dyDescent="0.2">
      <c r="B871" s="84"/>
      <c r="E871" s="84"/>
      <c r="F871" s="84"/>
    </row>
    <row r="872" spans="2:6" ht="12.75" customHeight="1" x14ac:dyDescent="0.2">
      <c r="B872" s="84"/>
      <c r="E872" s="84"/>
      <c r="F872" s="84"/>
    </row>
    <row r="873" spans="2:6" ht="12.75" customHeight="1" x14ac:dyDescent="0.2">
      <c r="B873" s="84"/>
      <c r="E873" s="84"/>
      <c r="F873" s="84"/>
    </row>
    <row r="874" spans="2:6" ht="12.75" customHeight="1" x14ac:dyDescent="0.2">
      <c r="B874" s="84"/>
      <c r="E874" s="84"/>
      <c r="F874" s="84"/>
    </row>
    <row r="875" spans="2:6" ht="12.75" customHeight="1" x14ac:dyDescent="0.2">
      <c r="B875" s="84"/>
      <c r="E875" s="84"/>
      <c r="F875" s="84"/>
    </row>
    <row r="876" spans="2:6" ht="12.75" customHeight="1" x14ac:dyDescent="0.2">
      <c r="B876" s="84"/>
      <c r="E876" s="84"/>
      <c r="F876" s="84"/>
    </row>
    <row r="877" spans="2:6" ht="12.75" customHeight="1" x14ac:dyDescent="0.2">
      <c r="B877" s="84"/>
      <c r="E877" s="84"/>
      <c r="F877" s="84"/>
    </row>
    <row r="878" spans="2:6" ht="12.75" customHeight="1" x14ac:dyDescent="0.2">
      <c r="B878" s="84"/>
      <c r="E878" s="84"/>
      <c r="F878" s="84"/>
    </row>
    <row r="879" spans="2:6" ht="12.75" customHeight="1" x14ac:dyDescent="0.2">
      <c r="B879" s="84"/>
      <c r="E879" s="84"/>
      <c r="F879" s="84"/>
    </row>
    <row r="880" spans="2:6" ht="12.75" customHeight="1" x14ac:dyDescent="0.2">
      <c r="B880" s="84"/>
      <c r="E880" s="84"/>
      <c r="F880" s="84"/>
    </row>
    <row r="881" spans="2:6" ht="12.75" customHeight="1" x14ac:dyDescent="0.2">
      <c r="B881" s="84"/>
      <c r="E881" s="84"/>
      <c r="F881" s="84"/>
    </row>
    <row r="882" spans="2:6" ht="12.75" customHeight="1" x14ac:dyDescent="0.2">
      <c r="B882" s="84"/>
      <c r="E882" s="84"/>
      <c r="F882" s="84"/>
    </row>
    <row r="883" spans="2:6" ht="12.75" customHeight="1" x14ac:dyDescent="0.2">
      <c r="B883" s="84"/>
      <c r="E883" s="84"/>
      <c r="F883" s="84"/>
    </row>
    <row r="884" spans="2:6" ht="12.75" customHeight="1" x14ac:dyDescent="0.2">
      <c r="B884" s="84"/>
      <c r="E884" s="84"/>
      <c r="F884" s="84"/>
    </row>
    <row r="885" spans="2:6" ht="12.75" customHeight="1" x14ac:dyDescent="0.2">
      <c r="B885" s="84"/>
      <c r="E885" s="84"/>
      <c r="F885" s="84"/>
    </row>
    <row r="886" spans="2:6" ht="12.75" customHeight="1" x14ac:dyDescent="0.2">
      <c r="B886" s="84"/>
      <c r="E886" s="84"/>
      <c r="F886" s="84"/>
    </row>
    <row r="887" spans="2:6" ht="12.75" customHeight="1" x14ac:dyDescent="0.2">
      <c r="B887" s="84"/>
      <c r="E887" s="84"/>
      <c r="F887" s="84"/>
    </row>
    <row r="888" spans="2:6" ht="12.75" customHeight="1" x14ac:dyDescent="0.2">
      <c r="B888" s="84"/>
      <c r="E888" s="84"/>
      <c r="F888" s="84"/>
    </row>
    <row r="889" spans="2:6" ht="12.75" customHeight="1" x14ac:dyDescent="0.2">
      <c r="B889" s="84"/>
      <c r="E889" s="84"/>
      <c r="F889" s="84"/>
    </row>
    <row r="890" spans="2:6" ht="12.75" customHeight="1" x14ac:dyDescent="0.2">
      <c r="B890" s="84"/>
      <c r="E890" s="84"/>
      <c r="F890" s="84"/>
    </row>
    <row r="891" spans="2:6" ht="12.75" customHeight="1" x14ac:dyDescent="0.2">
      <c r="B891" s="84"/>
      <c r="E891" s="84"/>
      <c r="F891" s="84"/>
    </row>
    <row r="892" spans="2:6" ht="12.75" customHeight="1" x14ac:dyDescent="0.2">
      <c r="B892" s="84"/>
      <c r="E892" s="84"/>
      <c r="F892" s="84"/>
    </row>
    <row r="893" spans="2:6" ht="12.75" customHeight="1" x14ac:dyDescent="0.2">
      <c r="B893" s="84"/>
      <c r="E893" s="84"/>
      <c r="F893" s="84"/>
    </row>
    <row r="894" spans="2:6" ht="12.75" customHeight="1" x14ac:dyDescent="0.2">
      <c r="B894" s="84"/>
      <c r="E894" s="84"/>
      <c r="F894" s="84"/>
    </row>
    <row r="895" spans="2:6" ht="12.75" customHeight="1" x14ac:dyDescent="0.2">
      <c r="B895" s="84"/>
      <c r="E895" s="84"/>
      <c r="F895" s="84"/>
    </row>
    <row r="896" spans="2:6" ht="12.75" customHeight="1" x14ac:dyDescent="0.2">
      <c r="B896" s="84"/>
      <c r="E896" s="84"/>
      <c r="F896" s="84"/>
    </row>
    <row r="897" spans="2:6" ht="12.75" customHeight="1" x14ac:dyDescent="0.2">
      <c r="B897" s="84"/>
      <c r="E897" s="84"/>
      <c r="F897" s="84"/>
    </row>
    <row r="898" spans="2:6" ht="12.75" customHeight="1" x14ac:dyDescent="0.2">
      <c r="B898" s="84"/>
      <c r="E898" s="84"/>
      <c r="F898" s="84"/>
    </row>
    <row r="899" spans="2:6" ht="12.75" customHeight="1" x14ac:dyDescent="0.2">
      <c r="B899" s="84"/>
      <c r="E899" s="84"/>
      <c r="F899" s="84"/>
    </row>
    <row r="900" spans="2:6" ht="12.75" customHeight="1" x14ac:dyDescent="0.2">
      <c r="B900" s="84"/>
      <c r="E900" s="84"/>
      <c r="F900" s="84"/>
    </row>
    <row r="901" spans="2:6" ht="12.75" customHeight="1" x14ac:dyDescent="0.2">
      <c r="B901" s="84"/>
      <c r="E901" s="84"/>
      <c r="F901" s="84"/>
    </row>
    <row r="902" spans="2:6" ht="12.75" customHeight="1" x14ac:dyDescent="0.2">
      <c r="B902" s="84"/>
      <c r="E902" s="84"/>
      <c r="F902" s="84"/>
    </row>
    <row r="903" spans="2:6" ht="12.75" customHeight="1" x14ac:dyDescent="0.2">
      <c r="B903" s="84"/>
      <c r="E903" s="84"/>
      <c r="F903" s="84"/>
    </row>
    <row r="904" spans="2:6" ht="12.75" customHeight="1" x14ac:dyDescent="0.2">
      <c r="B904" s="84"/>
      <c r="E904" s="84"/>
      <c r="F904" s="84"/>
    </row>
    <row r="905" spans="2:6" ht="12.75" customHeight="1" x14ac:dyDescent="0.2">
      <c r="B905" s="84"/>
      <c r="E905" s="84"/>
      <c r="F905" s="84"/>
    </row>
    <row r="906" spans="2:6" ht="12.75" customHeight="1" x14ac:dyDescent="0.2">
      <c r="B906" s="84"/>
      <c r="E906" s="84"/>
      <c r="F906" s="84"/>
    </row>
    <row r="907" spans="2:6" ht="12.75" customHeight="1" x14ac:dyDescent="0.2">
      <c r="B907" s="84"/>
      <c r="E907" s="84"/>
      <c r="F907" s="84"/>
    </row>
    <row r="908" spans="2:6" ht="12.75" customHeight="1" x14ac:dyDescent="0.2">
      <c r="B908" s="84"/>
      <c r="E908" s="84"/>
      <c r="F908" s="84"/>
    </row>
    <row r="909" spans="2:6" ht="12.75" customHeight="1" x14ac:dyDescent="0.2">
      <c r="B909" s="84"/>
      <c r="E909" s="84"/>
      <c r="F909" s="84"/>
    </row>
    <row r="910" spans="2:6" ht="12.75" customHeight="1" x14ac:dyDescent="0.2">
      <c r="B910" s="84"/>
      <c r="E910" s="84"/>
      <c r="F910" s="84"/>
    </row>
    <row r="911" spans="2:6" ht="12.75" customHeight="1" x14ac:dyDescent="0.2">
      <c r="B911" s="84"/>
      <c r="E911" s="84"/>
      <c r="F911" s="84"/>
    </row>
    <row r="912" spans="2:6" ht="12.75" customHeight="1" x14ac:dyDescent="0.2">
      <c r="B912" s="84"/>
      <c r="E912" s="84"/>
      <c r="F912" s="84"/>
    </row>
    <row r="913" spans="2:6" ht="12.75" customHeight="1" x14ac:dyDescent="0.2">
      <c r="B913" s="84"/>
      <c r="E913" s="84"/>
      <c r="F913" s="84"/>
    </row>
    <row r="914" spans="2:6" ht="12.75" customHeight="1" x14ac:dyDescent="0.2">
      <c r="B914" s="84"/>
      <c r="E914" s="84"/>
      <c r="F914" s="84"/>
    </row>
    <row r="915" spans="2:6" ht="12.75" customHeight="1" x14ac:dyDescent="0.2">
      <c r="B915" s="84"/>
      <c r="E915" s="84"/>
      <c r="F915" s="84"/>
    </row>
    <row r="916" spans="2:6" ht="12.75" customHeight="1" x14ac:dyDescent="0.2">
      <c r="B916" s="84"/>
      <c r="E916" s="84"/>
      <c r="F916" s="84"/>
    </row>
    <row r="917" spans="2:6" ht="12.75" customHeight="1" x14ac:dyDescent="0.2">
      <c r="B917" s="84"/>
      <c r="E917" s="84"/>
      <c r="F917" s="84"/>
    </row>
    <row r="918" spans="2:6" ht="12.75" customHeight="1" x14ac:dyDescent="0.2">
      <c r="B918" s="84"/>
      <c r="E918" s="84"/>
      <c r="F918" s="84"/>
    </row>
    <row r="919" spans="2:6" ht="12.75" customHeight="1" x14ac:dyDescent="0.2">
      <c r="B919" s="84"/>
      <c r="E919" s="84"/>
      <c r="F919" s="84"/>
    </row>
    <row r="920" spans="2:6" ht="12.75" customHeight="1" x14ac:dyDescent="0.2">
      <c r="B920" s="84"/>
      <c r="E920" s="84"/>
      <c r="F920" s="84"/>
    </row>
    <row r="921" spans="2:6" ht="12.75" customHeight="1" x14ac:dyDescent="0.2">
      <c r="B921" s="84"/>
      <c r="E921" s="84"/>
      <c r="F921" s="84"/>
    </row>
    <row r="922" spans="2:6" ht="12.75" customHeight="1" x14ac:dyDescent="0.2">
      <c r="B922" s="84"/>
      <c r="E922" s="84"/>
      <c r="F922" s="84"/>
    </row>
    <row r="923" spans="2:6" ht="12.75" customHeight="1" x14ac:dyDescent="0.2">
      <c r="B923" s="84"/>
      <c r="E923" s="84"/>
      <c r="F923" s="84"/>
    </row>
    <row r="924" spans="2:6" ht="12.75" customHeight="1" x14ac:dyDescent="0.2">
      <c r="B924" s="84"/>
      <c r="E924" s="84"/>
      <c r="F924" s="84"/>
    </row>
    <row r="925" spans="2:6" ht="12.75" customHeight="1" x14ac:dyDescent="0.2">
      <c r="B925" s="84"/>
      <c r="E925" s="84"/>
      <c r="F925" s="84"/>
    </row>
    <row r="926" spans="2:6" ht="12.75" customHeight="1" x14ac:dyDescent="0.2">
      <c r="B926" s="84"/>
      <c r="E926" s="84"/>
      <c r="F926" s="84"/>
    </row>
    <row r="927" spans="2:6" ht="12.75" customHeight="1" x14ac:dyDescent="0.2">
      <c r="B927" s="84"/>
      <c r="E927" s="84"/>
      <c r="F927" s="84"/>
    </row>
    <row r="928" spans="2:6" ht="12.75" customHeight="1" x14ac:dyDescent="0.2">
      <c r="B928" s="84"/>
      <c r="E928" s="84"/>
      <c r="F928" s="84"/>
    </row>
    <row r="929" spans="2:6" ht="12.75" customHeight="1" x14ac:dyDescent="0.2">
      <c r="B929" s="84"/>
      <c r="E929" s="84"/>
      <c r="F929" s="84"/>
    </row>
    <row r="930" spans="2:6" ht="12.75" customHeight="1" x14ac:dyDescent="0.2">
      <c r="B930" s="84"/>
      <c r="E930" s="84"/>
      <c r="F930" s="84"/>
    </row>
    <row r="931" spans="2:6" ht="12.75" customHeight="1" x14ac:dyDescent="0.2">
      <c r="B931" s="84"/>
      <c r="E931" s="84"/>
      <c r="F931" s="84"/>
    </row>
    <row r="932" spans="2:6" ht="12.75" customHeight="1" x14ac:dyDescent="0.2">
      <c r="B932" s="84"/>
      <c r="E932" s="84"/>
      <c r="F932" s="84"/>
    </row>
    <row r="933" spans="2:6" ht="12.75" customHeight="1" x14ac:dyDescent="0.2">
      <c r="B933" s="84"/>
      <c r="E933" s="84"/>
      <c r="F933" s="84"/>
    </row>
    <row r="934" spans="2:6" ht="12.75" customHeight="1" x14ac:dyDescent="0.2">
      <c r="B934" s="84"/>
      <c r="E934" s="84"/>
      <c r="F934" s="84"/>
    </row>
    <row r="935" spans="2:6" ht="12.75" customHeight="1" x14ac:dyDescent="0.2">
      <c r="B935" s="84"/>
      <c r="E935" s="84"/>
      <c r="F935" s="84"/>
    </row>
    <row r="936" spans="2:6" ht="12.75" customHeight="1" x14ac:dyDescent="0.2">
      <c r="B936" s="84"/>
      <c r="E936" s="84"/>
      <c r="F936" s="84"/>
    </row>
    <row r="937" spans="2:6" ht="12.75" customHeight="1" x14ac:dyDescent="0.2">
      <c r="B937" s="84"/>
      <c r="E937" s="84"/>
      <c r="F937" s="84"/>
    </row>
    <row r="938" spans="2:6" ht="12.75" customHeight="1" x14ac:dyDescent="0.2">
      <c r="B938" s="84"/>
      <c r="E938" s="84"/>
      <c r="F938" s="84"/>
    </row>
    <row r="939" spans="2:6" ht="12.75" customHeight="1" x14ac:dyDescent="0.2">
      <c r="B939" s="84"/>
      <c r="E939" s="84"/>
      <c r="F939" s="84"/>
    </row>
    <row r="940" spans="2:6" ht="12.75" customHeight="1" x14ac:dyDescent="0.2">
      <c r="B940" s="84"/>
      <c r="E940" s="84"/>
      <c r="F940" s="84"/>
    </row>
    <row r="941" spans="2:6" ht="12.75" customHeight="1" x14ac:dyDescent="0.2">
      <c r="B941" s="84"/>
      <c r="E941" s="84"/>
      <c r="F941" s="84"/>
    </row>
    <row r="942" spans="2:6" ht="12.75" customHeight="1" x14ac:dyDescent="0.2">
      <c r="B942" s="84"/>
      <c r="E942" s="84"/>
      <c r="F942" s="84"/>
    </row>
    <row r="943" spans="2:6" ht="12.75" customHeight="1" x14ac:dyDescent="0.2">
      <c r="B943" s="84"/>
      <c r="E943" s="84"/>
      <c r="F943" s="84"/>
    </row>
    <row r="944" spans="2:6" ht="12.75" customHeight="1" x14ac:dyDescent="0.2">
      <c r="B944" s="84"/>
      <c r="E944" s="84"/>
      <c r="F944" s="84"/>
    </row>
    <row r="945" spans="2:6" ht="12.75" customHeight="1" x14ac:dyDescent="0.2">
      <c r="B945" s="84"/>
      <c r="E945" s="84"/>
      <c r="F945" s="84"/>
    </row>
    <row r="946" spans="2:6" ht="12.75" customHeight="1" x14ac:dyDescent="0.2">
      <c r="B946" s="84"/>
      <c r="E946" s="84"/>
      <c r="F946" s="84"/>
    </row>
    <row r="947" spans="2:6" ht="12.75" customHeight="1" x14ac:dyDescent="0.2">
      <c r="B947" s="84"/>
      <c r="E947" s="84"/>
      <c r="F947" s="84"/>
    </row>
    <row r="948" spans="2:6" ht="12.75" customHeight="1" x14ac:dyDescent="0.2">
      <c r="B948" s="84"/>
      <c r="E948" s="84"/>
      <c r="F948" s="84"/>
    </row>
    <row r="949" spans="2:6" ht="12.75" customHeight="1" x14ac:dyDescent="0.2">
      <c r="B949" s="84"/>
      <c r="E949" s="84"/>
      <c r="F949" s="84"/>
    </row>
    <row r="950" spans="2:6" ht="12.75" customHeight="1" x14ac:dyDescent="0.2">
      <c r="B950" s="84"/>
      <c r="E950" s="84"/>
      <c r="F950" s="84"/>
    </row>
    <row r="951" spans="2:6" ht="12.75" customHeight="1" x14ac:dyDescent="0.2">
      <c r="B951" s="84"/>
      <c r="E951" s="84"/>
      <c r="F951" s="84"/>
    </row>
    <row r="952" spans="2:6" ht="12.75" customHeight="1" x14ac:dyDescent="0.2">
      <c r="B952" s="84"/>
      <c r="E952" s="84"/>
      <c r="F952" s="84"/>
    </row>
    <row r="953" spans="2:6" ht="12.75" customHeight="1" x14ac:dyDescent="0.2">
      <c r="B953" s="84"/>
      <c r="E953" s="84"/>
      <c r="F953" s="84"/>
    </row>
    <row r="954" spans="2:6" ht="12.75" customHeight="1" x14ac:dyDescent="0.2">
      <c r="B954" s="84"/>
      <c r="E954" s="84"/>
      <c r="F954" s="84"/>
    </row>
    <row r="955" spans="2:6" ht="12.75" customHeight="1" x14ac:dyDescent="0.2">
      <c r="B955" s="84"/>
      <c r="E955" s="84"/>
      <c r="F955" s="84"/>
    </row>
    <row r="956" spans="2:6" ht="12.75" customHeight="1" x14ac:dyDescent="0.2">
      <c r="B956" s="84"/>
      <c r="E956" s="84"/>
      <c r="F956" s="84"/>
    </row>
    <row r="957" spans="2:6" ht="12.75" customHeight="1" x14ac:dyDescent="0.2">
      <c r="B957" s="84"/>
      <c r="E957" s="84"/>
      <c r="F957" s="84"/>
    </row>
    <row r="958" spans="2:6" ht="12.75" customHeight="1" x14ac:dyDescent="0.2">
      <c r="B958" s="84"/>
      <c r="E958" s="84"/>
      <c r="F958" s="84"/>
    </row>
    <row r="959" spans="2:6" ht="12.75" customHeight="1" x14ac:dyDescent="0.2">
      <c r="B959" s="84"/>
      <c r="E959" s="84"/>
      <c r="F959" s="84"/>
    </row>
    <row r="960" spans="2:6" ht="12.75" customHeight="1" x14ac:dyDescent="0.2">
      <c r="B960" s="84"/>
      <c r="E960" s="84"/>
      <c r="F960" s="84"/>
    </row>
    <row r="961" spans="2:6" ht="12.75" customHeight="1" x14ac:dyDescent="0.2">
      <c r="B961" s="84"/>
      <c r="E961" s="84"/>
      <c r="F961" s="84"/>
    </row>
    <row r="962" spans="2:6" ht="12.75" customHeight="1" x14ac:dyDescent="0.2">
      <c r="B962" s="84"/>
      <c r="E962" s="84"/>
      <c r="F962" s="84"/>
    </row>
    <row r="963" spans="2:6" ht="12.75" customHeight="1" x14ac:dyDescent="0.2">
      <c r="B963" s="84"/>
      <c r="E963" s="84"/>
      <c r="F963" s="84"/>
    </row>
    <row r="964" spans="2:6" ht="12.75" customHeight="1" x14ac:dyDescent="0.2">
      <c r="B964" s="84"/>
      <c r="E964" s="84"/>
      <c r="F964" s="84"/>
    </row>
    <row r="965" spans="2:6" ht="12.75" customHeight="1" x14ac:dyDescent="0.2">
      <c r="B965" s="84"/>
      <c r="E965" s="84"/>
      <c r="F965" s="84"/>
    </row>
    <row r="966" spans="2:6" ht="12.75" customHeight="1" x14ac:dyDescent="0.2">
      <c r="B966" s="84"/>
      <c r="E966" s="84"/>
      <c r="F966" s="84"/>
    </row>
    <row r="967" spans="2:6" ht="12.75" customHeight="1" x14ac:dyDescent="0.2">
      <c r="B967" s="84"/>
      <c r="E967" s="84"/>
      <c r="F967" s="84"/>
    </row>
    <row r="968" spans="2:6" ht="12.75" customHeight="1" x14ac:dyDescent="0.2">
      <c r="B968" s="84"/>
      <c r="E968" s="84"/>
      <c r="F968" s="84"/>
    </row>
    <row r="969" spans="2:6" ht="12.75" customHeight="1" x14ac:dyDescent="0.2">
      <c r="B969" s="84"/>
      <c r="E969" s="84"/>
      <c r="F969" s="84"/>
    </row>
    <row r="970" spans="2:6" ht="12.75" customHeight="1" x14ac:dyDescent="0.2">
      <c r="B970" s="84"/>
      <c r="E970" s="84"/>
      <c r="F970" s="84"/>
    </row>
    <row r="971" spans="2:6" ht="12.75" customHeight="1" x14ac:dyDescent="0.2">
      <c r="B971" s="84"/>
      <c r="E971" s="84"/>
      <c r="F971" s="84"/>
    </row>
    <row r="972" spans="2:6" x14ac:dyDescent="0.2">
      <c r="B972" s="84"/>
      <c r="E972" s="84"/>
      <c r="F972" s="84"/>
    </row>
    <row r="973" spans="2:6" x14ac:dyDescent="0.2">
      <c r="B973" s="84"/>
      <c r="E973" s="84"/>
      <c r="F973" s="84"/>
    </row>
  </sheetData>
  <mergeCells count="10">
    <mergeCell ref="B43:J43"/>
    <mergeCell ref="B58:J58"/>
    <mergeCell ref="B62:H62"/>
    <mergeCell ref="B63:H63"/>
    <mergeCell ref="B2:H3"/>
    <mergeCell ref="AK2:AM2"/>
    <mergeCell ref="AL3:AM3"/>
    <mergeCell ref="R25:U25"/>
    <mergeCell ref="R26:U26"/>
    <mergeCell ref="B42:J42"/>
  </mergeCells>
  <printOptions horizontalCentered="1"/>
  <pageMargins left="0.4" right="0.4" top="1" bottom="0.5" header="0.3" footer="0.511811023622047"/>
  <pageSetup paperSize="9" scale="43" orientation="landscape" r:id="rId1"/>
  <legacyDrawing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7DAD5-2F4B-4B47-AB12-02A658338E02}">
  <sheetPr codeName="Sheet77">
    <tabColor rgb="FF333F50"/>
    <pageSetUpPr fitToPage="1"/>
  </sheetPr>
  <dimension ref="A1:AG98"/>
  <sheetViews>
    <sheetView zoomScale="85" zoomScaleNormal="85" workbookViewId="0">
      <selection activeCell="A4" sqref="A4:A10"/>
    </sheetView>
  </sheetViews>
  <sheetFormatPr defaultColWidth="12.5" defaultRowHeight="15" x14ac:dyDescent="0.25"/>
  <cols>
    <col min="1" max="1" width="16.375" style="1" customWidth="1"/>
    <col min="2" max="2" width="30.875" customWidth="1"/>
    <col min="3" max="3" width="16.875" customWidth="1"/>
    <col min="4" max="4" width="19" customWidth="1"/>
    <col min="5" max="5" width="16.125" customWidth="1"/>
    <col min="6" max="6" width="23.125" customWidth="1"/>
    <col min="7" max="7" width="25.125" customWidth="1"/>
    <col min="8" max="8" width="36.125" customWidth="1"/>
    <col min="9" max="9" width="19.375" customWidth="1"/>
    <col min="12" max="12" width="8.375" customWidth="1"/>
    <col min="13" max="17" width="5.375" customWidth="1"/>
    <col min="18" max="18" width="32" customWidth="1"/>
    <col min="23" max="23" width="29.375" customWidth="1"/>
    <col min="24" max="24" width="31.625" customWidth="1"/>
  </cols>
  <sheetData>
    <row r="1" spans="1:33" ht="24" customHeight="1" x14ac:dyDescent="0.2">
      <c r="A1" s="64" t="s">
        <v>231</v>
      </c>
      <c r="B1" s="65">
        <v>1000</v>
      </c>
      <c r="C1" s="73" t="s">
        <v>313</v>
      </c>
      <c r="D1" s="74">
        <f>$S$30/J1</f>
        <v>18983.870967741936</v>
      </c>
      <c r="E1" s="75" t="s">
        <v>236</v>
      </c>
      <c r="F1" s="76" t="s">
        <v>388</v>
      </c>
      <c r="G1" s="75" t="s">
        <v>315</v>
      </c>
      <c r="H1" s="282">
        <f>H52</f>
        <v>11.77</v>
      </c>
      <c r="I1" s="77" t="s">
        <v>238</v>
      </c>
      <c r="J1" s="283">
        <v>0.62</v>
      </c>
      <c r="K1" s="84"/>
      <c r="Y1" s="75" t="s">
        <v>453</v>
      </c>
      <c r="Z1" s="766">
        <v>10770</v>
      </c>
      <c r="AA1" s="75" t="s">
        <v>556</v>
      </c>
      <c r="AB1" s="766">
        <v>1000</v>
      </c>
      <c r="AC1" s="75" t="s">
        <v>546</v>
      </c>
      <c r="AD1" s="766">
        <v>79</v>
      </c>
      <c r="AE1" s="228"/>
      <c r="AF1" s="230"/>
      <c r="AG1" s="76"/>
    </row>
    <row r="2" spans="1:33" ht="12.75" customHeight="1" x14ac:dyDescent="0.25">
      <c r="A2" s="242"/>
      <c r="B2" s="1645" t="s">
        <v>959</v>
      </c>
      <c r="C2" s="1653"/>
      <c r="D2" s="1653"/>
      <c r="E2" s="1653"/>
      <c r="F2" s="1653"/>
      <c r="G2" s="1653"/>
      <c r="H2" s="1653"/>
      <c r="I2" s="1653"/>
      <c r="J2" s="1653"/>
      <c r="K2" s="1653"/>
      <c r="L2" s="270"/>
      <c r="M2" s="84"/>
      <c r="N2" s="84"/>
      <c r="AC2" s="83"/>
      <c r="AD2" s="83"/>
      <c r="AE2" s="1652"/>
      <c r="AF2" s="1653"/>
      <c r="AG2" s="1653"/>
    </row>
    <row r="3" spans="1:33" ht="12.75" customHeight="1" x14ac:dyDescent="0.25">
      <c r="A3" s="242"/>
      <c r="B3" s="1633"/>
      <c r="C3" s="1633"/>
      <c r="D3" s="1633"/>
      <c r="E3" s="1633"/>
      <c r="F3" s="1633"/>
      <c r="G3" s="1633"/>
      <c r="H3" s="1633"/>
      <c r="I3" s="1633"/>
      <c r="J3" s="1633"/>
      <c r="K3" s="1633"/>
      <c r="L3" s="270"/>
      <c r="M3" s="84"/>
      <c r="N3" s="84"/>
      <c r="AC3" s="83"/>
      <c r="AD3" s="83"/>
      <c r="AE3" s="1653"/>
      <c r="AF3" s="1653"/>
      <c r="AG3" s="1653"/>
    </row>
    <row r="4" spans="1:33" ht="46.5" customHeight="1" x14ac:dyDescent="0.2">
      <c r="A4" s="75"/>
      <c r="B4" s="75" t="s">
        <v>241</v>
      </c>
      <c r="C4" s="284" t="s">
        <v>317</v>
      </c>
      <c r="D4" s="75" t="s">
        <v>318</v>
      </c>
      <c r="E4" s="91" t="s">
        <v>319</v>
      </c>
      <c r="F4" s="91" t="s">
        <v>320</v>
      </c>
      <c r="G4" s="285" t="s">
        <v>321</v>
      </c>
      <c r="H4" s="92" t="s">
        <v>322</v>
      </c>
      <c r="I4" s="75" t="s">
        <v>246</v>
      </c>
      <c r="J4" s="75" t="s">
        <v>247</v>
      </c>
      <c r="K4" s="75" t="s">
        <v>248</v>
      </c>
      <c r="L4" s="75" t="s">
        <v>249</v>
      </c>
      <c r="AA4" s="229"/>
      <c r="AB4" s="231"/>
      <c r="AC4" s="229"/>
      <c r="AD4" s="229"/>
      <c r="AE4" s="229"/>
    </row>
    <row r="5" spans="1:33" ht="14.25" customHeight="1" x14ac:dyDescent="0.2">
      <c r="A5" s="243"/>
      <c r="B5" s="286" t="s">
        <v>220</v>
      </c>
      <c r="C5" s="106" t="s">
        <v>14</v>
      </c>
      <c r="D5" s="245">
        <f>I51/H51</f>
        <v>1612.9032258064517</v>
      </c>
      <c r="E5" s="101">
        <f>I52/D5</f>
        <v>11.77</v>
      </c>
      <c r="F5" s="109">
        <v>1</v>
      </c>
      <c r="G5" s="99">
        <f>D1</f>
        <v>18983.870967741936</v>
      </c>
      <c r="H5" s="377">
        <f>D1</f>
        <v>18983.870967741936</v>
      </c>
      <c r="I5" s="65">
        <f>VLOOKUP(B5,All_Ingredients!$A$1:$F$156,6,FALSE())</f>
        <v>0.86</v>
      </c>
      <c r="J5" s="101">
        <f>VLOOKUP(B5,All_Ingredients!$A$1:$J$156,10,FALSE())</f>
        <v>17.100000000000001</v>
      </c>
      <c r="K5" s="104">
        <f t="shared" ref="K5" si="0">(H5/I5)/1000</f>
        <v>22.074268567141786</v>
      </c>
      <c r="L5" s="104">
        <f t="shared" ref="L5" si="1">K5*J5</f>
        <v>377.46999249812455</v>
      </c>
    </row>
    <row r="6" spans="1:33" ht="14.25" customHeight="1" x14ac:dyDescent="0.25">
      <c r="A6" s="247"/>
      <c r="B6" s="20" t="s">
        <v>105</v>
      </c>
      <c r="C6" s="106" t="s">
        <v>14</v>
      </c>
      <c r="D6" s="107">
        <v>25</v>
      </c>
      <c r="E6" s="177">
        <f>$H$52</f>
        <v>11.77</v>
      </c>
      <c r="F6" s="109">
        <v>0.7</v>
      </c>
      <c r="G6" s="101">
        <f>D6*E6</f>
        <v>294.25</v>
      </c>
      <c r="H6" s="102">
        <f>G6*F6</f>
        <v>205.97499999999999</v>
      </c>
      <c r="I6" s="65">
        <f>VLOOKUP(B6,All_Ingredients!$A$1:$F$156,6,FALSE())</f>
        <v>1</v>
      </c>
      <c r="J6" s="101">
        <f>VLOOKUP(B6,All_Ingredients!$A$1:$J$156,10,FALSE())</f>
        <v>15</v>
      </c>
      <c r="K6" s="104">
        <f t="shared" ref="K6:K10" si="2">(H6/I6)/1000</f>
        <v>0.20597499999999999</v>
      </c>
      <c r="L6" s="104">
        <f t="shared" ref="L6:L10" si="3">K6*J6</f>
        <v>3.0896249999999998</v>
      </c>
    </row>
    <row r="7" spans="1:33" ht="14.25" customHeight="1" x14ac:dyDescent="0.25">
      <c r="A7" s="247"/>
      <c r="B7" s="271" t="s">
        <v>698</v>
      </c>
      <c r="C7" s="106" t="s">
        <v>14</v>
      </c>
      <c r="D7" s="107">
        <v>35</v>
      </c>
      <c r="E7" s="177">
        <f>$H$52</f>
        <v>11.77</v>
      </c>
      <c r="F7" s="109">
        <v>0.75</v>
      </c>
      <c r="G7" s="101">
        <f>D7*E7</f>
        <v>411.95</v>
      </c>
      <c r="H7" s="102">
        <f>G7*F7</f>
        <v>308.96249999999998</v>
      </c>
      <c r="I7" s="65">
        <f>VLOOKUP(B7,All_Ingredients!$A$1:$F$156,6,FALSE())</f>
        <v>1</v>
      </c>
      <c r="J7" s="101">
        <f>VLOOKUP(B7,All_Ingredients!$A$1:$J$156,10,FALSE())</f>
        <v>8.1520833333333336</v>
      </c>
      <c r="K7" s="104">
        <f t="shared" si="2"/>
        <v>0.30896249999999997</v>
      </c>
      <c r="L7" s="104">
        <f t="shared" si="3"/>
        <v>2.5186880468749999</v>
      </c>
    </row>
    <row r="8" spans="1:33" ht="14.25" customHeight="1" x14ac:dyDescent="0.25">
      <c r="A8" s="247"/>
      <c r="B8" s="20" t="s">
        <v>107</v>
      </c>
      <c r="C8" s="106" t="s">
        <v>14</v>
      </c>
      <c r="D8" s="107">
        <v>20</v>
      </c>
      <c r="E8" s="177">
        <f>$H$52</f>
        <v>11.77</v>
      </c>
      <c r="F8" s="109">
        <v>0.7</v>
      </c>
      <c r="G8" s="101">
        <f>D8*E8</f>
        <v>235.39999999999998</v>
      </c>
      <c r="H8" s="102">
        <f>G8*F8</f>
        <v>164.77999999999997</v>
      </c>
      <c r="I8" s="65">
        <f>VLOOKUP(B8,All_Ingredients!$A$1:$F$156,6,FALSE())</f>
        <v>1</v>
      </c>
      <c r="J8" s="101">
        <f>VLOOKUP(B8,All_Ingredients!$A$1:$J$156,10,FALSE())</f>
        <v>8</v>
      </c>
      <c r="K8" s="104">
        <f t="shared" si="2"/>
        <v>0.16477999999999998</v>
      </c>
      <c r="L8" s="104">
        <f t="shared" si="3"/>
        <v>1.3182399999999999</v>
      </c>
    </row>
    <row r="9" spans="1:33" ht="14.25" customHeight="1" x14ac:dyDescent="0.25">
      <c r="A9" s="247"/>
      <c r="B9" s="299" t="s">
        <v>93</v>
      </c>
      <c r="C9" s="106" t="s">
        <v>14</v>
      </c>
      <c r="D9" s="107">
        <v>15</v>
      </c>
      <c r="E9" s="177">
        <f>$H$52</f>
        <v>11.77</v>
      </c>
      <c r="F9" s="109">
        <v>0.75</v>
      </c>
      <c r="G9" s="101">
        <f>D9*E9</f>
        <v>176.54999999999998</v>
      </c>
      <c r="H9" s="102">
        <f>G9*F9</f>
        <v>132.41249999999999</v>
      </c>
      <c r="I9" s="65">
        <f>VLOOKUP(B9,All_Ingredients!$A$1:$F$156,6,FALSE())</f>
        <v>1</v>
      </c>
      <c r="J9" s="101">
        <f>VLOOKUP(B9,All_Ingredients!$A$1:$J$156,10,FALSE())</f>
        <v>0.74</v>
      </c>
      <c r="K9" s="104">
        <f t="shared" si="2"/>
        <v>0.13241249999999999</v>
      </c>
      <c r="L9" s="104">
        <f t="shared" si="3"/>
        <v>9.7985249999999996E-2</v>
      </c>
    </row>
    <row r="10" spans="1:33" ht="14.25" customHeight="1" x14ac:dyDescent="0.25">
      <c r="A10" s="247"/>
      <c r="B10" s="299" t="s">
        <v>203</v>
      </c>
      <c r="C10" s="106" t="s">
        <v>160</v>
      </c>
      <c r="D10" s="107">
        <v>1500</v>
      </c>
      <c r="E10" s="177">
        <f>$H$52</f>
        <v>11.77</v>
      </c>
      <c r="F10" s="109">
        <v>1</v>
      </c>
      <c r="G10" s="101">
        <f>D10*E10</f>
        <v>17655</v>
      </c>
      <c r="H10" s="102">
        <f>G10*F10</f>
        <v>17655</v>
      </c>
      <c r="I10" s="65">
        <f>VLOOKUP(B10,All_Ingredients!$A$1:$F$156,6,FALSE())</f>
        <v>1</v>
      </c>
      <c r="J10" s="101">
        <f>VLOOKUP(B10,All_Ingredients!$A$1:$J$156,10,FALSE())</f>
        <v>0</v>
      </c>
      <c r="K10" s="104">
        <f t="shared" si="2"/>
        <v>17.655000000000001</v>
      </c>
      <c r="L10" s="104">
        <f t="shared" si="3"/>
        <v>0</v>
      </c>
    </row>
    <row r="19" spans="2:29" ht="14.25" customHeight="1" x14ac:dyDescent="0.25">
      <c r="F19" s="84"/>
    </row>
    <row r="20" spans="2:29" ht="14.25" customHeight="1" x14ac:dyDescent="0.25">
      <c r="F20" s="84"/>
    </row>
    <row r="21" spans="2:29" ht="14.25" customHeight="1" x14ac:dyDescent="0.25">
      <c r="F21" s="84"/>
    </row>
    <row r="22" spans="2:29" ht="14.25" customHeight="1" x14ac:dyDescent="0.25">
      <c r="F22" s="84"/>
    </row>
    <row r="23" spans="2:29" ht="14.25" customHeight="1" x14ac:dyDescent="0.25">
      <c r="F23" s="84"/>
    </row>
    <row r="24" spans="2:29" ht="14.25" customHeight="1" x14ac:dyDescent="0.25">
      <c r="F24" s="84"/>
    </row>
    <row r="25" spans="2:29" ht="15.75" customHeight="1" x14ac:dyDescent="0.25">
      <c r="F25" s="84"/>
      <c r="R25" s="1640" t="str">
        <f>B2</f>
        <v>Chicken Saleeq - سليق دجاج</v>
      </c>
      <c r="S25" s="1633"/>
      <c r="T25" s="1633"/>
      <c r="Z25" s="122" t="s">
        <v>252</v>
      </c>
      <c r="AA25" s="123">
        <v>1</v>
      </c>
      <c r="AB25" s="122" t="s">
        <v>249</v>
      </c>
      <c r="AC25" s="1075">
        <f>AC30*AA25</f>
        <v>3.5048281568999494E-2</v>
      </c>
    </row>
    <row r="26" spans="2:29" ht="14.25" customHeight="1" x14ac:dyDescent="0.25">
      <c r="F26" s="84"/>
      <c r="R26" s="1638" t="s">
        <v>324</v>
      </c>
      <c r="S26" s="1639"/>
      <c r="T26" s="1639"/>
      <c r="AB26" s="14"/>
      <c r="AC26" s="14"/>
    </row>
    <row r="27" spans="2:29" ht="14.25" customHeight="1" thickBot="1" x14ac:dyDescent="0.3">
      <c r="F27" s="84"/>
      <c r="R27" s="126" t="s">
        <v>254</v>
      </c>
      <c r="S27" s="127" t="s">
        <v>255</v>
      </c>
      <c r="T27" s="127" t="s">
        <v>257</v>
      </c>
      <c r="Z27" s="122" t="s">
        <v>258</v>
      </c>
      <c r="AA27" s="128" t="s">
        <v>259</v>
      </c>
      <c r="AB27" s="128" t="s">
        <v>312</v>
      </c>
      <c r="AC27" s="128" t="s">
        <v>262</v>
      </c>
    </row>
    <row r="28" spans="2:29" ht="14.25" customHeight="1" thickBot="1" x14ac:dyDescent="0.3">
      <c r="B28" s="84"/>
      <c r="E28" s="84"/>
      <c r="F28" s="84"/>
      <c r="R28" s="129" t="s">
        <v>325</v>
      </c>
      <c r="S28" s="696">
        <f>Z1</f>
        <v>10770</v>
      </c>
      <c r="T28" s="690">
        <f>S28</f>
        <v>10770</v>
      </c>
      <c r="Z28" s="132"/>
      <c r="AA28" s="133">
        <f>AA25</f>
        <v>1</v>
      </c>
      <c r="AB28" s="133">
        <f>AA25-AA28</f>
        <v>0</v>
      </c>
      <c r="AC28" s="135">
        <f>SUM(AA28:AB28)</f>
        <v>1</v>
      </c>
    </row>
    <row r="29" spans="2:29" ht="14.25" customHeight="1" thickBot="1" x14ac:dyDescent="0.3">
      <c r="B29" s="84"/>
      <c r="E29" s="84"/>
      <c r="F29" s="84"/>
      <c r="R29" s="129" t="s">
        <v>326</v>
      </c>
      <c r="S29" s="718">
        <f>AB1</f>
        <v>1000</v>
      </c>
      <c r="T29" s="692">
        <f>S29</f>
        <v>1000</v>
      </c>
      <c r="Z29" s="132"/>
      <c r="AA29" s="137">
        <v>1</v>
      </c>
      <c r="AB29" s="297">
        <f>AB28/$AC$28</f>
        <v>0</v>
      </c>
      <c r="AC29" s="137">
        <f>AC28/$AC$28</f>
        <v>1</v>
      </c>
    </row>
    <row r="30" spans="2:29" ht="14.25" customHeight="1" thickBot="1" x14ac:dyDescent="0.3">
      <c r="B30" s="84"/>
      <c r="E30" s="84"/>
      <c r="F30" s="84"/>
      <c r="R30" s="141" t="s">
        <v>327</v>
      </c>
      <c r="S30" s="130">
        <f>S28+S29</f>
        <v>11770</v>
      </c>
      <c r="T30" s="130">
        <f>T28+T29</f>
        <v>11770</v>
      </c>
      <c r="Z30" s="122" t="s">
        <v>266</v>
      </c>
      <c r="AA30" s="138">
        <f>S33/(S28)</f>
        <v>3.5048281568999494E-2</v>
      </c>
      <c r="AB30" s="139">
        <f>SUM(L6:L10)/SUM(K6:K10)</f>
        <v>0.38038061663479922</v>
      </c>
      <c r="AC30" s="140">
        <f>SUMPRODUCT(AA30:AB30,AA29:AB29)</f>
        <v>3.5048281568999494E-2</v>
      </c>
    </row>
    <row r="31" spans="2:29" ht="14.25" customHeight="1" thickBot="1" x14ac:dyDescent="0.3">
      <c r="B31" s="84"/>
      <c r="E31" s="84"/>
      <c r="F31" s="84"/>
      <c r="R31" s="142" t="s">
        <v>268</v>
      </c>
      <c r="S31" s="136"/>
      <c r="T31" s="136"/>
    </row>
    <row r="32" spans="2:29" ht="14.25" customHeight="1" thickBot="1" x14ac:dyDescent="0.3">
      <c r="B32" s="84"/>
      <c r="E32" s="84"/>
      <c r="F32" s="84"/>
      <c r="R32" s="143" t="s">
        <v>269</v>
      </c>
      <c r="S32" s="136"/>
      <c r="T32" s="136"/>
    </row>
    <row r="33" spans="17:23" ht="14.25" customHeight="1" thickBot="1" x14ac:dyDescent="0.3">
      <c r="R33" s="144" t="s">
        <v>249</v>
      </c>
      <c r="S33" s="145">
        <f>$L$5</f>
        <v>377.46999249812455</v>
      </c>
      <c r="T33" s="145">
        <f>S33</f>
        <v>377.46999249812455</v>
      </c>
    </row>
    <row r="40" spans="17:23" ht="14.25" customHeight="1" x14ac:dyDescent="0.25">
      <c r="Q40" s="14"/>
      <c r="R40" s="146" t="s">
        <v>328</v>
      </c>
      <c r="S40" s="217">
        <v>1</v>
      </c>
    </row>
    <row r="41" spans="17:23" ht="14.25" customHeight="1" x14ac:dyDescent="0.25">
      <c r="Q41" s="14"/>
      <c r="R41" s="14"/>
      <c r="S41" s="14"/>
      <c r="T41" s="14"/>
      <c r="U41" s="150"/>
      <c r="V41" s="14"/>
      <c r="W41" s="14"/>
    </row>
    <row r="42" spans="17:23" ht="14.25" customHeight="1" x14ac:dyDescent="0.25">
      <c r="Q42" s="14"/>
      <c r="R42" s="14"/>
      <c r="S42" s="14"/>
      <c r="T42" s="14"/>
      <c r="U42" s="14"/>
      <c r="V42" s="14"/>
      <c r="W42" s="14"/>
    </row>
    <row r="43" spans="17:23" ht="14.25" customHeight="1" x14ac:dyDescent="0.25">
      <c r="Q43" s="151" t="s">
        <v>272</v>
      </c>
      <c r="R43" s="151" t="s">
        <v>273</v>
      </c>
      <c r="S43" s="151" t="s">
        <v>274</v>
      </c>
      <c r="T43" s="151" t="s">
        <v>275</v>
      </c>
      <c r="U43" s="151" t="s">
        <v>276</v>
      </c>
      <c r="V43" s="151" t="s">
        <v>277</v>
      </c>
      <c r="W43" s="235" t="s">
        <v>329</v>
      </c>
    </row>
    <row r="44" spans="17:23" ht="14.25" customHeight="1" x14ac:dyDescent="0.25">
      <c r="Q44" s="153">
        <v>10000</v>
      </c>
      <c r="R44" s="154">
        <v>0</v>
      </c>
      <c r="S44" s="219">
        <v>0</v>
      </c>
      <c r="T44" s="219">
        <v>0</v>
      </c>
      <c r="U44" s="220">
        <f>R44*S44</f>
        <v>0</v>
      </c>
      <c r="V44" s="157">
        <f>R44*T44</f>
        <v>0</v>
      </c>
      <c r="W44" s="237">
        <f>Q44-U44</f>
        <v>10000</v>
      </c>
    </row>
    <row r="50" spans="1:10" ht="15.75" thickBot="1" x14ac:dyDescent="0.3">
      <c r="G50" s="1567" t="s">
        <v>280</v>
      </c>
      <c r="H50" s="1567" t="s">
        <v>233</v>
      </c>
      <c r="I50" s="1567" t="s">
        <v>281</v>
      </c>
      <c r="J50" s="1567" t="s">
        <v>282</v>
      </c>
    </row>
    <row r="51" spans="1:10" ht="15.75" thickBot="1" x14ac:dyDescent="0.3">
      <c r="G51" s="287" t="s">
        <v>458</v>
      </c>
      <c r="H51" s="288">
        <v>10</v>
      </c>
      <c r="I51" s="288">
        <f t="shared" ref="I51:I58" si="4">J51/$J$1</f>
        <v>16129.032258064517</v>
      </c>
      <c r="J51" s="289">
        <f>$W$44</f>
        <v>10000</v>
      </c>
    </row>
    <row r="52" spans="1:10" x14ac:dyDescent="0.25">
      <c r="G52" s="143" t="s">
        <v>262</v>
      </c>
      <c r="H52" s="290">
        <f>$E$5</f>
        <v>11.77</v>
      </c>
      <c r="I52" s="291">
        <f t="shared" si="4"/>
        <v>18983.870967741936</v>
      </c>
      <c r="J52" s="292">
        <f>$S$30</f>
        <v>11770</v>
      </c>
    </row>
    <row r="53" spans="1:10" x14ac:dyDescent="0.25">
      <c r="D53" s="458"/>
      <c r="G53" s="129" t="s">
        <v>284</v>
      </c>
      <c r="H53" s="293">
        <f>MIN(H52, H51)</f>
        <v>10</v>
      </c>
      <c r="I53" s="157">
        <f t="shared" si="4"/>
        <v>16129.032258064517</v>
      </c>
      <c r="J53" s="1568">
        <f>MIN(J52, J51)</f>
        <v>10000</v>
      </c>
    </row>
    <row r="54" spans="1:10" x14ac:dyDescent="0.25">
      <c r="D54" s="458"/>
      <c r="G54" s="129" t="s">
        <v>285</v>
      </c>
      <c r="H54" s="293">
        <f>MIN(MAX($H$52-H53,0),H51)</f>
        <v>1.7699999999999996</v>
      </c>
      <c r="I54" s="157">
        <f t="shared" si="4"/>
        <v>2854.8387096774195</v>
      </c>
      <c r="J54" s="1568">
        <f>MIN(MAX(J52-J53,0),J51)</f>
        <v>1770</v>
      </c>
    </row>
    <row r="55" spans="1:10" x14ac:dyDescent="0.25">
      <c r="D55" s="458"/>
      <c r="G55" s="126" t="s">
        <v>286</v>
      </c>
      <c r="H55" s="1569">
        <f>MIN(MAX(H52-H53-H54,0),H51)</f>
        <v>0</v>
      </c>
      <c r="I55" s="157">
        <f t="shared" si="4"/>
        <v>0</v>
      </c>
      <c r="J55" s="1568">
        <f>MIN(MAX(J52-J53-J54,0),J51)</f>
        <v>0</v>
      </c>
    </row>
    <row r="56" spans="1:10" x14ac:dyDescent="0.25">
      <c r="G56" s="126" t="s">
        <v>293</v>
      </c>
      <c r="H56" s="293">
        <f>MIN(MAX(H52-H53-H54-H55,0),H51)</f>
        <v>0</v>
      </c>
      <c r="I56" s="157">
        <f t="shared" si="4"/>
        <v>0</v>
      </c>
      <c r="J56" s="1568">
        <f>MIN(MAX(J52-J53-J54-J55,0),J51)</f>
        <v>0</v>
      </c>
    </row>
    <row r="57" spans="1:10" x14ac:dyDescent="0.25">
      <c r="G57" s="126" t="s">
        <v>344</v>
      </c>
      <c r="H57" s="293">
        <f>MIN(MAX(H52-H53-H54-H55-H56,0),H51)</f>
        <v>0</v>
      </c>
      <c r="I57" s="157">
        <f t="shared" si="4"/>
        <v>0</v>
      </c>
      <c r="J57" s="1568">
        <f>MIN(MAX(J52-J53-J54-J55-J56,0),J51)</f>
        <v>0</v>
      </c>
    </row>
    <row r="58" spans="1:10" x14ac:dyDescent="0.25">
      <c r="G58" s="126" t="s">
        <v>451</v>
      </c>
      <c r="H58" s="293">
        <f>MIN(MAX(H52-H53-H54-H55-H56-H57,0),H51)</f>
        <v>0</v>
      </c>
      <c r="I58" s="157">
        <f t="shared" si="4"/>
        <v>0</v>
      </c>
      <c r="J58" s="1568">
        <f>MIN(MAX(J52-J53-J54-J55-J56-J57,0),J51)</f>
        <v>0</v>
      </c>
    </row>
    <row r="62" spans="1:10" ht="18" customHeight="1" x14ac:dyDescent="0.2">
      <c r="A62" s="1570"/>
      <c r="B62" s="1642" t="str">
        <f>"سليق دجاج 1 / " &amp; COUNTIF($H$53:$H$58, "&gt;0")</f>
        <v>سليق دجاج 1 / 2</v>
      </c>
      <c r="C62" s="1651"/>
      <c r="D62" s="1651"/>
      <c r="E62" s="1651"/>
      <c r="F62" s="1651"/>
      <c r="G62" s="1651"/>
      <c r="H62" s="1651"/>
    </row>
    <row r="63" spans="1:10" ht="18" customHeight="1" x14ac:dyDescent="0.2">
      <c r="A63" s="1571"/>
      <c r="B63" s="1642" t="str">
        <f>"Chicken Saleeq 1 / " &amp; COUNTIF($H$53:$H$58, "&gt;0")</f>
        <v>Chicken Saleeq 1 / 2</v>
      </c>
      <c r="C63" s="1651"/>
      <c r="D63" s="1651"/>
      <c r="E63" s="1651"/>
      <c r="F63" s="1651"/>
      <c r="G63" s="1651"/>
      <c r="H63" s="1651"/>
    </row>
    <row r="64" spans="1:10" ht="55.5" customHeight="1" x14ac:dyDescent="0.2">
      <c r="A64" s="75"/>
      <c r="B64" s="75" t="s">
        <v>241</v>
      </c>
      <c r="C64" s="284" t="s">
        <v>317</v>
      </c>
      <c r="D64" s="75" t="s">
        <v>318</v>
      </c>
      <c r="E64" s="91" t="s">
        <v>319</v>
      </c>
      <c r="F64" s="91" t="s">
        <v>320</v>
      </c>
      <c r="G64" s="285" t="s">
        <v>321</v>
      </c>
      <c r="H64" s="92" t="s">
        <v>322</v>
      </c>
    </row>
    <row r="65" spans="1:8" ht="14.25" customHeight="1" x14ac:dyDescent="0.2">
      <c r="A65" s="198" t="s">
        <v>221</v>
      </c>
      <c r="B65" s="299" t="str">
        <f t="shared" ref="B65:D70" si="5">B5</f>
        <v>Chicken - دجاج</v>
      </c>
      <c r="C65" s="299" t="str">
        <f t="shared" si="5"/>
        <v>gm</v>
      </c>
      <c r="D65" s="300">
        <f t="shared" si="5"/>
        <v>1612.9032258064517</v>
      </c>
      <c r="E65" s="177">
        <f>$H$53</f>
        <v>10</v>
      </c>
      <c r="F65" s="109">
        <f t="shared" ref="F65:F70" si="6">F5</f>
        <v>1</v>
      </c>
      <c r="G65" s="101">
        <f t="shared" ref="G65:G70" si="7">D65*E65</f>
        <v>16129.032258064517</v>
      </c>
      <c r="H65" s="102">
        <f t="shared" ref="H65:H70" si="8">G65*F65</f>
        <v>16129.032258064517</v>
      </c>
    </row>
    <row r="66" spans="1:8" ht="14.25" customHeight="1" x14ac:dyDescent="0.25">
      <c r="A66" s="247" t="s">
        <v>94</v>
      </c>
      <c r="B66" s="299" t="str">
        <f t="shared" si="5"/>
        <v>Cumin Powder - كمون مطحون</v>
      </c>
      <c r="C66" s="299" t="str">
        <f t="shared" si="5"/>
        <v>gm</v>
      </c>
      <c r="D66" s="299">
        <f t="shared" si="5"/>
        <v>25</v>
      </c>
      <c r="E66" s="177">
        <f t="shared" ref="E66:E70" si="9">$H$53</f>
        <v>10</v>
      </c>
      <c r="F66" s="109">
        <f t="shared" si="6"/>
        <v>0.7</v>
      </c>
      <c r="G66" s="65">
        <f t="shared" si="7"/>
        <v>250</v>
      </c>
      <c r="H66" s="102">
        <f t="shared" si="8"/>
        <v>175</v>
      </c>
    </row>
    <row r="67" spans="1:8" ht="14.25" customHeight="1" x14ac:dyDescent="0.25">
      <c r="A67" s="247" t="s">
        <v>190</v>
      </c>
      <c r="B67" s="299" t="str">
        <f t="shared" si="5"/>
        <v>Tomato Paste - صلصة طماطم</v>
      </c>
      <c r="C67" s="299" t="str">
        <f t="shared" si="5"/>
        <v>gm</v>
      </c>
      <c r="D67" s="299">
        <f t="shared" si="5"/>
        <v>35</v>
      </c>
      <c r="E67" s="177">
        <f t="shared" si="9"/>
        <v>10</v>
      </c>
      <c r="F67" s="109">
        <f t="shared" si="6"/>
        <v>0.75</v>
      </c>
      <c r="G67" s="65">
        <f t="shared" si="7"/>
        <v>350</v>
      </c>
      <c r="H67" s="102">
        <f t="shared" si="8"/>
        <v>262.5</v>
      </c>
    </row>
    <row r="68" spans="1:8" ht="14.25" customHeight="1" x14ac:dyDescent="0.25">
      <c r="A68" s="247" t="s">
        <v>94</v>
      </c>
      <c r="B68" s="299" t="str">
        <f t="shared" si="5"/>
        <v>Coriander Powder - كزبرة مطحونة</v>
      </c>
      <c r="C68" s="299" t="str">
        <f t="shared" si="5"/>
        <v>gm</v>
      </c>
      <c r="D68" s="299">
        <f t="shared" si="5"/>
        <v>20</v>
      </c>
      <c r="E68" s="177">
        <f t="shared" si="9"/>
        <v>10</v>
      </c>
      <c r="F68" s="109">
        <f t="shared" si="6"/>
        <v>0.7</v>
      </c>
      <c r="G68" s="65">
        <f t="shared" si="7"/>
        <v>200</v>
      </c>
      <c r="H68" s="102">
        <f t="shared" si="8"/>
        <v>140</v>
      </c>
    </row>
    <row r="69" spans="1:8" ht="14.25" customHeight="1" x14ac:dyDescent="0.25">
      <c r="A69" s="247" t="s">
        <v>94</v>
      </c>
      <c r="B69" s="299" t="str">
        <f t="shared" si="5"/>
        <v>Salt - ملح</v>
      </c>
      <c r="C69" s="299" t="str">
        <f t="shared" si="5"/>
        <v>gm</v>
      </c>
      <c r="D69" s="299">
        <f t="shared" si="5"/>
        <v>15</v>
      </c>
      <c r="E69" s="177">
        <f t="shared" si="9"/>
        <v>10</v>
      </c>
      <c r="F69" s="109">
        <f t="shared" si="6"/>
        <v>0.75</v>
      </c>
      <c r="G69" s="65">
        <f t="shared" si="7"/>
        <v>150</v>
      </c>
      <c r="H69" s="102">
        <f t="shared" si="8"/>
        <v>112.5</v>
      </c>
    </row>
    <row r="70" spans="1:8" ht="14.25" customHeight="1" x14ac:dyDescent="0.25">
      <c r="A70" s="247" t="s">
        <v>204</v>
      </c>
      <c r="B70" s="299" t="str">
        <f t="shared" si="5"/>
        <v>Water - ماء</v>
      </c>
      <c r="C70" s="299" t="str">
        <f t="shared" si="5"/>
        <v>ml</v>
      </c>
      <c r="D70" s="299">
        <f t="shared" si="5"/>
        <v>1500</v>
      </c>
      <c r="E70" s="177">
        <f t="shared" si="9"/>
        <v>10</v>
      </c>
      <c r="F70" s="109">
        <f t="shared" si="6"/>
        <v>1</v>
      </c>
      <c r="G70" s="65">
        <f t="shared" si="7"/>
        <v>15000</v>
      </c>
      <c r="H70" s="102">
        <f t="shared" si="8"/>
        <v>15000</v>
      </c>
    </row>
    <row r="71" spans="1:8" ht="20.25" customHeight="1" x14ac:dyDescent="0.25">
      <c r="A71" s="191"/>
      <c r="B71" s="178" t="s">
        <v>287</v>
      </c>
      <c r="C71" s="180" t="s">
        <v>273</v>
      </c>
      <c r="D71" s="14"/>
      <c r="E71" s="180" t="s">
        <v>288</v>
      </c>
      <c r="F71" s="14"/>
      <c r="G71" s="804" t="s">
        <v>264</v>
      </c>
      <c r="H71" s="804" t="s">
        <v>673</v>
      </c>
    </row>
    <row r="72" spans="1:8" ht="21" customHeight="1" x14ac:dyDescent="0.3">
      <c r="A72" s="191"/>
      <c r="B72" s="179">
        <f>$J$53</f>
        <v>10000</v>
      </c>
      <c r="C72" s="179">
        <f>E72+G72</f>
        <v>0</v>
      </c>
      <c r="D72" s="839"/>
      <c r="E72" s="179">
        <f>$C$53*$S$44</f>
        <v>0</v>
      </c>
      <c r="F72" s="843"/>
      <c r="G72" s="179">
        <f>$C$53*$T$44</f>
        <v>0</v>
      </c>
      <c r="H72" s="179">
        <f>B72+E72</f>
        <v>10000</v>
      </c>
    </row>
    <row r="73" spans="1:8" ht="9" customHeight="1" x14ac:dyDescent="0.25">
      <c r="B73" s="84"/>
      <c r="E73" s="84"/>
      <c r="F73" s="84"/>
    </row>
    <row r="74" spans="1:8" ht="18" customHeight="1" x14ac:dyDescent="0.2">
      <c r="A74" s="1570"/>
      <c r="B74" s="1642" t="str">
        <f>"سليق دجاج 2 / " &amp; COUNTIF($H$53:$H$58, "&gt;0")</f>
        <v>سليق دجاج 2 / 2</v>
      </c>
      <c r="C74" s="1651"/>
      <c r="D74" s="1651"/>
      <c r="E74" s="1651"/>
      <c r="F74" s="1651"/>
      <c r="G74" s="1651"/>
      <c r="H74" s="1651"/>
    </row>
    <row r="75" spans="1:8" ht="18" customHeight="1" x14ac:dyDescent="0.2">
      <c r="A75" s="1570"/>
      <c r="B75" s="1642" t="str">
        <f>"Chicken Saleeq 2 / " &amp; COUNTIF($H$53:$H$58, "&gt;0")</f>
        <v>Chicken Saleeq 2 / 2</v>
      </c>
      <c r="C75" s="1651"/>
      <c r="D75" s="1651"/>
      <c r="E75" s="1651"/>
      <c r="F75" s="1651"/>
      <c r="G75" s="1651"/>
      <c r="H75" s="1651"/>
    </row>
    <row r="76" spans="1:8" ht="46.5" customHeight="1" x14ac:dyDescent="0.2">
      <c r="A76" s="75"/>
      <c r="B76" s="75" t="s">
        <v>241</v>
      </c>
      <c r="C76" s="284" t="s">
        <v>317</v>
      </c>
      <c r="D76" s="75" t="s">
        <v>318</v>
      </c>
      <c r="E76" s="91" t="s">
        <v>319</v>
      </c>
      <c r="F76" s="91" t="s">
        <v>320</v>
      </c>
      <c r="G76" s="285" t="s">
        <v>321</v>
      </c>
      <c r="H76" s="92" t="s">
        <v>322</v>
      </c>
    </row>
    <row r="77" spans="1:8" ht="14.25" customHeight="1" x14ac:dyDescent="0.2">
      <c r="A77" s="198" t="s">
        <v>221</v>
      </c>
      <c r="B77" s="299" t="str">
        <f t="shared" ref="B77:D82" si="10">B5</f>
        <v>Chicken - دجاج</v>
      </c>
      <c r="C77" s="299" t="str">
        <f t="shared" si="10"/>
        <v>gm</v>
      </c>
      <c r="D77" s="101">
        <f t="shared" si="10"/>
        <v>1612.9032258064517</v>
      </c>
      <c r="E77" s="177">
        <f t="shared" ref="E77:E82" si="11">$H$54</f>
        <v>1.7699999999999996</v>
      </c>
      <c r="F77" s="109">
        <f t="shared" ref="F77:F82" si="12">F5</f>
        <v>1</v>
      </c>
      <c r="G77" s="101">
        <f t="shared" ref="G77:G82" si="13">D77*E77</f>
        <v>2854.838709677419</v>
      </c>
      <c r="H77" s="102">
        <f t="shared" ref="H77:H82" si="14">G77*F77</f>
        <v>2854.838709677419</v>
      </c>
    </row>
    <row r="78" spans="1:8" ht="14.25" customHeight="1" x14ac:dyDescent="0.25">
      <c r="A78" s="247" t="s">
        <v>94</v>
      </c>
      <c r="B78" s="299" t="str">
        <f t="shared" si="10"/>
        <v>Cumin Powder - كمون مطحون</v>
      </c>
      <c r="C78" s="299" t="str">
        <f t="shared" si="10"/>
        <v>gm</v>
      </c>
      <c r="D78" s="299">
        <f t="shared" si="10"/>
        <v>25</v>
      </c>
      <c r="E78" s="177">
        <f t="shared" si="11"/>
        <v>1.7699999999999996</v>
      </c>
      <c r="F78" s="109">
        <f t="shared" si="12"/>
        <v>0.7</v>
      </c>
      <c r="G78" s="101">
        <f t="shared" si="13"/>
        <v>44.249999999999986</v>
      </c>
      <c r="H78" s="102">
        <f t="shared" si="14"/>
        <v>30.974999999999987</v>
      </c>
    </row>
    <row r="79" spans="1:8" ht="14.25" customHeight="1" x14ac:dyDescent="0.25">
      <c r="A79" s="247" t="s">
        <v>190</v>
      </c>
      <c r="B79" s="299" t="str">
        <f t="shared" si="10"/>
        <v>Tomato Paste - صلصة طماطم</v>
      </c>
      <c r="C79" s="299" t="str">
        <f t="shared" si="10"/>
        <v>gm</v>
      </c>
      <c r="D79" s="299">
        <f t="shared" si="10"/>
        <v>35</v>
      </c>
      <c r="E79" s="177">
        <f t="shared" si="11"/>
        <v>1.7699999999999996</v>
      </c>
      <c r="F79" s="109">
        <f t="shared" si="12"/>
        <v>0.75</v>
      </c>
      <c r="G79" s="101">
        <f t="shared" si="13"/>
        <v>61.949999999999989</v>
      </c>
      <c r="H79" s="102">
        <f t="shared" si="14"/>
        <v>46.462499999999991</v>
      </c>
    </row>
    <row r="80" spans="1:8" ht="14.25" customHeight="1" x14ac:dyDescent="0.25">
      <c r="A80" s="247" t="s">
        <v>94</v>
      </c>
      <c r="B80" s="299" t="str">
        <f t="shared" si="10"/>
        <v>Coriander Powder - كزبرة مطحونة</v>
      </c>
      <c r="C80" s="299" t="str">
        <f t="shared" si="10"/>
        <v>gm</v>
      </c>
      <c r="D80" s="299">
        <f t="shared" si="10"/>
        <v>20</v>
      </c>
      <c r="E80" s="177">
        <f t="shared" si="11"/>
        <v>1.7699999999999996</v>
      </c>
      <c r="F80" s="109">
        <f t="shared" si="12"/>
        <v>0.7</v>
      </c>
      <c r="G80" s="101">
        <f t="shared" si="13"/>
        <v>35.399999999999991</v>
      </c>
      <c r="H80" s="102">
        <f t="shared" si="14"/>
        <v>24.779999999999994</v>
      </c>
    </row>
    <row r="81" spans="1:8" ht="14.25" customHeight="1" x14ac:dyDescent="0.25">
      <c r="A81" s="247" t="s">
        <v>94</v>
      </c>
      <c r="B81" s="299" t="str">
        <f t="shared" si="10"/>
        <v>Salt - ملح</v>
      </c>
      <c r="C81" s="299" t="str">
        <f t="shared" si="10"/>
        <v>gm</v>
      </c>
      <c r="D81" s="299">
        <f t="shared" si="10"/>
        <v>15</v>
      </c>
      <c r="E81" s="177">
        <f t="shared" si="11"/>
        <v>1.7699999999999996</v>
      </c>
      <c r="F81" s="109">
        <f t="shared" si="12"/>
        <v>0.75</v>
      </c>
      <c r="G81" s="101">
        <f t="shared" si="13"/>
        <v>26.549999999999994</v>
      </c>
      <c r="H81" s="102">
        <f t="shared" si="14"/>
        <v>19.912499999999994</v>
      </c>
    </row>
    <row r="82" spans="1:8" ht="14.25" customHeight="1" x14ac:dyDescent="0.25">
      <c r="A82" s="247" t="s">
        <v>204</v>
      </c>
      <c r="B82" s="299" t="str">
        <f t="shared" si="10"/>
        <v>Water - ماء</v>
      </c>
      <c r="C82" s="299" t="str">
        <f t="shared" si="10"/>
        <v>ml</v>
      </c>
      <c r="D82" s="299">
        <f t="shared" si="10"/>
        <v>1500</v>
      </c>
      <c r="E82" s="177">
        <f t="shared" si="11"/>
        <v>1.7699999999999996</v>
      </c>
      <c r="F82" s="109">
        <f t="shared" si="12"/>
        <v>1</v>
      </c>
      <c r="G82" s="101">
        <f t="shared" si="13"/>
        <v>2654.9999999999995</v>
      </c>
      <c r="H82" s="102">
        <f t="shared" si="14"/>
        <v>2654.9999999999995</v>
      </c>
    </row>
    <row r="83" spans="1:8" ht="20.25" customHeight="1" x14ac:dyDescent="0.25">
      <c r="A83" s="191"/>
      <c r="B83" s="178" t="s">
        <v>287</v>
      </c>
      <c r="C83" s="180" t="s">
        <v>273</v>
      </c>
      <c r="D83" s="14"/>
      <c r="E83" s="180" t="s">
        <v>288</v>
      </c>
      <c r="F83" s="14"/>
      <c r="G83" s="804" t="s">
        <v>264</v>
      </c>
      <c r="H83" s="804" t="s">
        <v>673</v>
      </c>
    </row>
    <row r="84" spans="1:8" ht="28.5" customHeight="1" x14ac:dyDescent="0.3">
      <c r="A84" s="191"/>
      <c r="B84" s="179">
        <f>$J$54</f>
        <v>1770</v>
      </c>
      <c r="C84" s="179">
        <f>E84+G84</f>
        <v>0</v>
      </c>
      <c r="D84" s="839"/>
      <c r="E84" s="179">
        <f>$C$54*$S$44</f>
        <v>0</v>
      </c>
      <c r="F84" s="843"/>
      <c r="G84" s="179">
        <f>$C$54*$T$44</f>
        <v>0</v>
      </c>
      <c r="H84" s="179">
        <f>B84+E84</f>
        <v>1770</v>
      </c>
    </row>
    <row r="85" spans="1:8" ht="15" customHeight="1" x14ac:dyDescent="0.25"/>
    <row r="86" spans="1:8" ht="4.5" customHeight="1" x14ac:dyDescent="0.25"/>
    <row r="87" spans="1:8" ht="4.5" customHeight="1" x14ac:dyDescent="0.25"/>
    <row r="88" spans="1:8" ht="18" customHeight="1" x14ac:dyDescent="0.2">
      <c r="A88" s="1570"/>
      <c r="B88" s="1642" t="str">
        <f>"سليق دجاج 3 / " &amp; COUNTIF($H$53:$H$58, "&gt;0")</f>
        <v>سليق دجاج 3 / 2</v>
      </c>
      <c r="C88" s="1651"/>
      <c r="D88" s="1651"/>
      <c r="E88" s="1651"/>
      <c r="F88" s="1651"/>
      <c r="G88" s="1651"/>
      <c r="H88" s="1651"/>
    </row>
    <row r="89" spans="1:8" ht="18" customHeight="1" x14ac:dyDescent="0.2">
      <c r="A89" s="1571"/>
      <c r="B89" s="1642" t="str">
        <f>"Chicken Saleeq 3 / " &amp; COUNTIF($H$53:$H$58, "&gt;0")</f>
        <v>Chicken Saleeq 3 / 2</v>
      </c>
      <c r="C89" s="1651"/>
      <c r="D89" s="1651"/>
      <c r="E89" s="1651"/>
      <c r="F89" s="1651"/>
      <c r="G89" s="1651"/>
      <c r="H89" s="1651"/>
    </row>
    <row r="90" spans="1:8" ht="60" customHeight="1" x14ac:dyDescent="0.2">
      <c r="A90" s="75"/>
      <c r="B90" s="75" t="s">
        <v>241</v>
      </c>
      <c r="C90" s="284" t="s">
        <v>317</v>
      </c>
      <c r="D90" s="75" t="s">
        <v>318</v>
      </c>
      <c r="E90" s="91" t="s">
        <v>319</v>
      </c>
      <c r="F90" s="91" t="s">
        <v>320</v>
      </c>
      <c r="G90" s="285" t="s">
        <v>321</v>
      </c>
      <c r="H90" s="92" t="s">
        <v>322</v>
      </c>
    </row>
    <row r="91" spans="1:8" ht="14.25" customHeight="1" x14ac:dyDescent="0.2">
      <c r="A91" s="198" t="s">
        <v>221</v>
      </c>
      <c r="B91" s="198" t="str">
        <f t="shared" ref="B91:D96" si="15">B5</f>
        <v>Chicken - دجاج</v>
      </c>
      <c r="C91" s="198" t="str">
        <f t="shared" si="15"/>
        <v>gm</v>
      </c>
      <c r="D91" s="101">
        <f t="shared" si="15"/>
        <v>1612.9032258064517</v>
      </c>
      <c r="E91" s="177">
        <f t="shared" ref="E91:E96" si="16">$H$55</f>
        <v>0</v>
      </c>
      <c r="F91" s="301">
        <f t="shared" ref="F91:F96" si="17">F5</f>
        <v>1</v>
      </c>
      <c r="G91" s="101">
        <f t="shared" ref="G91:G96" si="18">D91*E91</f>
        <v>0</v>
      </c>
      <c r="H91" s="102">
        <f t="shared" ref="H91:H96" si="19">G91*F91</f>
        <v>0</v>
      </c>
    </row>
    <row r="92" spans="1:8" ht="14.25" customHeight="1" x14ac:dyDescent="0.2">
      <c r="A92" s="198" t="s">
        <v>94</v>
      </c>
      <c r="B92" s="198" t="str">
        <f t="shared" si="15"/>
        <v>Cumin Powder - كمون مطحون</v>
      </c>
      <c r="C92" s="198" t="str">
        <f t="shared" si="15"/>
        <v>gm</v>
      </c>
      <c r="D92" s="198">
        <f t="shared" si="15"/>
        <v>25</v>
      </c>
      <c r="E92" s="177">
        <f t="shared" si="16"/>
        <v>0</v>
      </c>
      <c r="F92" s="301">
        <f t="shared" si="17"/>
        <v>0.7</v>
      </c>
      <c r="G92" s="101">
        <f t="shared" si="18"/>
        <v>0</v>
      </c>
      <c r="H92" s="102">
        <f t="shared" si="19"/>
        <v>0</v>
      </c>
    </row>
    <row r="93" spans="1:8" ht="14.25" customHeight="1" x14ac:dyDescent="0.2">
      <c r="A93" s="198" t="s">
        <v>190</v>
      </c>
      <c r="B93" s="198" t="str">
        <f t="shared" si="15"/>
        <v>Tomato Paste - صلصة طماطم</v>
      </c>
      <c r="C93" s="198" t="str">
        <f t="shared" si="15"/>
        <v>gm</v>
      </c>
      <c r="D93" s="198">
        <f t="shared" si="15"/>
        <v>35</v>
      </c>
      <c r="E93" s="177">
        <f t="shared" si="16"/>
        <v>0</v>
      </c>
      <c r="F93" s="301">
        <f t="shared" si="17"/>
        <v>0.75</v>
      </c>
      <c r="G93" s="101">
        <f t="shared" si="18"/>
        <v>0</v>
      </c>
      <c r="H93" s="102">
        <f t="shared" si="19"/>
        <v>0</v>
      </c>
    </row>
    <row r="94" spans="1:8" ht="14.25" customHeight="1" x14ac:dyDescent="0.2">
      <c r="A94" s="198" t="s">
        <v>94</v>
      </c>
      <c r="B94" s="198" t="str">
        <f t="shared" si="15"/>
        <v>Coriander Powder - كزبرة مطحونة</v>
      </c>
      <c r="C94" s="198" t="str">
        <f t="shared" si="15"/>
        <v>gm</v>
      </c>
      <c r="D94" s="198">
        <f t="shared" si="15"/>
        <v>20</v>
      </c>
      <c r="E94" s="177">
        <f t="shared" si="16"/>
        <v>0</v>
      </c>
      <c r="F94" s="301">
        <f t="shared" si="17"/>
        <v>0.7</v>
      </c>
      <c r="G94" s="101">
        <f t="shared" si="18"/>
        <v>0</v>
      </c>
      <c r="H94" s="102">
        <f t="shared" si="19"/>
        <v>0</v>
      </c>
    </row>
    <row r="95" spans="1:8" ht="14.25" customHeight="1" x14ac:dyDescent="0.2">
      <c r="A95" s="198" t="s">
        <v>94</v>
      </c>
      <c r="B95" s="198" t="str">
        <f t="shared" si="15"/>
        <v>Salt - ملح</v>
      </c>
      <c r="C95" s="198" t="str">
        <f t="shared" si="15"/>
        <v>gm</v>
      </c>
      <c r="D95" s="198">
        <f t="shared" si="15"/>
        <v>15</v>
      </c>
      <c r="E95" s="177">
        <f t="shared" si="16"/>
        <v>0</v>
      </c>
      <c r="F95" s="301">
        <f t="shared" si="17"/>
        <v>0.75</v>
      </c>
      <c r="G95" s="101">
        <f t="shared" si="18"/>
        <v>0</v>
      </c>
      <c r="H95" s="102">
        <f t="shared" si="19"/>
        <v>0</v>
      </c>
    </row>
    <row r="96" spans="1:8" ht="14.25" customHeight="1" x14ac:dyDescent="0.2">
      <c r="A96" s="198" t="s">
        <v>204</v>
      </c>
      <c r="B96" s="198" t="str">
        <f t="shared" si="15"/>
        <v>Water - ماء</v>
      </c>
      <c r="C96" s="198" t="str">
        <f t="shared" si="15"/>
        <v>ml</v>
      </c>
      <c r="D96" s="198">
        <f t="shared" si="15"/>
        <v>1500</v>
      </c>
      <c r="E96" s="177">
        <f t="shared" si="16"/>
        <v>0</v>
      </c>
      <c r="F96" s="301">
        <f t="shared" si="17"/>
        <v>1</v>
      </c>
      <c r="G96" s="101">
        <f t="shared" si="18"/>
        <v>0</v>
      </c>
      <c r="H96" s="102">
        <f t="shared" si="19"/>
        <v>0</v>
      </c>
    </row>
    <row r="97" spans="1:8" ht="20.25" customHeight="1" x14ac:dyDescent="0.25">
      <c r="A97" s="191"/>
      <c r="B97" s="178" t="s">
        <v>287</v>
      </c>
      <c r="C97" s="180" t="s">
        <v>273</v>
      </c>
      <c r="D97" s="14"/>
      <c r="E97" s="180" t="s">
        <v>288</v>
      </c>
      <c r="F97" s="14"/>
      <c r="G97" s="804" t="s">
        <v>264</v>
      </c>
      <c r="H97" s="804" t="s">
        <v>673</v>
      </c>
    </row>
    <row r="98" spans="1:8" ht="20.25" x14ac:dyDescent="0.3">
      <c r="A98" s="191"/>
      <c r="B98" s="179">
        <f>$J$55</f>
        <v>0</v>
      </c>
      <c r="C98" s="179">
        <f>E98+G98</f>
        <v>0</v>
      </c>
      <c r="D98" s="839"/>
      <c r="E98" s="179">
        <f>$C$55*$S$44</f>
        <v>0</v>
      </c>
      <c r="F98" s="843"/>
      <c r="G98" s="179">
        <f>$C$55*$T$44</f>
        <v>0</v>
      </c>
      <c r="H98" s="179">
        <f>B98+E98</f>
        <v>0</v>
      </c>
    </row>
  </sheetData>
  <mergeCells count="10">
    <mergeCell ref="B74:H74"/>
    <mergeCell ref="B75:H75"/>
    <mergeCell ref="B88:H88"/>
    <mergeCell ref="B89:H89"/>
    <mergeCell ref="B2:K3"/>
    <mergeCell ref="AE2:AG3"/>
    <mergeCell ref="R25:T25"/>
    <mergeCell ref="R26:T26"/>
    <mergeCell ref="B62:H62"/>
    <mergeCell ref="B63:H63"/>
  </mergeCells>
  <printOptions horizontalCentered="1"/>
  <pageMargins left="0.5" right="0.5" top="1" bottom="0.5" header="0.3" footer="0.511811023622047"/>
  <pageSetup paperSize="9" scale="33" orientation="portrait" r:id="rId1"/>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CD30B-1AE3-40F9-99B5-4C88089DD3E5}">
  <sheetPr codeName="Sheet84">
    <tabColor rgb="FF333F50"/>
    <pageSetUpPr fitToPage="1"/>
  </sheetPr>
  <dimension ref="A1:AG147"/>
  <sheetViews>
    <sheetView zoomScale="70" zoomScaleNormal="70" workbookViewId="0">
      <selection activeCell="H19" sqref="H15:H19"/>
    </sheetView>
  </sheetViews>
  <sheetFormatPr defaultColWidth="12.5" defaultRowHeight="15" x14ac:dyDescent="0.25"/>
  <cols>
    <col min="1" max="1" width="16.375" style="1" customWidth="1"/>
    <col min="2" max="2" width="30.875" customWidth="1"/>
    <col min="3" max="3" width="16.875" customWidth="1"/>
    <col min="4" max="4" width="19" customWidth="1"/>
    <col min="5" max="5" width="19.5" customWidth="1"/>
    <col min="6" max="6" width="23.125" customWidth="1"/>
    <col min="7" max="7" width="25.125" customWidth="1"/>
    <col min="8" max="8" width="36.125" customWidth="1"/>
    <col min="9" max="9" width="18" customWidth="1"/>
    <col min="12" max="12" width="8.375" customWidth="1"/>
    <col min="13" max="13" width="31.875" customWidth="1"/>
    <col min="18" max="18" width="32" customWidth="1"/>
    <col min="23" max="23" width="29.375" customWidth="1"/>
    <col min="24" max="24" width="31.625" customWidth="1"/>
  </cols>
  <sheetData>
    <row r="1" spans="1:33" ht="24" customHeight="1" x14ac:dyDescent="0.2">
      <c r="A1" s="64" t="s">
        <v>231</v>
      </c>
      <c r="B1" s="65">
        <v>1000</v>
      </c>
      <c r="C1" s="73" t="s">
        <v>313</v>
      </c>
      <c r="D1" s="74">
        <f>$S$30/J1</f>
        <v>32886.241154289848</v>
      </c>
      <c r="E1" s="75" t="s">
        <v>236</v>
      </c>
      <c r="F1" s="76" t="s">
        <v>314</v>
      </c>
      <c r="G1" s="75" t="s">
        <v>315</v>
      </c>
      <c r="H1" s="282">
        <f>H52</f>
        <v>19.100000000000001</v>
      </c>
      <c r="I1" s="77" t="s">
        <v>238</v>
      </c>
      <c r="J1" s="283">
        <v>0.58079000000000003</v>
      </c>
      <c r="K1" s="84"/>
      <c r="Y1" s="75" t="s">
        <v>453</v>
      </c>
      <c r="Z1" s="766">
        <v>18600</v>
      </c>
      <c r="AA1" s="75" t="s">
        <v>556</v>
      </c>
      <c r="AB1" s="766">
        <v>500</v>
      </c>
      <c r="AC1" s="75" t="s">
        <v>546</v>
      </c>
      <c r="AD1" s="766">
        <v>130</v>
      </c>
    </row>
    <row r="2" spans="1:33" ht="12.75" customHeight="1" x14ac:dyDescent="0.25">
      <c r="A2" s="242"/>
      <c r="B2" s="1645" t="s">
        <v>474</v>
      </c>
      <c r="C2" s="1653"/>
      <c r="D2" s="1653"/>
      <c r="E2" s="1653"/>
      <c r="F2" s="1653"/>
      <c r="G2" s="1653"/>
      <c r="H2" s="1653"/>
      <c r="I2" s="1653"/>
      <c r="J2" s="1653"/>
      <c r="K2" s="1653"/>
      <c r="L2" s="270"/>
      <c r="M2" s="84"/>
      <c r="N2" s="84"/>
      <c r="AE2" s="1616"/>
      <c r="AF2" s="1653"/>
      <c r="AG2" s="1653"/>
    </row>
    <row r="3" spans="1:33" ht="12.75" customHeight="1" x14ac:dyDescent="0.25">
      <c r="A3" s="242"/>
      <c r="B3" s="1633"/>
      <c r="C3" s="1633"/>
      <c r="D3" s="1633"/>
      <c r="E3" s="1633"/>
      <c r="F3" s="1633"/>
      <c r="G3" s="1633"/>
      <c r="H3" s="1633"/>
      <c r="I3" s="1633"/>
      <c r="J3" s="1633"/>
      <c r="K3" s="1633"/>
      <c r="L3" s="270"/>
      <c r="M3" s="84"/>
      <c r="N3" s="84"/>
      <c r="AE3" s="1653"/>
      <c r="AF3" s="1653"/>
      <c r="AG3" s="1653"/>
    </row>
    <row r="4" spans="1:33" ht="35.25" customHeight="1" x14ac:dyDescent="0.2">
      <c r="A4" s="75"/>
      <c r="B4" s="75" t="s">
        <v>687</v>
      </c>
      <c r="C4" s="284" t="s">
        <v>317</v>
      </c>
      <c r="D4" s="75" t="s">
        <v>318</v>
      </c>
      <c r="E4" s="91" t="s">
        <v>319</v>
      </c>
      <c r="F4" s="91" t="s">
        <v>320</v>
      </c>
      <c r="G4" s="285" t="s">
        <v>321</v>
      </c>
      <c r="H4" s="92" t="s">
        <v>322</v>
      </c>
      <c r="I4" s="75" t="s">
        <v>246</v>
      </c>
      <c r="J4" s="75" t="s">
        <v>247</v>
      </c>
      <c r="K4" s="75" t="s">
        <v>248</v>
      </c>
      <c r="L4" s="75" t="s">
        <v>249</v>
      </c>
    </row>
    <row r="5" spans="1:33" ht="14.25" customHeight="1" x14ac:dyDescent="0.2">
      <c r="A5" s="243"/>
      <c r="B5" s="286" t="s">
        <v>223</v>
      </c>
      <c r="C5" s="106" t="s">
        <v>14</v>
      </c>
      <c r="D5" s="245">
        <f>I51/H51</f>
        <v>1721.7927305910914</v>
      </c>
      <c r="E5" s="65">
        <f>I52/D5</f>
        <v>19.100000000000001</v>
      </c>
      <c r="F5" s="109">
        <v>1</v>
      </c>
      <c r="G5" s="99">
        <f>D1</f>
        <v>32886.241154289848</v>
      </c>
      <c r="H5" s="102">
        <f>D1</f>
        <v>32886.241154289848</v>
      </c>
      <c r="I5" s="65">
        <f>VLOOKUP(B5,All_Ingredients!$A$1:$F$156,6,FALSE())</f>
        <v>0.55000000000000004</v>
      </c>
      <c r="J5" s="101">
        <f>VLOOKUP(B5,All_Ingredients!$A$1:$J$156,10,FALSE())</f>
        <v>14.361111111111111</v>
      </c>
      <c r="K5" s="104">
        <f t="shared" ref="K5" si="0">(H5/I5)/1000</f>
        <v>59.793165735072449</v>
      </c>
      <c r="L5" s="104">
        <f t="shared" ref="L5" si="1">K5*J5</f>
        <v>858.6962968064571</v>
      </c>
    </row>
    <row r="6" spans="1:33" ht="14.25" customHeight="1" x14ac:dyDescent="0.2">
      <c r="A6" s="1603" t="s">
        <v>909</v>
      </c>
      <c r="B6" s="20" t="s">
        <v>17</v>
      </c>
      <c r="C6" s="106" t="s">
        <v>14</v>
      </c>
      <c r="D6" s="107">
        <v>100</v>
      </c>
      <c r="E6" s="177">
        <f t="shared" ref="E6:E15" si="2">$H$52</f>
        <v>19.100000000000001</v>
      </c>
      <c r="F6" s="109">
        <v>1</v>
      </c>
      <c r="G6" s="554">
        <f t="shared" ref="G6:G15" si="3">E6*D6</f>
        <v>1910.0000000000002</v>
      </c>
      <c r="H6" s="102">
        <f t="shared" ref="H6:H15" si="4">G6*F6</f>
        <v>1910.0000000000002</v>
      </c>
      <c r="I6" s="65">
        <f>VLOOKUP(B6,All_Ingredients!$A$1:$F$156,6,FALSE())</f>
        <v>0.98</v>
      </c>
      <c r="J6" s="101">
        <f>VLOOKUP(B6,All_Ingredients!$A$1:$J$156,10,FALSE())</f>
        <v>3.5</v>
      </c>
      <c r="K6" s="104">
        <f t="shared" ref="K6:K15" si="5">(H6/I6)/1000</f>
        <v>1.948979591836735</v>
      </c>
      <c r="L6" s="104">
        <f t="shared" ref="L6:L15" si="6">K6*J6</f>
        <v>6.8214285714285721</v>
      </c>
    </row>
    <row r="7" spans="1:33" ht="14.25" customHeight="1" x14ac:dyDescent="0.25">
      <c r="A7" s="247"/>
      <c r="B7" s="20" t="s">
        <v>136</v>
      </c>
      <c r="C7" s="106" t="s">
        <v>14</v>
      </c>
      <c r="D7" s="107">
        <v>19</v>
      </c>
      <c r="E7" s="177">
        <f t="shared" si="2"/>
        <v>19.100000000000001</v>
      </c>
      <c r="F7" s="109">
        <v>0.7</v>
      </c>
      <c r="G7" s="554">
        <f t="shared" si="3"/>
        <v>362.90000000000003</v>
      </c>
      <c r="H7" s="102">
        <f t="shared" si="4"/>
        <v>254.03</v>
      </c>
      <c r="I7" s="65">
        <f>VLOOKUP(B7,All_Ingredients!$A$1:$F$156,6,FALSE())</f>
        <v>1</v>
      </c>
      <c r="J7" s="101">
        <f>VLOOKUP(B7,All_Ingredients!$A$1:$J$156,10,FALSE())</f>
        <v>43.75</v>
      </c>
      <c r="K7" s="104">
        <f t="shared" si="5"/>
        <v>0.25402999999999998</v>
      </c>
      <c r="L7" s="104">
        <f t="shared" si="6"/>
        <v>11.1138125</v>
      </c>
    </row>
    <row r="8" spans="1:33" ht="14.25" customHeight="1" x14ac:dyDescent="0.25">
      <c r="A8" s="247"/>
      <c r="B8" s="20" t="s">
        <v>105</v>
      </c>
      <c r="C8" s="106" t="s">
        <v>14</v>
      </c>
      <c r="D8" s="107">
        <v>20</v>
      </c>
      <c r="E8" s="177">
        <f t="shared" si="2"/>
        <v>19.100000000000001</v>
      </c>
      <c r="F8" s="109">
        <v>0.7</v>
      </c>
      <c r="G8" s="554">
        <f t="shared" si="3"/>
        <v>382</v>
      </c>
      <c r="H8" s="102">
        <f t="shared" si="4"/>
        <v>267.39999999999998</v>
      </c>
      <c r="I8" s="65">
        <f>VLOOKUP(B8,All_Ingredients!$A$1:$F$156,6,FALSE())</f>
        <v>1</v>
      </c>
      <c r="J8" s="101">
        <f>VLOOKUP(B8,All_Ingredients!$A$1:$J$156,10,FALSE())</f>
        <v>15</v>
      </c>
      <c r="K8" s="104">
        <f t="shared" si="5"/>
        <v>0.26739999999999997</v>
      </c>
      <c r="L8" s="104">
        <f t="shared" si="6"/>
        <v>4.0109999999999992</v>
      </c>
    </row>
    <row r="9" spans="1:33" ht="14.25" customHeight="1" x14ac:dyDescent="0.25">
      <c r="A9" s="247"/>
      <c r="B9" s="20" t="s">
        <v>698</v>
      </c>
      <c r="C9" s="106" t="s">
        <v>14</v>
      </c>
      <c r="D9" s="107">
        <v>130</v>
      </c>
      <c r="E9" s="177">
        <f t="shared" si="2"/>
        <v>19.100000000000001</v>
      </c>
      <c r="F9" s="109">
        <v>0.85</v>
      </c>
      <c r="G9" s="554">
        <f t="shared" si="3"/>
        <v>2483</v>
      </c>
      <c r="H9" s="102">
        <f t="shared" si="4"/>
        <v>2110.5499999999997</v>
      </c>
      <c r="I9" s="65">
        <f>VLOOKUP(B9,All_Ingredients!$A$1:$F$156,6,FALSE())</f>
        <v>1</v>
      </c>
      <c r="J9" s="101">
        <f>VLOOKUP(B9,All_Ingredients!$A$1:$J$156,10,FALSE())</f>
        <v>8.1520833333333336</v>
      </c>
      <c r="K9" s="104">
        <f t="shared" si="5"/>
        <v>2.1105499999999999</v>
      </c>
      <c r="L9" s="104">
        <f t="shared" si="6"/>
        <v>17.205379479166666</v>
      </c>
    </row>
    <row r="10" spans="1:33" ht="14.25" customHeight="1" x14ac:dyDescent="0.25">
      <c r="A10" s="247"/>
      <c r="B10" s="20" t="s">
        <v>49</v>
      </c>
      <c r="C10" s="106" t="s">
        <v>14</v>
      </c>
      <c r="D10" s="107">
        <v>200</v>
      </c>
      <c r="E10" s="177">
        <f t="shared" si="2"/>
        <v>19.100000000000001</v>
      </c>
      <c r="F10" s="109">
        <v>0.85</v>
      </c>
      <c r="G10" s="554">
        <f t="shared" si="3"/>
        <v>3820.0000000000005</v>
      </c>
      <c r="H10" s="102">
        <f t="shared" si="4"/>
        <v>3247.0000000000005</v>
      </c>
      <c r="I10" s="65">
        <f>VLOOKUP(B10,All_Ingredients!$A$1:$F$156,6,FALSE())</f>
        <v>0.5</v>
      </c>
      <c r="J10" s="101">
        <f>VLOOKUP(B10,All_Ingredients!$A$1:$J$156,10,FALSE())</f>
        <v>4.5</v>
      </c>
      <c r="K10" s="104">
        <f t="shared" si="5"/>
        <v>6.4940000000000007</v>
      </c>
      <c r="L10" s="104">
        <f t="shared" si="6"/>
        <v>29.223000000000003</v>
      </c>
    </row>
    <row r="11" spans="1:33" ht="14.25" customHeight="1" x14ac:dyDescent="0.25">
      <c r="A11" s="247"/>
      <c r="B11" s="20" t="s">
        <v>206</v>
      </c>
      <c r="C11" s="106" t="s">
        <v>160</v>
      </c>
      <c r="D11" s="107">
        <v>35</v>
      </c>
      <c r="E11" s="177">
        <f t="shared" si="2"/>
        <v>19.100000000000001</v>
      </c>
      <c r="F11" s="109">
        <v>0.75</v>
      </c>
      <c r="G11" s="554">
        <f t="shared" si="3"/>
        <v>668.5</v>
      </c>
      <c r="H11" s="102">
        <f t="shared" si="4"/>
        <v>501.375</v>
      </c>
      <c r="I11" s="65">
        <f>VLOOKUP(B11,All_Ingredients!$A$1:$F$156,6,FALSE())</f>
        <v>1</v>
      </c>
      <c r="J11" s="101">
        <f>VLOOKUP(B11,All_Ingredients!$A$1:$J$156,10,FALSE())</f>
        <v>14.760802469135802</v>
      </c>
      <c r="K11" s="104">
        <f t="shared" si="5"/>
        <v>0.50137500000000002</v>
      </c>
      <c r="L11" s="104">
        <f t="shared" si="6"/>
        <v>7.4006973379629635</v>
      </c>
    </row>
    <row r="12" spans="1:33" ht="14.25" customHeight="1" x14ac:dyDescent="0.25">
      <c r="A12" s="247"/>
      <c r="B12" s="20" t="s">
        <v>203</v>
      </c>
      <c r="C12" s="106" t="s">
        <v>160</v>
      </c>
      <c r="D12" s="107">
        <v>800</v>
      </c>
      <c r="E12" s="177">
        <f t="shared" si="2"/>
        <v>19.100000000000001</v>
      </c>
      <c r="F12" s="109">
        <v>1</v>
      </c>
      <c r="G12" s="554">
        <f t="shared" si="3"/>
        <v>15280.000000000002</v>
      </c>
      <c r="H12" s="102">
        <f t="shared" si="4"/>
        <v>15280.000000000002</v>
      </c>
      <c r="I12" s="65">
        <f>VLOOKUP(B12,All_Ingredients!$A$1:$F$156,6,FALSE())</f>
        <v>1</v>
      </c>
      <c r="J12" s="101">
        <f>VLOOKUP(B12,All_Ingredients!$A$1:$J$156,10,FALSE())</f>
        <v>0</v>
      </c>
      <c r="K12" s="104">
        <f t="shared" si="5"/>
        <v>15.280000000000001</v>
      </c>
      <c r="L12" s="104">
        <f t="shared" si="6"/>
        <v>0</v>
      </c>
    </row>
    <row r="13" spans="1:33" ht="14.25" customHeight="1" x14ac:dyDescent="0.2">
      <c r="A13" s="1603" t="s">
        <v>907</v>
      </c>
      <c r="B13" s="20" t="s">
        <v>727</v>
      </c>
      <c r="C13" s="106" t="s">
        <v>14</v>
      </c>
      <c r="D13" s="107">
        <v>30</v>
      </c>
      <c r="E13" s="177">
        <f t="shared" si="2"/>
        <v>19.100000000000001</v>
      </c>
      <c r="F13" s="109">
        <v>0.4</v>
      </c>
      <c r="G13" s="554">
        <f t="shared" si="3"/>
        <v>573</v>
      </c>
      <c r="H13" s="102">
        <f t="shared" si="4"/>
        <v>229.20000000000002</v>
      </c>
      <c r="I13" s="65">
        <f>VLOOKUP(B13,All_Ingredients!$A$1:$F$156,6,FALSE())</f>
        <v>1</v>
      </c>
      <c r="J13" s="101">
        <f>VLOOKUP(B13,All_Ingredients!$A$1:$J$156,10,FALSE())</f>
        <v>10.5</v>
      </c>
      <c r="K13" s="104">
        <f t="shared" si="5"/>
        <v>0.22920000000000001</v>
      </c>
      <c r="L13" s="104">
        <f t="shared" si="6"/>
        <v>2.4066000000000001</v>
      </c>
    </row>
    <row r="14" spans="1:33" ht="14.25" customHeight="1" x14ac:dyDescent="0.25">
      <c r="A14" s="247"/>
      <c r="B14" s="20" t="s">
        <v>163</v>
      </c>
      <c r="C14" s="106" t="s">
        <v>14</v>
      </c>
      <c r="D14" s="107">
        <v>300</v>
      </c>
      <c r="E14" s="177">
        <f t="shared" si="2"/>
        <v>19.100000000000001</v>
      </c>
      <c r="F14" s="109">
        <v>0.5</v>
      </c>
      <c r="G14" s="554">
        <f t="shared" si="3"/>
        <v>5730</v>
      </c>
      <c r="H14" s="102">
        <f t="shared" si="4"/>
        <v>2865</v>
      </c>
      <c r="I14" s="65">
        <f>VLOOKUP(B14,All_Ingredients!$A$1:$F$156,6,FALSE())</f>
        <v>1</v>
      </c>
      <c r="J14" s="101">
        <f>VLOOKUP(B14,All_Ingredients!$A$1:$J$156,10,FALSE())</f>
        <v>6.6959999999999997</v>
      </c>
      <c r="K14" s="104">
        <f t="shared" si="5"/>
        <v>2.8650000000000002</v>
      </c>
      <c r="L14" s="104">
        <f t="shared" si="6"/>
        <v>19.18404</v>
      </c>
    </row>
    <row r="15" spans="1:33" ht="15" customHeight="1" x14ac:dyDescent="0.25">
      <c r="A15" s="247"/>
      <c r="B15" s="20" t="s">
        <v>184</v>
      </c>
      <c r="C15" s="106" t="s">
        <v>14</v>
      </c>
      <c r="D15" s="107">
        <v>35</v>
      </c>
      <c r="E15" s="177">
        <f t="shared" si="2"/>
        <v>19.100000000000001</v>
      </c>
      <c r="F15" s="109">
        <v>0.5</v>
      </c>
      <c r="G15" s="554">
        <f t="shared" si="3"/>
        <v>668.5</v>
      </c>
      <c r="H15" s="102">
        <f t="shared" si="4"/>
        <v>334.25</v>
      </c>
      <c r="I15" s="65">
        <f>VLOOKUP(B15,All_Ingredients!$A$1:$F$156,6,FALSE())</f>
        <v>1</v>
      </c>
      <c r="J15" s="101">
        <f>VLOOKUP(B15,All_Ingredients!$A$1:$J$156,10,FALSE())</f>
        <v>17.5</v>
      </c>
      <c r="K15" s="104">
        <f t="shared" si="5"/>
        <v>0.33424999999999999</v>
      </c>
      <c r="L15" s="104">
        <f t="shared" si="6"/>
        <v>5.8493750000000002</v>
      </c>
    </row>
    <row r="19" spans="1:29" ht="14.25" customHeight="1" x14ac:dyDescent="0.2">
      <c r="A19" s="84"/>
      <c r="F19" s="84"/>
      <c r="L19" s="189"/>
    </row>
    <row r="20" spans="1:29" ht="14.25" customHeight="1" x14ac:dyDescent="0.2">
      <c r="A20" s="84"/>
      <c r="F20" s="84"/>
      <c r="L20" s="189"/>
    </row>
    <row r="21" spans="1:29" ht="14.25" customHeight="1" x14ac:dyDescent="0.2">
      <c r="A21" s="84"/>
      <c r="F21" s="84"/>
    </row>
    <row r="22" spans="1:29" ht="14.25" customHeight="1" x14ac:dyDescent="0.2">
      <c r="A22" s="84"/>
      <c r="F22" s="84"/>
    </row>
    <row r="23" spans="1:29" ht="14.25" customHeight="1" x14ac:dyDescent="0.2">
      <c r="A23" s="84"/>
      <c r="F23" s="84"/>
    </row>
    <row r="24" spans="1:29" ht="14.25" customHeight="1" x14ac:dyDescent="0.2">
      <c r="A24" s="84"/>
      <c r="F24" s="84"/>
      <c r="Z24" s="1124"/>
    </row>
    <row r="25" spans="1:29" ht="15.75" customHeight="1" x14ac:dyDescent="0.25">
      <c r="F25" s="84"/>
      <c r="R25" s="1726" t="str">
        <f>B2</f>
        <v>Beef Kabli- كابلي لحم</v>
      </c>
      <c r="S25" s="1714"/>
      <c r="T25" s="1714"/>
      <c r="U25" s="1059"/>
      <c r="Z25" s="122" t="s">
        <v>252</v>
      </c>
      <c r="AA25" s="123">
        <v>1</v>
      </c>
      <c r="AB25" s="122" t="s">
        <v>249</v>
      </c>
      <c r="AC25" s="124">
        <f>AC30*AA25</f>
        <v>5.0480975376702368E-2</v>
      </c>
    </row>
    <row r="26" spans="1:29" ht="14.25" customHeight="1" x14ac:dyDescent="0.25">
      <c r="F26" s="84"/>
      <c r="R26" s="1638" t="s">
        <v>324</v>
      </c>
      <c r="S26" s="1719"/>
      <c r="T26" s="1719"/>
      <c r="U26" s="1059"/>
      <c r="AB26" s="14"/>
      <c r="AC26" s="14"/>
    </row>
    <row r="27" spans="1:29" ht="14.25" customHeight="1" thickBot="1" x14ac:dyDescent="0.3">
      <c r="F27" s="84"/>
      <c r="R27" s="126" t="s">
        <v>254</v>
      </c>
      <c r="S27" s="127" t="s">
        <v>255</v>
      </c>
      <c r="T27" s="127" t="s">
        <v>257</v>
      </c>
      <c r="U27" s="127" t="s">
        <v>779</v>
      </c>
      <c r="Z27" s="122" t="s">
        <v>258</v>
      </c>
      <c r="AA27" s="128" t="s">
        <v>259</v>
      </c>
      <c r="AB27" s="1032" t="s">
        <v>779</v>
      </c>
      <c r="AC27" s="128" t="s">
        <v>262</v>
      </c>
    </row>
    <row r="28" spans="1:29" ht="14.25" customHeight="1" thickBot="1" x14ac:dyDescent="0.3">
      <c r="B28" s="160"/>
      <c r="C28" s="295"/>
      <c r="D28" s="275"/>
      <c r="E28" s="295"/>
      <c r="F28" s="84"/>
      <c r="R28" s="129" t="s">
        <v>325</v>
      </c>
      <c r="S28" s="696">
        <f>Z1</f>
        <v>18600</v>
      </c>
      <c r="T28" s="690">
        <f>S28</f>
        <v>18600</v>
      </c>
      <c r="U28" s="690">
        <f>SUM(H37)</f>
        <v>130</v>
      </c>
      <c r="Z28" s="132"/>
      <c r="AA28" s="133">
        <f>AA25</f>
        <v>1</v>
      </c>
      <c r="AB28" s="1034"/>
      <c r="AC28" s="135">
        <f>SUM(AA28:AB28)</f>
        <v>1</v>
      </c>
    </row>
    <row r="29" spans="1:29" ht="14.25" customHeight="1" thickBot="1" x14ac:dyDescent="0.3">
      <c r="B29" s="160"/>
      <c r="C29" s="295"/>
      <c r="D29" s="275"/>
      <c r="E29" s="295"/>
      <c r="F29" s="84"/>
      <c r="R29" s="129" t="s">
        <v>326</v>
      </c>
      <c r="S29" s="718">
        <f>AB1</f>
        <v>500</v>
      </c>
      <c r="T29" s="692">
        <f>S29</f>
        <v>500</v>
      </c>
      <c r="U29" s="692"/>
      <c r="Z29" s="132"/>
      <c r="AA29" s="137">
        <v>1</v>
      </c>
      <c r="AB29" s="1038"/>
      <c r="AC29" s="137">
        <f>AC28/$AC$28</f>
        <v>1</v>
      </c>
    </row>
    <row r="30" spans="1:29" ht="14.25" customHeight="1" thickBot="1" x14ac:dyDescent="0.3">
      <c r="B30" s="160"/>
      <c r="C30" s="295"/>
      <c r="D30" s="275"/>
      <c r="E30" s="295"/>
      <c r="F30" s="84"/>
      <c r="R30" s="141" t="s">
        <v>327</v>
      </c>
      <c r="S30" s="130">
        <f>S28+S29</f>
        <v>19100</v>
      </c>
      <c r="T30" s="130">
        <f>T28+T29</f>
        <v>19100</v>
      </c>
      <c r="U30" s="130">
        <f>U28+U29</f>
        <v>130</v>
      </c>
      <c r="Z30" s="122" t="s">
        <v>266</v>
      </c>
      <c r="AA30" s="138">
        <f>S33/(S30)</f>
        <v>5.0361865429058392E-2</v>
      </c>
      <c r="AB30" s="1045">
        <f>U33/T30</f>
        <v>1.1910994764397905E-4</v>
      </c>
      <c r="AC30" s="1047">
        <f>SUMPRODUCT(AA30,AA29)+AB30</f>
        <v>5.0480975376702368E-2</v>
      </c>
    </row>
    <row r="31" spans="1:29" ht="14.25" customHeight="1" thickBot="1" x14ac:dyDescent="0.3">
      <c r="B31" s="160"/>
      <c r="C31" s="295"/>
      <c r="D31" s="275"/>
      <c r="E31" s="295"/>
      <c r="F31" s="84"/>
      <c r="R31" s="142" t="s">
        <v>268</v>
      </c>
      <c r="S31" s="136"/>
      <c r="T31" s="136"/>
      <c r="U31" s="136"/>
    </row>
    <row r="32" spans="1:29" ht="14.25" customHeight="1" thickBot="1" x14ac:dyDescent="0.3">
      <c r="B32" s="160"/>
      <c r="C32" s="295"/>
      <c r="D32" s="275"/>
      <c r="E32" s="295"/>
      <c r="F32" s="84"/>
      <c r="R32" s="143" t="s">
        <v>269</v>
      </c>
      <c r="S32" s="136"/>
      <c r="T32" s="136"/>
      <c r="U32" s="136"/>
    </row>
    <row r="33" spans="2:23" ht="14.25" customHeight="1" thickBot="1" x14ac:dyDescent="0.3">
      <c r="R33" s="144" t="s">
        <v>249</v>
      </c>
      <c r="S33" s="145">
        <f>SUM(L5:L15)</f>
        <v>961.91162969501522</v>
      </c>
      <c r="T33" s="145">
        <f>S33+U33</f>
        <v>964.1866296950152</v>
      </c>
      <c r="U33" s="145">
        <f>SUM(L37)</f>
        <v>2.2749999999999999</v>
      </c>
    </row>
    <row r="34" spans="2:23" ht="14.25" customHeight="1" x14ac:dyDescent="0.25"/>
    <row r="35" spans="2:23" ht="14.25" customHeight="1" x14ac:dyDescent="0.25">
      <c r="B35" s="1641" t="s">
        <v>958</v>
      </c>
      <c r="C35" s="1641"/>
      <c r="D35" s="1641"/>
      <c r="E35" s="1641"/>
      <c r="F35" s="1641"/>
      <c r="G35" s="803"/>
      <c r="H35" s="803"/>
      <c r="I35" s="803"/>
      <c r="J35" s="803"/>
      <c r="K35" s="803"/>
      <c r="L35" s="803"/>
    </row>
    <row r="36" spans="2:23" ht="14.25" customHeight="1" x14ac:dyDescent="0.25">
      <c r="B36" s="776" t="s">
        <v>687</v>
      </c>
      <c r="C36" s="776" t="s">
        <v>317</v>
      </c>
      <c r="D36" s="778" t="s">
        <v>622</v>
      </c>
      <c r="E36" s="775" t="s">
        <v>623</v>
      </c>
      <c r="F36" s="778" t="s">
        <v>624</v>
      </c>
      <c r="G36" s="797"/>
      <c r="H36" s="778" t="s">
        <v>624</v>
      </c>
      <c r="I36" s="778" t="s">
        <v>246</v>
      </c>
      <c r="J36" s="778" t="s">
        <v>247</v>
      </c>
      <c r="K36" s="778" t="s">
        <v>248</v>
      </c>
      <c r="L36" s="778" t="s">
        <v>249</v>
      </c>
    </row>
    <row r="37" spans="2:23" ht="14.25" customHeight="1" x14ac:dyDescent="0.25">
      <c r="B37" s="772" t="s">
        <v>184</v>
      </c>
      <c r="C37" s="773" t="s">
        <v>14</v>
      </c>
      <c r="D37" s="774">
        <v>1</v>
      </c>
      <c r="E37" s="772">
        <f>$AD$1</f>
        <v>130</v>
      </c>
      <c r="F37" s="772">
        <f>D37*E37</f>
        <v>130</v>
      </c>
      <c r="G37" s="796"/>
      <c r="H37" s="772">
        <f>F37</f>
        <v>130</v>
      </c>
      <c r="I37" s="772">
        <f>VLOOKUP(B37,All_Ingredients!$A$1:$F$156,6,FALSE())</f>
        <v>1</v>
      </c>
      <c r="J37" s="772">
        <f>VLOOKUP(B37,All_Ingredients!$A$1:$J$156,10,FALSE())</f>
        <v>17.5</v>
      </c>
      <c r="K37" s="772">
        <f t="shared" ref="K37" si="7">(H37/I37)/1000</f>
        <v>0.13</v>
      </c>
      <c r="L37" s="772">
        <f t="shared" ref="L37" si="8">K37*J37</f>
        <v>2.2749999999999999</v>
      </c>
    </row>
    <row r="38" spans="2:23" ht="14.25" customHeight="1" x14ac:dyDescent="0.25">
      <c r="B38" s="160"/>
      <c r="C38" s="295"/>
      <c r="D38" s="275"/>
      <c r="E38" s="295"/>
      <c r="F38" s="84"/>
    </row>
    <row r="39" spans="2:23" ht="14.25" customHeight="1" x14ac:dyDescent="0.25">
      <c r="B39" s="160"/>
      <c r="C39" s="295"/>
      <c r="D39" s="275"/>
      <c r="E39" s="295"/>
      <c r="F39" s="84"/>
    </row>
    <row r="40" spans="2:23" ht="14.25" customHeight="1" x14ac:dyDescent="0.25">
      <c r="B40" s="160"/>
      <c r="C40" s="295"/>
      <c r="D40" s="275"/>
      <c r="E40" s="295"/>
      <c r="F40" s="84"/>
      <c r="Q40" s="14"/>
      <c r="R40" s="146" t="s">
        <v>328</v>
      </c>
      <c r="S40" s="217">
        <v>1</v>
      </c>
    </row>
    <row r="41" spans="2:23" ht="14.25" customHeight="1" x14ac:dyDescent="0.25">
      <c r="B41" s="160"/>
      <c r="C41" s="295"/>
      <c r="D41" s="275"/>
      <c r="E41" s="295"/>
      <c r="F41" s="84"/>
      <c r="Q41" s="14"/>
      <c r="R41" s="14"/>
      <c r="S41" s="14"/>
      <c r="T41" s="14"/>
      <c r="U41" s="150"/>
      <c r="V41" s="14"/>
      <c r="W41" s="14"/>
    </row>
    <row r="42" spans="2:23" ht="14.25" customHeight="1" x14ac:dyDescent="0.25">
      <c r="B42" s="160"/>
      <c r="C42" s="295"/>
      <c r="D42" s="275"/>
      <c r="E42" s="295"/>
      <c r="F42" s="84"/>
      <c r="Q42" s="14"/>
      <c r="R42" s="14"/>
      <c r="S42" s="14"/>
      <c r="T42" s="14"/>
      <c r="U42" s="14"/>
      <c r="V42" s="14"/>
      <c r="W42" s="14"/>
    </row>
    <row r="43" spans="2:23" ht="14.25" customHeight="1" x14ac:dyDescent="0.25">
      <c r="B43" s="160"/>
      <c r="C43" s="295"/>
      <c r="D43" s="275"/>
      <c r="E43" s="295"/>
      <c r="F43" s="84"/>
      <c r="Q43" s="151" t="s">
        <v>272</v>
      </c>
      <c r="R43" s="151" t="s">
        <v>273</v>
      </c>
      <c r="S43" s="151" t="s">
        <v>274</v>
      </c>
      <c r="T43" s="151" t="s">
        <v>275</v>
      </c>
      <c r="U43" s="151" t="s">
        <v>276</v>
      </c>
      <c r="V43" s="151" t="s">
        <v>277</v>
      </c>
      <c r="W43" s="235" t="s">
        <v>329</v>
      </c>
    </row>
    <row r="44" spans="2:23" ht="14.25" customHeight="1" x14ac:dyDescent="0.25">
      <c r="B44" s="160"/>
      <c r="C44" s="295"/>
      <c r="D44" s="275"/>
      <c r="E44" s="295"/>
      <c r="F44" s="84"/>
      <c r="Q44" s="153">
        <v>10000</v>
      </c>
      <c r="R44" s="154">
        <v>0</v>
      </c>
      <c r="S44" s="219">
        <v>0</v>
      </c>
      <c r="T44" s="219">
        <v>0</v>
      </c>
      <c r="U44" s="220">
        <f>R44*S44</f>
        <v>0</v>
      </c>
      <c r="V44" s="157">
        <f>R44*T44</f>
        <v>0</v>
      </c>
      <c r="W44" s="237">
        <f>Q44-U44</f>
        <v>10000</v>
      </c>
    </row>
    <row r="45" spans="2:23" ht="14.25" customHeight="1" x14ac:dyDescent="0.25">
      <c r="B45" s="160"/>
      <c r="C45" s="295"/>
      <c r="D45" s="275"/>
      <c r="E45" s="295"/>
      <c r="F45" s="84"/>
    </row>
    <row r="46" spans="2:23" ht="14.25" customHeight="1" x14ac:dyDescent="0.25">
      <c r="B46" s="160"/>
      <c r="C46" s="295"/>
      <c r="D46" s="275"/>
      <c r="E46" s="295"/>
      <c r="F46" s="84"/>
    </row>
    <row r="47" spans="2:23" ht="14.25" customHeight="1" x14ac:dyDescent="0.25">
      <c r="B47" s="160"/>
      <c r="C47" s="295"/>
      <c r="D47" s="275"/>
      <c r="E47" s="295"/>
      <c r="F47" s="84"/>
    </row>
    <row r="48" spans="2:23" ht="14.25" customHeight="1" x14ac:dyDescent="0.25">
      <c r="B48" s="160"/>
      <c r="C48" s="295"/>
      <c r="D48" s="275"/>
      <c r="E48" s="295"/>
      <c r="F48" s="84"/>
    </row>
    <row r="49" spans="1:10" ht="14.25" customHeight="1" x14ac:dyDescent="0.25">
      <c r="B49" s="160"/>
      <c r="C49" s="295"/>
      <c r="D49" s="275"/>
      <c r="E49" s="295"/>
      <c r="F49" s="84"/>
    </row>
    <row r="50" spans="1:10" ht="14.25" customHeight="1" thickBot="1" x14ac:dyDescent="0.3">
      <c r="B50" s="160"/>
      <c r="C50" s="295"/>
      <c r="D50" s="275"/>
      <c r="E50" s="295"/>
      <c r="F50" s="84"/>
      <c r="G50" s="127" t="s">
        <v>280</v>
      </c>
      <c r="H50" s="127" t="s">
        <v>233</v>
      </c>
      <c r="I50" s="127" t="s">
        <v>281</v>
      </c>
      <c r="J50" s="127" t="s">
        <v>282</v>
      </c>
    </row>
    <row r="51" spans="1:10" ht="14.25" customHeight="1" thickBot="1" x14ac:dyDescent="0.3">
      <c r="B51" s="160"/>
      <c r="C51" s="295"/>
      <c r="D51" s="275"/>
      <c r="E51" s="295"/>
      <c r="F51" s="84"/>
      <c r="G51" s="287" t="s">
        <v>458</v>
      </c>
      <c r="H51" s="288">
        <v>10</v>
      </c>
      <c r="I51" s="288">
        <f t="shared" ref="I51:I58" si="9">J51/$J$1</f>
        <v>17217.927305910915</v>
      </c>
      <c r="J51" s="289">
        <f>$W$44</f>
        <v>10000</v>
      </c>
    </row>
    <row r="52" spans="1:10" ht="14.25" customHeight="1" x14ac:dyDescent="0.25">
      <c r="B52" s="160"/>
      <c r="C52" s="295"/>
      <c r="D52" s="275"/>
      <c r="E52" s="295"/>
      <c r="F52" s="84"/>
      <c r="G52" s="143" t="s">
        <v>262</v>
      </c>
      <c r="H52" s="290">
        <f>$E$5</f>
        <v>19.100000000000001</v>
      </c>
      <c r="I52" s="291">
        <f t="shared" si="9"/>
        <v>32886.241154289848</v>
      </c>
      <c r="J52" s="292">
        <f>$S$30</f>
        <v>19100</v>
      </c>
    </row>
    <row r="53" spans="1:10" ht="14.25" customHeight="1" x14ac:dyDescent="0.25">
      <c r="B53" s="160"/>
      <c r="C53" s="295"/>
      <c r="D53" s="275"/>
      <c r="E53" s="295"/>
      <c r="F53" s="84"/>
      <c r="G53" s="129" t="s">
        <v>284</v>
      </c>
      <c r="H53" s="293">
        <f>MIN(H52, H51)</f>
        <v>10</v>
      </c>
      <c r="I53" s="157">
        <f t="shared" si="9"/>
        <v>17217.927305910915</v>
      </c>
      <c r="J53" s="1568">
        <f>MIN(J52, J51)</f>
        <v>10000</v>
      </c>
    </row>
    <row r="54" spans="1:10" ht="14.25" customHeight="1" x14ac:dyDescent="0.25">
      <c r="B54" s="160"/>
      <c r="C54" s="295"/>
      <c r="D54" s="275"/>
      <c r="E54" s="295"/>
      <c r="F54" s="84"/>
      <c r="G54" s="129" t="s">
        <v>285</v>
      </c>
      <c r="H54" s="293">
        <f>MIN(MAX($H$52-H53,0),H51)</f>
        <v>9.1000000000000014</v>
      </c>
      <c r="I54" s="157">
        <f t="shared" si="9"/>
        <v>15668.313848378932</v>
      </c>
      <c r="J54" s="1568">
        <f>MIN(MAX(J52-J53,0),J51)</f>
        <v>9100</v>
      </c>
    </row>
    <row r="55" spans="1:10" ht="14.25" customHeight="1" x14ac:dyDescent="0.25">
      <c r="B55" s="160"/>
      <c r="C55" s="295"/>
      <c r="D55" s="275"/>
      <c r="E55" s="295"/>
      <c r="F55" s="84"/>
      <c r="G55" s="126" t="s">
        <v>286</v>
      </c>
      <c r="H55" s="293">
        <f>MIN(MAX(H52-H53-H54,0),H51)</f>
        <v>0</v>
      </c>
      <c r="I55" s="157">
        <f t="shared" si="9"/>
        <v>0</v>
      </c>
      <c r="J55" s="1568">
        <f>MIN(MAX(J52-J53-J54,0),J51)</f>
        <v>0</v>
      </c>
    </row>
    <row r="56" spans="1:10" ht="14.25" customHeight="1" x14ac:dyDescent="0.25">
      <c r="B56" s="160"/>
      <c r="C56" s="295"/>
      <c r="D56" s="275"/>
      <c r="E56" s="295"/>
      <c r="F56" s="84"/>
      <c r="G56" s="126" t="s">
        <v>293</v>
      </c>
      <c r="H56" s="293">
        <f>MIN(MAX(H52-H53-H54-H55,0),H51)</f>
        <v>0</v>
      </c>
      <c r="I56" s="157">
        <f t="shared" si="9"/>
        <v>0</v>
      </c>
      <c r="J56" s="1568">
        <f>MIN(MAX(J52-J53-J54-J55,0),J51)</f>
        <v>0</v>
      </c>
    </row>
    <row r="57" spans="1:10" ht="14.25" customHeight="1" x14ac:dyDescent="0.25">
      <c r="B57" s="160"/>
      <c r="C57" s="295"/>
      <c r="D57" s="275"/>
      <c r="E57" s="295"/>
      <c r="F57" s="84"/>
      <c r="G57" s="126" t="s">
        <v>344</v>
      </c>
      <c r="H57" s="293">
        <f>MIN(MAX(H52-H53-H54-H55-H56,0),H51)</f>
        <v>0</v>
      </c>
      <c r="I57" s="157">
        <f t="shared" si="9"/>
        <v>0</v>
      </c>
      <c r="J57" s="1568">
        <f>MIN(MAX(J52-J53-J54-J55-J56,0),J51)</f>
        <v>0</v>
      </c>
    </row>
    <row r="58" spans="1:10" ht="14.25" customHeight="1" x14ac:dyDescent="0.25">
      <c r="B58" s="160"/>
      <c r="C58" s="295"/>
      <c r="D58" s="275"/>
      <c r="E58" s="295"/>
      <c r="F58" s="84"/>
      <c r="G58" s="126" t="s">
        <v>451</v>
      </c>
      <c r="H58" s="293">
        <f>MIN(MAX(H52-H53-H54-H55-H56-H57,0),H51)</f>
        <v>0</v>
      </c>
      <c r="I58" s="157">
        <f t="shared" si="9"/>
        <v>0</v>
      </c>
      <c r="J58" s="1568">
        <f>MIN(MAX(J52-J53-J54-J55-J56-J57,0),J51)</f>
        <v>0</v>
      </c>
    </row>
    <row r="59" spans="1:10" ht="14.25" customHeight="1" x14ac:dyDescent="0.25">
      <c r="B59" s="160"/>
      <c r="C59" s="295"/>
      <c r="D59" s="275"/>
      <c r="E59" s="295"/>
      <c r="F59" s="84"/>
    </row>
    <row r="60" spans="1:10" ht="14.25" customHeight="1" x14ac:dyDescent="0.25">
      <c r="B60" s="84"/>
      <c r="E60" s="84"/>
      <c r="F60" s="84"/>
    </row>
    <row r="61" spans="1:10" ht="14.25" customHeight="1" x14ac:dyDescent="0.25">
      <c r="B61" s="84"/>
      <c r="E61" s="84"/>
      <c r="F61" s="84"/>
    </row>
    <row r="62" spans="1:10" ht="18" customHeight="1" x14ac:dyDescent="0.2">
      <c r="A62" s="1570"/>
      <c r="B62" s="1642" t="str">
        <f>"كابلي لحم 1 / " &amp; COUNTIF($H$53:$H$58, "&gt;0")</f>
        <v>كابلي لحم 1 / 2</v>
      </c>
      <c r="C62" s="1651"/>
      <c r="D62" s="1651"/>
      <c r="E62" s="1651"/>
      <c r="F62" s="1651"/>
      <c r="G62" s="1651"/>
      <c r="H62" s="1651"/>
    </row>
    <row r="63" spans="1:10" ht="18" customHeight="1" x14ac:dyDescent="0.2">
      <c r="A63" s="1570"/>
      <c r="B63" s="1642" t="str">
        <f>"Beef Kabli 1 / " &amp; COUNTIF($H$53:$H$58, "&gt;0")</f>
        <v>Beef Kabli 1 / 2</v>
      </c>
      <c r="C63" s="1651"/>
      <c r="D63" s="1651"/>
      <c r="E63" s="1651"/>
      <c r="F63" s="1651"/>
      <c r="G63" s="1651"/>
      <c r="H63" s="1651"/>
    </row>
    <row r="64" spans="1:10" ht="35.25" customHeight="1" x14ac:dyDescent="0.2">
      <c r="A64" s="75"/>
      <c r="B64" s="75" t="s">
        <v>687</v>
      </c>
      <c r="C64" s="284" t="s">
        <v>317</v>
      </c>
      <c r="D64" s="75" t="s">
        <v>318</v>
      </c>
      <c r="E64" s="91" t="s">
        <v>319</v>
      </c>
      <c r="F64" s="91" t="s">
        <v>320</v>
      </c>
      <c r="G64" s="285" t="s">
        <v>321</v>
      </c>
      <c r="H64" s="92" t="s">
        <v>322</v>
      </c>
    </row>
    <row r="65" spans="1:8" ht="14.25" customHeight="1" x14ac:dyDescent="0.2">
      <c r="A65" s="198" t="s">
        <v>221</v>
      </c>
      <c r="B65" s="299" t="str">
        <f t="shared" ref="B65:D75" si="10">B5</f>
        <v>Indian Meat Alana  - لحم هندى ألانا</v>
      </c>
      <c r="C65" s="299" t="str">
        <f t="shared" si="10"/>
        <v>gm</v>
      </c>
      <c r="D65" s="300">
        <f t="shared" si="10"/>
        <v>1721.7927305910914</v>
      </c>
      <c r="E65" s="177">
        <f>$H$53</f>
        <v>10</v>
      </c>
      <c r="F65" s="109">
        <f t="shared" ref="F65:F75" si="11">F5</f>
        <v>1</v>
      </c>
      <c r="G65" s="101">
        <f t="shared" ref="G65:G75" si="12">D65*E65</f>
        <v>17217.927305910915</v>
      </c>
      <c r="H65" s="102">
        <f t="shared" ref="H65:H75" si="13">G65*F65</f>
        <v>17217.927305910915</v>
      </c>
    </row>
    <row r="66" spans="1:8" ht="14.25" customHeight="1" x14ac:dyDescent="0.25">
      <c r="A66" s="247" t="s">
        <v>13</v>
      </c>
      <c r="B66" s="299" t="str">
        <f t="shared" si="10"/>
        <v>Tomato - طماطم</v>
      </c>
      <c r="C66" s="299" t="str">
        <f t="shared" si="10"/>
        <v>gm</v>
      </c>
      <c r="D66" s="299">
        <f t="shared" si="10"/>
        <v>100</v>
      </c>
      <c r="E66" s="177">
        <f t="shared" ref="E66:E75" si="14">$H$53</f>
        <v>10</v>
      </c>
      <c r="F66" s="109">
        <f t="shared" si="11"/>
        <v>1</v>
      </c>
      <c r="G66" s="65">
        <f t="shared" si="12"/>
        <v>1000</v>
      </c>
      <c r="H66" s="102">
        <f t="shared" si="13"/>
        <v>1000</v>
      </c>
    </row>
    <row r="67" spans="1:8" ht="14.25" customHeight="1" x14ac:dyDescent="0.25">
      <c r="A67" s="247" t="s">
        <v>94</v>
      </c>
      <c r="B67" s="299" t="str">
        <f t="shared" si="10"/>
        <v>Kabsa Spices Powder - توابل كبسة بودر</v>
      </c>
      <c r="C67" s="299" t="str">
        <f t="shared" si="10"/>
        <v>gm</v>
      </c>
      <c r="D67" s="299">
        <f t="shared" si="10"/>
        <v>19</v>
      </c>
      <c r="E67" s="177">
        <f t="shared" si="14"/>
        <v>10</v>
      </c>
      <c r="F67" s="109">
        <f t="shared" si="11"/>
        <v>0.7</v>
      </c>
      <c r="G67" s="65">
        <f t="shared" si="12"/>
        <v>190</v>
      </c>
      <c r="H67" s="102">
        <f t="shared" si="13"/>
        <v>133</v>
      </c>
    </row>
    <row r="68" spans="1:8" ht="14.25" customHeight="1" x14ac:dyDescent="0.25">
      <c r="A68" s="247" t="s">
        <v>94</v>
      </c>
      <c r="B68" s="299" t="str">
        <f t="shared" si="10"/>
        <v>Cumin Powder - كمون مطحون</v>
      </c>
      <c r="C68" s="299" t="str">
        <f t="shared" si="10"/>
        <v>gm</v>
      </c>
      <c r="D68" s="299">
        <f t="shared" si="10"/>
        <v>20</v>
      </c>
      <c r="E68" s="177">
        <f t="shared" si="14"/>
        <v>10</v>
      </c>
      <c r="F68" s="109">
        <f t="shared" si="11"/>
        <v>0.7</v>
      </c>
      <c r="G68" s="65">
        <f t="shared" si="12"/>
        <v>200</v>
      </c>
      <c r="H68" s="102">
        <f t="shared" si="13"/>
        <v>140</v>
      </c>
    </row>
    <row r="69" spans="1:8" ht="14.25" customHeight="1" x14ac:dyDescent="0.25">
      <c r="A69" s="247" t="s">
        <v>190</v>
      </c>
      <c r="B69" s="299" t="str">
        <f t="shared" si="10"/>
        <v>Tomato Paste - صلصة طماطم</v>
      </c>
      <c r="C69" s="299" t="str">
        <f t="shared" si="10"/>
        <v>gm</v>
      </c>
      <c r="D69" s="299">
        <f t="shared" si="10"/>
        <v>130</v>
      </c>
      <c r="E69" s="177">
        <f t="shared" si="14"/>
        <v>10</v>
      </c>
      <c r="F69" s="109">
        <f t="shared" si="11"/>
        <v>0.85</v>
      </c>
      <c r="G69" s="65">
        <f t="shared" si="12"/>
        <v>1300</v>
      </c>
      <c r="H69" s="102">
        <f t="shared" si="13"/>
        <v>1105</v>
      </c>
    </row>
    <row r="70" spans="1:8" ht="14.25" customHeight="1" x14ac:dyDescent="0.25">
      <c r="A70" s="247" t="s">
        <v>13</v>
      </c>
      <c r="B70" s="299" t="str">
        <f t="shared" si="10"/>
        <v>Orange - برتقال</v>
      </c>
      <c r="C70" s="299" t="str">
        <f t="shared" si="10"/>
        <v>gm</v>
      </c>
      <c r="D70" s="299">
        <f t="shared" si="10"/>
        <v>200</v>
      </c>
      <c r="E70" s="177">
        <f t="shared" si="14"/>
        <v>10</v>
      </c>
      <c r="F70" s="109">
        <f t="shared" si="11"/>
        <v>0.85</v>
      </c>
      <c r="G70" s="65">
        <f t="shared" si="12"/>
        <v>2000</v>
      </c>
      <c r="H70" s="102">
        <f t="shared" si="13"/>
        <v>1700</v>
      </c>
    </row>
    <row r="71" spans="1:8" ht="14.25" customHeight="1" x14ac:dyDescent="0.25">
      <c r="A71" s="247" t="s">
        <v>204</v>
      </c>
      <c r="B71" s="299" t="str">
        <f t="shared" si="10"/>
        <v>Rose Water - ماء الورد</v>
      </c>
      <c r="C71" s="299" t="str">
        <f t="shared" si="10"/>
        <v>ml</v>
      </c>
      <c r="D71" s="299">
        <f t="shared" si="10"/>
        <v>35</v>
      </c>
      <c r="E71" s="177">
        <f t="shared" si="14"/>
        <v>10</v>
      </c>
      <c r="F71" s="109">
        <f t="shared" si="11"/>
        <v>0.75</v>
      </c>
      <c r="G71" s="65">
        <f t="shared" si="12"/>
        <v>350</v>
      </c>
      <c r="H71" s="102">
        <f t="shared" si="13"/>
        <v>262.5</v>
      </c>
    </row>
    <row r="72" spans="1:8" ht="14.25" customHeight="1" x14ac:dyDescent="0.25">
      <c r="A72" s="247" t="s">
        <v>204</v>
      </c>
      <c r="B72" s="299" t="str">
        <f t="shared" si="10"/>
        <v>Water - ماء</v>
      </c>
      <c r="C72" s="299" t="str">
        <f t="shared" si="10"/>
        <v>ml</v>
      </c>
      <c r="D72" s="299">
        <f t="shared" si="10"/>
        <v>800</v>
      </c>
      <c r="E72" s="177">
        <f t="shared" si="14"/>
        <v>10</v>
      </c>
      <c r="F72" s="109">
        <f t="shared" si="11"/>
        <v>1</v>
      </c>
      <c r="G72" s="65">
        <f t="shared" si="12"/>
        <v>8000</v>
      </c>
      <c r="H72" s="102">
        <f t="shared" si="13"/>
        <v>8000</v>
      </c>
    </row>
    <row r="73" spans="1:8" ht="14.25" customHeight="1" x14ac:dyDescent="0.25">
      <c r="A73" s="247" t="s">
        <v>13</v>
      </c>
      <c r="B73" s="299" t="str">
        <f t="shared" si="10"/>
        <v>Garlic - ثوم مقشر</v>
      </c>
      <c r="C73" s="299" t="str">
        <f t="shared" si="10"/>
        <v>gm</v>
      </c>
      <c r="D73" s="299">
        <f t="shared" si="10"/>
        <v>30</v>
      </c>
      <c r="E73" s="177">
        <f t="shared" si="14"/>
        <v>10</v>
      </c>
      <c r="F73" s="109">
        <f t="shared" si="11"/>
        <v>0.4</v>
      </c>
      <c r="G73" s="65">
        <f t="shared" si="12"/>
        <v>300</v>
      </c>
      <c r="H73" s="102">
        <f t="shared" si="13"/>
        <v>120</v>
      </c>
    </row>
    <row r="74" spans="1:8" ht="14.25" customHeight="1" x14ac:dyDescent="0.25">
      <c r="A74" s="247" t="s">
        <v>153</v>
      </c>
      <c r="B74" s="299" t="str">
        <f t="shared" si="10"/>
        <v>Yogurt - زبادي</v>
      </c>
      <c r="C74" s="299" t="str">
        <f t="shared" si="10"/>
        <v>gm</v>
      </c>
      <c r="D74" s="299">
        <f t="shared" si="10"/>
        <v>300</v>
      </c>
      <c r="E74" s="177">
        <f t="shared" si="14"/>
        <v>10</v>
      </c>
      <c r="F74" s="109">
        <f t="shared" si="11"/>
        <v>0.5</v>
      </c>
      <c r="G74" s="65">
        <f t="shared" si="12"/>
        <v>3000</v>
      </c>
      <c r="H74" s="102">
        <f t="shared" si="13"/>
        <v>1500</v>
      </c>
    </row>
    <row r="75" spans="1:8" ht="14.25" customHeight="1" x14ac:dyDescent="0.25">
      <c r="A75" s="247" t="s">
        <v>180</v>
      </c>
      <c r="B75" s="299" t="str">
        <f t="shared" si="10"/>
        <v>Raisin - زبيب</v>
      </c>
      <c r="C75" s="299" t="str">
        <f t="shared" si="10"/>
        <v>gm</v>
      </c>
      <c r="D75" s="299">
        <f t="shared" si="10"/>
        <v>35</v>
      </c>
      <c r="E75" s="177">
        <f t="shared" si="14"/>
        <v>10</v>
      </c>
      <c r="F75" s="109">
        <f t="shared" si="11"/>
        <v>0.5</v>
      </c>
      <c r="G75" s="65">
        <f t="shared" si="12"/>
        <v>350</v>
      </c>
      <c r="H75" s="102">
        <f t="shared" si="13"/>
        <v>175</v>
      </c>
    </row>
    <row r="76" spans="1:8" ht="20.25" customHeight="1" x14ac:dyDescent="0.25">
      <c r="A76" s="191"/>
      <c r="B76" s="178" t="s">
        <v>287</v>
      </c>
      <c r="C76" s="180" t="s">
        <v>273</v>
      </c>
      <c r="D76" s="14"/>
      <c r="E76" s="180" t="s">
        <v>288</v>
      </c>
      <c r="F76" s="14"/>
      <c r="G76" s="804" t="s">
        <v>264</v>
      </c>
      <c r="H76" s="804" t="s">
        <v>673</v>
      </c>
    </row>
    <row r="77" spans="1:8" ht="20.25" x14ac:dyDescent="0.3">
      <c r="A77" s="191"/>
      <c r="B77" s="179">
        <f>$J$53</f>
        <v>10000</v>
      </c>
      <c r="C77" s="179">
        <f>E77+G77</f>
        <v>0</v>
      </c>
      <c r="D77" s="839"/>
      <c r="E77" s="179">
        <f>$C$53*$S$44</f>
        <v>0</v>
      </c>
      <c r="F77" s="843"/>
      <c r="G77" s="179">
        <f>$C$53*$T$44</f>
        <v>0</v>
      </c>
      <c r="H77" s="179">
        <f>B77+E77</f>
        <v>10000</v>
      </c>
    </row>
    <row r="79" spans="1:8" ht="18" customHeight="1" x14ac:dyDescent="0.2">
      <c r="A79" s="1570"/>
      <c r="B79" s="1642" t="str">
        <f>"كابلي لحم 2 / " &amp; COUNTIF($H$53:$H$58, "&gt;0")</f>
        <v>كابلي لحم 2 / 2</v>
      </c>
      <c r="C79" s="1651"/>
      <c r="D79" s="1651"/>
      <c r="E79" s="1651"/>
      <c r="F79" s="1651"/>
      <c r="G79" s="1651"/>
      <c r="H79" s="1651"/>
    </row>
    <row r="80" spans="1:8" ht="18" customHeight="1" x14ac:dyDescent="0.2">
      <c r="A80" s="1570"/>
      <c r="B80" s="1642" t="str">
        <f>"Beef Kabli 2 / " &amp; COUNTIF($H$53:$H$58, "&gt;0")</f>
        <v>Beef Kabli 2 / 2</v>
      </c>
      <c r="C80" s="1651"/>
      <c r="D80" s="1651"/>
      <c r="E80" s="1651"/>
      <c r="F80" s="1651"/>
      <c r="G80" s="1651"/>
      <c r="H80" s="1651"/>
    </row>
    <row r="81" spans="1:8" ht="35.25" customHeight="1" x14ac:dyDescent="0.2">
      <c r="A81" s="75"/>
      <c r="B81" s="75" t="s">
        <v>687</v>
      </c>
      <c r="C81" s="284" t="s">
        <v>317</v>
      </c>
      <c r="D81" s="75" t="s">
        <v>318</v>
      </c>
      <c r="E81" s="91" t="s">
        <v>319</v>
      </c>
      <c r="F81" s="91" t="s">
        <v>320</v>
      </c>
      <c r="G81" s="285" t="s">
        <v>321</v>
      </c>
      <c r="H81" s="92" t="s">
        <v>322</v>
      </c>
    </row>
    <row r="82" spans="1:8" ht="14.25" customHeight="1" x14ac:dyDescent="0.2">
      <c r="A82" s="198" t="s">
        <v>221</v>
      </c>
      <c r="B82" s="299" t="str">
        <f t="shared" ref="B82:D92" si="15">B5</f>
        <v>Indian Meat Alana  - لحم هندى ألانا</v>
      </c>
      <c r="C82" s="299" t="str">
        <f t="shared" si="15"/>
        <v>gm</v>
      </c>
      <c r="D82" s="101">
        <f t="shared" si="15"/>
        <v>1721.7927305910914</v>
      </c>
      <c r="E82" s="177">
        <f t="shared" ref="E82:E92" si="16">$H$54</f>
        <v>9.1000000000000014</v>
      </c>
      <c r="F82" s="109">
        <f t="shared" ref="F82:F92" si="17">F5</f>
        <v>1</v>
      </c>
      <c r="G82" s="101">
        <f t="shared" ref="G82:G92" si="18">D82*E82</f>
        <v>15668.313848378933</v>
      </c>
      <c r="H82" s="102">
        <f t="shared" ref="H82:H92" si="19">G82*F82</f>
        <v>15668.313848378933</v>
      </c>
    </row>
    <row r="83" spans="1:8" ht="14.25" customHeight="1" x14ac:dyDescent="0.25">
      <c r="A83" s="247" t="s">
        <v>13</v>
      </c>
      <c r="B83" s="299" t="str">
        <f t="shared" si="15"/>
        <v>Tomato - طماطم</v>
      </c>
      <c r="C83" s="299" t="str">
        <f t="shared" si="15"/>
        <v>gm</v>
      </c>
      <c r="D83" s="299">
        <f t="shared" si="15"/>
        <v>100</v>
      </c>
      <c r="E83" s="177">
        <f t="shared" si="16"/>
        <v>9.1000000000000014</v>
      </c>
      <c r="F83" s="109">
        <f t="shared" si="17"/>
        <v>1</v>
      </c>
      <c r="G83" s="101">
        <f t="shared" si="18"/>
        <v>910.00000000000011</v>
      </c>
      <c r="H83" s="102">
        <f t="shared" si="19"/>
        <v>910.00000000000011</v>
      </c>
    </row>
    <row r="84" spans="1:8" ht="14.25" customHeight="1" x14ac:dyDescent="0.25">
      <c r="A84" s="247" t="s">
        <v>94</v>
      </c>
      <c r="B84" s="299" t="str">
        <f t="shared" si="15"/>
        <v>Kabsa Spices Powder - توابل كبسة بودر</v>
      </c>
      <c r="C84" s="299" t="str">
        <f t="shared" si="15"/>
        <v>gm</v>
      </c>
      <c r="D84" s="299">
        <f t="shared" si="15"/>
        <v>19</v>
      </c>
      <c r="E84" s="177">
        <f t="shared" si="16"/>
        <v>9.1000000000000014</v>
      </c>
      <c r="F84" s="109">
        <f t="shared" si="17"/>
        <v>0.7</v>
      </c>
      <c r="G84" s="101">
        <f t="shared" si="18"/>
        <v>172.90000000000003</v>
      </c>
      <c r="H84" s="102">
        <f t="shared" si="19"/>
        <v>121.03000000000002</v>
      </c>
    </row>
    <row r="85" spans="1:8" ht="14.25" customHeight="1" x14ac:dyDescent="0.25">
      <c r="A85" s="247" t="s">
        <v>94</v>
      </c>
      <c r="B85" s="299" t="str">
        <f t="shared" si="15"/>
        <v>Cumin Powder - كمون مطحون</v>
      </c>
      <c r="C85" s="299" t="str">
        <f t="shared" si="15"/>
        <v>gm</v>
      </c>
      <c r="D85" s="299">
        <f t="shared" si="15"/>
        <v>20</v>
      </c>
      <c r="E85" s="177">
        <f t="shared" si="16"/>
        <v>9.1000000000000014</v>
      </c>
      <c r="F85" s="109">
        <f t="shared" si="17"/>
        <v>0.7</v>
      </c>
      <c r="G85" s="101">
        <f t="shared" si="18"/>
        <v>182.00000000000003</v>
      </c>
      <c r="H85" s="102">
        <f t="shared" si="19"/>
        <v>127.4</v>
      </c>
    </row>
    <row r="86" spans="1:8" ht="14.25" customHeight="1" x14ac:dyDescent="0.25">
      <c r="A86" s="247" t="s">
        <v>190</v>
      </c>
      <c r="B86" s="299" t="str">
        <f t="shared" si="15"/>
        <v>Tomato Paste - صلصة طماطم</v>
      </c>
      <c r="C86" s="299" t="str">
        <f t="shared" si="15"/>
        <v>gm</v>
      </c>
      <c r="D86" s="299">
        <f t="shared" si="15"/>
        <v>130</v>
      </c>
      <c r="E86" s="177">
        <f t="shared" si="16"/>
        <v>9.1000000000000014</v>
      </c>
      <c r="F86" s="109">
        <f t="shared" si="17"/>
        <v>0.85</v>
      </c>
      <c r="G86" s="101">
        <f t="shared" si="18"/>
        <v>1183.0000000000002</v>
      </c>
      <c r="H86" s="102">
        <f t="shared" si="19"/>
        <v>1005.5500000000002</v>
      </c>
    </row>
    <row r="87" spans="1:8" ht="14.25" customHeight="1" x14ac:dyDescent="0.25">
      <c r="A87" s="247" t="s">
        <v>13</v>
      </c>
      <c r="B87" s="299" t="str">
        <f t="shared" si="15"/>
        <v>Orange - برتقال</v>
      </c>
      <c r="C87" s="299" t="str">
        <f t="shared" si="15"/>
        <v>gm</v>
      </c>
      <c r="D87" s="299">
        <f t="shared" si="15"/>
        <v>200</v>
      </c>
      <c r="E87" s="177">
        <f t="shared" si="16"/>
        <v>9.1000000000000014</v>
      </c>
      <c r="F87" s="109">
        <f t="shared" si="17"/>
        <v>0.85</v>
      </c>
      <c r="G87" s="101">
        <f t="shared" si="18"/>
        <v>1820.0000000000002</v>
      </c>
      <c r="H87" s="102">
        <f t="shared" si="19"/>
        <v>1547.0000000000002</v>
      </c>
    </row>
    <row r="88" spans="1:8" ht="14.25" customHeight="1" x14ac:dyDescent="0.25">
      <c r="A88" s="247" t="s">
        <v>204</v>
      </c>
      <c r="B88" s="299" t="str">
        <f t="shared" si="15"/>
        <v>Rose Water - ماء الورد</v>
      </c>
      <c r="C88" s="299" t="str">
        <f t="shared" si="15"/>
        <v>ml</v>
      </c>
      <c r="D88" s="299">
        <f t="shared" si="15"/>
        <v>35</v>
      </c>
      <c r="E88" s="177">
        <f t="shared" si="16"/>
        <v>9.1000000000000014</v>
      </c>
      <c r="F88" s="109">
        <f t="shared" si="17"/>
        <v>0.75</v>
      </c>
      <c r="G88" s="101">
        <f t="shared" si="18"/>
        <v>318.50000000000006</v>
      </c>
      <c r="H88" s="102">
        <f t="shared" si="19"/>
        <v>238.87500000000006</v>
      </c>
    </row>
    <row r="89" spans="1:8" ht="14.25" customHeight="1" x14ac:dyDescent="0.25">
      <c r="A89" s="247" t="s">
        <v>204</v>
      </c>
      <c r="B89" s="299" t="str">
        <f t="shared" si="15"/>
        <v>Water - ماء</v>
      </c>
      <c r="C89" s="299" t="str">
        <f t="shared" si="15"/>
        <v>ml</v>
      </c>
      <c r="D89" s="299">
        <f t="shared" si="15"/>
        <v>800</v>
      </c>
      <c r="E89" s="177">
        <f t="shared" si="16"/>
        <v>9.1000000000000014</v>
      </c>
      <c r="F89" s="109">
        <f t="shared" si="17"/>
        <v>1</v>
      </c>
      <c r="G89" s="101">
        <f t="shared" si="18"/>
        <v>7280.0000000000009</v>
      </c>
      <c r="H89" s="102">
        <f t="shared" si="19"/>
        <v>7280.0000000000009</v>
      </c>
    </row>
    <row r="90" spans="1:8" ht="14.25" customHeight="1" x14ac:dyDescent="0.25">
      <c r="A90" s="247" t="s">
        <v>13</v>
      </c>
      <c r="B90" s="299" t="str">
        <f t="shared" si="15"/>
        <v>Garlic - ثوم مقشر</v>
      </c>
      <c r="C90" s="299" t="str">
        <f t="shared" si="15"/>
        <v>gm</v>
      </c>
      <c r="D90" s="299">
        <f t="shared" si="15"/>
        <v>30</v>
      </c>
      <c r="E90" s="177">
        <f t="shared" si="16"/>
        <v>9.1000000000000014</v>
      </c>
      <c r="F90" s="109">
        <f t="shared" si="17"/>
        <v>0.4</v>
      </c>
      <c r="G90" s="101">
        <f t="shared" si="18"/>
        <v>273.00000000000006</v>
      </c>
      <c r="H90" s="102">
        <f t="shared" si="19"/>
        <v>109.20000000000003</v>
      </c>
    </row>
    <row r="91" spans="1:8" ht="14.25" customHeight="1" x14ac:dyDescent="0.25">
      <c r="A91" s="247" t="s">
        <v>153</v>
      </c>
      <c r="B91" s="299" t="str">
        <f t="shared" si="15"/>
        <v>Yogurt - زبادي</v>
      </c>
      <c r="C91" s="299" t="str">
        <f t="shared" si="15"/>
        <v>gm</v>
      </c>
      <c r="D91" s="299">
        <f t="shared" si="15"/>
        <v>300</v>
      </c>
      <c r="E91" s="177">
        <f t="shared" si="16"/>
        <v>9.1000000000000014</v>
      </c>
      <c r="F91" s="109">
        <f t="shared" si="17"/>
        <v>0.5</v>
      </c>
      <c r="G91" s="101">
        <f t="shared" si="18"/>
        <v>2730.0000000000005</v>
      </c>
      <c r="H91" s="102">
        <f t="shared" si="19"/>
        <v>1365.0000000000002</v>
      </c>
    </row>
    <row r="92" spans="1:8" ht="14.25" customHeight="1" x14ac:dyDescent="0.25">
      <c r="A92" s="247" t="s">
        <v>180</v>
      </c>
      <c r="B92" s="299" t="str">
        <f t="shared" si="15"/>
        <v>Raisin - زبيب</v>
      </c>
      <c r="C92" s="299" t="str">
        <f t="shared" si="15"/>
        <v>gm</v>
      </c>
      <c r="D92" s="299">
        <f t="shared" si="15"/>
        <v>35</v>
      </c>
      <c r="E92" s="177">
        <f t="shared" si="16"/>
        <v>9.1000000000000014</v>
      </c>
      <c r="F92" s="109">
        <f t="shared" si="17"/>
        <v>0.5</v>
      </c>
      <c r="G92" s="101">
        <f t="shared" si="18"/>
        <v>318.50000000000006</v>
      </c>
      <c r="H92" s="102">
        <f t="shared" si="19"/>
        <v>159.25000000000003</v>
      </c>
    </row>
    <row r="93" spans="1:8" ht="20.25" customHeight="1" x14ac:dyDescent="0.25">
      <c r="A93" s="191"/>
      <c r="B93" s="178" t="s">
        <v>287</v>
      </c>
      <c r="C93" s="180" t="s">
        <v>273</v>
      </c>
      <c r="D93" s="14"/>
      <c r="E93" s="180" t="s">
        <v>288</v>
      </c>
      <c r="F93" s="14"/>
      <c r="G93" s="804" t="s">
        <v>264</v>
      </c>
      <c r="H93" s="804" t="s">
        <v>673</v>
      </c>
    </row>
    <row r="94" spans="1:8" ht="20.25" x14ac:dyDescent="0.3">
      <c r="A94" s="191"/>
      <c r="B94" s="179">
        <f>$J$54</f>
        <v>9100</v>
      </c>
      <c r="C94" s="179">
        <f>E94+G94</f>
        <v>0</v>
      </c>
      <c r="D94" s="839"/>
      <c r="E94" s="179">
        <f>$C$54*$S$44</f>
        <v>0</v>
      </c>
      <c r="F94" s="843"/>
      <c r="G94" s="179">
        <f>$C$54*$T$44</f>
        <v>0</v>
      </c>
      <c r="H94" s="179">
        <f>B94+E94</f>
        <v>9100</v>
      </c>
    </row>
    <row r="98" spans="1:8" ht="18" customHeight="1" x14ac:dyDescent="0.2">
      <c r="A98" s="1570"/>
      <c r="B98" s="1642" t="str">
        <f>"كابلي لحم 3 / " &amp; COUNTIF($H$53:$H$58, "&gt;0")</f>
        <v>كابلي لحم 3 / 2</v>
      </c>
      <c r="C98" s="1642"/>
      <c r="D98" s="1642"/>
      <c r="E98" s="1642"/>
      <c r="F98" s="1642"/>
      <c r="G98" s="1642"/>
      <c r="H98" s="1642"/>
    </row>
    <row r="99" spans="1:8" ht="18" customHeight="1" x14ac:dyDescent="0.2">
      <c r="A99" s="1570"/>
      <c r="B99" s="1636" t="str">
        <f>"Beef Kabli 3 / " &amp; COUNTIF($H$53:$H$58, "&gt;0")</f>
        <v>Beef Kabli 3 / 2</v>
      </c>
      <c r="C99" s="1636"/>
      <c r="D99" s="1636"/>
      <c r="E99" s="1636"/>
      <c r="F99" s="1636"/>
      <c r="G99" s="1636"/>
      <c r="H99" s="1636"/>
    </row>
    <row r="100" spans="1:8" ht="35.25" customHeight="1" x14ac:dyDescent="0.2">
      <c r="A100" s="75"/>
      <c r="B100" s="75" t="s">
        <v>687</v>
      </c>
      <c r="C100" s="284" t="s">
        <v>317</v>
      </c>
      <c r="D100" s="75" t="s">
        <v>318</v>
      </c>
      <c r="E100" s="91" t="s">
        <v>319</v>
      </c>
      <c r="F100" s="91" t="s">
        <v>320</v>
      </c>
      <c r="G100" s="285" t="s">
        <v>321</v>
      </c>
      <c r="H100" s="92" t="s">
        <v>322</v>
      </c>
    </row>
    <row r="101" spans="1:8" ht="14.25" customHeight="1" x14ac:dyDescent="0.2">
      <c r="A101" s="198" t="s">
        <v>221</v>
      </c>
      <c r="B101" s="65" t="str">
        <f t="shared" ref="B101:D111" si="20">B5</f>
        <v>Indian Meat Alana  - لحم هندى ألانا</v>
      </c>
      <c r="C101" s="65" t="str">
        <f t="shared" si="20"/>
        <v>gm</v>
      </c>
      <c r="D101" s="101">
        <f t="shared" si="20"/>
        <v>1721.7927305910914</v>
      </c>
      <c r="E101" s="177">
        <f t="shared" ref="E101:E111" si="21">$H$55</f>
        <v>0</v>
      </c>
      <c r="F101" s="100">
        <f t="shared" ref="F101:F111" si="22">F5</f>
        <v>1</v>
      </c>
      <c r="G101" s="101">
        <f t="shared" ref="G101:G111" si="23">D101*E101</f>
        <v>0</v>
      </c>
      <c r="H101" s="102">
        <f t="shared" ref="H101:H111" si="24">G101*F101</f>
        <v>0</v>
      </c>
    </row>
    <row r="102" spans="1:8" ht="14.25" customHeight="1" x14ac:dyDescent="0.2">
      <c r="A102" s="198" t="s">
        <v>13</v>
      </c>
      <c r="B102" s="65" t="str">
        <f t="shared" si="20"/>
        <v>Tomato - طماطم</v>
      </c>
      <c r="C102" s="65" t="str">
        <f t="shared" si="20"/>
        <v>gm</v>
      </c>
      <c r="D102" s="65">
        <f t="shared" si="20"/>
        <v>100</v>
      </c>
      <c r="E102" s="177">
        <f t="shared" si="21"/>
        <v>0</v>
      </c>
      <c r="F102" s="100">
        <f t="shared" si="22"/>
        <v>1</v>
      </c>
      <c r="G102" s="101">
        <f t="shared" si="23"/>
        <v>0</v>
      </c>
      <c r="H102" s="102">
        <f t="shared" si="24"/>
        <v>0</v>
      </c>
    </row>
    <row r="103" spans="1:8" ht="14.25" customHeight="1" x14ac:dyDescent="0.2">
      <c r="A103" s="198" t="s">
        <v>94</v>
      </c>
      <c r="B103" s="65" t="str">
        <f t="shared" si="20"/>
        <v>Kabsa Spices Powder - توابل كبسة بودر</v>
      </c>
      <c r="C103" s="65" t="str">
        <f t="shared" si="20"/>
        <v>gm</v>
      </c>
      <c r="D103" s="65">
        <f t="shared" si="20"/>
        <v>19</v>
      </c>
      <c r="E103" s="177">
        <f t="shared" si="21"/>
        <v>0</v>
      </c>
      <c r="F103" s="100">
        <f t="shared" si="22"/>
        <v>0.7</v>
      </c>
      <c r="G103" s="101">
        <f t="shared" si="23"/>
        <v>0</v>
      </c>
      <c r="H103" s="102">
        <f t="shared" si="24"/>
        <v>0</v>
      </c>
    </row>
    <row r="104" spans="1:8" ht="14.25" customHeight="1" x14ac:dyDescent="0.2">
      <c r="A104" s="198" t="s">
        <v>94</v>
      </c>
      <c r="B104" s="65" t="str">
        <f t="shared" si="20"/>
        <v>Cumin Powder - كمون مطحون</v>
      </c>
      <c r="C104" s="65" t="str">
        <f t="shared" si="20"/>
        <v>gm</v>
      </c>
      <c r="D104" s="65">
        <f t="shared" si="20"/>
        <v>20</v>
      </c>
      <c r="E104" s="177">
        <f t="shared" si="21"/>
        <v>0</v>
      </c>
      <c r="F104" s="100">
        <f t="shared" si="22"/>
        <v>0.7</v>
      </c>
      <c r="G104" s="101">
        <f t="shared" si="23"/>
        <v>0</v>
      </c>
      <c r="H104" s="102">
        <f t="shared" si="24"/>
        <v>0</v>
      </c>
    </row>
    <row r="105" spans="1:8" ht="14.25" customHeight="1" x14ac:dyDescent="0.2">
      <c r="A105" s="198" t="s">
        <v>190</v>
      </c>
      <c r="B105" s="65" t="str">
        <f t="shared" si="20"/>
        <v>Tomato Paste - صلصة طماطم</v>
      </c>
      <c r="C105" s="65" t="str">
        <f t="shared" si="20"/>
        <v>gm</v>
      </c>
      <c r="D105" s="65">
        <f t="shared" si="20"/>
        <v>130</v>
      </c>
      <c r="E105" s="177">
        <f t="shared" si="21"/>
        <v>0</v>
      </c>
      <c r="F105" s="100">
        <f t="shared" si="22"/>
        <v>0.85</v>
      </c>
      <c r="G105" s="101">
        <f t="shared" si="23"/>
        <v>0</v>
      </c>
      <c r="H105" s="102">
        <f t="shared" si="24"/>
        <v>0</v>
      </c>
    </row>
    <row r="106" spans="1:8" ht="14.25" customHeight="1" x14ac:dyDescent="0.2">
      <c r="A106" s="198" t="s">
        <v>13</v>
      </c>
      <c r="B106" s="65" t="str">
        <f t="shared" si="20"/>
        <v>Orange - برتقال</v>
      </c>
      <c r="C106" s="65" t="str">
        <f t="shared" si="20"/>
        <v>gm</v>
      </c>
      <c r="D106" s="65">
        <f t="shared" si="20"/>
        <v>200</v>
      </c>
      <c r="E106" s="177">
        <f t="shared" si="21"/>
        <v>0</v>
      </c>
      <c r="F106" s="100">
        <f t="shared" si="22"/>
        <v>0.85</v>
      </c>
      <c r="G106" s="101">
        <f t="shared" si="23"/>
        <v>0</v>
      </c>
      <c r="H106" s="102">
        <f t="shared" si="24"/>
        <v>0</v>
      </c>
    </row>
    <row r="107" spans="1:8" ht="14.25" customHeight="1" x14ac:dyDescent="0.2">
      <c r="A107" s="198" t="s">
        <v>204</v>
      </c>
      <c r="B107" s="65" t="str">
        <f t="shared" si="20"/>
        <v>Rose Water - ماء الورد</v>
      </c>
      <c r="C107" s="65" t="str">
        <f t="shared" si="20"/>
        <v>ml</v>
      </c>
      <c r="D107" s="65">
        <f t="shared" si="20"/>
        <v>35</v>
      </c>
      <c r="E107" s="177">
        <f t="shared" si="21"/>
        <v>0</v>
      </c>
      <c r="F107" s="100">
        <f t="shared" si="22"/>
        <v>0.75</v>
      </c>
      <c r="G107" s="101">
        <f t="shared" si="23"/>
        <v>0</v>
      </c>
      <c r="H107" s="102">
        <f t="shared" si="24"/>
        <v>0</v>
      </c>
    </row>
    <row r="108" spans="1:8" ht="14.25" customHeight="1" x14ac:dyDescent="0.2">
      <c r="A108" s="198" t="s">
        <v>204</v>
      </c>
      <c r="B108" s="65" t="str">
        <f t="shared" si="20"/>
        <v>Water - ماء</v>
      </c>
      <c r="C108" s="65" t="str">
        <f t="shared" si="20"/>
        <v>ml</v>
      </c>
      <c r="D108" s="65">
        <f t="shared" si="20"/>
        <v>800</v>
      </c>
      <c r="E108" s="177">
        <f t="shared" si="21"/>
        <v>0</v>
      </c>
      <c r="F108" s="100">
        <f t="shared" si="22"/>
        <v>1</v>
      </c>
      <c r="G108" s="101">
        <f t="shared" si="23"/>
        <v>0</v>
      </c>
      <c r="H108" s="102">
        <f t="shared" si="24"/>
        <v>0</v>
      </c>
    </row>
    <row r="109" spans="1:8" ht="14.25" customHeight="1" x14ac:dyDescent="0.2">
      <c r="A109" s="198" t="s">
        <v>13</v>
      </c>
      <c r="B109" s="65" t="str">
        <f t="shared" si="20"/>
        <v>Garlic - ثوم مقشر</v>
      </c>
      <c r="C109" s="65" t="str">
        <f t="shared" si="20"/>
        <v>gm</v>
      </c>
      <c r="D109" s="65">
        <f t="shared" si="20"/>
        <v>30</v>
      </c>
      <c r="E109" s="177">
        <f t="shared" si="21"/>
        <v>0</v>
      </c>
      <c r="F109" s="100">
        <f t="shared" si="22"/>
        <v>0.4</v>
      </c>
      <c r="G109" s="101">
        <f t="shared" si="23"/>
        <v>0</v>
      </c>
      <c r="H109" s="102">
        <f t="shared" si="24"/>
        <v>0</v>
      </c>
    </row>
    <row r="110" spans="1:8" ht="14.25" customHeight="1" x14ac:dyDescent="0.2">
      <c r="A110" s="198" t="s">
        <v>153</v>
      </c>
      <c r="B110" s="65" t="str">
        <f t="shared" si="20"/>
        <v>Yogurt - زبادي</v>
      </c>
      <c r="C110" s="65" t="str">
        <f t="shared" si="20"/>
        <v>gm</v>
      </c>
      <c r="D110" s="65">
        <f t="shared" si="20"/>
        <v>300</v>
      </c>
      <c r="E110" s="177">
        <f t="shared" si="21"/>
        <v>0</v>
      </c>
      <c r="F110" s="100">
        <f t="shared" si="22"/>
        <v>0.5</v>
      </c>
      <c r="G110" s="101">
        <f t="shared" si="23"/>
        <v>0</v>
      </c>
      <c r="H110" s="102">
        <f t="shared" si="24"/>
        <v>0</v>
      </c>
    </row>
    <row r="111" spans="1:8" ht="14.25" customHeight="1" x14ac:dyDescent="0.2">
      <c r="A111" s="198" t="s">
        <v>180</v>
      </c>
      <c r="B111" s="65" t="str">
        <f t="shared" si="20"/>
        <v>Raisin - زبيب</v>
      </c>
      <c r="C111" s="65" t="str">
        <f t="shared" si="20"/>
        <v>gm</v>
      </c>
      <c r="D111" s="65">
        <f t="shared" si="20"/>
        <v>35</v>
      </c>
      <c r="E111" s="177">
        <f t="shared" si="21"/>
        <v>0</v>
      </c>
      <c r="F111" s="100">
        <f t="shared" si="22"/>
        <v>0.5</v>
      </c>
      <c r="G111" s="101">
        <f t="shared" si="23"/>
        <v>0</v>
      </c>
      <c r="H111" s="102">
        <f t="shared" si="24"/>
        <v>0</v>
      </c>
    </row>
    <row r="112" spans="1:8" ht="20.25" customHeight="1" x14ac:dyDescent="0.25">
      <c r="A112" s="191"/>
      <c r="B112" s="178" t="s">
        <v>287</v>
      </c>
      <c r="C112" s="180" t="s">
        <v>273</v>
      </c>
      <c r="D112" s="14"/>
      <c r="E112" s="180" t="s">
        <v>288</v>
      </c>
      <c r="F112" s="14"/>
      <c r="G112" s="804" t="s">
        <v>264</v>
      </c>
      <c r="H112" s="804" t="s">
        <v>673</v>
      </c>
    </row>
    <row r="113" spans="1:8" ht="21" customHeight="1" x14ac:dyDescent="0.3">
      <c r="A113" s="191"/>
      <c r="B113" s="179">
        <f>$J$55</f>
        <v>0</v>
      </c>
      <c r="C113" s="179">
        <f>E113+G113</f>
        <v>0</v>
      </c>
      <c r="D113" s="839"/>
      <c r="E113" s="179">
        <f>$C$55*$S$44</f>
        <v>0</v>
      </c>
      <c r="F113" s="843"/>
      <c r="G113" s="179">
        <f>$C$55*$T$44</f>
        <v>0</v>
      </c>
      <c r="H113" s="179">
        <f>B113+E113</f>
        <v>0</v>
      </c>
    </row>
    <row r="115" spans="1:8" ht="18" customHeight="1" x14ac:dyDescent="0.2">
      <c r="A115" s="1570"/>
      <c r="B115" s="1642" t="str">
        <f>"كابلي لحم 4 / " &amp; COUNTIF($H$53:$H$58, "&gt;0")</f>
        <v>كابلي لحم 4 / 2</v>
      </c>
      <c r="C115" s="1651"/>
      <c r="D115" s="1651"/>
      <c r="E115" s="1651"/>
      <c r="F115" s="1651"/>
      <c r="G115" s="1651"/>
      <c r="H115" s="1651"/>
    </row>
    <row r="116" spans="1:8" ht="18" customHeight="1" x14ac:dyDescent="0.2">
      <c r="A116" s="1570"/>
      <c r="B116" s="1642" t="str">
        <f>"Beef Kabli 4 / " &amp; COUNTIF($H$53:$H$58, "&gt;0")</f>
        <v>Beef Kabli 4 / 2</v>
      </c>
      <c r="C116" s="1651"/>
      <c r="D116" s="1651"/>
      <c r="E116" s="1651"/>
      <c r="F116" s="1651"/>
      <c r="G116" s="1651"/>
      <c r="H116" s="1651"/>
    </row>
    <row r="117" spans="1:8" ht="35.25" customHeight="1" x14ac:dyDescent="0.2">
      <c r="A117" s="75"/>
      <c r="B117" s="75" t="s">
        <v>687</v>
      </c>
      <c r="C117" s="284" t="s">
        <v>317</v>
      </c>
      <c r="D117" s="75" t="s">
        <v>318</v>
      </c>
      <c r="E117" s="91" t="s">
        <v>319</v>
      </c>
      <c r="F117" s="91" t="s">
        <v>320</v>
      </c>
      <c r="G117" s="285" t="s">
        <v>321</v>
      </c>
      <c r="H117" s="92" t="s">
        <v>322</v>
      </c>
    </row>
    <row r="118" spans="1:8" ht="14.25" customHeight="1" x14ac:dyDescent="0.2">
      <c r="A118" s="198" t="s">
        <v>221</v>
      </c>
      <c r="B118" s="65" t="str">
        <f t="shared" ref="B118:D128" si="25">B5</f>
        <v>Indian Meat Alana  - لحم هندى ألانا</v>
      </c>
      <c r="C118" s="65" t="str">
        <f t="shared" si="25"/>
        <v>gm</v>
      </c>
      <c r="D118" s="101">
        <f t="shared" si="25"/>
        <v>1721.7927305910914</v>
      </c>
      <c r="E118" s="177">
        <f t="shared" ref="E118:E128" si="26">$H$56</f>
        <v>0</v>
      </c>
      <c r="F118" s="100">
        <f t="shared" ref="F118:F128" si="27">F5</f>
        <v>1</v>
      </c>
      <c r="G118" s="101">
        <f t="shared" ref="G118:G128" si="28">D118*E118</f>
        <v>0</v>
      </c>
      <c r="H118" s="102">
        <f t="shared" ref="H118:H128" si="29">G118*F118</f>
        <v>0</v>
      </c>
    </row>
    <row r="119" spans="1:8" ht="14.25" customHeight="1" x14ac:dyDescent="0.2">
      <c r="A119" s="198" t="s">
        <v>13</v>
      </c>
      <c r="B119" s="65" t="str">
        <f t="shared" si="25"/>
        <v>Tomato - طماطم</v>
      </c>
      <c r="C119" s="65" t="str">
        <f t="shared" si="25"/>
        <v>gm</v>
      </c>
      <c r="D119" s="65">
        <f t="shared" si="25"/>
        <v>100</v>
      </c>
      <c r="E119" s="177">
        <f t="shared" si="26"/>
        <v>0</v>
      </c>
      <c r="F119" s="100">
        <f t="shared" si="27"/>
        <v>1</v>
      </c>
      <c r="G119" s="101">
        <f t="shared" si="28"/>
        <v>0</v>
      </c>
      <c r="H119" s="102">
        <f t="shared" si="29"/>
        <v>0</v>
      </c>
    </row>
    <row r="120" spans="1:8" ht="14.25" customHeight="1" x14ac:dyDescent="0.2">
      <c r="A120" s="198" t="s">
        <v>94</v>
      </c>
      <c r="B120" s="65" t="str">
        <f t="shared" si="25"/>
        <v>Kabsa Spices Powder - توابل كبسة بودر</v>
      </c>
      <c r="C120" s="65" t="str">
        <f t="shared" si="25"/>
        <v>gm</v>
      </c>
      <c r="D120" s="65">
        <f t="shared" si="25"/>
        <v>19</v>
      </c>
      <c r="E120" s="177">
        <f t="shared" si="26"/>
        <v>0</v>
      </c>
      <c r="F120" s="100">
        <f t="shared" si="27"/>
        <v>0.7</v>
      </c>
      <c r="G120" s="101">
        <f t="shared" si="28"/>
        <v>0</v>
      </c>
      <c r="H120" s="102">
        <f t="shared" si="29"/>
        <v>0</v>
      </c>
    </row>
    <row r="121" spans="1:8" ht="14.25" customHeight="1" x14ac:dyDescent="0.2">
      <c r="A121" s="198" t="s">
        <v>94</v>
      </c>
      <c r="B121" s="65" t="str">
        <f t="shared" si="25"/>
        <v>Cumin Powder - كمون مطحون</v>
      </c>
      <c r="C121" s="65" t="str">
        <f t="shared" si="25"/>
        <v>gm</v>
      </c>
      <c r="D121" s="65">
        <f t="shared" si="25"/>
        <v>20</v>
      </c>
      <c r="E121" s="177">
        <f t="shared" si="26"/>
        <v>0</v>
      </c>
      <c r="F121" s="100">
        <f t="shared" si="27"/>
        <v>0.7</v>
      </c>
      <c r="G121" s="101">
        <f t="shared" si="28"/>
        <v>0</v>
      </c>
      <c r="H121" s="102">
        <f t="shared" si="29"/>
        <v>0</v>
      </c>
    </row>
    <row r="122" spans="1:8" ht="14.25" customHeight="1" x14ac:dyDescent="0.2">
      <c r="A122" s="198" t="s">
        <v>190</v>
      </c>
      <c r="B122" s="65" t="str">
        <f t="shared" si="25"/>
        <v>Tomato Paste - صلصة طماطم</v>
      </c>
      <c r="C122" s="65" t="str">
        <f t="shared" si="25"/>
        <v>gm</v>
      </c>
      <c r="D122" s="65">
        <f t="shared" si="25"/>
        <v>130</v>
      </c>
      <c r="E122" s="177">
        <f t="shared" si="26"/>
        <v>0</v>
      </c>
      <c r="F122" s="100">
        <f t="shared" si="27"/>
        <v>0.85</v>
      </c>
      <c r="G122" s="101">
        <f t="shared" si="28"/>
        <v>0</v>
      </c>
      <c r="H122" s="102">
        <f t="shared" si="29"/>
        <v>0</v>
      </c>
    </row>
    <row r="123" spans="1:8" ht="14.25" customHeight="1" x14ac:dyDescent="0.2">
      <c r="A123" s="198" t="s">
        <v>13</v>
      </c>
      <c r="B123" s="65" t="str">
        <f t="shared" si="25"/>
        <v>Orange - برتقال</v>
      </c>
      <c r="C123" s="65" t="str">
        <f t="shared" si="25"/>
        <v>gm</v>
      </c>
      <c r="D123" s="65">
        <f t="shared" si="25"/>
        <v>200</v>
      </c>
      <c r="E123" s="177">
        <f t="shared" si="26"/>
        <v>0</v>
      </c>
      <c r="F123" s="100">
        <f t="shared" si="27"/>
        <v>0.85</v>
      </c>
      <c r="G123" s="101">
        <f t="shared" si="28"/>
        <v>0</v>
      </c>
      <c r="H123" s="102">
        <f t="shared" si="29"/>
        <v>0</v>
      </c>
    </row>
    <row r="124" spans="1:8" ht="14.25" customHeight="1" x14ac:dyDescent="0.2">
      <c r="A124" s="198" t="s">
        <v>204</v>
      </c>
      <c r="B124" s="65" t="str">
        <f t="shared" si="25"/>
        <v>Rose Water - ماء الورد</v>
      </c>
      <c r="C124" s="65" t="str">
        <f t="shared" si="25"/>
        <v>ml</v>
      </c>
      <c r="D124" s="65">
        <f t="shared" si="25"/>
        <v>35</v>
      </c>
      <c r="E124" s="177">
        <f t="shared" si="26"/>
        <v>0</v>
      </c>
      <c r="F124" s="100">
        <f t="shared" si="27"/>
        <v>0.75</v>
      </c>
      <c r="G124" s="101">
        <f t="shared" si="28"/>
        <v>0</v>
      </c>
      <c r="H124" s="102">
        <f t="shared" si="29"/>
        <v>0</v>
      </c>
    </row>
    <row r="125" spans="1:8" ht="14.25" customHeight="1" x14ac:dyDescent="0.2">
      <c r="A125" s="198" t="s">
        <v>204</v>
      </c>
      <c r="B125" s="65" t="str">
        <f t="shared" si="25"/>
        <v>Water - ماء</v>
      </c>
      <c r="C125" s="65" t="str">
        <f t="shared" si="25"/>
        <v>ml</v>
      </c>
      <c r="D125" s="65">
        <f t="shared" si="25"/>
        <v>800</v>
      </c>
      <c r="E125" s="177">
        <f t="shared" si="26"/>
        <v>0</v>
      </c>
      <c r="F125" s="100">
        <f t="shared" si="27"/>
        <v>1</v>
      </c>
      <c r="G125" s="101">
        <f t="shared" si="28"/>
        <v>0</v>
      </c>
      <c r="H125" s="102">
        <f t="shared" si="29"/>
        <v>0</v>
      </c>
    </row>
    <row r="126" spans="1:8" ht="14.25" customHeight="1" x14ac:dyDescent="0.2">
      <c r="A126" s="198" t="s">
        <v>13</v>
      </c>
      <c r="B126" s="65" t="str">
        <f t="shared" si="25"/>
        <v>Garlic - ثوم مقشر</v>
      </c>
      <c r="C126" s="65" t="str">
        <f t="shared" si="25"/>
        <v>gm</v>
      </c>
      <c r="D126" s="65">
        <f t="shared" si="25"/>
        <v>30</v>
      </c>
      <c r="E126" s="177">
        <f t="shared" si="26"/>
        <v>0</v>
      </c>
      <c r="F126" s="100">
        <f t="shared" si="27"/>
        <v>0.4</v>
      </c>
      <c r="G126" s="101">
        <f t="shared" si="28"/>
        <v>0</v>
      </c>
      <c r="H126" s="102">
        <f t="shared" si="29"/>
        <v>0</v>
      </c>
    </row>
    <row r="127" spans="1:8" ht="14.25" customHeight="1" x14ac:dyDescent="0.2">
      <c r="A127" s="198" t="s">
        <v>153</v>
      </c>
      <c r="B127" s="65" t="str">
        <f t="shared" si="25"/>
        <v>Yogurt - زبادي</v>
      </c>
      <c r="C127" s="65" t="str">
        <f t="shared" si="25"/>
        <v>gm</v>
      </c>
      <c r="D127" s="65">
        <f t="shared" si="25"/>
        <v>300</v>
      </c>
      <c r="E127" s="177">
        <f t="shared" si="26"/>
        <v>0</v>
      </c>
      <c r="F127" s="100">
        <f t="shared" si="27"/>
        <v>0.5</v>
      </c>
      <c r="G127" s="101">
        <f t="shared" si="28"/>
        <v>0</v>
      </c>
      <c r="H127" s="102">
        <f t="shared" si="29"/>
        <v>0</v>
      </c>
    </row>
    <row r="128" spans="1:8" ht="14.25" customHeight="1" x14ac:dyDescent="0.2">
      <c r="A128" s="198" t="s">
        <v>180</v>
      </c>
      <c r="B128" s="65" t="str">
        <f t="shared" si="25"/>
        <v>Raisin - زبيب</v>
      </c>
      <c r="C128" s="65" t="str">
        <f t="shared" si="25"/>
        <v>gm</v>
      </c>
      <c r="D128" s="65">
        <f t="shared" si="25"/>
        <v>35</v>
      </c>
      <c r="E128" s="177">
        <f t="shared" si="26"/>
        <v>0</v>
      </c>
      <c r="F128" s="100">
        <f t="shared" si="27"/>
        <v>0.5</v>
      </c>
      <c r="G128" s="101">
        <f t="shared" si="28"/>
        <v>0</v>
      </c>
      <c r="H128" s="102">
        <f t="shared" si="29"/>
        <v>0</v>
      </c>
    </row>
    <row r="129" spans="1:8" ht="20.25" customHeight="1" x14ac:dyDescent="0.25">
      <c r="A129" s="191"/>
      <c r="B129" s="178" t="s">
        <v>287</v>
      </c>
      <c r="C129" s="180" t="s">
        <v>273</v>
      </c>
      <c r="D129" s="14"/>
      <c r="E129" s="180" t="s">
        <v>288</v>
      </c>
      <c r="F129" s="14"/>
      <c r="G129" s="804" t="s">
        <v>264</v>
      </c>
      <c r="H129" s="804" t="s">
        <v>673</v>
      </c>
    </row>
    <row r="130" spans="1:8" ht="20.25" x14ac:dyDescent="0.3">
      <c r="A130" s="191"/>
      <c r="B130" s="179">
        <f>$J$56</f>
        <v>0</v>
      </c>
      <c r="C130" s="179">
        <f>E130+G130</f>
        <v>0</v>
      </c>
      <c r="D130" s="839"/>
      <c r="E130" s="179">
        <f>$C$55*$S$44</f>
        <v>0</v>
      </c>
      <c r="F130" s="843"/>
      <c r="G130" s="179">
        <f>$C$55*$T$44</f>
        <v>0</v>
      </c>
      <c r="H130" s="179">
        <f>B130+E130</f>
        <v>0</v>
      </c>
    </row>
    <row r="132" spans="1:8" ht="18" x14ac:dyDescent="0.2">
      <c r="A132" s="1570"/>
      <c r="B132" s="1642" t="str">
        <f>"كابلي لحم 5 / " &amp; COUNTIF($H$53:$H$58, "&gt;0")</f>
        <v>كابلي لحم 5 / 2</v>
      </c>
      <c r="C132" s="1653"/>
      <c r="D132" s="1653"/>
      <c r="E132" s="1653"/>
      <c r="F132" s="1653"/>
      <c r="G132" s="1653"/>
      <c r="H132" s="1653"/>
    </row>
    <row r="133" spans="1:8" ht="18" x14ac:dyDescent="0.2">
      <c r="A133" s="1570"/>
      <c r="B133" s="1642" t="str">
        <f>"Beef Kabli 5 / " &amp; COUNTIF($H$53:$H$58, "&gt;0")</f>
        <v>Beef Kabli 5 / 2</v>
      </c>
      <c r="C133" s="1653"/>
      <c r="D133" s="1653"/>
      <c r="E133" s="1653"/>
      <c r="F133" s="1653"/>
      <c r="G133" s="1653"/>
      <c r="H133" s="1653"/>
    </row>
    <row r="134" spans="1:8" ht="38.25" x14ac:dyDescent="0.2">
      <c r="A134" s="75"/>
      <c r="B134" s="75" t="s">
        <v>687</v>
      </c>
      <c r="C134" s="284" t="s">
        <v>317</v>
      </c>
      <c r="D134" s="75" t="s">
        <v>318</v>
      </c>
      <c r="E134" s="91" t="s">
        <v>319</v>
      </c>
      <c r="F134" s="91" t="s">
        <v>320</v>
      </c>
      <c r="G134" s="285" t="s">
        <v>321</v>
      </c>
      <c r="H134" s="92" t="s">
        <v>322</v>
      </c>
    </row>
    <row r="135" spans="1:8" ht="14.25" x14ac:dyDescent="0.2">
      <c r="A135" s="198" t="s">
        <v>221</v>
      </c>
      <c r="B135" s="65" t="str">
        <f t="shared" ref="B135:D145" si="30">B5</f>
        <v>Indian Meat Alana  - لحم هندى ألانا</v>
      </c>
      <c r="C135" s="65" t="str">
        <f t="shared" si="30"/>
        <v>gm</v>
      </c>
      <c r="D135" s="101">
        <f t="shared" si="30"/>
        <v>1721.7927305910914</v>
      </c>
      <c r="E135" s="177">
        <f t="shared" ref="E135:E145" si="31">$H$57</f>
        <v>0</v>
      </c>
      <c r="F135" s="100">
        <f>F5</f>
        <v>1</v>
      </c>
      <c r="G135" s="101">
        <f t="shared" ref="G135:G145" si="32">D135*E135</f>
        <v>0</v>
      </c>
      <c r="H135" s="102">
        <f t="shared" ref="H135:H145" si="33">G135*F135</f>
        <v>0</v>
      </c>
    </row>
    <row r="136" spans="1:8" ht="14.25" x14ac:dyDescent="0.2">
      <c r="A136" s="198" t="s">
        <v>13</v>
      </c>
      <c r="B136" s="65" t="str">
        <f t="shared" si="30"/>
        <v>Tomato - طماطم</v>
      </c>
      <c r="C136" s="65" t="str">
        <f t="shared" si="30"/>
        <v>gm</v>
      </c>
      <c r="D136" s="65">
        <f t="shared" si="30"/>
        <v>100</v>
      </c>
      <c r="E136" s="177">
        <f t="shared" si="31"/>
        <v>0</v>
      </c>
      <c r="F136" s="100">
        <f t="shared" ref="F136:F145" si="34">F6</f>
        <v>1</v>
      </c>
      <c r="G136" s="101">
        <f t="shared" si="32"/>
        <v>0</v>
      </c>
      <c r="H136" s="102">
        <f t="shared" si="33"/>
        <v>0</v>
      </c>
    </row>
    <row r="137" spans="1:8" ht="14.25" x14ac:dyDescent="0.2">
      <c r="A137" s="198" t="s">
        <v>94</v>
      </c>
      <c r="B137" s="65" t="str">
        <f t="shared" si="30"/>
        <v>Kabsa Spices Powder - توابل كبسة بودر</v>
      </c>
      <c r="C137" s="65" t="str">
        <f t="shared" si="30"/>
        <v>gm</v>
      </c>
      <c r="D137" s="65">
        <f t="shared" si="30"/>
        <v>19</v>
      </c>
      <c r="E137" s="177">
        <f t="shared" si="31"/>
        <v>0</v>
      </c>
      <c r="F137" s="100">
        <f t="shared" si="34"/>
        <v>0.7</v>
      </c>
      <c r="G137" s="101">
        <f t="shared" si="32"/>
        <v>0</v>
      </c>
      <c r="H137" s="102">
        <f t="shared" si="33"/>
        <v>0</v>
      </c>
    </row>
    <row r="138" spans="1:8" ht="14.25" x14ac:dyDescent="0.2">
      <c r="A138" s="198" t="s">
        <v>94</v>
      </c>
      <c r="B138" s="65" t="str">
        <f t="shared" si="30"/>
        <v>Cumin Powder - كمون مطحون</v>
      </c>
      <c r="C138" s="65" t="str">
        <f t="shared" si="30"/>
        <v>gm</v>
      </c>
      <c r="D138" s="65">
        <f t="shared" si="30"/>
        <v>20</v>
      </c>
      <c r="E138" s="177">
        <f t="shared" si="31"/>
        <v>0</v>
      </c>
      <c r="F138" s="100">
        <f t="shared" si="34"/>
        <v>0.7</v>
      </c>
      <c r="G138" s="101">
        <f t="shared" si="32"/>
        <v>0</v>
      </c>
      <c r="H138" s="102">
        <f t="shared" si="33"/>
        <v>0</v>
      </c>
    </row>
    <row r="139" spans="1:8" ht="14.25" x14ac:dyDescent="0.2">
      <c r="A139" s="198" t="s">
        <v>190</v>
      </c>
      <c r="B139" s="65" t="str">
        <f t="shared" si="30"/>
        <v>Tomato Paste - صلصة طماطم</v>
      </c>
      <c r="C139" s="65" t="str">
        <f t="shared" si="30"/>
        <v>gm</v>
      </c>
      <c r="D139" s="65">
        <f t="shared" si="30"/>
        <v>130</v>
      </c>
      <c r="E139" s="177">
        <f t="shared" si="31"/>
        <v>0</v>
      </c>
      <c r="F139" s="100">
        <f t="shared" si="34"/>
        <v>0.85</v>
      </c>
      <c r="G139" s="101">
        <f t="shared" si="32"/>
        <v>0</v>
      </c>
      <c r="H139" s="102">
        <f t="shared" si="33"/>
        <v>0</v>
      </c>
    </row>
    <row r="140" spans="1:8" ht="14.25" x14ac:dyDescent="0.2">
      <c r="A140" s="198" t="s">
        <v>13</v>
      </c>
      <c r="B140" s="65" t="str">
        <f t="shared" si="30"/>
        <v>Orange - برتقال</v>
      </c>
      <c r="C140" s="65" t="str">
        <f t="shared" si="30"/>
        <v>gm</v>
      </c>
      <c r="D140" s="65">
        <f t="shared" si="30"/>
        <v>200</v>
      </c>
      <c r="E140" s="177">
        <f t="shared" si="31"/>
        <v>0</v>
      </c>
      <c r="F140" s="100">
        <f t="shared" si="34"/>
        <v>0.85</v>
      </c>
      <c r="G140" s="101">
        <f t="shared" si="32"/>
        <v>0</v>
      </c>
      <c r="H140" s="102">
        <f t="shared" si="33"/>
        <v>0</v>
      </c>
    </row>
    <row r="141" spans="1:8" ht="14.25" x14ac:dyDescent="0.2">
      <c r="A141" s="198" t="s">
        <v>204</v>
      </c>
      <c r="B141" s="65" t="str">
        <f t="shared" si="30"/>
        <v>Rose Water - ماء الورد</v>
      </c>
      <c r="C141" s="65" t="str">
        <f t="shared" si="30"/>
        <v>ml</v>
      </c>
      <c r="D141" s="65">
        <f t="shared" si="30"/>
        <v>35</v>
      </c>
      <c r="E141" s="177">
        <f t="shared" si="31"/>
        <v>0</v>
      </c>
      <c r="F141" s="100">
        <f t="shared" si="34"/>
        <v>0.75</v>
      </c>
      <c r="G141" s="101">
        <f t="shared" si="32"/>
        <v>0</v>
      </c>
      <c r="H141" s="102">
        <f t="shared" si="33"/>
        <v>0</v>
      </c>
    </row>
    <row r="142" spans="1:8" ht="14.25" x14ac:dyDescent="0.2">
      <c r="A142" s="198" t="s">
        <v>204</v>
      </c>
      <c r="B142" s="65" t="str">
        <f t="shared" si="30"/>
        <v>Water - ماء</v>
      </c>
      <c r="C142" s="65" t="str">
        <f t="shared" si="30"/>
        <v>ml</v>
      </c>
      <c r="D142" s="65">
        <f t="shared" si="30"/>
        <v>800</v>
      </c>
      <c r="E142" s="177">
        <f t="shared" si="31"/>
        <v>0</v>
      </c>
      <c r="F142" s="100">
        <f t="shared" si="34"/>
        <v>1</v>
      </c>
      <c r="G142" s="101">
        <f t="shared" si="32"/>
        <v>0</v>
      </c>
      <c r="H142" s="102">
        <f t="shared" si="33"/>
        <v>0</v>
      </c>
    </row>
    <row r="143" spans="1:8" ht="14.25" x14ac:dyDescent="0.2">
      <c r="A143" s="198" t="s">
        <v>13</v>
      </c>
      <c r="B143" s="65" t="str">
        <f t="shared" si="30"/>
        <v>Garlic - ثوم مقشر</v>
      </c>
      <c r="C143" s="65" t="str">
        <f t="shared" si="30"/>
        <v>gm</v>
      </c>
      <c r="D143" s="65">
        <f t="shared" si="30"/>
        <v>30</v>
      </c>
      <c r="E143" s="177">
        <f t="shared" si="31"/>
        <v>0</v>
      </c>
      <c r="F143" s="100">
        <f t="shared" si="34"/>
        <v>0.4</v>
      </c>
      <c r="G143" s="101">
        <f t="shared" si="32"/>
        <v>0</v>
      </c>
      <c r="H143" s="102">
        <f t="shared" si="33"/>
        <v>0</v>
      </c>
    </row>
    <row r="144" spans="1:8" ht="14.25" x14ac:dyDescent="0.2">
      <c r="A144" s="198" t="s">
        <v>153</v>
      </c>
      <c r="B144" s="65" t="str">
        <f t="shared" si="30"/>
        <v>Yogurt - زبادي</v>
      </c>
      <c r="C144" s="65" t="str">
        <f t="shared" si="30"/>
        <v>gm</v>
      </c>
      <c r="D144" s="65">
        <f t="shared" si="30"/>
        <v>300</v>
      </c>
      <c r="E144" s="177">
        <f t="shared" si="31"/>
        <v>0</v>
      </c>
      <c r="F144" s="100">
        <f t="shared" si="34"/>
        <v>0.5</v>
      </c>
      <c r="G144" s="101">
        <f t="shared" si="32"/>
        <v>0</v>
      </c>
      <c r="H144" s="102">
        <f t="shared" si="33"/>
        <v>0</v>
      </c>
    </row>
    <row r="145" spans="1:8" ht="14.25" x14ac:dyDescent="0.2">
      <c r="A145" s="198" t="s">
        <v>180</v>
      </c>
      <c r="B145" s="65" t="str">
        <f t="shared" si="30"/>
        <v>Raisin - زبيب</v>
      </c>
      <c r="C145" s="65" t="str">
        <f t="shared" si="30"/>
        <v>gm</v>
      </c>
      <c r="D145" s="65">
        <f t="shared" si="30"/>
        <v>35</v>
      </c>
      <c r="E145" s="177">
        <f t="shared" si="31"/>
        <v>0</v>
      </c>
      <c r="F145" s="100">
        <f t="shared" si="34"/>
        <v>0.5</v>
      </c>
      <c r="G145" s="101">
        <f t="shared" si="32"/>
        <v>0</v>
      </c>
      <c r="H145" s="102">
        <f t="shared" si="33"/>
        <v>0</v>
      </c>
    </row>
    <row r="146" spans="1:8" ht="18" x14ac:dyDescent="0.25">
      <c r="A146" s="191"/>
      <c r="B146" s="178" t="s">
        <v>287</v>
      </c>
      <c r="C146" s="180" t="s">
        <v>273</v>
      </c>
      <c r="D146" s="14"/>
      <c r="E146" s="180" t="s">
        <v>288</v>
      </c>
      <c r="F146" s="14"/>
      <c r="G146" s="804" t="s">
        <v>264</v>
      </c>
      <c r="H146" s="804" t="s">
        <v>673</v>
      </c>
    </row>
    <row r="147" spans="1:8" ht="20.25" x14ac:dyDescent="0.3">
      <c r="A147" s="191"/>
      <c r="B147" s="179">
        <f>$J$57</f>
        <v>0</v>
      </c>
      <c r="C147" s="179">
        <f>E147+G147</f>
        <v>0</v>
      </c>
      <c r="D147" s="839"/>
      <c r="E147" s="179">
        <f>$C$55*$S$44</f>
        <v>0</v>
      </c>
      <c r="F147" s="843"/>
      <c r="G147" s="179">
        <f>$C$55*$T$44</f>
        <v>0</v>
      </c>
      <c r="H147" s="179">
        <f>B147+E147</f>
        <v>0</v>
      </c>
    </row>
  </sheetData>
  <mergeCells count="15">
    <mergeCell ref="B116:H116"/>
    <mergeCell ref="B132:H132"/>
    <mergeCell ref="B133:H133"/>
    <mergeCell ref="B63:H63"/>
    <mergeCell ref="B79:H79"/>
    <mergeCell ref="B80:H80"/>
    <mergeCell ref="B98:H98"/>
    <mergeCell ref="B99:H99"/>
    <mergeCell ref="B115:H115"/>
    <mergeCell ref="B62:H62"/>
    <mergeCell ref="B2:K3"/>
    <mergeCell ref="AE2:AG3"/>
    <mergeCell ref="R25:T25"/>
    <mergeCell ref="R26:T26"/>
    <mergeCell ref="B35:F35"/>
  </mergeCells>
  <printOptions horizontalCentered="1"/>
  <pageMargins left="0.5" right="0.5" top="1" bottom="0.5" header="0.3" footer="0.511811023622047"/>
  <pageSetup paperSize="9" scale="27" orientation="portrait" r:id="rId1"/>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7A769-5462-46A2-A0DA-9F56475CBAC6}">
  <sheetPr codeName="Sheet86">
    <tabColor rgb="FFFFFF00"/>
    <outlinePr summaryBelow="0" summaryRight="0"/>
    <pageSetUpPr fitToPage="1"/>
  </sheetPr>
  <dimension ref="A1:AD962"/>
  <sheetViews>
    <sheetView zoomScale="70" zoomScaleNormal="70" zoomScaleSheetLayoutView="55" workbookViewId="0">
      <selection activeCell="D52" sqref="D52"/>
    </sheetView>
  </sheetViews>
  <sheetFormatPr defaultColWidth="12.5" defaultRowHeight="12.75" x14ac:dyDescent="0.2"/>
  <cols>
    <col min="1" max="1" width="12.5" style="599"/>
    <col min="2" max="2" width="31.375" style="599" bestFit="1" customWidth="1"/>
    <col min="3" max="3" width="24" style="599" customWidth="1"/>
    <col min="4" max="4" width="19" style="599" customWidth="1"/>
    <col min="5" max="5" width="16.125" style="599" bestFit="1" customWidth="1"/>
    <col min="6" max="6" width="23" style="599" customWidth="1"/>
    <col min="7" max="7" width="25.125" style="599" customWidth="1"/>
    <col min="8" max="8" width="36.125" style="599" bestFit="1" customWidth="1"/>
    <col min="9" max="10" width="12.5" style="599"/>
    <col min="11" max="11" width="7.125" style="599" customWidth="1"/>
    <col min="12" max="12" width="8.375" style="599" customWidth="1"/>
    <col min="13" max="17" width="2.375" style="599" customWidth="1"/>
    <col min="18" max="16384" width="12.5" style="599"/>
  </cols>
  <sheetData>
    <row r="1" spans="1:30" ht="28.5" customHeight="1" x14ac:dyDescent="0.2">
      <c r="A1" s="14"/>
      <c r="B1" s="590" t="s">
        <v>231</v>
      </c>
      <c r="C1" s="595">
        <v>1000</v>
      </c>
      <c r="D1" s="596" t="s">
        <v>232</v>
      </c>
      <c r="E1" s="597">
        <f>S29</f>
        <v>17790</v>
      </c>
      <c r="F1" s="590" t="s">
        <v>233</v>
      </c>
      <c r="G1" s="597">
        <f>E1/C1</f>
        <v>17.79</v>
      </c>
      <c r="H1" s="590" t="s">
        <v>234</v>
      </c>
      <c r="I1" s="1380">
        <f>G1/K1</f>
        <v>17.613861386138613</v>
      </c>
      <c r="J1" s="701" t="s">
        <v>235</v>
      </c>
      <c r="K1" s="702">
        <v>1.01</v>
      </c>
      <c r="L1" s="598"/>
      <c r="M1" s="598"/>
      <c r="N1" s="598"/>
      <c r="O1" s="598"/>
      <c r="P1" s="598"/>
      <c r="Q1" s="598"/>
      <c r="R1" s="598"/>
      <c r="S1" s="598"/>
      <c r="T1" s="598"/>
      <c r="U1" s="598"/>
      <c r="V1" s="598"/>
      <c r="Y1" s="75" t="s">
        <v>453</v>
      </c>
      <c r="Z1" s="766">
        <v>17790</v>
      </c>
      <c r="AA1" s="75" t="s">
        <v>556</v>
      </c>
      <c r="AB1" s="766">
        <v>0</v>
      </c>
      <c r="AC1" s="75" t="s">
        <v>546</v>
      </c>
      <c r="AD1" s="766">
        <v>121</v>
      </c>
    </row>
    <row r="2" spans="1:30" ht="12.75" customHeight="1" x14ac:dyDescent="0.2">
      <c r="A2" s="306"/>
      <c r="B2" s="1675" t="s">
        <v>516</v>
      </c>
      <c r="C2" s="1675"/>
      <c r="D2" s="1675"/>
      <c r="E2" s="1675"/>
      <c r="F2" s="1675"/>
      <c r="G2" s="1675"/>
      <c r="H2" s="1675"/>
      <c r="I2" s="703"/>
      <c r="J2" s="703"/>
      <c r="K2" s="703"/>
      <c r="L2" s="598"/>
      <c r="M2" s="598"/>
      <c r="N2" s="598"/>
      <c r="O2" s="598"/>
      <c r="P2" s="598"/>
      <c r="Q2" s="598"/>
      <c r="R2" s="598"/>
      <c r="S2" s="598"/>
      <c r="T2" s="598"/>
      <c r="U2" s="598"/>
    </row>
    <row r="3" spans="1:30" ht="12.75" customHeight="1" x14ac:dyDescent="0.2">
      <c r="A3" s="306"/>
      <c r="B3" s="1676"/>
      <c r="C3" s="1676"/>
      <c r="D3" s="1676"/>
      <c r="E3" s="1676"/>
      <c r="F3" s="1676"/>
      <c r="G3" s="1676"/>
      <c r="H3" s="1676"/>
      <c r="I3" s="703"/>
      <c r="J3" s="703"/>
      <c r="K3" s="703"/>
      <c r="L3" s="598"/>
      <c r="M3" s="598"/>
      <c r="N3" s="598"/>
      <c r="O3" s="598"/>
      <c r="P3" s="598"/>
      <c r="Q3" s="598"/>
      <c r="R3" s="598"/>
      <c r="S3" s="598"/>
      <c r="T3" s="598"/>
      <c r="U3" s="598"/>
    </row>
    <row r="4" spans="1:30" ht="69" customHeight="1" x14ac:dyDescent="0.2">
      <c r="A4" s="75" t="s">
        <v>1</v>
      </c>
      <c r="B4" s="600" t="s">
        <v>241</v>
      </c>
      <c r="C4" s="601" t="s">
        <v>242</v>
      </c>
      <c r="D4" s="600" t="s">
        <v>231</v>
      </c>
      <c r="E4" s="1382" t="s">
        <v>234</v>
      </c>
      <c r="F4" s="603" t="s">
        <v>243</v>
      </c>
      <c r="G4" s="600" t="s">
        <v>244</v>
      </c>
      <c r="H4" s="1383" t="s">
        <v>512</v>
      </c>
      <c r="I4" s="75" t="s">
        <v>246</v>
      </c>
      <c r="J4" s="75" t="s">
        <v>247</v>
      </c>
      <c r="K4" s="75" t="s">
        <v>248</v>
      </c>
      <c r="L4" s="75" t="s">
        <v>249</v>
      </c>
      <c r="M4" s="598"/>
      <c r="N4" s="598"/>
      <c r="O4" s="598"/>
      <c r="P4" s="598"/>
      <c r="Q4" s="598"/>
      <c r="R4" s="598"/>
      <c r="S4" s="598"/>
      <c r="T4" s="598"/>
      <c r="U4" s="598"/>
    </row>
    <row r="5" spans="1:30" x14ac:dyDescent="0.2">
      <c r="A5" s="198"/>
      <c r="B5" s="704"/>
      <c r="C5" s="705"/>
      <c r="D5" s="704"/>
      <c r="E5" s="1387"/>
      <c r="F5" s="704"/>
      <c r="G5" s="704"/>
      <c r="H5" s="1388"/>
      <c r="I5" s="65"/>
      <c r="J5" s="101"/>
      <c r="K5" s="104"/>
      <c r="L5" s="104"/>
    </row>
    <row r="6" spans="1:30" ht="15" x14ac:dyDescent="0.2">
      <c r="A6" s="844"/>
      <c r="B6" s="1422" t="s">
        <v>517</v>
      </c>
      <c r="C6" s="1423" t="s">
        <v>14</v>
      </c>
      <c r="D6" s="1425">
        <v>330</v>
      </c>
      <c r="E6" s="1389">
        <f>$I$1</f>
        <v>17.613861386138613</v>
      </c>
      <c r="F6" s="1390">
        <v>1</v>
      </c>
      <c r="G6" s="1391">
        <f>D6*E6</f>
        <v>5812.574257425742</v>
      </c>
      <c r="H6" s="1392">
        <f>G6*F6</f>
        <v>5812.574257425742</v>
      </c>
      <c r="I6" s="65">
        <f>VLOOKUP(B6,All_Ingredients!$A$1:$F$156,6,FALSE())</f>
        <v>1</v>
      </c>
      <c r="J6" s="101">
        <f>VLOOKUP(B6,All_Ingredients!$A$1:$J$156,10,FALSE())</f>
        <v>9.0740740740740726</v>
      </c>
      <c r="K6" s="104">
        <f t="shared" ref="K6:K9" si="0">(H6/I6)/1000</f>
        <v>5.8125742574257417</v>
      </c>
      <c r="L6" s="104">
        <f t="shared" ref="L6:L9" si="1">K6*J6</f>
        <v>52.743729372937281</v>
      </c>
    </row>
    <row r="7" spans="1:30" ht="15" x14ac:dyDescent="0.2">
      <c r="A7" s="844"/>
      <c r="B7" s="1422" t="s">
        <v>203</v>
      </c>
      <c r="C7" s="1423" t="s">
        <v>160</v>
      </c>
      <c r="D7" s="1425">
        <v>8000</v>
      </c>
      <c r="E7" s="1425">
        <f>$I$1</f>
        <v>17.613861386138613</v>
      </c>
      <c r="F7" s="1390">
        <v>0.5</v>
      </c>
      <c r="G7" s="1391">
        <f>D7*E7</f>
        <v>140910.89108910889</v>
      </c>
      <c r="H7" s="1392">
        <f>G7*F7</f>
        <v>70455.445544554444</v>
      </c>
      <c r="I7" s="65">
        <f>VLOOKUP(B7,All_Ingredients!$A$1:$F$156,6,FALSE())</f>
        <v>1</v>
      </c>
      <c r="J7" s="101">
        <f>VLOOKUP(B7,All_Ingredients!$A$1:$J$156,10,FALSE())</f>
        <v>0</v>
      </c>
      <c r="K7" s="104">
        <f t="shared" si="0"/>
        <v>70.455445544554451</v>
      </c>
      <c r="L7" s="104">
        <f t="shared" si="1"/>
        <v>0</v>
      </c>
    </row>
    <row r="8" spans="1:30" ht="15" x14ac:dyDescent="0.2">
      <c r="A8" s="844"/>
      <c r="B8" s="1422" t="s">
        <v>93</v>
      </c>
      <c r="C8" s="1423" t="s">
        <v>14</v>
      </c>
      <c r="D8" s="1425">
        <v>10</v>
      </c>
      <c r="E8" s="1425">
        <f>$I$1</f>
        <v>17.613861386138613</v>
      </c>
      <c r="F8" s="1390">
        <v>1</v>
      </c>
      <c r="G8" s="1391">
        <f>D8*E8</f>
        <v>176.13861386138612</v>
      </c>
      <c r="H8" s="1392">
        <f>G8*F8</f>
        <v>176.13861386138612</v>
      </c>
      <c r="I8" s="65">
        <f>VLOOKUP(B8,All_Ingredients!$A$1:$F$156,6,FALSE())</f>
        <v>1</v>
      </c>
      <c r="J8" s="101">
        <f>VLOOKUP(B8,All_Ingredients!$A$1:$J$156,10,FALSE())</f>
        <v>0.74</v>
      </c>
      <c r="K8" s="104">
        <f t="shared" si="0"/>
        <v>0.17613861386138613</v>
      </c>
      <c r="L8" s="104">
        <f t="shared" si="1"/>
        <v>0.13034257425742574</v>
      </c>
    </row>
    <row r="9" spans="1:30" ht="15" x14ac:dyDescent="0.2">
      <c r="A9" s="844"/>
      <c r="B9" s="1422" t="s">
        <v>211</v>
      </c>
      <c r="C9" s="1423" t="s">
        <v>14</v>
      </c>
      <c r="D9" s="1425">
        <v>5</v>
      </c>
      <c r="E9" s="1425">
        <f>$I$1</f>
        <v>17.613861386138613</v>
      </c>
      <c r="F9" s="1390">
        <v>1</v>
      </c>
      <c r="G9" s="1391">
        <f>D9*E9</f>
        <v>88.06930693069306</v>
      </c>
      <c r="H9" s="1392">
        <f>G9*F9</f>
        <v>88.06930693069306</v>
      </c>
      <c r="I9" s="65">
        <f>VLOOKUP(B9,All_Ingredients!$A$1:$F$156,6,FALSE())</f>
        <v>1</v>
      </c>
      <c r="J9" s="101">
        <f>VLOOKUP(B9,All_Ingredients!$A$1:$J$156,10,FALSE())</f>
        <v>15.5</v>
      </c>
      <c r="K9" s="104">
        <f t="shared" si="0"/>
        <v>8.8069306930693064E-2</v>
      </c>
      <c r="L9" s="104">
        <f t="shared" si="1"/>
        <v>1.3650742574257424</v>
      </c>
    </row>
    <row r="10" spans="1:30" ht="15" x14ac:dyDescent="0.2">
      <c r="B10" s="1407"/>
      <c r="C10" s="1408"/>
      <c r="D10" s="1413"/>
      <c r="E10" s="1414"/>
      <c r="F10" s="1410"/>
      <c r="G10" s="1415"/>
      <c r="H10" s="1412"/>
    </row>
    <row r="11" spans="1:30" x14ac:dyDescent="0.2">
      <c r="E11" s="598"/>
      <c r="F11" s="598"/>
    </row>
    <row r="12" spans="1:30" x14ac:dyDescent="0.2">
      <c r="E12" s="598"/>
      <c r="F12" s="598"/>
    </row>
    <row r="13" spans="1:30" x14ac:dyDescent="0.2">
      <c r="E13" s="598"/>
      <c r="F13" s="598"/>
    </row>
    <row r="14" spans="1:30" x14ac:dyDescent="0.2">
      <c r="E14" s="598"/>
      <c r="F14" s="598"/>
    </row>
    <row r="15" spans="1:30" x14ac:dyDescent="0.2">
      <c r="E15" s="598"/>
      <c r="F15" s="598"/>
    </row>
    <row r="16" spans="1:30" x14ac:dyDescent="0.2">
      <c r="E16" s="598"/>
      <c r="F16" s="598"/>
    </row>
    <row r="17" spans="2:29" x14ac:dyDescent="0.2">
      <c r="E17" s="598"/>
      <c r="F17" s="598"/>
    </row>
    <row r="18" spans="2:29" x14ac:dyDescent="0.2">
      <c r="B18" s="598"/>
      <c r="E18" s="598"/>
      <c r="F18" s="598"/>
    </row>
    <row r="24" spans="2:29" x14ac:dyDescent="0.2">
      <c r="Z24" s="1130"/>
    </row>
    <row r="25" spans="2:29" ht="14.25" x14ac:dyDescent="0.2">
      <c r="R25" s="1727" t="s">
        <v>518</v>
      </c>
      <c r="S25" s="1727"/>
      <c r="Z25" s="122" t="s">
        <v>14</v>
      </c>
      <c r="AA25" s="123">
        <v>1</v>
      </c>
      <c r="AB25" s="122" t="s">
        <v>249</v>
      </c>
      <c r="AC25" s="124">
        <f>(S33/S29)*AA25</f>
        <v>3.0488558855885578E-3</v>
      </c>
    </row>
    <row r="26" spans="2:29" ht="14.25" x14ac:dyDescent="0.2">
      <c r="R26" s="1416" t="s">
        <v>254</v>
      </c>
      <c r="S26" s="1416" t="s">
        <v>547</v>
      </c>
    </row>
    <row r="27" spans="2:29" ht="14.25" x14ac:dyDescent="0.2">
      <c r="R27" s="1416" t="s">
        <v>511</v>
      </c>
      <c r="S27" s="1417">
        <f>Z1</f>
        <v>17790</v>
      </c>
    </row>
    <row r="28" spans="2:29" ht="14.25" x14ac:dyDescent="0.2">
      <c r="R28" s="1416" t="s">
        <v>265</v>
      </c>
      <c r="S28" s="1418">
        <f>AB1</f>
        <v>0</v>
      </c>
    </row>
    <row r="29" spans="2:29" ht="15" x14ac:dyDescent="0.2">
      <c r="R29" s="1416" t="s">
        <v>257</v>
      </c>
      <c r="S29" s="1419">
        <f>S27+S28</f>
        <v>17790</v>
      </c>
    </row>
    <row r="32" spans="2:29" ht="13.5" thickBot="1" x14ac:dyDescent="0.25"/>
    <row r="33" spans="18:19" ht="13.5" thickBot="1" x14ac:dyDescent="0.25">
      <c r="R33" s="144" t="s">
        <v>249</v>
      </c>
      <c r="S33" s="990">
        <f>SUM(L5:L9)</f>
        <v>54.239146204620447</v>
      </c>
    </row>
    <row r="35" spans="18:19" ht="14.25" customHeight="1" x14ac:dyDescent="0.2"/>
    <row r="36" spans="18:19" ht="14.25" customHeight="1" x14ac:dyDescent="0.2"/>
    <row r="50" spans="1:8" ht="15" x14ac:dyDescent="0.25">
      <c r="B50" s="1420"/>
      <c r="C50" s="1420" t="s">
        <v>233</v>
      </c>
      <c r="D50" s="1420" t="s">
        <v>279</v>
      </c>
    </row>
    <row r="51" spans="1:8" ht="14.25" x14ac:dyDescent="0.2">
      <c r="B51" s="161" t="s">
        <v>283</v>
      </c>
      <c r="C51" s="162">
        <f>10/$K$1</f>
        <v>9.9009900990099009</v>
      </c>
      <c r="D51" s="163">
        <f>$C$1*10</f>
        <v>10000</v>
      </c>
    </row>
    <row r="52" spans="1:8" ht="15" x14ac:dyDescent="0.25">
      <c r="B52" s="1421" t="s">
        <v>257</v>
      </c>
      <c r="C52" s="591">
        <f>G1</f>
        <v>17.79</v>
      </c>
      <c r="D52" s="591">
        <f>E1</f>
        <v>17790</v>
      </c>
    </row>
    <row r="53" spans="1:8" ht="15" x14ac:dyDescent="0.25">
      <c r="B53" s="1421" t="s">
        <v>284</v>
      </c>
      <c r="C53" s="592">
        <f>MIN($C$52, C51)</f>
        <v>9.9009900990099009</v>
      </c>
      <c r="D53" s="837">
        <f>(C53*$K$1)*$C$1</f>
        <v>10000</v>
      </c>
    </row>
    <row r="54" spans="1:8" ht="15" x14ac:dyDescent="0.25">
      <c r="B54" s="1421" t="s">
        <v>285</v>
      </c>
      <c r="C54" s="592">
        <f>MIN(MAX($C$52-C53,0),$C$51)</f>
        <v>7.8890099009900982</v>
      </c>
      <c r="D54" s="837">
        <f>(C54*$K$1)*$C$1</f>
        <v>7967.9</v>
      </c>
    </row>
    <row r="55" spans="1:8" ht="15" x14ac:dyDescent="0.25">
      <c r="B55" s="1421" t="s">
        <v>286</v>
      </c>
      <c r="C55" s="592">
        <f>MIN(MAX($C$52-C53-C54,0),$C$51)</f>
        <v>0</v>
      </c>
      <c r="D55" s="837">
        <f>(C55*$K$1)*$C$1</f>
        <v>0</v>
      </c>
    </row>
    <row r="56" spans="1:8" ht="15" x14ac:dyDescent="0.25">
      <c r="B56" s="1421" t="s">
        <v>293</v>
      </c>
      <c r="C56" s="592">
        <f>MIN(MAX($C$52-C53-C54-C55,0),$C$51)</f>
        <v>0</v>
      </c>
      <c r="D56" s="593">
        <f>C56*$K$1</f>
        <v>0</v>
      </c>
    </row>
    <row r="57" spans="1:8" ht="14.25" customHeight="1" x14ac:dyDescent="0.2"/>
    <row r="58" spans="1:8" ht="14.25" customHeight="1" x14ac:dyDescent="0.2"/>
    <row r="62" spans="1:8" ht="14.25" customHeight="1" x14ac:dyDescent="0.2">
      <c r="A62" s="1560"/>
      <c r="B62" s="1636" t="s">
        <v>775</v>
      </c>
      <c r="C62" s="1637"/>
      <c r="D62" s="1637"/>
      <c r="E62" s="1637"/>
      <c r="F62" s="1637"/>
      <c r="G62" s="1637"/>
      <c r="H62" s="1637"/>
    </row>
    <row r="63" spans="1:8" ht="14.25" customHeight="1" x14ac:dyDescent="0.2">
      <c r="A63" s="1560"/>
      <c r="B63" s="1636" t="s">
        <v>776</v>
      </c>
      <c r="C63" s="1637"/>
      <c r="D63" s="1637"/>
      <c r="E63" s="1637"/>
      <c r="F63" s="1637"/>
      <c r="G63" s="1637"/>
      <c r="H63" s="1637"/>
    </row>
    <row r="64" spans="1:8" ht="25.5" x14ac:dyDescent="0.2">
      <c r="A64" s="75" t="s">
        <v>1</v>
      </c>
      <c r="B64" s="221" t="s">
        <v>241</v>
      </c>
      <c r="C64" s="222" t="s">
        <v>242</v>
      </c>
      <c r="D64" s="223" t="s">
        <v>231</v>
      </c>
      <c r="E64" s="197" t="s">
        <v>234</v>
      </c>
      <c r="F64" s="197" t="s">
        <v>243</v>
      </c>
      <c r="G64" s="223" t="s">
        <v>244</v>
      </c>
      <c r="H64" s="197" t="s">
        <v>245</v>
      </c>
    </row>
    <row r="65" spans="1:8" ht="15" x14ac:dyDescent="0.2">
      <c r="A65" s="844"/>
      <c r="B65" s="1422" t="str">
        <f t="shared" ref="B65:D68" si="2">B6</f>
        <v>Pasta Spaghettini  - مكرونة اسباجيتي</v>
      </c>
      <c r="C65" s="1423" t="str">
        <f t="shared" si="2"/>
        <v>gm</v>
      </c>
      <c r="D65" s="1424">
        <f t="shared" si="2"/>
        <v>330</v>
      </c>
      <c r="E65" s="1425">
        <f>$C$52</f>
        <v>17.79</v>
      </c>
      <c r="F65" s="1390">
        <f>F6</f>
        <v>1</v>
      </c>
      <c r="G65" s="1391">
        <f>D65*E65</f>
        <v>5870.7</v>
      </c>
      <c r="H65" s="1426">
        <f>G65*F65</f>
        <v>5870.7</v>
      </c>
    </row>
    <row r="66" spans="1:8" ht="15" x14ac:dyDescent="0.2">
      <c r="A66" s="844"/>
      <c r="B66" s="1422" t="str">
        <f t="shared" si="2"/>
        <v>Water - ماء</v>
      </c>
      <c r="C66" s="1423" t="str">
        <f t="shared" si="2"/>
        <v>ml</v>
      </c>
      <c r="D66" s="1424">
        <f t="shared" si="2"/>
        <v>8000</v>
      </c>
      <c r="E66" s="1425">
        <f t="shared" ref="E66:E68" si="3">$C$52</f>
        <v>17.79</v>
      </c>
      <c r="F66" s="1390">
        <f>F7</f>
        <v>0.5</v>
      </c>
      <c r="G66" s="1391">
        <f>D66*E66</f>
        <v>142320</v>
      </c>
      <c r="H66" s="1426">
        <f>G66*F66</f>
        <v>71160</v>
      </c>
    </row>
    <row r="67" spans="1:8" ht="15" x14ac:dyDescent="0.2">
      <c r="A67" s="844"/>
      <c r="B67" s="1422" t="str">
        <f t="shared" si="2"/>
        <v>Salt - ملح</v>
      </c>
      <c r="C67" s="1423" t="str">
        <f t="shared" si="2"/>
        <v>gm</v>
      </c>
      <c r="D67" s="1424">
        <f t="shared" si="2"/>
        <v>10</v>
      </c>
      <c r="E67" s="1425">
        <f t="shared" si="3"/>
        <v>17.79</v>
      </c>
      <c r="F67" s="1390">
        <f>F8</f>
        <v>1</v>
      </c>
      <c r="G67" s="1391">
        <f>D67*E67</f>
        <v>177.89999999999998</v>
      </c>
      <c r="H67" s="1426">
        <f>G67*F67</f>
        <v>177.89999999999998</v>
      </c>
    </row>
    <row r="68" spans="1:8" ht="15" x14ac:dyDescent="0.2">
      <c r="A68" s="844"/>
      <c r="B68" s="1422" t="str">
        <f t="shared" si="2"/>
        <v>Olive Oil - زيت زيتون</v>
      </c>
      <c r="C68" s="1423" t="str">
        <f t="shared" si="2"/>
        <v>gm</v>
      </c>
      <c r="D68" s="1424">
        <f t="shared" si="2"/>
        <v>5</v>
      </c>
      <c r="E68" s="1425">
        <f t="shared" si="3"/>
        <v>17.79</v>
      </c>
      <c r="F68" s="1390">
        <f>F9</f>
        <v>1</v>
      </c>
      <c r="G68" s="1391">
        <f>D68*E68</f>
        <v>88.949999999999989</v>
      </c>
      <c r="H68" s="1426">
        <f>G68*F68</f>
        <v>88.949999999999989</v>
      </c>
    </row>
    <row r="69" spans="1:8" ht="15.75" x14ac:dyDescent="0.2">
      <c r="B69" s="178" t="s">
        <v>702</v>
      </c>
      <c r="C69" s="598"/>
      <c r="D69" s="598"/>
      <c r="E69" s="598"/>
      <c r="F69" s="598"/>
    </row>
    <row r="70" spans="1:8" ht="20.25" x14ac:dyDescent="0.3">
      <c r="B70" s="179">
        <f>$D$52</f>
        <v>17790</v>
      </c>
      <c r="F70" s="1427"/>
    </row>
    <row r="71" spans="1:8" x14ac:dyDescent="0.2">
      <c r="B71" s="598"/>
      <c r="E71" s="598"/>
      <c r="F71" s="598"/>
    </row>
    <row r="72" spans="1:8" x14ac:dyDescent="0.2">
      <c r="A72" s="1090"/>
      <c r="B72" s="1091"/>
      <c r="C72" s="1091"/>
      <c r="D72" s="1091"/>
      <c r="E72" s="1091"/>
      <c r="F72" s="1091"/>
      <c r="G72" s="1091"/>
      <c r="H72" s="1091"/>
    </row>
    <row r="73" spans="1:8" ht="14.25" customHeight="1" x14ac:dyDescent="0.2">
      <c r="A73" s="1521"/>
      <c r="B73" s="1673"/>
      <c r="C73" s="1674"/>
      <c r="D73" s="1674"/>
      <c r="E73" s="1674"/>
      <c r="F73" s="1674"/>
      <c r="G73" s="1674"/>
      <c r="H73" s="1674"/>
    </row>
    <row r="74" spans="1:8" ht="14.25" customHeight="1" x14ac:dyDescent="0.2">
      <c r="A74" s="1521"/>
      <c r="B74" s="1673"/>
      <c r="C74" s="1674"/>
      <c r="D74" s="1674"/>
      <c r="E74" s="1674"/>
      <c r="F74" s="1674"/>
      <c r="G74" s="1674"/>
      <c r="H74" s="1674"/>
    </row>
    <row r="75" spans="1:8" x14ac:dyDescent="0.2">
      <c r="A75" s="1522"/>
      <c r="B75" s="1428"/>
      <c r="C75" s="1429"/>
      <c r="D75" s="1428"/>
      <c r="E75" s="1428"/>
      <c r="F75" s="1428"/>
      <c r="G75" s="1428"/>
      <c r="H75" s="1428"/>
    </row>
    <row r="76" spans="1:8" ht="15" x14ac:dyDescent="0.2">
      <c r="A76" s="1090"/>
      <c r="B76" s="1430"/>
      <c r="C76" s="1430"/>
      <c r="D76" s="1430"/>
      <c r="E76" s="1431"/>
      <c r="F76" s="1432"/>
      <c r="G76" s="1433"/>
      <c r="H76" s="1434"/>
    </row>
    <row r="77" spans="1:8" ht="15" x14ac:dyDescent="0.2">
      <c r="A77" s="1090"/>
      <c r="B77" s="1430"/>
      <c r="C77" s="1430"/>
      <c r="D77" s="1430"/>
      <c r="E77" s="1431"/>
      <c r="F77" s="1432"/>
      <c r="G77" s="1433"/>
      <c r="H77" s="1434"/>
    </row>
    <row r="78" spans="1:8" ht="15" x14ac:dyDescent="0.2">
      <c r="A78" s="1090"/>
      <c r="B78" s="1430"/>
      <c r="C78" s="1430"/>
      <c r="D78" s="1430"/>
      <c r="E78" s="1431"/>
      <c r="F78" s="1432"/>
      <c r="G78" s="1433"/>
      <c r="H78" s="1434"/>
    </row>
    <row r="79" spans="1:8" ht="15" x14ac:dyDescent="0.2">
      <c r="A79" s="1090"/>
      <c r="B79" s="1430"/>
      <c r="C79" s="1430"/>
      <c r="D79" s="1430"/>
      <c r="E79" s="1431"/>
      <c r="F79" s="1432"/>
      <c r="G79" s="1433"/>
      <c r="H79" s="1434"/>
    </row>
    <row r="80" spans="1:8" ht="15.75" x14ac:dyDescent="0.2">
      <c r="A80" s="1090"/>
      <c r="B80" s="814"/>
      <c r="C80" s="1090"/>
      <c r="D80" s="1090"/>
      <c r="E80" s="1091"/>
      <c r="F80" s="1091"/>
      <c r="G80" s="1090"/>
      <c r="H80" s="1090"/>
    </row>
    <row r="81" spans="1:8" ht="20.25" x14ac:dyDescent="0.3">
      <c r="A81" s="1090"/>
      <c r="B81" s="815"/>
      <c r="C81" s="1091"/>
      <c r="D81" s="1091"/>
      <c r="E81" s="1091"/>
      <c r="F81" s="1435"/>
      <c r="G81" s="1090"/>
      <c r="H81" s="1090"/>
    </row>
    <row r="82" spans="1:8" x14ac:dyDescent="0.2">
      <c r="A82" s="1090"/>
      <c r="B82" s="1091"/>
      <c r="C82" s="1091"/>
      <c r="D82" s="1091"/>
      <c r="E82" s="1091"/>
      <c r="F82" s="1091"/>
      <c r="G82" s="1091"/>
      <c r="H82" s="1091"/>
    </row>
    <row r="83" spans="1:8" x14ac:dyDescent="0.2">
      <c r="A83" s="1090"/>
      <c r="B83" s="1091"/>
      <c r="C83" s="1091"/>
      <c r="D83" s="1091"/>
      <c r="E83" s="1091"/>
      <c r="F83" s="1091"/>
      <c r="G83" s="1091"/>
      <c r="H83" s="1091"/>
    </row>
    <row r="84" spans="1:8" ht="14.25" customHeight="1" x14ac:dyDescent="0.2">
      <c r="A84" s="1521"/>
      <c r="B84" s="1673"/>
      <c r="C84" s="1674"/>
      <c r="D84" s="1674"/>
      <c r="E84" s="1674"/>
      <c r="F84" s="1674"/>
      <c r="G84" s="1674"/>
      <c r="H84" s="1674"/>
    </row>
    <row r="85" spans="1:8" ht="14.25" customHeight="1" x14ac:dyDescent="0.2">
      <c r="A85" s="1521"/>
      <c r="B85" s="1673"/>
      <c r="C85" s="1674"/>
      <c r="D85" s="1674"/>
      <c r="E85" s="1674"/>
      <c r="F85" s="1674"/>
      <c r="G85" s="1674"/>
      <c r="H85" s="1674"/>
    </row>
    <row r="86" spans="1:8" x14ac:dyDescent="0.2">
      <c r="A86" s="1522"/>
      <c r="B86" s="1428"/>
      <c r="C86" s="1429"/>
      <c r="D86" s="1428"/>
      <c r="E86" s="1428"/>
      <c r="F86" s="1428"/>
      <c r="G86" s="1428"/>
      <c r="H86" s="1428"/>
    </row>
    <row r="87" spans="1:8" ht="15" x14ac:dyDescent="0.2">
      <c r="A87" s="1090"/>
      <c r="B87" s="1430"/>
      <c r="C87" s="1430"/>
      <c r="D87" s="1430"/>
      <c r="E87" s="1436"/>
      <c r="F87" s="1437"/>
      <c r="G87" s="1433"/>
      <c r="H87" s="1434"/>
    </row>
    <row r="88" spans="1:8" ht="15" x14ac:dyDescent="0.2">
      <c r="A88" s="1090"/>
      <c r="B88" s="1430"/>
      <c r="C88" s="1430"/>
      <c r="D88" s="1430"/>
      <c r="E88" s="1436"/>
      <c r="F88" s="1437"/>
      <c r="G88" s="1433"/>
      <c r="H88" s="1434"/>
    </row>
    <row r="89" spans="1:8" ht="15" x14ac:dyDescent="0.2">
      <c r="A89" s="1090"/>
      <c r="B89" s="1430"/>
      <c r="C89" s="1430"/>
      <c r="D89" s="1430"/>
      <c r="E89" s="1436"/>
      <c r="F89" s="1437"/>
      <c r="G89" s="1433"/>
      <c r="H89" s="1434"/>
    </row>
    <row r="90" spans="1:8" ht="15" x14ac:dyDescent="0.2">
      <c r="A90" s="1090"/>
      <c r="B90" s="1430"/>
      <c r="C90" s="1430"/>
      <c r="D90" s="1430"/>
      <c r="E90" s="1436"/>
      <c r="F90" s="1437"/>
      <c r="G90" s="1433"/>
      <c r="H90" s="1434"/>
    </row>
    <row r="91" spans="1:8" ht="15.75" x14ac:dyDescent="0.2">
      <c r="A91" s="1090"/>
      <c r="B91" s="814"/>
      <c r="C91" s="1090"/>
      <c r="D91" s="1090"/>
      <c r="E91" s="1091"/>
      <c r="F91" s="1091"/>
      <c r="G91" s="1090"/>
      <c r="H91" s="1090"/>
    </row>
    <row r="92" spans="1:8" ht="20.25" x14ac:dyDescent="0.3">
      <c r="A92" s="1090"/>
      <c r="B92" s="815"/>
      <c r="C92" s="1090"/>
      <c r="D92" s="1090"/>
      <c r="E92" s="1090"/>
      <c r="F92" s="1090"/>
      <c r="G92" s="1090"/>
      <c r="H92" s="1090"/>
    </row>
    <row r="93" spans="1:8" ht="14.25" customHeight="1" x14ac:dyDescent="0.2">
      <c r="A93" s="1521"/>
      <c r="B93" s="1673"/>
      <c r="C93" s="1674"/>
      <c r="D93" s="1674"/>
      <c r="E93" s="1674"/>
      <c r="F93" s="1674"/>
      <c r="G93" s="1674"/>
      <c r="H93" s="1674"/>
    </row>
    <row r="94" spans="1:8" ht="14.25" customHeight="1" x14ac:dyDescent="0.2">
      <c r="A94" s="1521"/>
      <c r="B94" s="1673"/>
      <c r="C94" s="1674"/>
      <c r="D94" s="1674"/>
      <c r="E94" s="1674"/>
      <c r="F94" s="1674"/>
      <c r="G94" s="1674"/>
      <c r="H94" s="1674"/>
    </row>
    <row r="95" spans="1:8" x14ac:dyDescent="0.2">
      <c r="A95" s="1522"/>
      <c r="B95" s="1428"/>
      <c r="C95" s="1429"/>
      <c r="D95" s="1428"/>
      <c r="E95" s="1428"/>
      <c r="F95" s="1428"/>
      <c r="G95" s="1428"/>
      <c r="H95" s="1428"/>
    </row>
    <row r="96" spans="1:8" ht="15" x14ac:dyDescent="0.2">
      <c r="A96" s="1090"/>
      <c r="B96" s="1430"/>
      <c r="C96" s="1430"/>
      <c r="D96" s="1430"/>
      <c r="E96" s="1436"/>
      <c r="F96" s="1437"/>
      <c r="G96" s="1433"/>
      <c r="H96" s="1434"/>
    </row>
    <row r="97" spans="1:8" ht="15" x14ac:dyDescent="0.2">
      <c r="A97" s="1090"/>
      <c r="B97" s="1430"/>
      <c r="C97" s="1430"/>
      <c r="D97" s="1430"/>
      <c r="E97" s="1436"/>
      <c r="F97" s="1437"/>
      <c r="G97" s="1433"/>
      <c r="H97" s="1434"/>
    </row>
    <row r="98" spans="1:8" ht="15" x14ac:dyDescent="0.2">
      <c r="A98" s="1090"/>
      <c r="B98" s="1430"/>
      <c r="C98" s="1430"/>
      <c r="D98" s="1430"/>
      <c r="E98" s="1436"/>
      <c r="F98" s="1437"/>
      <c r="G98" s="1433"/>
      <c r="H98" s="1434"/>
    </row>
    <row r="99" spans="1:8" ht="15" x14ac:dyDescent="0.2">
      <c r="A99" s="1090"/>
      <c r="B99" s="1430"/>
      <c r="C99" s="1430"/>
      <c r="D99" s="1430"/>
      <c r="E99" s="1436"/>
      <c r="F99" s="1437"/>
      <c r="G99" s="1433"/>
      <c r="H99" s="1434"/>
    </row>
    <row r="100" spans="1:8" ht="15.75" x14ac:dyDescent="0.2">
      <c r="A100" s="1090"/>
      <c r="B100" s="814"/>
      <c r="C100" s="1090"/>
      <c r="D100" s="1090"/>
      <c r="E100" s="1091"/>
      <c r="F100" s="1091"/>
      <c r="G100" s="1090"/>
      <c r="H100" s="1090"/>
    </row>
    <row r="101" spans="1:8" ht="20.25" x14ac:dyDescent="0.3">
      <c r="A101" s="1090"/>
      <c r="B101" s="815"/>
      <c r="C101" s="1090"/>
      <c r="D101" s="1090"/>
      <c r="E101" s="1091"/>
      <c r="F101" s="1091"/>
      <c r="G101" s="1090"/>
      <c r="H101" s="1090"/>
    </row>
    <row r="102" spans="1:8" x14ac:dyDescent="0.2">
      <c r="A102" s="1090"/>
      <c r="B102" s="1091"/>
      <c r="C102" s="1090"/>
      <c r="D102" s="1090"/>
      <c r="E102" s="1091"/>
      <c r="F102" s="1091"/>
      <c r="G102" s="1090"/>
      <c r="H102" s="1090"/>
    </row>
    <row r="103" spans="1:8" x14ac:dyDescent="0.2">
      <c r="A103" s="1090"/>
      <c r="B103" s="1091"/>
      <c r="C103" s="1090"/>
      <c r="D103" s="1090"/>
      <c r="E103" s="1091"/>
      <c r="F103" s="1091"/>
      <c r="G103" s="1090"/>
      <c r="H103" s="1090"/>
    </row>
    <row r="104" spans="1:8" x14ac:dyDescent="0.2">
      <c r="A104" s="1090"/>
      <c r="B104" s="1091"/>
      <c r="C104" s="1090"/>
      <c r="D104" s="1090"/>
      <c r="E104" s="1091"/>
      <c r="F104" s="1091"/>
      <c r="G104" s="1090"/>
      <c r="H104" s="1090"/>
    </row>
    <row r="105" spans="1:8" x14ac:dyDescent="0.2">
      <c r="A105" s="1090"/>
      <c r="B105" s="1091"/>
      <c r="C105" s="1090"/>
      <c r="D105" s="1090"/>
      <c r="E105" s="1091"/>
      <c r="F105" s="1091"/>
      <c r="G105" s="1090"/>
      <c r="H105" s="1090"/>
    </row>
    <row r="106" spans="1:8" x14ac:dyDescent="0.2">
      <c r="A106" s="1090"/>
      <c r="B106" s="1091"/>
      <c r="C106" s="1090"/>
      <c r="D106" s="1090"/>
      <c r="E106" s="1091"/>
      <c r="F106" s="1091"/>
      <c r="G106" s="1090"/>
      <c r="H106" s="1090"/>
    </row>
    <row r="107" spans="1:8" x14ac:dyDescent="0.2">
      <c r="A107" s="1090"/>
      <c r="B107" s="1091"/>
      <c r="C107" s="1090"/>
      <c r="D107" s="1090"/>
      <c r="E107" s="1091"/>
      <c r="F107" s="1091"/>
      <c r="G107" s="1090"/>
      <c r="H107" s="1090"/>
    </row>
    <row r="108" spans="1:8" x14ac:dyDescent="0.2">
      <c r="A108" s="1090"/>
      <c r="B108" s="1091"/>
      <c r="C108" s="1090"/>
      <c r="D108" s="1090"/>
      <c r="E108" s="1091"/>
      <c r="F108" s="1091"/>
      <c r="G108" s="1090"/>
      <c r="H108" s="1090"/>
    </row>
    <row r="109" spans="1:8" x14ac:dyDescent="0.2">
      <c r="A109" s="1090"/>
      <c r="B109" s="1091"/>
      <c r="C109" s="1090"/>
      <c r="D109" s="1090"/>
      <c r="E109" s="1091"/>
      <c r="F109" s="1091"/>
      <c r="G109" s="1090"/>
      <c r="H109" s="1090"/>
    </row>
    <row r="110" spans="1:8" x14ac:dyDescent="0.2">
      <c r="A110" s="1090"/>
      <c r="B110" s="1091"/>
      <c r="C110" s="1090"/>
      <c r="D110" s="1090"/>
      <c r="E110" s="1091"/>
      <c r="F110" s="1091"/>
      <c r="G110" s="1090"/>
      <c r="H110" s="1090"/>
    </row>
    <row r="111" spans="1:8" x14ac:dyDescent="0.2">
      <c r="A111" s="1090"/>
      <c r="B111" s="1091"/>
      <c r="C111" s="1090"/>
      <c r="D111" s="1090"/>
      <c r="E111" s="1091"/>
      <c r="F111" s="1091"/>
      <c r="G111" s="1090"/>
      <c r="H111" s="1090"/>
    </row>
    <row r="112" spans="1:8" x14ac:dyDescent="0.2">
      <c r="A112" s="1090"/>
      <c r="B112" s="1091"/>
      <c r="C112" s="1090"/>
      <c r="D112" s="1090"/>
      <c r="E112" s="1091"/>
      <c r="F112" s="1091"/>
      <c r="G112" s="1090"/>
      <c r="H112" s="1090"/>
    </row>
    <row r="113" spans="1:8" x14ac:dyDescent="0.2">
      <c r="A113" s="1090"/>
      <c r="B113" s="1091"/>
      <c r="C113" s="1090"/>
      <c r="D113" s="1090"/>
      <c r="E113" s="1091"/>
      <c r="F113" s="1091"/>
      <c r="G113" s="1090"/>
      <c r="H113" s="1090"/>
    </row>
    <row r="114" spans="1:8" x14ac:dyDescent="0.2">
      <c r="A114" s="1090"/>
      <c r="B114" s="1091"/>
      <c r="C114" s="1090"/>
      <c r="D114" s="1090"/>
      <c r="E114" s="1091"/>
      <c r="F114" s="1091"/>
      <c r="G114" s="1090"/>
      <c r="H114" s="1090"/>
    </row>
    <row r="115" spans="1:8" x14ac:dyDescent="0.2">
      <c r="A115" s="1090"/>
      <c r="B115" s="1091"/>
      <c r="C115" s="1090"/>
      <c r="D115" s="1090"/>
      <c r="E115" s="1091"/>
      <c r="F115" s="1091"/>
      <c r="G115" s="1090"/>
      <c r="H115" s="1090"/>
    </row>
    <row r="116" spans="1:8" x14ac:dyDescent="0.2">
      <c r="A116" s="1090"/>
      <c r="B116" s="1091"/>
      <c r="C116" s="1090"/>
      <c r="D116" s="1090"/>
      <c r="E116" s="1091"/>
      <c r="F116" s="1091"/>
      <c r="G116" s="1090"/>
      <c r="H116" s="1090"/>
    </row>
    <row r="117" spans="1:8" x14ac:dyDescent="0.2">
      <c r="A117" s="1090"/>
      <c r="B117" s="1091"/>
      <c r="C117" s="1090"/>
      <c r="D117" s="1090"/>
      <c r="E117" s="1091"/>
      <c r="F117" s="1091"/>
      <c r="G117" s="1090"/>
      <c r="H117" s="1090"/>
    </row>
    <row r="118" spans="1:8" x14ac:dyDescent="0.2">
      <c r="A118" s="1090"/>
      <c r="B118" s="1091"/>
      <c r="C118" s="1090"/>
      <c r="D118" s="1090"/>
      <c r="E118" s="1091"/>
      <c r="F118" s="1091"/>
      <c r="G118" s="1090"/>
      <c r="H118" s="1090"/>
    </row>
    <row r="119" spans="1:8" x14ac:dyDescent="0.2">
      <c r="A119" s="1090"/>
      <c r="B119" s="1091"/>
      <c r="C119" s="1090"/>
      <c r="D119" s="1090"/>
      <c r="E119" s="1091"/>
      <c r="F119" s="1091"/>
      <c r="G119" s="1090"/>
      <c r="H119" s="1090"/>
    </row>
    <row r="120" spans="1:8" x14ac:dyDescent="0.2">
      <c r="A120" s="1090"/>
      <c r="B120" s="1091"/>
      <c r="C120" s="1090"/>
      <c r="D120" s="1090"/>
      <c r="E120" s="1091"/>
      <c r="F120" s="1091"/>
      <c r="G120" s="1090"/>
      <c r="H120" s="1090"/>
    </row>
    <row r="121" spans="1:8" x14ac:dyDescent="0.2">
      <c r="A121" s="1090"/>
      <c r="B121" s="1091"/>
      <c r="C121" s="1090"/>
      <c r="D121" s="1090"/>
      <c r="E121" s="1091"/>
      <c r="F121" s="1091"/>
      <c r="G121" s="1090"/>
      <c r="H121" s="1090"/>
    </row>
    <row r="122" spans="1:8" x14ac:dyDescent="0.2">
      <c r="A122" s="1090"/>
      <c r="B122" s="1091"/>
      <c r="C122" s="1090"/>
      <c r="D122" s="1090"/>
      <c r="E122" s="1091"/>
      <c r="F122" s="1091"/>
      <c r="G122" s="1090"/>
      <c r="H122" s="1090"/>
    </row>
    <row r="123" spans="1:8" x14ac:dyDescent="0.2">
      <c r="A123" s="1090"/>
      <c r="B123" s="1091"/>
      <c r="C123" s="1090"/>
      <c r="D123" s="1090"/>
      <c r="E123" s="1091"/>
      <c r="F123" s="1091"/>
      <c r="G123" s="1090"/>
      <c r="H123" s="1090"/>
    </row>
    <row r="124" spans="1:8" x14ac:dyDescent="0.2">
      <c r="A124" s="1090"/>
      <c r="B124" s="1091"/>
      <c r="C124" s="1090"/>
      <c r="D124" s="1090"/>
      <c r="E124" s="1091"/>
      <c r="F124" s="1091"/>
      <c r="G124" s="1090"/>
      <c r="H124" s="1090"/>
    </row>
    <row r="125" spans="1:8" x14ac:dyDescent="0.2">
      <c r="A125" s="1090"/>
      <c r="B125" s="1091"/>
      <c r="C125" s="1090"/>
      <c r="D125" s="1090"/>
      <c r="E125" s="1091"/>
      <c r="F125" s="1091"/>
      <c r="G125" s="1090"/>
      <c r="H125" s="1090"/>
    </row>
    <row r="126" spans="1:8" x14ac:dyDescent="0.2">
      <c r="A126" s="1090"/>
      <c r="B126" s="1091"/>
      <c r="C126" s="1090"/>
      <c r="D126" s="1090"/>
      <c r="E126" s="1091"/>
      <c r="F126" s="1091"/>
      <c r="G126" s="1090"/>
      <c r="H126" s="1090"/>
    </row>
    <row r="127" spans="1:8" x14ac:dyDescent="0.2">
      <c r="A127" s="1090"/>
      <c r="B127" s="1091"/>
      <c r="C127" s="1090"/>
      <c r="D127" s="1090"/>
      <c r="E127" s="1091"/>
      <c r="F127" s="1091"/>
      <c r="G127" s="1090"/>
      <c r="H127" s="1090"/>
    </row>
    <row r="128" spans="1:8" x14ac:dyDescent="0.2">
      <c r="A128" s="1090"/>
      <c r="B128" s="1091"/>
      <c r="C128" s="1090"/>
      <c r="D128" s="1090"/>
      <c r="E128" s="1091"/>
      <c r="F128" s="1091"/>
      <c r="G128" s="1090"/>
      <c r="H128" s="1090"/>
    </row>
    <row r="129" spans="1:8" x14ac:dyDescent="0.2">
      <c r="A129" s="1090"/>
      <c r="B129" s="1091"/>
      <c r="C129" s="1090"/>
      <c r="D129" s="1090"/>
      <c r="E129" s="1091"/>
      <c r="F129" s="1091"/>
      <c r="G129" s="1090"/>
      <c r="H129" s="1090"/>
    </row>
    <row r="130" spans="1:8" x14ac:dyDescent="0.2">
      <c r="A130" s="1090"/>
      <c r="B130" s="1091"/>
      <c r="C130" s="1090"/>
      <c r="D130" s="1090"/>
      <c r="E130" s="1091"/>
      <c r="F130" s="1091"/>
      <c r="G130" s="1090"/>
      <c r="H130" s="1090"/>
    </row>
    <row r="131" spans="1:8" x14ac:dyDescent="0.2">
      <c r="A131" s="1090"/>
      <c r="B131" s="1091"/>
      <c r="C131" s="1090"/>
      <c r="D131" s="1090"/>
      <c r="E131" s="1091"/>
      <c r="F131" s="1091"/>
      <c r="G131" s="1090"/>
      <c r="H131" s="1090"/>
    </row>
    <row r="132" spans="1:8" x14ac:dyDescent="0.2">
      <c r="A132" s="1090"/>
      <c r="B132" s="1091"/>
      <c r="C132" s="1090"/>
      <c r="D132" s="1090"/>
      <c r="E132" s="1091"/>
      <c r="F132" s="1091"/>
      <c r="G132" s="1090"/>
      <c r="H132" s="1090"/>
    </row>
    <row r="133" spans="1:8" x14ac:dyDescent="0.2">
      <c r="A133" s="1090"/>
      <c r="B133" s="1091"/>
      <c r="C133" s="1090"/>
      <c r="D133" s="1090"/>
      <c r="E133" s="1091"/>
      <c r="F133" s="1091"/>
      <c r="G133" s="1090"/>
      <c r="H133" s="1090"/>
    </row>
    <row r="134" spans="1:8" x14ac:dyDescent="0.2">
      <c r="A134" s="1090"/>
      <c r="B134" s="1091"/>
      <c r="C134" s="1090"/>
      <c r="D134" s="1090"/>
      <c r="E134" s="1091"/>
      <c r="F134" s="1091"/>
      <c r="G134" s="1090"/>
      <c r="H134" s="1090"/>
    </row>
    <row r="135" spans="1:8" x14ac:dyDescent="0.2">
      <c r="A135" s="1090"/>
      <c r="B135" s="1091"/>
      <c r="C135" s="1090"/>
      <c r="D135" s="1090"/>
      <c r="E135" s="1091"/>
      <c r="F135" s="1091"/>
      <c r="G135" s="1090"/>
      <c r="H135" s="1090"/>
    </row>
    <row r="136" spans="1:8" x14ac:dyDescent="0.2">
      <c r="A136" s="1090"/>
      <c r="B136" s="1091"/>
      <c r="C136" s="1090"/>
      <c r="D136" s="1090"/>
      <c r="E136" s="1091"/>
      <c r="F136" s="1091"/>
      <c r="G136" s="1090"/>
      <c r="H136" s="1090"/>
    </row>
    <row r="137" spans="1:8" x14ac:dyDescent="0.2">
      <c r="A137" s="1090"/>
      <c r="B137" s="1091"/>
      <c r="C137" s="1090"/>
      <c r="D137" s="1090"/>
      <c r="E137" s="1091"/>
      <c r="F137" s="1091"/>
      <c r="G137" s="1090"/>
      <c r="H137" s="1090"/>
    </row>
    <row r="138" spans="1:8" x14ac:dyDescent="0.2">
      <c r="A138" s="1090"/>
      <c r="B138" s="1091"/>
      <c r="C138" s="1090"/>
      <c r="D138" s="1090"/>
      <c r="E138" s="1091"/>
      <c r="F138" s="1091"/>
      <c r="G138" s="1090"/>
      <c r="H138" s="1090"/>
    </row>
    <row r="139" spans="1:8" x14ac:dyDescent="0.2">
      <c r="A139" s="1090"/>
      <c r="B139" s="1091"/>
      <c r="C139" s="1090"/>
      <c r="D139" s="1090"/>
      <c r="E139" s="1091"/>
      <c r="F139" s="1091"/>
      <c r="G139" s="1090"/>
      <c r="H139" s="1090"/>
    </row>
    <row r="140" spans="1:8" x14ac:dyDescent="0.2">
      <c r="A140" s="1090"/>
      <c r="B140" s="1091"/>
      <c r="C140" s="1090"/>
      <c r="D140" s="1090"/>
      <c r="E140" s="1091"/>
      <c r="F140" s="1091"/>
      <c r="G140" s="1090"/>
      <c r="H140" s="1090"/>
    </row>
    <row r="141" spans="1:8" x14ac:dyDescent="0.2">
      <c r="A141" s="1090"/>
      <c r="B141" s="1091"/>
      <c r="C141" s="1090"/>
      <c r="D141" s="1090"/>
      <c r="E141" s="1091"/>
      <c r="F141" s="1091"/>
      <c r="G141" s="1090"/>
      <c r="H141" s="1090"/>
    </row>
    <row r="142" spans="1:8" x14ac:dyDescent="0.2">
      <c r="A142" s="1090"/>
      <c r="B142" s="1091"/>
      <c r="C142" s="1090"/>
      <c r="D142" s="1090"/>
      <c r="E142" s="1091"/>
      <c r="F142" s="1091"/>
      <c r="G142" s="1090"/>
      <c r="H142" s="1090"/>
    </row>
    <row r="143" spans="1:8" x14ac:dyDescent="0.2">
      <c r="A143" s="1090"/>
      <c r="B143" s="1091"/>
      <c r="C143" s="1090"/>
      <c r="D143" s="1090"/>
      <c r="E143" s="1091"/>
      <c r="F143" s="1091"/>
      <c r="G143" s="1090"/>
      <c r="H143" s="1090"/>
    </row>
    <row r="144" spans="1:8" x14ac:dyDescent="0.2">
      <c r="A144" s="1090"/>
      <c r="B144" s="1091"/>
      <c r="C144" s="1090"/>
      <c r="D144" s="1090"/>
      <c r="E144" s="1091"/>
      <c r="F144" s="1091"/>
      <c r="G144" s="1090"/>
      <c r="H144" s="1090"/>
    </row>
    <row r="145" spans="1:8" x14ac:dyDescent="0.2">
      <c r="A145" s="1090"/>
      <c r="B145" s="1091"/>
      <c r="C145" s="1090"/>
      <c r="D145" s="1090"/>
      <c r="E145" s="1091"/>
      <c r="F145" s="1091"/>
      <c r="G145" s="1090"/>
      <c r="H145" s="1090"/>
    </row>
    <row r="146" spans="1:8" x14ac:dyDescent="0.2">
      <c r="A146" s="1090"/>
      <c r="B146" s="1091"/>
      <c r="C146" s="1090"/>
      <c r="D146" s="1090"/>
      <c r="E146" s="1091"/>
      <c r="F146" s="1091"/>
      <c r="G146" s="1090"/>
      <c r="H146" s="1090"/>
    </row>
    <row r="147" spans="1:8" x14ac:dyDescent="0.2">
      <c r="A147" s="1090"/>
      <c r="B147" s="1091"/>
      <c r="C147" s="1090"/>
      <c r="D147" s="1090"/>
      <c r="E147" s="1091"/>
      <c r="F147" s="1091"/>
      <c r="G147" s="1090"/>
      <c r="H147" s="1090"/>
    </row>
    <row r="148" spans="1:8" x14ac:dyDescent="0.2">
      <c r="A148" s="1090"/>
      <c r="B148" s="1091"/>
      <c r="C148" s="1090"/>
      <c r="D148" s="1090"/>
      <c r="E148" s="1091"/>
      <c r="F148" s="1091"/>
      <c r="G148" s="1090"/>
      <c r="H148" s="1090"/>
    </row>
    <row r="149" spans="1:8" x14ac:dyDescent="0.2">
      <c r="A149" s="1090"/>
      <c r="B149" s="1091"/>
      <c r="C149" s="1090"/>
      <c r="D149" s="1090"/>
      <c r="E149" s="1091"/>
      <c r="F149" s="1091"/>
      <c r="G149" s="1090"/>
      <c r="H149" s="1090"/>
    </row>
    <row r="150" spans="1:8" x14ac:dyDescent="0.2">
      <c r="A150" s="1090"/>
      <c r="B150" s="1091"/>
      <c r="C150" s="1090"/>
      <c r="D150" s="1090"/>
      <c r="E150" s="1091"/>
      <c r="F150" s="1091"/>
      <c r="G150" s="1090"/>
      <c r="H150" s="1090"/>
    </row>
    <row r="151" spans="1:8" x14ac:dyDescent="0.2">
      <c r="A151" s="1090"/>
      <c r="B151" s="1091"/>
      <c r="C151" s="1090"/>
      <c r="D151" s="1090"/>
      <c r="E151" s="1091"/>
      <c r="F151" s="1091"/>
      <c r="G151" s="1090"/>
      <c r="H151" s="1090"/>
    </row>
    <row r="152" spans="1:8" x14ac:dyDescent="0.2">
      <c r="A152" s="1090"/>
      <c r="B152" s="1091"/>
      <c r="C152" s="1090"/>
      <c r="D152" s="1090"/>
      <c r="E152" s="1091"/>
      <c r="F152" s="1091"/>
      <c r="G152" s="1090"/>
      <c r="H152" s="1090"/>
    </row>
    <row r="153" spans="1:8" x14ac:dyDescent="0.2">
      <c r="A153" s="1090"/>
      <c r="B153" s="1091"/>
      <c r="C153" s="1090"/>
      <c r="D153" s="1090"/>
      <c r="E153" s="1091"/>
      <c r="F153" s="1091"/>
      <c r="G153" s="1090"/>
      <c r="H153" s="1090"/>
    </row>
    <row r="154" spans="1:8" x14ac:dyDescent="0.2">
      <c r="A154" s="1090"/>
      <c r="B154" s="1091"/>
      <c r="C154" s="1090"/>
      <c r="D154" s="1090"/>
      <c r="E154" s="1091"/>
      <c r="F154" s="1091"/>
      <c r="G154" s="1090"/>
      <c r="H154" s="1090"/>
    </row>
    <row r="155" spans="1:8" x14ac:dyDescent="0.2">
      <c r="A155" s="1090"/>
      <c r="B155" s="1091"/>
      <c r="C155" s="1090"/>
      <c r="D155" s="1090"/>
      <c r="E155" s="1091"/>
      <c r="F155" s="1091"/>
      <c r="G155" s="1090"/>
      <c r="H155" s="1090"/>
    </row>
    <row r="156" spans="1:8" x14ac:dyDescent="0.2">
      <c r="A156" s="1090"/>
      <c r="B156" s="1091"/>
      <c r="C156" s="1090"/>
      <c r="D156" s="1090"/>
      <c r="E156" s="1091"/>
      <c r="F156" s="1091"/>
      <c r="G156" s="1090"/>
      <c r="H156" s="1090"/>
    </row>
    <row r="157" spans="1:8" x14ac:dyDescent="0.2">
      <c r="A157" s="1090"/>
      <c r="B157" s="1091"/>
      <c r="C157" s="1090"/>
      <c r="D157" s="1090"/>
      <c r="E157" s="1091"/>
      <c r="F157" s="1091"/>
      <c r="G157" s="1090"/>
      <c r="H157" s="1090"/>
    </row>
    <row r="158" spans="1:8" x14ac:dyDescent="0.2">
      <c r="A158" s="1090"/>
      <c r="B158" s="1091"/>
      <c r="C158" s="1090"/>
      <c r="D158" s="1090"/>
      <c r="E158" s="1091"/>
      <c r="F158" s="1091"/>
      <c r="G158" s="1090"/>
      <c r="H158" s="1090"/>
    </row>
    <row r="159" spans="1:8" x14ac:dyDescent="0.2">
      <c r="A159" s="1090"/>
      <c r="B159" s="1091"/>
      <c r="C159" s="1090"/>
      <c r="D159" s="1090"/>
      <c r="E159" s="1091"/>
      <c r="F159" s="1091"/>
      <c r="G159" s="1090"/>
      <c r="H159" s="1090"/>
    </row>
    <row r="160" spans="1:8" x14ac:dyDescent="0.2">
      <c r="A160" s="1090"/>
      <c r="B160" s="1091"/>
      <c r="C160" s="1090"/>
      <c r="D160" s="1090"/>
      <c r="E160" s="1091"/>
      <c r="F160" s="1091"/>
      <c r="G160" s="1090"/>
      <c r="H160" s="1090"/>
    </row>
    <row r="161" spans="1:8" x14ac:dyDescent="0.2">
      <c r="A161" s="1090"/>
      <c r="B161" s="1091"/>
      <c r="C161" s="1090"/>
      <c r="D161" s="1090"/>
      <c r="E161" s="1091"/>
      <c r="F161" s="1091"/>
      <c r="G161" s="1090"/>
      <c r="H161" s="1090"/>
    </row>
    <row r="162" spans="1:8" x14ac:dyDescent="0.2">
      <c r="A162" s="1090"/>
      <c r="B162" s="1091"/>
      <c r="C162" s="1090"/>
      <c r="D162" s="1090"/>
      <c r="E162" s="1091"/>
      <c r="F162" s="1091"/>
      <c r="G162" s="1090"/>
      <c r="H162" s="1090"/>
    </row>
    <row r="163" spans="1:8" x14ac:dyDescent="0.2">
      <c r="A163" s="1090"/>
      <c r="B163" s="1091"/>
      <c r="C163" s="1090"/>
      <c r="D163" s="1090"/>
      <c r="E163" s="1091"/>
      <c r="F163" s="1091"/>
      <c r="G163" s="1090"/>
      <c r="H163" s="1090"/>
    </row>
    <row r="164" spans="1:8" x14ac:dyDescent="0.2">
      <c r="A164" s="1090"/>
      <c r="B164" s="1091"/>
      <c r="C164" s="1090"/>
      <c r="D164" s="1090"/>
      <c r="E164" s="1091"/>
      <c r="F164" s="1091"/>
      <c r="G164" s="1090"/>
      <c r="H164" s="1090"/>
    </row>
    <row r="165" spans="1:8" x14ac:dyDescent="0.2">
      <c r="A165" s="1090"/>
      <c r="B165" s="1091"/>
      <c r="C165" s="1090"/>
      <c r="D165" s="1090"/>
      <c r="E165" s="1091"/>
      <c r="F165" s="1091"/>
      <c r="G165" s="1090"/>
      <c r="H165" s="1090"/>
    </row>
    <row r="166" spans="1:8" x14ac:dyDescent="0.2">
      <c r="A166" s="1090"/>
      <c r="B166" s="1091"/>
      <c r="C166" s="1090"/>
      <c r="D166" s="1090"/>
      <c r="E166" s="1091"/>
      <c r="F166" s="1091"/>
      <c r="G166" s="1090"/>
      <c r="H166" s="1090"/>
    </row>
    <row r="167" spans="1:8" x14ac:dyDescent="0.2">
      <c r="A167" s="1090"/>
      <c r="B167" s="1091"/>
      <c r="C167" s="1090"/>
      <c r="D167" s="1090"/>
      <c r="E167" s="1091"/>
      <c r="F167" s="1091"/>
      <c r="G167" s="1090"/>
      <c r="H167" s="1090"/>
    </row>
    <row r="168" spans="1:8" x14ac:dyDescent="0.2">
      <c r="A168" s="1090"/>
      <c r="B168" s="1091"/>
      <c r="C168" s="1090"/>
      <c r="D168" s="1090"/>
      <c r="E168" s="1091"/>
      <c r="F168" s="1091"/>
      <c r="G168" s="1090"/>
      <c r="H168" s="1090"/>
    </row>
    <row r="169" spans="1:8" x14ac:dyDescent="0.2">
      <c r="A169" s="1090"/>
      <c r="B169" s="1091"/>
      <c r="C169" s="1090"/>
      <c r="D169" s="1090"/>
      <c r="E169" s="1091"/>
      <c r="F169" s="1091"/>
      <c r="G169" s="1090"/>
      <c r="H169" s="1090"/>
    </row>
    <row r="170" spans="1:8" x14ac:dyDescent="0.2">
      <c r="A170" s="1090"/>
      <c r="B170" s="1091"/>
      <c r="C170" s="1090"/>
      <c r="D170" s="1090"/>
      <c r="E170" s="1091"/>
      <c r="F170" s="1091"/>
      <c r="G170" s="1090"/>
      <c r="H170" s="1090"/>
    </row>
    <row r="171" spans="1:8" x14ac:dyDescent="0.2">
      <c r="A171" s="1090"/>
      <c r="B171" s="1091"/>
      <c r="C171" s="1090"/>
      <c r="D171" s="1090"/>
      <c r="E171" s="1091"/>
      <c r="F171" s="1091"/>
      <c r="G171" s="1090"/>
      <c r="H171" s="1090"/>
    </row>
    <row r="172" spans="1:8" x14ac:dyDescent="0.2">
      <c r="A172" s="1090"/>
      <c r="B172" s="1091"/>
      <c r="C172" s="1090"/>
      <c r="D172" s="1090"/>
      <c r="E172" s="1091"/>
      <c r="F172" s="1091"/>
      <c r="G172" s="1090"/>
      <c r="H172" s="1090"/>
    </row>
    <row r="173" spans="1:8" x14ac:dyDescent="0.2">
      <c r="A173" s="1090"/>
      <c r="B173" s="1091"/>
      <c r="C173" s="1090"/>
      <c r="D173" s="1090"/>
      <c r="E173" s="1091"/>
      <c r="F173" s="1091"/>
      <c r="G173" s="1090"/>
      <c r="H173" s="1090"/>
    </row>
    <row r="174" spans="1:8" x14ac:dyDescent="0.2">
      <c r="A174" s="1090"/>
      <c r="B174" s="1091"/>
      <c r="C174" s="1090"/>
      <c r="D174" s="1090"/>
      <c r="E174" s="1091"/>
      <c r="F174" s="1091"/>
      <c r="G174" s="1090"/>
      <c r="H174" s="1090"/>
    </row>
    <row r="175" spans="1:8" x14ac:dyDescent="0.2">
      <c r="A175" s="1090"/>
      <c r="B175" s="1091"/>
      <c r="C175" s="1090"/>
      <c r="D175" s="1090"/>
      <c r="E175" s="1091"/>
      <c r="F175" s="1091"/>
      <c r="G175" s="1090"/>
      <c r="H175" s="1090"/>
    </row>
    <row r="176" spans="1:8" x14ac:dyDescent="0.2">
      <c r="A176" s="1090"/>
      <c r="B176" s="1091"/>
      <c r="C176" s="1090"/>
      <c r="D176" s="1090"/>
      <c r="E176" s="1091"/>
      <c r="F176" s="1091"/>
      <c r="G176" s="1090"/>
      <c r="H176" s="1090"/>
    </row>
    <row r="177" spans="1:8" x14ac:dyDescent="0.2">
      <c r="A177" s="1090"/>
      <c r="B177" s="1091"/>
      <c r="C177" s="1090"/>
      <c r="D177" s="1090"/>
      <c r="E177" s="1091"/>
      <c r="F177" s="1091"/>
      <c r="G177" s="1090"/>
      <c r="H177" s="1090"/>
    </row>
    <row r="178" spans="1:8" x14ac:dyDescent="0.2">
      <c r="A178" s="1090"/>
      <c r="B178" s="1091"/>
      <c r="C178" s="1090"/>
      <c r="D178" s="1090"/>
      <c r="E178" s="1091"/>
      <c r="F178" s="1091"/>
      <c r="G178" s="1090"/>
      <c r="H178" s="1090"/>
    </row>
    <row r="179" spans="1:8" x14ac:dyDescent="0.2">
      <c r="A179" s="1090"/>
      <c r="B179" s="1091"/>
      <c r="C179" s="1090"/>
      <c r="D179" s="1090"/>
      <c r="E179" s="1091"/>
      <c r="F179" s="1091"/>
      <c r="G179" s="1090"/>
      <c r="H179" s="1090"/>
    </row>
    <row r="180" spans="1:8" x14ac:dyDescent="0.2">
      <c r="A180" s="1090"/>
      <c r="B180" s="1091"/>
      <c r="C180" s="1090"/>
      <c r="D180" s="1090"/>
      <c r="E180" s="1091"/>
      <c r="F180" s="1091"/>
      <c r="G180" s="1090"/>
      <c r="H180" s="1090"/>
    </row>
    <row r="181" spans="1:8" x14ac:dyDescent="0.2">
      <c r="A181" s="1090"/>
      <c r="B181" s="1091"/>
      <c r="C181" s="1090"/>
      <c r="D181" s="1090"/>
      <c r="E181" s="1091"/>
      <c r="F181" s="1091"/>
      <c r="G181" s="1090"/>
      <c r="H181" s="1090"/>
    </row>
    <row r="182" spans="1:8" x14ac:dyDescent="0.2">
      <c r="A182" s="1090"/>
      <c r="B182" s="1091"/>
      <c r="C182" s="1090"/>
      <c r="D182" s="1090"/>
      <c r="E182" s="1091"/>
      <c r="F182" s="1091"/>
      <c r="G182" s="1090"/>
      <c r="H182" s="1090"/>
    </row>
    <row r="183" spans="1:8" x14ac:dyDescent="0.2">
      <c r="A183" s="1090"/>
      <c r="B183" s="1091"/>
      <c r="C183" s="1090"/>
      <c r="D183" s="1090"/>
      <c r="E183" s="1091"/>
      <c r="F183" s="1091"/>
      <c r="G183" s="1090"/>
      <c r="H183" s="1090"/>
    </row>
    <row r="184" spans="1:8" x14ac:dyDescent="0.2">
      <c r="A184" s="1090"/>
      <c r="B184" s="1091"/>
      <c r="C184" s="1090"/>
      <c r="D184" s="1090"/>
      <c r="E184" s="1091"/>
      <c r="F184" s="1091"/>
      <c r="G184" s="1090"/>
      <c r="H184" s="1090"/>
    </row>
    <row r="185" spans="1:8" x14ac:dyDescent="0.2">
      <c r="A185" s="1090"/>
      <c r="B185" s="1091"/>
      <c r="C185" s="1090"/>
      <c r="D185" s="1090"/>
      <c r="E185" s="1091"/>
      <c r="F185" s="1091"/>
      <c r="G185" s="1090"/>
      <c r="H185" s="1090"/>
    </row>
    <row r="186" spans="1:8" x14ac:dyDescent="0.2">
      <c r="A186" s="1090"/>
      <c r="B186" s="1091"/>
      <c r="C186" s="1090"/>
      <c r="D186" s="1090"/>
      <c r="E186" s="1091"/>
      <c r="F186" s="1091"/>
      <c r="G186" s="1090"/>
      <c r="H186" s="1090"/>
    </row>
    <row r="187" spans="1:8" x14ac:dyDescent="0.2">
      <c r="A187" s="1090"/>
      <c r="B187" s="1091"/>
      <c r="C187" s="1090"/>
      <c r="D187" s="1090"/>
      <c r="E187" s="1091"/>
      <c r="F187" s="1091"/>
      <c r="G187" s="1090"/>
      <c r="H187" s="1090"/>
    </row>
    <row r="188" spans="1:8" x14ac:dyDescent="0.2">
      <c r="A188" s="1090"/>
      <c r="B188" s="1091"/>
      <c r="C188" s="1090"/>
      <c r="D188" s="1090"/>
      <c r="E188" s="1091"/>
      <c r="F188" s="1091"/>
      <c r="G188" s="1090"/>
      <c r="H188" s="1090"/>
    </row>
    <row r="189" spans="1:8" x14ac:dyDescent="0.2">
      <c r="B189" s="598"/>
      <c r="E189" s="598"/>
      <c r="F189" s="598"/>
    </row>
    <row r="190" spans="1:8" x14ac:dyDescent="0.2">
      <c r="B190" s="598"/>
      <c r="E190" s="598"/>
      <c r="F190" s="598"/>
    </row>
    <row r="191" spans="1:8" x14ac:dyDescent="0.2">
      <c r="B191" s="598"/>
      <c r="E191" s="598"/>
      <c r="F191" s="598"/>
    </row>
    <row r="192" spans="1:8" x14ac:dyDescent="0.2">
      <c r="B192" s="598"/>
      <c r="E192" s="598"/>
      <c r="F192" s="598"/>
    </row>
    <row r="193" spans="2:6" x14ac:dyDescent="0.2">
      <c r="B193" s="598"/>
      <c r="E193" s="598"/>
      <c r="F193" s="598"/>
    </row>
    <row r="194" spans="2:6" x14ac:dyDescent="0.2">
      <c r="B194" s="598"/>
      <c r="E194" s="598"/>
      <c r="F194" s="598"/>
    </row>
    <row r="195" spans="2:6" x14ac:dyDescent="0.2">
      <c r="B195" s="598"/>
      <c r="E195" s="598"/>
      <c r="F195" s="598"/>
    </row>
    <row r="196" spans="2:6" x14ac:dyDescent="0.2">
      <c r="B196" s="598"/>
      <c r="E196" s="598"/>
      <c r="F196" s="598"/>
    </row>
    <row r="197" spans="2:6" x14ac:dyDescent="0.2">
      <c r="B197" s="598"/>
      <c r="E197" s="598"/>
      <c r="F197" s="598"/>
    </row>
    <row r="198" spans="2:6" x14ac:dyDescent="0.2">
      <c r="B198" s="598"/>
      <c r="E198" s="598"/>
      <c r="F198" s="598"/>
    </row>
    <row r="199" spans="2:6" x14ac:dyDescent="0.2">
      <c r="B199" s="598"/>
      <c r="E199" s="598"/>
      <c r="F199" s="598"/>
    </row>
    <row r="200" spans="2:6" x14ac:dyDescent="0.2">
      <c r="B200" s="598"/>
      <c r="E200" s="598"/>
      <c r="F200" s="598"/>
    </row>
    <row r="201" spans="2:6" x14ac:dyDescent="0.2">
      <c r="B201" s="598"/>
      <c r="E201" s="598"/>
      <c r="F201" s="598"/>
    </row>
    <row r="202" spans="2:6" x14ac:dyDescent="0.2">
      <c r="B202" s="598"/>
      <c r="E202" s="598"/>
      <c r="F202" s="598"/>
    </row>
    <row r="203" spans="2:6" x14ac:dyDescent="0.2">
      <c r="B203" s="598"/>
      <c r="E203" s="598"/>
      <c r="F203" s="598"/>
    </row>
    <row r="204" spans="2:6" x14ac:dyDescent="0.2">
      <c r="B204" s="598"/>
      <c r="E204" s="598"/>
      <c r="F204" s="598"/>
    </row>
    <row r="205" spans="2:6" x14ac:dyDescent="0.2">
      <c r="B205" s="598"/>
      <c r="E205" s="598"/>
      <c r="F205" s="598"/>
    </row>
    <row r="206" spans="2:6" x14ac:dyDescent="0.2">
      <c r="B206" s="598"/>
      <c r="E206" s="598"/>
      <c r="F206" s="598"/>
    </row>
    <row r="207" spans="2:6" x14ac:dyDescent="0.2">
      <c r="B207" s="598"/>
      <c r="E207" s="598"/>
      <c r="F207" s="598"/>
    </row>
    <row r="208" spans="2:6" x14ac:dyDescent="0.2">
      <c r="B208" s="598"/>
      <c r="E208" s="598"/>
      <c r="F208" s="598"/>
    </row>
    <row r="209" spans="2:6" x14ac:dyDescent="0.2">
      <c r="B209" s="598"/>
      <c r="E209" s="598"/>
      <c r="F209" s="598"/>
    </row>
    <row r="210" spans="2:6" x14ac:dyDescent="0.2">
      <c r="B210" s="598"/>
      <c r="E210" s="598"/>
      <c r="F210" s="598"/>
    </row>
    <row r="211" spans="2:6" x14ac:dyDescent="0.2">
      <c r="B211" s="598"/>
      <c r="E211" s="598"/>
      <c r="F211" s="598"/>
    </row>
    <row r="212" spans="2:6" x14ac:dyDescent="0.2">
      <c r="B212" s="598"/>
      <c r="E212" s="598"/>
      <c r="F212" s="598"/>
    </row>
    <row r="213" spans="2:6" x14ac:dyDescent="0.2">
      <c r="B213" s="598"/>
      <c r="E213" s="598"/>
      <c r="F213" s="598"/>
    </row>
    <row r="214" spans="2:6" x14ac:dyDescent="0.2">
      <c r="B214" s="598"/>
      <c r="E214" s="598"/>
      <c r="F214" s="598"/>
    </row>
    <row r="215" spans="2:6" x14ac:dyDescent="0.2">
      <c r="B215" s="598"/>
      <c r="E215" s="598"/>
      <c r="F215" s="598"/>
    </row>
    <row r="216" spans="2:6" x14ac:dyDescent="0.2">
      <c r="B216" s="598"/>
      <c r="E216" s="598"/>
      <c r="F216" s="598"/>
    </row>
    <row r="217" spans="2:6" x14ac:dyDescent="0.2">
      <c r="B217" s="598"/>
      <c r="E217" s="598"/>
      <c r="F217" s="598"/>
    </row>
    <row r="218" spans="2:6" x14ac:dyDescent="0.2">
      <c r="B218" s="598"/>
      <c r="E218" s="598"/>
      <c r="F218" s="598"/>
    </row>
    <row r="219" spans="2:6" x14ac:dyDescent="0.2">
      <c r="B219" s="598"/>
      <c r="E219" s="598"/>
      <c r="F219" s="598"/>
    </row>
    <row r="220" spans="2:6" x14ac:dyDescent="0.2">
      <c r="B220" s="598"/>
      <c r="E220" s="598"/>
      <c r="F220" s="598"/>
    </row>
    <row r="221" spans="2:6" x14ac:dyDescent="0.2">
      <c r="B221" s="598"/>
      <c r="E221" s="598"/>
      <c r="F221" s="598"/>
    </row>
    <row r="222" spans="2:6" x14ac:dyDescent="0.2">
      <c r="B222" s="598"/>
      <c r="E222" s="598"/>
      <c r="F222" s="598"/>
    </row>
    <row r="223" spans="2:6" x14ac:dyDescent="0.2">
      <c r="B223" s="598"/>
      <c r="E223" s="598"/>
      <c r="F223" s="598"/>
    </row>
    <row r="224" spans="2:6" x14ac:dyDescent="0.2">
      <c r="B224" s="598"/>
      <c r="E224" s="598"/>
      <c r="F224" s="598"/>
    </row>
    <row r="225" spans="2:6" x14ac:dyDescent="0.2">
      <c r="B225" s="598"/>
      <c r="E225" s="598"/>
      <c r="F225" s="598"/>
    </row>
    <row r="226" spans="2:6" x14ac:dyDescent="0.2">
      <c r="B226" s="598"/>
      <c r="E226" s="598"/>
      <c r="F226" s="598"/>
    </row>
    <row r="227" spans="2:6" x14ac:dyDescent="0.2">
      <c r="B227" s="598"/>
      <c r="E227" s="598"/>
      <c r="F227" s="598"/>
    </row>
    <row r="228" spans="2:6" x14ac:dyDescent="0.2">
      <c r="B228" s="598"/>
      <c r="E228" s="598"/>
      <c r="F228" s="598"/>
    </row>
    <row r="229" spans="2:6" x14ac:dyDescent="0.2">
      <c r="B229" s="598"/>
      <c r="E229" s="598"/>
      <c r="F229" s="598"/>
    </row>
    <row r="230" spans="2:6" x14ac:dyDescent="0.2">
      <c r="B230" s="598"/>
      <c r="E230" s="598"/>
      <c r="F230" s="598"/>
    </row>
    <row r="231" spans="2:6" x14ac:dyDescent="0.2">
      <c r="B231" s="598"/>
      <c r="E231" s="598"/>
      <c r="F231" s="598"/>
    </row>
    <row r="232" spans="2:6" x14ac:dyDescent="0.2">
      <c r="B232" s="598"/>
      <c r="E232" s="598"/>
      <c r="F232" s="598"/>
    </row>
    <row r="233" spans="2:6" x14ac:dyDescent="0.2">
      <c r="B233" s="598"/>
      <c r="E233" s="598"/>
      <c r="F233" s="598"/>
    </row>
    <row r="234" spans="2:6" x14ac:dyDescent="0.2">
      <c r="B234" s="598"/>
      <c r="E234" s="598"/>
      <c r="F234" s="598"/>
    </row>
    <row r="235" spans="2:6" x14ac:dyDescent="0.2">
      <c r="B235" s="598"/>
      <c r="E235" s="598"/>
      <c r="F235" s="598"/>
    </row>
    <row r="236" spans="2:6" x14ac:dyDescent="0.2">
      <c r="B236" s="598"/>
      <c r="E236" s="598"/>
      <c r="F236" s="598"/>
    </row>
    <row r="237" spans="2:6" x14ac:dyDescent="0.2">
      <c r="B237" s="598"/>
      <c r="E237" s="598"/>
      <c r="F237" s="598"/>
    </row>
    <row r="238" spans="2:6" x14ac:dyDescent="0.2">
      <c r="B238" s="598"/>
      <c r="E238" s="598"/>
      <c r="F238" s="598"/>
    </row>
    <row r="239" spans="2:6" x14ac:dyDescent="0.2">
      <c r="B239" s="598"/>
      <c r="E239" s="598"/>
      <c r="F239" s="598"/>
    </row>
    <row r="240" spans="2:6" x14ac:dyDescent="0.2">
      <c r="B240" s="598"/>
      <c r="E240" s="598"/>
      <c r="F240" s="598"/>
    </row>
    <row r="241" spans="2:6" x14ac:dyDescent="0.2">
      <c r="B241" s="598"/>
      <c r="E241" s="598"/>
      <c r="F241" s="598"/>
    </row>
    <row r="242" spans="2:6" x14ac:dyDescent="0.2">
      <c r="B242" s="598"/>
      <c r="E242" s="598"/>
      <c r="F242" s="598"/>
    </row>
    <row r="243" spans="2:6" x14ac:dyDescent="0.2">
      <c r="B243" s="598"/>
      <c r="E243" s="598"/>
      <c r="F243" s="598"/>
    </row>
    <row r="244" spans="2:6" x14ac:dyDescent="0.2">
      <c r="B244" s="598"/>
      <c r="E244" s="598"/>
      <c r="F244" s="598"/>
    </row>
    <row r="245" spans="2:6" x14ac:dyDescent="0.2">
      <c r="B245" s="598"/>
      <c r="E245" s="598"/>
      <c r="F245" s="598"/>
    </row>
    <row r="246" spans="2:6" x14ac:dyDescent="0.2">
      <c r="B246" s="598"/>
      <c r="E246" s="598"/>
      <c r="F246" s="598"/>
    </row>
    <row r="247" spans="2:6" x14ac:dyDescent="0.2">
      <c r="B247" s="598"/>
      <c r="E247" s="598"/>
      <c r="F247" s="598"/>
    </row>
    <row r="248" spans="2:6" x14ac:dyDescent="0.2">
      <c r="B248" s="598"/>
      <c r="E248" s="598"/>
      <c r="F248" s="598"/>
    </row>
    <row r="249" spans="2:6" x14ac:dyDescent="0.2">
      <c r="B249" s="598"/>
      <c r="E249" s="598"/>
      <c r="F249" s="598"/>
    </row>
    <row r="250" spans="2:6" x14ac:dyDescent="0.2">
      <c r="B250" s="598"/>
      <c r="E250" s="598"/>
      <c r="F250" s="598"/>
    </row>
    <row r="251" spans="2:6" x14ac:dyDescent="0.2">
      <c r="B251" s="598"/>
      <c r="E251" s="598"/>
      <c r="F251" s="598"/>
    </row>
    <row r="252" spans="2:6" x14ac:dyDescent="0.2">
      <c r="B252" s="598"/>
      <c r="E252" s="598"/>
      <c r="F252" s="598"/>
    </row>
    <row r="253" spans="2:6" x14ac:dyDescent="0.2">
      <c r="B253" s="598"/>
      <c r="E253" s="598"/>
      <c r="F253" s="598"/>
    </row>
    <row r="254" spans="2:6" x14ac:dyDescent="0.2">
      <c r="B254" s="598"/>
      <c r="E254" s="598"/>
      <c r="F254" s="598"/>
    </row>
    <row r="255" spans="2:6" x14ac:dyDescent="0.2">
      <c r="B255" s="598"/>
      <c r="E255" s="598"/>
      <c r="F255" s="598"/>
    </row>
    <row r="256" spans="2:6" x14ac:dyDescent="0.2">
      <c r="B256" s="598"/>
      <c r="E256" s="598"/>
      <c r="F256" s="598"/>
    </row>
    <row r="257" spans="2:6" x14ac:dyDescent="0.2">
      <c r="B257" s="598"/>
      <c r="E257" s="598"/>
      <c r="F257" s="598"/>
    </row>
    <row r="258" spans="2:6" x14ac:dyDescent="0.2">
      <c r="B258" s="598"/>
      <c r="E258" s="598"/>
      <c r="F258" s="598"/>
    </row>
    <row r="259" spans="2:6" x14ac:dyDescent="0.2">
      <c r="B259" s="598"/>
      <c r="E259" s="598"/>
      <c r="F259" s="598"/>
    </row>
    <row r="260" spans="2:6" x14ac:dyDescent="0.2">
      <c r="B260" s="598"/>
      <c r="E260" s="598"/>
      <c r="F260" s="598"/>
    </row>
    <row r="261" spans="2:6" x14ac:dyDescent="0.2">
      <c r="B261" s="598"/>
      <c r="E261" s="598"/>
      <c r="F261" s="598"/>
    </row>
    <row r="262" spans="2:6" x14ac:dyDescent="0.2">
      <c r="B262" s="598"/>
      <c r="E262" s="598"/>
      <c r="F262" s="598"/>
    </row>
    <row r="263" spans="2:6" x14ac:dyDescent="0.2">
      <c r="B263" s="598"/>
      <c r="E263" s="598"/>
      <c r="F263" s="598"/>
    </row>
    <row r="264" spans="2:6" x14ac:dyDescent="0.2">
      <c r="B264" s="598"/>
      <c r="E264" s="598"/>
      <c r="F264" s="598"/>
    </row>
    <row r="265" spans="2:6" x14ac:dyDescent="0.2">
      <c r="B265" s="598"/>
      <c r="E265" s="598"/>
      <c r="F265" s="598"/>
    </row>
    <row r="266" spans="2:6" x14ac:dyDescent="0.2">
      <c r="B266" s="598"/>
      <c r="E266" s="598"/>
      <c r="F266" s="598"/>
    </row>
    <row r="267" spans="2:6" x14ac:dyDescent="0.2">
      <c r="B267" s="598"/>
      <c r="E267" s="598"/>
      <c r="F267" s="598"/>
    </row>
    <row r="268" spans="2:6" x14ac:dyDescent="0.2">
      <c r="B268" s="598"/>
      <c r="E268" s="598"/>
      <c r="F268" s="598"/>
    </row>
    <row r="269" spans="2:6" x14ac:dyDescent="0.2">
      <c r="B269" s="598"/>
      <c r="E269" s="598"/>
      <c r="F269" s="598"/>
    </row>
    <row r="270" spans="2:6" x14ac:dyDescent="0.2">
      <c r="B270" s="598"/>
      <c r="E270" s="598"/>
      <c r="F270" s="598"/>
    </row>
    <row r="271" spans="2:6" x14ac:dyDescent="0.2">
      <c r="B271" s="598"/>
      <c r="E271" s="598"/>
      <c r="F271" s="598"/>
    </row>
    <row r="272" spans="2:6" x14ac:dyDescent="0.2">
      <c r="B272" s="598"/>
      <c r="E272" s="598"/>
      <c r="F272" s="598"/>
    </row>
    <row r="273" spans="2:6" x14ac:dyDescent="0.2">
      <c r="B273" s="598"/>
      <c r="E273" s="598"/>
      <c r="F273" s="598"/>
    </row>
    <row r="274" spans="2:6" x14ac:dyDescent="0.2">
      <c r="B274" s="598"/>
      <c r="E274" s="598"/>
      <c r="F274" s="598"/>
    </row>
    <row r="275" spans="2:6" x14ac:dyDescent="0.2">
      <c r="B275" s="598"/>
      <c r="E275" s="598"/>
      <c r="F275" s="598"/>
    </row>
    <row r="276" spans="2:6" x14ac:dyDescent="0.2">
      <c r="B276" s="598"/>
      <c r="E276" s="598"/>
      <c r="F276" s="598"/>
    </row>
    <row r="277" spans="2:6" x14ac:dyDescent="0.2">
      <c r="B277" s="598"/>
      <c r="E277" s="598"/>
      <c r="F277" s="598"/>
    </row>
    <row r="278" spans="2:6" x14ac:dyDescent="0.2">
      <c r="B278" s="598"/>
      <c r="E278" s="598"/>
      <c r="F278" s="598"/>
    </row>
    <row r="279" spans="2:6" x14ac:dyDescent="0.2">
      <c r="B279" s="598"/>
      <c r="E279" s="598"/>
      <c r="F279" s="598"/>
    </row>
    <row r="280" spans="2:6" x14ac:dyDescent="0.2">
      <c r="B280" s="598"/>
      <c r="E280" s="598"/>
      <c r="F280" s="598"/>
    </row>
    <row r="281" spans="2:6" x14ac:dyDescent="0.2">
      <c r="B281" s="598"/>
      <c r="E281" s="598"/>
      <c r="F281" s="598"/>
    </row>
    <row r="282" spans="2:6" x14ac:dyDescent="0.2">
      <c r="B282" s="598"/>
      <c r="E282" s="598"/>
      <c r="F282" s="598"/>
    </row>
    <row r="283" spans="2:6" x14ac:dyDescent="0.2">
      <c r="B283" s="598"/>
      <c r="E283" s="598"/>
      <c r="F283" s="598"/>
    </row>
    <row r="284" spans="2:6" x14ac:dyDescent="0.2">
      <c r="B284" s="598"/>
      <c r="E284" s="598"/>
      <c r="F284" s="598"/>
    </row>
    <row r="285" spans="2:6" x14ac:dyDescent="0.2">
      <c r="B285" s="598"/>
      <c r="E285" s="598"/>
      <c r="F285" s="598"/>
    </row>
    <row r="286" spans="2:6" x14ac:dyDescent="0.2">
      <c r="B286" s="598"/>
      <c r="E286" s="598"/>
      <c r="F286" s="598"/>
    </row>
    <row r="287" spans="2:6" x14ac:dyDescent="0.2">
      <c r="B287" s="598"/>
      <c r="E287" s="598"/>
      <c r="F287" s="598"/>
    </row>
    <row r="288" spans="2:6" x14ac:dyDescent="0.2">
      <c r="B288" s="598"/>
      <c r="E288" s="598"/>
      <c r="F288" s="598"/>
    </row>
    <row r="289" spans="2:6" x14ac:dyDescent="0.2">
      <c r="B289" s="598"/>
      <c r="E289" s="598"/>
      <c r="F289" s="598"/>
    </row>
    <row r="290" spans="2:6" x14ac:dyDescent="0.2">
      <c r="B290" s="598"/>
      <c r="E290" s="598"/>
      <c r="F290" s="598"/>
    </row>
    <row r="291" spans="2:6" x14ac:dyDescent="0.2">
      <c r="B291" s="598"/>
      <c r="E291" s="598"/>
      <c r="F291" s="598"/>
    </row>
    <row r="292" spans="2:6" x14ac:dyDescent="0.2">
      <c r="B292" s="598"/>
      <c r="E292" s="598"/>
      <c r="F292" s="598"/>
    </row>
    <row r="293" spans="2:6" x14ac:dyDescent="0.2">
      <c r="B293" s="598"/>
      <c r="E293" s="598"/>
      <c r="F293" s="598"/>
    </row>
    <row r="294" spans="2:6" x14ac:dyDescent="0.2">
      <c r="B294" s="598"/>
      <c r="E294" s="598"/>
      <c r="F294" s="598"/>
    </row>
    <row r="295" spans="2:6" x14ac:dyDescent="0.2">
      <c r="B295" s="598"/>
      <c r="E295" s="598"/>
      <c r="F295" s="598"/>
    </row>
    <row r="296" spans="2:6" x14ac:dyDescent="0.2">
      <c r="B296" s="598"/>
      <c r="E296" s="598"/>
      <c r="F296" s="598"/>
    </row>
    <row r="297" spans="2:6" x14ac:dyDescent="0.2">
      <c r="B297" s="598"/>
      <c r="E297" s="598"/>
      <c r="F297" s="598"/>
    </row>
    <row r="298" spans="2:6" x14ac:dyDescent="0.2">
      <c r="B298" s="598"/>
      <c r="E298" s="598"/>
      <c r="F298" s="598"/>
    </row>
    <row r="299" spans="2:6" x14ac:dyDescent="0.2">
      <c r="B299" s="598"/>
      <c r="E299" s="598"/>
      <c r="F299" s="598"/>
    </row>
    <row r="300" spans="2:6" x14ac:dyDescent="0.2">
      <c r="B300" s="598"/>
      <c r="E300" s="598"/>
      <c r="F300" s="598"/>
    </row>
    <row r="301" spans="2:6" x14ac:dyDescent="0.2">
      <c r="B301" s="598"/>
      <c r="E301" s="598"/>
      <c r="F301" s="598"/>
    </row>
    <row r="302" spans="2:6" x14ac:dyDescent="0.2">
      <c r="B302" s="598"/>
      <c r="E302" s="598"/>
      <c r="F302" s="598"/>
    </row>
    <row r="303" spans="2:6" x14ac:dyDescent="0.2">
      <c r="B303" s="598"/>
      <c r="E303" s="598"/>
      <c r="F303" s="598"/>
    </row>
    <row r="304" spans="2:6" x14ac:dyDescent="0.2">
      <c r="B304" s="598"/>
      <c r="E304" s="598"/>
      <c r="F304" s="598"/>
    </row>
    <row r="305" spans="2:6" x14ac:dyDescent="0.2">
      <c r="B305" s="598"/>
      <c r="E305" s="598"/>
      <c r="F305" s="598"/>
    </row>
    <row r="306" spans="2:6" x14ac:dyDescent="0.2">
      <c r="B306" s="598"/>
      <c r="E306" s="598"/>
      <c r="F306" s="598"/>
    </row>
    <row r="307" spans="2:6" x14ac:dyDescent="0.2">
      <c r="B307" s="598"/>
      <c r="E307" s="598"/>
      <c r="F307" s="598"/>
    </row>
    <row r="308" spans="2:6" x14ac:dyDescent="0.2">
      <c r="B308" s="598"/>
      <c r="E308" s="598"/>
      <c r="F308" s="598"/>
    </row>
    <row r="309" spans="2:6" x14ac:dyDescent="0.2">
      <c r="B309" s="598"/>
      <c r="E309" s="598"/>
      <c r="F309" s="598"/>
    </row>
    <row r="310" spans="2:6" x14ac:dyDescent="0.2">
      <c r="B310" s="598"/>
      <c r="E310" s="598"/>
      <c r="F310" s="598"/>
    </row>
    <row r="311" spans="2:6" x14ac:dyDescent="0.2">
      <c r="B311" s="598"/>
      <c r="E311" s="598"/>
      <c r="F311" s="598"/>
    </row>
    <row r="312" spans="2:6" x14ac:dyDescent="0.2">
      <c r="B312" s="598"/>
      <c r="E312" s="598"/>
      <c r="F312" s="598"/>
    </row>
    <row r="313" spans="2:6" x14ac:dyDescent="0.2">
      <c r="B313" s="598"/>
      <c r="E313" s="598"/>
      <c r="F313" s="598"/>
    </row>
    <row r="314" spans="2:6" x14ac:dyDescent="0.2">
      <c r="B314" s="598"/>
      <c r="E314" s="598"/>
      <c r="F314" s="598"/>
    </row>
    <row r="315" spans="2:6" x14ac:dyDescent="0.2">
      <c r="B315" s="598"/>
      <c r="E315" s="598"/>
      <c r="F315" s="598"/>
    </row>
    <row r="316" spans="2:6" x14ac:dyDescent="0.2">
      <c r="B316" s="598"/>
      <c r="E316" s="598"/>
      <c r="F316" s="598"/>
    </row>
    <row r="317" spans="2:6" x14ac:dyDescent="0.2">
      <c r="B317" s="598"/>
      <c r="E317" s="598"/>
      <c r="F317" s="598"/>
    </row>
    <row r="318" spans="2:6" x14ac:dyDescent="0.2">
      <c r="B318" s="598"/>
      <c r="E318" s="598"/>
      <c r="F318" s="598"/>
    </row>
    <row r="319" spans="2:6" x14ac:dyDescent="0.2">
      <c r="B319" s="598"/>
      <c r="E319" s="598"/>
      <c r="F319" s="598"/>
    </row>
    <row r="320" spans="2:6" x14ac:dyDescent="0.2">
      <c r="B320" s="598"/>
      <c r="E320" s="598"/>
      <c r="F320" s="598"/>
    </row>
    <row r="321" spans="2:6" x14ac:dyDescent="0.2">
      <c r="B321" s="598"/>
      <c r="E321" s="598"/>
      <c r="F321" s="598"/>
    </row>
    <row r="322" spans="2:6" x14ac:dyDescent="0.2">
      <c r="B322" s="598"/>
      <c r="E322" s="598"/>
      <c r="F322" s="598"/>
    </row>
    <row r="323" spans="2:6" x14ac:dyDescent="0.2">
      <c r="B323" s="598"/>
      <c r="E323" s="598"/>
      <c r="F323" s="598"/>
    </row>
    <row r="324" spans="2:6" x14ac:dyDescent="0.2">
      <c r="B324" s="598"/>
      <c r="E324" s="598"/>
      <c r="F324" s="598"/>
    </row>
    <row r="325" spans="2:6" x14ac:dyDescent="0.2">
      <c r="B325" s="598"/>
      <c r="E325" s="598"/>
      <c r="F325" s="598"/>
    </row>
    <row r="326" spans="2:6" x14ac:dyDescent="0.2">
      <c r="B326" s="598"/>
      <c r="E326" s="598"/>
      <c r="F326" s="598"/>
    </row>
    <row r="327" spans="2:6" x14ac:dyDescent="0.2">
      <c r="B327" s="598"/>
      <c r="E327" s="598"/>
      <c r="F327" s="598"/>
    </row>
    <row r="328" spans="2:6" x14ac:dyDescent="0.2">
      <c r="B328" s="598"/>
      <c r="E328" s="598"/>
      <c r="F328" s="598"/>
    </row>
    <row r="329" spans="2:6" x14ac:dyDescent="0.2">
      <c r="B329" s="598"/>
      <c r="E329" s="598"/>
      <c r="F329" s="598"/>
    </row>
    <row r="330" spans="2:6" x14ac:dyDescent="0.2">
      <c r="B330" s="598"/>
      <c r="E330" s="598"/>
      <c r="F330" s="598"/>
    </row>
    <row r="331" spans="2:6" x14ac:dyDescent="0.2">
      <c r="B331" s="598"/>
      <c r="E331" s="598"/>
      <c r="F331" s="598"/>
    </row>
    <row r="332" spans="2:6" x14ac:dyDescent="0.2">
      <c r="B332" s="598"/>
      <c r="E332" s="598"/>
      <c r="F332" s="598"/>
    </row>
    <row r="333" spans="2:6" x14ac:dyDescent="0.2">
      <c r="B333" s="598"/>
      <c r="E333" s="598"/>
      <c r="F333" s="598"/>
    </row>
    <row r="334" spans="2:6" x14ac:dyDescent="0.2">
      <c r="B334" s="598"/>
      <c r="E334" s="598"/>
      <c r="F334" s="598"/>
    </row>
    <row r="335" spans="2:6" x14ac:dyDescent="0.2">
      <c r="B335" s="598"/>
      <c r="E335" s="598"/>
      <c r="F335" s="598"/>
    </row>
    <row r="336" spans="2:6" x14ac:dyDescent="0.2">
      <c r="B336" s="598"/>
      <c r="E336" s="598"/>
      <c r="F336" s="598"/>
    </row>
    <row r="337" spans="2:6" x14ac:dyDescent="0.2">
      <c r="B337" s="598"/>
      <c r="E337" s="598"/>
      <c r="F337" s="598"/>
    </row>
    <row r="338" spans="2:6" x14ac:dyDescent="0.2">
      <c r="B338" s="598"/>
      <c r="E338" s="598"/>
      <c r="F338" s="598"/>
    </row>
    <row r="339" spans="2:6" x14ac:dyDescent="0.2">
      <c r="B339" s="598"/>
      <c r="E339" s="598"/>
      <c r="F339" s="598"/>
    </row>
    <row r="340" spans="2:6" x14ac:dyDescent="0.2">
      <c r="B340" s="598"/>
      <c r="E340" s="598"/>
      <c r="F340" s="598"/>
    </row>
    <row r="341" spans="2:6" x14ac:dyDescent="0.2">
      <c r="B341" s="598"/>
      <c r="E341" s="598"/>
      <c r="F341" s="598"/>
    </row>
    <row r="342" spans="2:6" x14ac:dyDescent="0.2">
      <c r="B342" s="598"/>
      <c r="E342" s="598"/>
      <c r="F342" s="598"/>
    </row>
    <row r="343" spans="2:6" x14ac:dyDescent="0.2">
      <c r="B343" s="598"/>
      <c r="E343" s="598"/>
      <c r="F343" s="598"/>
    </row>
    <row r="344" spans="2:6" x14ac:dyDescent="0.2">
      <c r="B344" s="598"/>
      <c r="E344" s="598"/>
      <c r="F344" s="598"/>
    </row>
    <row r="345" spans="2:6" x14ac:dyDescent="0.2">
      <c r="B345" s="598"/>
      <c r="E345" s="598"/>
      <c r="F345" s="598"/>
    </row>
    <row r="346" spans="2:6" x14ac:dyDescent="0.2">
      <c r="B346" s="598"/>
      <c r="E346" s="598"/>
      <c r="F346" s="598"/>
    </row>
    <row r="347" spans="2:6" x14ac:dyDescent="0.2">
      <c r="B347" s="598"/>
      <c r="E347" s="598"/>
      <c r="F347" s="598"/>
    </row>
    <row r="348" spans="2:6" x14ac:dyDescent="0.2">
      <c r="B348" s="598"/>
      <c r="E348" s="598"/>
      <c r="F348" s="598"/>
    </row>
    <row r="349" spans="2:6" x14ac:dyDescent="0.2">
      <c r="B349" s="598"/>
      <c r="E349" s="598"/>
      <c r="F349" s="598"/>
    </row>
    <row r="350" spans="2:6" x14ac:dyDescent="0.2">
      <c r="B350" s="598"/>
      <c r="E350" s="598"/>
      <c r="F350" s="598"/>
    </row>
    <row r="351" spans="2:6" x14ac:dyDescent="0.2">
      <c r="B351" s="598"/>
      <c r="E351" s="598"/>
      <c r="F351" s="598"/>
    </row>
    <row r="352" spans="2:6" x14ac:dyDescent="0.2">
      <c r="B352" s="598"/>
      <c r="E352" s="598"/>
      <c r="F352" s="598"/>
    </row>
    <row r="353" spans="2:6" x14ac:dyDescent="0.2">
      <c r="B353" s="598"/>
      <c r="E353" s="598"/>
      <c r="F353" s="598"/>
    </row>
    <row r="354" spans="2:6" x14ac:dyDescent="0.2">
      <c r="B354" s="598"/>
      <c r="E354" s="598"/>
      <c r="F354" s="598"/>
    </row>
    <row r="355" spans="2:6" x14ac:dyDescent="0.2">
      <c r="B355" s="598"/>
      <c r="E355" s="598"/>
      <c r="F355" s="598"/>
    </row>
    <row r="356" spans="2:6" x14ac:dyDescent="0.2">
      <c r="B356" s="598"/>
      <c r="E356" s="598"/>
      <c r="F356" s="598"/>
    </row>
    <row r="357" spans="2:6" x14ac:dyDescent="0.2">
      <c r="B357" s="598"/>
      <c r="E357" s="598"/>
      <c r="F357" s="598"/>
    </row>
    <row r="358" spans="2:6" x14ac:dyDescent="0.2">
      <c r="B358" s="598"/>
      <c r="E358" s="598"/>
      <c r="F358" s="598"/>
    </row>
    <row r="359" spans="2:6" x14ac:dyDescent="0.2">
      <c r="B359" s="598"/>
      <c r="E359" s="598"/>
      <c r="F359" s="598"/>
    </row>
    <row r="360" spans="2:6" x14ac:dyDescent="0.2">
      <c r="B360" s="598"/>
      <c r="E360" s="598"/>
      <c r="F360" s="598"/>
    </row>
    <row r="361" spans="2:6" x14ac:dyDescent="0.2">
      <c r="B361" s="598"/>
      <c r="E361" s="598"/>
      <c r="F361" s="598"/>
    </row>
    <row r="362" spans="2:6" x14ac:dyDescent="0.2">
      <c r="B362" s="598"/>
      <c r="E362" s="598"/>
      <c r="F362" s="598"/>
    </row>
    <row r="363" spans="2:6" x14ac:dyDescent="0.2">
      <c r="B363" s="598"/>
      <c r="E363" s="598"/>
      <c r="F363" s="598"/>
    </row>
    <row r="364" spans="2:6" x14ac:dyDescent="0.2">
      <c r="B364" s="598"/>
      <c r="E364" s="598"/>
      <c r="F364" s="598"/>
    </row>
    <row r="365" spans="2:6" x14ac:dyDescent="0.2">
      <c r="B365" s="598"/>
      <c r="E365" s="598"/>
      <c r="F365" s="598"/>
    </row>
    <row r="366" spans="2:6" x14ac:dyDescent="0.2">
      <c r="B366" s="598"/>
      <c r="E366" s="598"/>
      <c r="F366" s="598"/>
    </row>
    <row r="367" spans="2:6" x14ac:dyDescent="0.2">
      <c r="B367" s="598"/>
      <c r="E367" s="598"/>
      <c r="F367" s="598"/>
    </row>
    <row r="368" spans="2:6" x14ac:dyDescent="0.2">
      <c r="B368" s="598"/>
      <c r="E368" s="598"/>
      <c r="F368" s="598"/>
    </row>
    <row r="369" spans="2:6" x14ac:dyDescent="0.2">
      <c r="B369" s="598"/>
      <c r="E369" s="598"/>
      <c r="F369" s="598"/>
    </row>
    <row r="370" spans="2:6" x14ac:dyDescent="0.2">
      <c r="B370" s="598"/>
      <c r="E370" s="598"/>
      <c r="F370" s="598"/>
    </row>
    <row r="371" spans="2:6" x14ac:dyDescent="0.2">
      <c r="B371" s="598"/>
      <c r="E371" s="598"/>
      <c r="F371" s="598"/>
    </row>
    <row r="372" spans="2:6" x14ac:dyDescent="0.2">
      <c r="B372" s="598"/>
      <c r="E372" s="598"/>
      <c r="F372" s="598"/>
    </row>
    <row r="373" spans="2:6" x14ac:dyDescent="0.2">
      <c r="B373" s="598"/>
      <c r="E373" s="598"/>
      <c r="F373" s="598"/>
    </row>
    <row r="374" spans="2:6" x14ac:dyDescent="0.2">
      <c r="B374" s="598"/>
      <c r="E374" s="598"/>
      <c r="F374" s="598"/>
    </row>
    <row r="375" spans="2:6" x14ac:dyDescent="0.2">
      <c r="B375" s="598"/>
      <c r="E375" s="598"/>
      <c r="F375" s="598"/>
    </row>
    <row r="376" spans="2:6" x14ac:dyDescent="0.2">
      <c r="B376" s="598"/>
      <c r="E376" s="598"/>
      <c r="F376" s="598"/>
    </row>
    <row r="377" spans="2:6" x14ac:dyDescent="0.2">
      <c r="B377" s="598"/>
      <c r="E377" s="598"/>
      <c r="F377" s="598"/>
    </row>
    <row r="378" spans="2:6" x14ac:dyDescent="0.2">
      <c r="B378" s="598"/>
      <c r="E378" s="598"/>
      <c r="F378" s="598"/>
    </row>
    <row r="379" spans="2:6" x14ac:dyDescent="0.2">
      <c r="B379" s="598"/>
      <c r="E379" s="598"/>
      <c r="F379" s="598"/>
    </row>
    <row r="380" spans="2:6" x14ac:dyDescent="0.2">
      <c r="B380" s="598"/>
      <c r="E380" s="598"/>
      <c r="F380" s="598"/>
    </row>
    <row r="381" spans="2:6" x14ac:dyDescent="0.2">
      <c r="B381" s="598"/>
      <c r="E381" s="598"/>
      <c r="F381" s="598"/>
    </row>
    <row r="382" spans="2:6" x14ac:dyDescent="0.2">
      <c r="B382" s="598"/>
      <c r="E382" s="598"/>
      <c r="F382" s="598"/>
    </row>
    <row r="383" spans="2:6" x14ac:dyDescent="0.2">
      <c r="B383" s="598"/>
      <c r="E383" s="598"/>
      <c r="F383" s="598"/>
    </row>
    <row r="384" spans="2:6" x14ac:dyDescent="0.2">
      <c r="B384" s="598"/>
      <c r="E384" s="598"/>
      <c r="F384" s="598"/>
    </row>
    <row r="385" spans="2:6" x14ac:dyDescent="0.2">
      <c r="B385" s="598"/>
      <c r="E385" s="598"/>
      <c r="F385" s="598"/>
    </row>
    <row r="386" spans="2:6" x14ac:dyDescent="0.2">
      <c r="B386" s="598"/>
      <c r="E386" s="598"/>
      <c r="F386" s="598"/>
    </row>
    <row r="387" spans="2:6" x14ac:dyDescent="0.2">
      <c r="B387" s="598"/>
      <c r="E387" s="598"/>
      <c r="F387" s="598"/>
    </row>
    <row r="388" spans="2:6" x14ac:dyDescent="0.2">
      <c r="B388" s="598"/>
      <c r="E388" s="598"/>
      <c r="F388" s="598"/>
    </row>
    <row r="389" spans="2:6" x14ac:dyDescent="0.2">
      <c r="B389" s="598"/>
      <c r="E389" s="598"/>
      <c r="F389" s="598"/>
    </row>
    <row r="390" spans="2:6" x14ac:dyDescent="0.2">
      <c r="B390" s="598"/>
      <c r="E390" s="598"/>
      <c r="F390" s="598"/>
    </row>
    <row r="391" spans="2:6" x14ac:dyDescent="0.2">
      <c r="B391" s="598"/>
      <c r="E391" s="598"/>
      <c r="F391" s="598"/>
    </row>
    <row r="392" spans="2:6" x14ac:dyDescent="0.2">
      <c r="B392" s="598"/>
      <c r="E392" s="598"/>
      <c r="F392" s="598"/>
    </row>
    <row r="393" spans="2:6" x14ac:dyDescent="0.2">
      <c r="B393" s="598"/>
      <c r="E393" s="598"/>
      <c r="F393" s="598"/>
    </row>
    <row r="394" spans="2:6" x14ac:dyDescent="0.2">
      <c r="B394" s="598"/>
      <c r="E394" s="598"/>
      <c r="F394" s="598"/>
    </row>
    <row r="395" spans="2:6" x14ac:dyDescent="0.2">
      <c r="B395" s="598"/>
      <c r="E395" s="598"/>
      <c r="F395" s="598"/>
    </row>
    <row r="396" spans="2:6" x14ac:dyDescent="0.2">
      <c r="B396" s="598"/>
      <c r="E396" s="598"/>
      <c r="F396" s="598"/>
    </row>
    <row r="397" spans="2:6" x14ac:dyDescent="0.2">
      <c r="B397" s="598"/>
      <c r="E397" s="598"/>
      <c r="F397" s="598"/>
    </row>
    <row r="398" spans="2:6" x14ac:dyDescent="0.2">
      <c r="B398" s="598"/>
      <c r="E398" s="598"/>
      <c r="F398" s="598"/>
    </row>
    <row r="399" spans="2:6" x14ac:dyDescent="0.2">
      <c r="B399" s="598"/>
      <c r="E399" s="598"/>
      <c r="F399" s="598"/>
    </row>
    <row r="400" spans="2:6" x14ac:dyDescent="0.2">
      <c r="B400" s="598"/>
      <c r="E400" s="598"/>
      <c r="F400" s="598"/>
    </row>
    <row r="401" spans="2:6" x14ac:dyDescent="0.2">
      <c r="B401" s="598"/>
      <c r="E401" s="598"/>
      <c r="F401" s="598"/>
    </row>
    <row r="402" spans="2:6" x14ac:dyDescent="0.2">
      <c r="B402" s="598"/>
      <c r="E402" s="598"/>
      <c r="F402" s="598"/>
    </row>
    <row r="403" spans="2:6" x14ac:dyDescent="0.2">
      <c r="B403" s="598"/>
      <c r="E403" s="598"/>
      <c r="F403" s="598"/>
    </row>
    <row r="404" spans="2:6" x14ac:dyDescent="0.2">
      <c r="B404" s="598"/>
      <c r="E404" s="598"/>
      <c r="F404" s="598"/>
    </row>
    <row r="405" spans="2:6" x14ac:dyDescent="0.2">
      <c r="B405" s="598"/>
      <c r="E405" s="598"/>
      <c r="F405" s="598"/>
    </row>
    <row r="406" spans="2:6" x14ac:dyDescent="0.2">
      <c r="B406" s="598"/>
      <c r="E406" s="598"/>
      <c r="F406" s="598"/>
    </row>
    <row r="407" spans="2:6" x14ac:dyDescent="0.2">
      <c r="B407" s="598"/>
      <c r="E407" s="598"/>
      <c r="F407" s="598"/>
    </row>
    <row r="408" spans="2:6" x14ac:dyDescent="0.2">
      <c r="B408" s="598"/>
      <c r="E408" s="598"/>
      <c r="F408" s="598"/>
    </row>
    <row r="409" spans="2:6" x14ac:dyDescent="0.2">
      <c r="B409" s="598"/>
      <c r="E409" s="598"/>
      <c r="F409" s="598"/>
    </row>
    <row r="410" spans="2:6" x14ac:dyDescent="0.2">
      <c r="B410" s="598"/>
      <c r="E410" s="598"/>
      <c r="F410" s="598"/>
    </row>
    <row r="411" spans="2:6" x14ac:dyDescent="0.2">
      <c r="B411" s="598"/>
      <c r="E411" s="598"/>
      <c r="F411" s="598"/>
    </row>
    <row r="412" spans="2:6" x14ac:dyDescent="0.2">
      <c r="B412" s="598"/>
      <c r="E412" s="598"/>
      <c r="F412" s="598"/>
    </row>
    <row r="413" spans="2:6" x14ac:dyDescent="0.2">
      <c r="B413" s="598"/>
      <c r="E413" s="598"/>
      <c r="F413" s="598"/>
    </row>
    <row r="414" spans="2:6" x14ac:dyDescent="0.2">
      <c r="B414" s="598"/>
      <c r="E414" s="598"/>
      <c r="F414" s="598"/>
    </row>
    <row r="415" spans="2:6" x14ac:dyDescent="0.2">
      <c r="B415" s="598"/>
      <c r="E415" s="598"/>
      <c r="F415" s="598"/>
    </row>
    <row r="416" spans="2:6" x14ac:dyDescent="0.2">
      <c r="B416" s="598"/>
      <c r="E416" s="598"/>
      <c r="F416" s="598"/>
    </row>
    <row r="417" spans="2:6" x14ac:dyDescent="0.2">
      <c r="B417" s="598"/>
      <c r="E417" s="598"/>
      <c r="F417" s="598"/>
    </row>
    <row r="418" spans="2:6" x14ac:dyDescent="0.2">
      <c r="B418" s="598"/>
      <c r="E418" s="598"/>
      <c r="F418" s="598"/>
    </row>
    <row r="419" spans="2:6" x14ac:dyDescent="0.2">
      <c r="B419" s="598"/>
      <c r="E419" s="598"/>
      <c r="F419" s="598"/>
    </row>
    <row r="420" spans="2:6" x14ac:dyDescent="0.2">
      <c r="B420" s="598"/>
      <c r="E420" s="598"/>
      <c r="F420" s="598"/>
    </row>
    <row r="421" spans="2:6" x14ac:dyDescent="0.2">
      <c r="B421" s="598"/>
      <c r="E421" s="598"/>
      <c r="F421" s="598"/>
    </row>
    <row r="422" spans="2:6" x14ac:dyDescent="0.2">
      <c r="B422" s="598"/>
      <c r="E422" s="598"/>
      <c r="F422" s="598"/>
    </row>
    <row r="423" spans="2:6" x14ac:dyDescent="0.2">
      <c r="B423" s="598"/>
      <c r="E423" s="598"/>
      <c r="F423" s="598"/>
    </row>
    <row r="424" spans="2:6" x14ac:dyDescent="0.2">
      <c r="B424" s="598"/>
      <c r="E424" s="598"/>
      <c r="F424" s="598"/>
    </row>
    <row r="425" spans="2:6" x14ac:dyDescent="0.2">
      <c r="B425" s="598"/>
      <c r="E425" s="598"/>
      <c r="F425" s="598"/>
    </row>
    <row r="426" spans="2:6" x14ac:dyDescent="0.2">
      <c r="B426" s="598"/>
      <c r="E426" s="598"/>
      <c r="F426" s="598"/>
    </row>
    <row r="427" spans="2:6" x14ac:dyDescent="0.2">
      <c r="B427" s="598"/>
      <c r="E427" s="598"/>
      <c r="F427" s="598"/>
    </row>
    <row r="428" spans="2:6" x14ac:dyDescent="0.2">
      <c r="B428" s="598"/>
      <c r="E428" s="598"/>
      <c r="F428" s="598"/>
    </row>
    <row r="429" spans="2:6" x14ac:dyDescent="0.2">
      <c r="B429" s="598"/>
      <c r="E429" s="598"/>
      <c r="F429" s="598"/>
    </row>
    <row r="430" spans="2:6" x14ac:dyDescent="0.2">
      <c r="B430" s="598"/>
      <c r="E430" s="598"/>
      <c r="F430" s="598"/>
    </row>
    <row r="431" spans="2:6" x14ac:dyDescent="0.2">
      <c r="B431" s="598"/>
      <c r="E431" s="598"/>
      <c r="F431" s="598"/>
    </row>
    <row r="432" spans="2:6" x14ac:dyDescent="0.2">
      <c r="B432" s="598"/>
      <c r="E432" s="598"/>
      <c r="F432" s="598"/>
    </row>
    <row r="433" spans="2:6" x14ac:dyDescent="0.2">
      <c r="B433" s="598"/>
      <c r="E433" s="598"/>
      <c r="F433" s="598"/>
    </row>
    <row r="434" spans="2:6" x14ac:dyDescent="0.2">
      <c r="B434" s="598"/>
      <c r="E434" s="598"/>
      <c r="F434" s="598"/>
    </row>
    <row r="435" spans="2:6" x14ac:dyDescent="0.2">
      <c r="B435" s="598"/>
      <c r="E435" s="598"/>
      <c r="F435" s="598"/>
    </row>
    <row r="436" spans="2:6" x14ac:dyDescent="0.2">
      <c r="B436" s="598"/>
      <c r="E436" s="598"/>
      <c r="F436" s="598"/>
    </row>
    <row r="437" spans="2:6" x14ac:dyDescent="0.2">
      <c r="B437" s="598"/>
      <c r="E437" s="598"/>
      <c r="F437" s="598"/>
    </row>
    <row r="438" spans="2:6" x14ac:dyDescent="0.2">
      <c r="B438" s="598"/>
      <c r="E438" s="598"/>
      <c r="F438" s="598"/>
    </row>
    <row r="439" spans="2:6" x14ac:dyDescent="0.2">
      <c r="B439" s="598"/>
      <c r="E439" s="598"/>
      <c r="F439" s="598"/>
    </row>
    <row r="440" spans="2:6" x14ac:dyDescent="0.2">
      <c r="B440" s="598"/>
      <c r="E440" s="598"/>
      <c r="F440" s="598"/>
    </row>
    <row r="441" spans="2:6" x14ac:dyDescent="0.2">
      <c r="B441" s="598"/>
      <c r="E441" s="598"/>
      <c r="F441" s="598"/>
    </row>
    <row r="442" spans="2:6" x14ac:dyDescent="0.2">
      <c r="B442" s="598"/>
      <c r="E442" s="598"/>
      <c r="F442" s="598"/>
    </row>
    <row r="443" spans="2:6" x14ac:dyDescent="0.2">
      <c r="B443" s="598"/>
      <c r="E443" s="598"/>
      <c r="F443" s="598"/>
    </row>
    <row r="444" spans="2:6" x14ac:dyDescent="0.2">
      <c r="B444" s="598"/>
      <c r="E444" s="598"/>
      <c r="F444" s="598"/>
    </row>
    <row r="445" spans="2:6" x14ac:dyDescent="0.2">
      <c r="B445" s="598"/>
      <c r="E445" s="598"/>
      <c r="F445" s="598"/>
    </row>
    <row r="446" spans="2:6" x14ac:dyDescent="0.2">
      <c r="B446" s="598"/>
      <c r="E446" s="598"/>
      <c r="F446" s="598"/>
    </row>
    <row r="447" spans="2:6" x14ac:dyDescent="0.2">
      <c r="B447" s="598"/>
      <c r="E447" s="598"/>
      <c r="F447" s="598"/>
    </row>
    <row r="448" spans="2:6" x14ac:dyDescent="0.2">
      <c r="B448" s="598"/>
      <c r="E448" s="598"/>
      <c r="F448" s="598"/>
    </row>
    <row r="449" spans="2:6" x14ac:dyDescent="0.2">
      <c r="B449" s="598"/>
      <c r="E449" s="598"/>
      <c r="F449" s="598"/>
    </row>
    <row r="450" spans="2:6" x14ac:dyDescent="0.2">
      <c r="B450" s="598"/>
      <c r="E450" s="598"/>
      <c r="F450" s="598"/>
    </row>
    <row r="451" spans="2:6" x14ac:dyDescent="0.2">
      <c r="B451" s="598"/>
      <c r="E451" s="598"/>
      <c r="F451" s="598"/>
    </row>
    <row r="452" spans="2:6" x14ac:dyDescent="0.2">
      <c r="B452" s="598"/>
      <c r="E452" s="598"/>
      <c r="F452" s="598"/>
    </row>
    <row r="453" spans="2:6" x14ac:dyDescent="0.2">
      <c r="B453" s="598"/>
      <c r="E453" s="598"/>
      <c r="F453" s="598"/>
    </row>
    <row r="454" spans="2:6" x14ac:dyDescent="0.2">
      <c r="B454" s="598"/>
      <c r="E454" s="598"/>
      <c r="F454" s="598"/>
    </row>
    <row r="455" spans="2:6" x14ac:dyDescent="0.2">
      <c r="B455" s="598"/>
      <c r="E455" s="598"/>
      <c r="F455" s="598"/>
    </row>
    <row r="456" spans="2:6" x14ac:dyDescent="0.2">
      <c r="B456" s="598"/>
      <c r="E456" s="598"/>
      <c r="F456" s="598"/>
    </row>
    <row r="457" spans="2:6" x14ac:dyDescent="0.2">
      <c r="B457" s="598"/>
      <c r="E457" s="598"/>
      <c r="F457" s="598"/>
    </row>
    <row r="458" spans="2:6" x14ac:dyDescent="0.2">
      <c r="B458" s="598"/>
      <c r="E458" s="598"/>
      <c r="F458" s="598"/>
    </row>
    <row r="459" spans="2:6" x14ac:dyDescent="0.2">
      <c r="B459" s="598"/>
      <c r="E459" s="598"/>
      <c r="F459" s="598"/>
    </row>
    <row r="460" spans="2:6" x14ac:dyDescent="0.2">
      <c r="B460" s="598"/>
      <c r="E460" s="598"/>
      <c r="F460" s="598"/>
    </row>
    <row r="461" spans="2:6" x14ac:dyDescent="0.2">
      <c r="B461" s="598"/>
      <c r="E461" s="598"/>
      <c r="F461" s="598"/>
    </row>
    <row r="462" spans="2:6" x14ac:dyDescent="0.2">
      <c r="B462" s="598"/>
      <c r="E462" s="598"/>
      <c r="F462" s="598"/>
    </row>
    <row r="463" spans="2:6" x14ac:dyDescent="0.2">
      <c r="B463" s="598"/>
      <c r="E463" s="598"/>
      <c r="F463" s="598"/>
    </row>
    <row r="464" spans="2:6" x14ac:dyDescent="0.2">
      <c r="B464" s="598"/>
      <c r="E464" s="598"/>
      <c r="F464" s="598"/>
    </row>
    <row r="465" spans="2:6" x14ac:dyDescent="0.2">
      <c r="B465" s="598"/>
      <c r="E465" s="598"/>
      <c r="F465" s="598"/>
    </row>
    <row r="466" spans="2:6" x14ac:dyDescent="0.2">
      <c r="B466" s="598"/>
      <c r="E466" s="598"/>
      <c r="F466" s="598"/>
    </row>
    <row r="467" spans="2:6" x14ac:dyDescent="0.2">
      <c r="B467" s="598"/>
      <c r="E467" s="598"/>
      <c r="F467" s="598"/>
    </row>
    <row r="468" spans="2:6" x14ac:dyDescent="0.2">
      <c r="B468" s="598"/>
      <c r="E468" s="598"/>
      <c r="F468" s="598"/>
    </row>
    <row r="469" spans="2:6" x14ac:dyDescent="0.2">
      <c r="B469" s="598"/>
      <c r="E469" s="598"/>
      <c r="F469" s="598"/>
    </row>
    <row r="470" spans="2:6" x14ac:dyDescent="0.2">
      <c r="B470" s="598"/>
      <c r="E470" s="598"/>
      <c r="F470" s="598"/>
    </row>
    <row r="471" spans="2:6" x14ac:dyDescent="0.2">
      <c r="B471" s="598"/>
      <c r="E471" s="598"/>
      <c r="F471" s="598"/>
    </row>
    <row r="472" spans="2:6" x14ac:dyDescent="0.2">
      <c r="B472" s="598"/>
      <c r="E472" s="598"/>
      <c r="F472" s="598"/>
    </row>
    <row r="473" spans="2:6" x14ac:dyDescent="0.2">
      <c r="B473" s="598"/>
      <c r="E473" s="598"/>
      <c r="F473" s="598"/>
    </row>
    <row r="474" spans="2:6" x14ac:dyDescent="0.2">
      <c r="B474" s="598"/>
      <c r="E474" s="598"/>
      <c r="F474" s="598"/>
    </row>
    <row r="475" spans="2:6" x14ac:dyDescent="0.2">
      <c r="B475" s="598"/>
      <c r="E475" s="598"/>
      <c r="F475" s="598"/>
    </row>
    <row r="476" spans="2:6" x14ac:dyDescent="0.2">
      <c r="B476" s="598"/>
      <c r="E476" s="598"/>
      <c r="F476" s="598"/>
    </row>
    <row r="477" spans="2:6" x14ac:dyDescent="0.2">
      <c r="B477" s="598"/>
      <c r="E477" s="598"/>
      <c r="F477" s="598"/>
    </row>
    <row r="478" spans="2:6" x14ac:dyDescent="0.2">
      <c r="B478" s="598"/>
      <c r="E478" s="598"/>
      <c r="F478" s="598"/>
    </row>
    <row r="479" spans="2:6" x14ac:dyDescent="0.2">
      <c r="B479" s="598"/>
      <c r="E479" s="598"/>
      <c r="F479" s="598"/>
    </row>
    <row r="480" spans="2:6" x14ac:dyDescent="0.2">
      <c r="B480" s="598"/>
      <c r="E480" s="598"/>
      <c r="F480" s="598"/>
    </row>
    <row r="481" spans="2:6" x14ac:dyDescent="0.2">
      <c r="B481" s="598"/>
      <c r="E481" s="598"/>
      <c r="F481" s="598"/>
    </row>
    <row r="482" spans="2:6" x14ac:dyDescent="0.2">
      <c r="B482" s="598"/>
      <c r="E482" s="598"/>
      <c r="F482" s="598"/>
    </row>
    <row r="483" spans="2:6" x14ac:dyDescent="0.2">
      <c r="B483" s="598"/>
      <c r="E483" s="598"/>
      <c r="F483" s="598"/>
    </row>
    <row r="484" spans="2:6" x14ac:dyDescent="0.2">
      <c r="B484" s="598"/>
      <c r="E484" s="598"/>
      <c r="F484" s="598"/>
    </row>
    <row r="485" spans="2:6" x14ac:dyDescent="0.2">
      <c r="B485" s="598"/>
      <c r="E485" s="598"/>
      <c r="F485" s="598"/>
    </row>
    <row r="486" spans="2:6" x14ac:dyDescent="0.2">
      <c r="B486" s="598"/>
      <c r="E486" s="598"/>
      <c r="F486" s="598"/>
    </row>
    <row r="487" spans="2:6" x14ac:dyDescent="0.2">
      <c r="B487" s="598"/>
      <c r="E487" s="598"/>
      <c r="F487" s="598"/>
    </row>
    <row r="488" spans="2:6" x14ac:dyDescent="0.2">
      <c r="B488" s="598"/>
      <c r="E488" s="598"/>
      <c r="F488" s="598"/>
    </row>
    <row r="489" spans="2:6" x14ac:dyDescent="0.2">
      <c r="B489" s="598"/>
      <c r="E489" s="598"/>
      <c r="F489" s="598"/>
    </row>
    <row r="490" spans="2:6" x14ac:dyDescent="0.2">
      <c r="B490" s="598"/>
      <c r="E490" s="598"/>
      <c r="F490" s="598"/>
    </row>
    <row r="491" spans="2:6" x14ac:dyDescent="0.2">
      <c r="B491" s="598"/>
      <c r="E491" s="598"/>
      <c r="F491" s="598"/>
    </row>
    <row r="492" spans="2:6" x14ac:dyDescent="0.2">
      <c r="B492" s="598"/>
      <c r="E492" s="598"/>
      <c r="F492" s="598"/>
    </row>
    <row r="493" spans="2:6" x14ac:dyDescent="0.2">
      <c r="B493" s="598"/>
      <c r="E493" s="598"/>
      <c r="F493" s="598"/>
    </row>
    <row r="494" spans="2:6" x14ac:dyDescent="0.2">
      <c r="B494" s="598"/>
      <c r="E494" s="598"/>
      <c r="F494" s="598"/>
    </row>
    <row r="495" spans="2:6" x14ac:dyDescent="0.2">
      <c r="B495" s="598"/>
      <c r="E495" s="598"/>
      <c r="F495" s="598"/>
    </row>
    <row r="496" spans="2:6" x14ac:dyDescent="0.2">
      <c r="B496" s="598"/>
      <c r="E496" s="598"/>
      <c r="F496" s="598"/>
    </row>
    <row r="497" spans="2:6" x14ac:dyDescent="0.2">
      <c r="B497" s="598"/>
      <c r="E497" s="598"/>
      <c r="F497" s="598"/>
    </row>
    <row r="498" spans="2:6" x14ac:dyDescent="0.2">
      <c r="B498" s="598"/>
      <c r="E498" s="598"/>
      <c r="F498" s="598"/>
    </row>
    <row r="499" spans="2:6" x14ac:dyDescent="0.2">
      <c r="B499" s="598"/>
      <c r="E499" s="598"/>
      <c r="F499" s="598"/>
    </row>
    <row r="500" spans="2:6" x14ac:dyDescent="0.2">
      <c r="B500" s="598"/>
      <c r="E500" s="598"/>
      <c r="F500" s="598"/>
    </row>
    <row r="501" spans="2:6" x14ac:dyDescent="0.2">
      <c r="B501" s="598"/>
      <c r="E501" s="598"/>
      <c r="F501" s="598"/>
    </row>
    <row r="502" spans="2:6" x14ac:dyDescent="0.2">
      <c r="B502" s="598"/>
      <c r="E502" s="598"/>
      <c r="F502" s="598"/>
    </row>
    <row r="503" spans="2:6" x14ac:dyDescent="0.2">
      <c r="B503" s="598"/>
      <c r="E503" s="598"/>
      <c r="F503" s="598"/>
    </row>
    <row r="504" spans="2:6" x14ac:dyDescent="0.2">
      <c r="B504" s="598"/>
      <c r="E504" s="598"/>
      <c r="F504" s="598"/>
    </row>
    <row r="505" spans="2:6" x14ac:dyDescent="0.2">
      <c r="B505" s="598"/>
      <c r="E505" s="598"/>
      <c r="F505" s="598"/>
    </row>
    <row r="506" spans="2:6" x14ac:dyDescent="0.2">
      <c r="B506" s="598"/>
      <c r="E506" s="598"/>
      <c r="F506" s="598"/>
    </row>
    <row r="507" spans="2:6" x14ac:dyDescent="0.2">
      <c r="B507" s="598"/>
      <c r="E507" s="598"/>
      <c r="F507" s="598"/>
    </row>
    <row r="508" spans="2:6" x14ac:dyDescent="0.2">
      <c r="B508" s="598"/>
      <c r="E508" s="598"/>
      <c r="F508" s="598"/>
    </row>
    <row r="509" spans="2:6" x14ac:dyDescent="0.2">
      <c r="B509" s="598"/>
      <c r="E509" s="598"/>
      <c r="F509" s="598"/>
    </row>
    <row r="510" spans="2:6" x14ac:dyDescent="0.2">
      <c r="B510" s="598"/>
      <c r="E510" s="598"/>
      <c r="F510" s="598"/>
    </row>
    <row r="511" spans="2:6" x14ac:dyDescent="0.2">
      <c r="B511" s="598"/>
      <c r="E511" s="598"/>
      <c r="F511" s="598"/>
    </row>
    <row r="512" spans="2:6" x14ac:dyDescent="0.2">
      <c r="B512" s="598"/>
      <c r="E512" s="598"/>
      <c r="F512" s="598"/>
    </row>
    <row r="513" spans="2:6" x14ac:dyDescent="0.2">
      <c r="B513" s="598"/>
      <c r="E513" s="598"/>
      <c r="F513" s="598"/>
    </row>
    <row r="514" spans="2:6" x14ac:dyDescent="0.2">
      <c r="B514" s="598"/>
      <c r="E514" s="598"/>
      <c r="F514" s="598"/>
    </row>
    <row r="515" spans="2:6" x14ac:dyDescent="0.2">
      <c r="B515" s="598"/>
      <c r="E515" s="598"/>
      <c r="F515" s="598"/>
    </row>
    <row r="516" spans="2:6" x14ac:dyDescent="0.2">
      <c r="B516" s="598"/>
      <c r="E516" s="598"/>
      <c r="F516" s="598"/>
    </row>
    <row r="517" spans="2:6" x14ac:dyDescent="0.2">
      <c r="B517" s="598"/>
      <c r="E517" s="598"/>
      <c r="F517" s="598"/>
    </row>
    <row r="518" spans="2:6" x14ac:dyDescent="0.2">
      <c r="B518" s="598"/>
      <c r="E518" s="598"/>
      <c r="F518" s="598"/>
    </row>
    <row r="519" spans="2:6" x14ac:dyDescent="0.2">
      <c r="B519" s="598"/>
      <c r="E519" s="598"/>
      <c r="F519" s="598"/>
    </row>
    <row r="520" spans="2:6" x14ac:dyDescent="0.2">
      <c r="B520" s="598"/>
      <c r="E520" s="598"/>
      <c r="F520" s="598"/>
    </row>
    <row r="521" spans="2:6" x14ac:dyDescent="0.2">
      <c r="B521" s="598"/>
      <c r="E521" s="598"/>
      <c r="F521" s="598"/>
    </row>
    <row r="522" spans="2:6" x14ac:dyDescent="0.2">
      <c r="B522" s="598"/>
      <c r="E522" s="598"/>
      <c r="F522" s="598"/>
    </row>
    <row r="523" spans="2:6" x14ac:dyDescent="0.2">
      <c r="B523" s="598"/>
      <c r="E523" s="598"/>
      <c r="F523" s="598"/>
    </row>
    <row r="524" spans="2:6" x14ac:dyDescent="0.2">
      <c r="B524" s="598"/>
      <c r="E524" s="598"/>
      <c r="F524" s="598"/>
    </row>
    <row r="525" spans="2:6" x14ac:dyDescent="0.2">
      <c r="B525" s="598"/>
      <c r="E525" s="598"/>
      <c r="F525" s="598"/>
    </row>
    <row r="526" spans="2:6" x14ac:dyDescent="0.2">
      <c r="B526" s="598"/>
      <c r="E526" s="598"/>
      <c r="F526" s="598"/>
    </row>
    <row r="527" spans="2:6" x14ac:dyDescent="0.2">
      <c r="B527" s="598"/>
      <c r="E527" s="598"/>
      <c r="F527" s="598"/>
    </row>
    <row r="528" spans="2:6" x14ac:dyDescent="0.2">
      <c r="B528" s="598"/>
      <c r="E528" s="598"/>
      <c r="F528" s="598"/>
    </row>
    <row r="529" spans="2:6" x14ac:dyDescent="0.2">
      <c r="B529" s="598"/>
      <c r="E529" s="598"/>
      <c r="F529" s="598"/>
    </row>
    <row r="530" spans="2:6" x14ac:dyDescent="0.2">
      <c r="B530" s="598"/>
      <c r="E530" s="598"/>
      <c r="F530" s="598"/>
    </row>
    <row r="531" spans="2:6" x14ac:dyDescent="0.2">
      <c r="B531" s="598"/>
      <c r="E531" s="598"/>
      <c r="F531" s="598"/>
    </row>
    <row r="532" spans="2:6" x14ac:dyDescent="0.2">
      <c r="B532" s="598"/>
      <c r="E532" s="598"/>
      <c r="F532" s="598"/>
    </row>
    <row r="533" spans="2:6" x14ac:dyDescent="0.2">
      <c r="B533" s="598"/>
      <c r="E533" s="598"/>
      <c r="F533" s="598"/>
    </row>
    <row r="534" spans="2:6" x14ac:dyDescent="0.2">
      <c r="B534" s="598"/>
      <c r="E534" s="598"/>
      <c r="F534" s="598"/>
    </row>
    <row r="535" spans="2:6" x14ac:dyDescent="0.2">
      <c r="B535" s="598"/>
      <c r="E535" s="598"/>
      <c r="F535" s="598"/>
    </row>
    <row r="536" spans="2:6" x14ac:dyDescent="0.2">
      <c r="B536" s="598"/>
      <c r="E536" s="598"/>
      <c r="F536" s="598"/>
    </row>
    <row r="537" spans="2:6" x14ac:dyDescent="0.2">
      <c r="B537" s="598"/>
      <c r="E537" s="598"/>
      <c r="F537" s="598"/>
    </row>
    <row r="538" spans="2:6" x14ac:dyDescent="0.2">
      <c r="B538" s="598"/>
      <c r="E538" s="598"/>
      <c r="F538" s="598"/>
    </row>
    <row r="539" spans="2:6" x14ac:dyDescent="0.2">
      <c r="B539" s="598"/>
      <c r="E539" s="598"/>
      <c r="F539" s="598"/>
    </row>
    <row r="540" spans="2:6" x14ac:dyDescent="0.2">
      <c r="B540" s="598"/>
      <c r="E540" s="598"/>
      <c r="F540" s="598"/>
    </row>
    <row r="541" spans="2:6" x14ac:dyDescent="0.2">
      <c r="B541" s="598"/>
      <c r="E541" s="598"/>
      <c r="F541" s="598"/>
    </row>
    <row r="542" spans="2:6" x14ac:dyDescent="0.2">
      <c r="B542" s="598"/>
      <c r="E542" s="598"/>
      <c r="F542" s="598"/>
    </row>
    <row r="543" spans="2:6" x14ac:dyDescent="0.2">
      <c r="B543" s="598"/>
      <c r="E543" s="598"/>
      <c r="F543" s="598"/>
    </row>
    <row r="544" spans="2:6" x14ac:dyDescent="0.2">
      <c r="B544" s="598"/>
      <c r="E544" s="598"/>
      <c r="F544" s="598"/>
    </row>
    <row r="545" spans="2:6" x14ac:dyDescent="0.2">
      <c r="B545" s="598"/>
      <c r="E545" s="598"/>
      <c r="F545" s="598"/>
    </row>
    <row r="546" spans="2:6" x14ac:dyDescent="0.2">
      <c r="B546" s="598"/>
      <c r="E546" s="598"/>
      <c r="F546" s="598"/>
    </row>
    <row r="547" spans="2:6" x14ac:dyDescent="0.2">
      <c r="B547" s="598"/>
      <c r="E547" s="598"/>
      <c r="F547" s="598"/>
    </row>
    <row r="548" spans="2:6" x14ac:dyDescent="0.2">
      <c r="B548" s="598"/>
      <c r="E548" s="598"/>
      <c r="F548" s="598"/>
    </row>
    <row r="549" spans="2:6" x14ac:dyDescent="0.2">
      <c r="B549" s="598"/>
      <c r="E549" s="598"/>
      <c r="F549" s="598"/>
    </row>
    <row r="550" spans="2:6" x14ac:dyDescent="0.2">
      <c r="B550" s="598"/>
      <c r="E550" s="598"/>
      <c r="F550" s="598"/>
    </row>
    <row r="551" spans="2:6" x14ac:dyDescent="0.2">
      <c r="B551" s="598"/>
      <c r="E551" s="598"/>
      <c r="F551" s="598"/>
    </row>
    <row r="552" spans="2:6" x14ac:dyDescent="0.2">
      <c r="B552" s="598"/>
      <c r="E552" s="598"/>
      <c r="F552" s="598"/>
    </row>
    <row r="553" spans="2:6" x14ac:dyDescent="0.2">
      <c r="B553" s="598"/>
      <c r="E553" s="598"/>
      <c r="F553" s="598"/>
    </row>
    <row r="554" spans="2:6" x14ac:dyDescent="0.2">
      <c r="B554" s="598"/>
      <c r="E554" s="598"/>
      <c r="F554" s="598"/>
    </row>
    <row r="555" spans="2:6" x14ac:dyDescent="0.2">
      <c r="B555" s="598"/>
      <c r="E555" s="598"/>
      <c r="F555" s="598"/>
    </row>
    <row r="556" spans="2:6" x14ac:dyDescent="0.2">
      <c r="B556" s="598"/>
      <c r="E556" s="598"/>
      <c r="F556" s="598"/>
    </row>
    <row r="557" spans="2:6" x14ac:dyDescent="0.2">
      <c r="B557" s="598"/>
      <c r="E557" s="598"/>
      <c r="F557" s="598"/>
    </row>
    <row r="558" spans="2:6" x14ac:dyDescent="0.2">
      <c r="B558" s="598"/>
      <c r="E558" s="598"/>
      <c r="F558" s="598"/>
    </row>
    <row r="559" spans="2:6" x14ac:dyDescent="0.2">
      <c r="B559" s="598"/>
      <c r="E559" s="598"/>
      <c r="F559" s="598"/>
    </row>
    <row r="560" spans="2:6" x14ac:dyDescent="0.2">
      <c r="B560" s="598"/>
      <c r="E560" s="598"/>
      <c r="F560" s="598"/>
    </row>
    <row r="561" spans="2:6" x14ac:dyDescent="0.2">
      <c r="B561" s="598"/>
      <c r="E561" s="598"/>
      <c r="F561" s="598"/>
    </row>
    <row r="562" spans="2:6" x14ac:dyDescent="0.2">
      <c r="B562" s="598"/>
      <c r="E562" s="598"/>
      <c r="F562" s="598"/>
    </row>
    <row r="563" spans="2:6" x14ac:dyDescent="0.2">
      <c r="B563" s="598"/>
      <c r="E563" s="598"/>
      <c r="F563" s="598"/>
    </row>
    <row r="564" spans="2:6" x14ac:dyDescent="0.2">
      <c r="B564" s="598"/>
      <c r="E564" s="598"/>
      <c r="F564" s="598"/>
    </row>
    <row r="565" spans="2:6" x14ac:dyDescent="0.2">
      <c r="B565" s="598"/>
      <c r="E565" s="598"/>
      <c r="F565" s="598"/>
    </row>
    <row r="566" spans="2:6" x14ac:dyDescent="0.2">
      <c r="B566" s="598"/>
      <c r="E566" s="598"/>
      <c r="F566" s="598"/>
    </row>
    <row r="567" spans="2:6" x14ac:dyDescent="0.2">
      <c r="B567" s="598"/>
      <c r="E567" s="598"/>
      <c r="F567" s="598"/>
    </row>
    <row r="568" spans="2:6" x14ac:dyDescent="0.2">
      <c r="B568" s="598"/>
      <c r="E568" s="598"/>
      <c r="F568" s="598"/>
    </row>
    <row r="569" spans="2:6" x14ac:dyDescent="0.2">
      <c r="B569" s="598"/>
      <c r="E569" s="598"/>
      <c r="F569" s="598"/>
    </row>
    <row r="570" spans="2:6" x14ac:dyDescent="0.2">
      <c r="B570" s="598"/>
      <c r="E570" s="598"/>
      <c r="F570" s="598"/>
    </row>
    <row r="571" spans="2:6" x14ac:dyDescent="0.2">
      <c r="B571" s="598"/>
      <c r="E571" s="598"/>
      <c r="F571" s="598"/>
    </row>
    <row r="572" spans="2:6" x14ac:dyDescent="0.2">
      <c r="B572" s="598"/>
      <c r="E572" s="598"/>
      <c r="F572" s="598"/>
    </row>
    <row r="573" spans="2:6" x14ac:dyDescent="0.2">
      <c r="B573" s="598"/>
      <c r="E573" s="598"/>
      <c r="F573" s="598"/>
    </row>
    <row r="574" spans="2:6" x14ac:dyDescent="0.2">
      <c r="B574" s="598"/>
      <c r="E574" s="598"/>
      <c r="F574" s="598"/>
    </row>
    <row r="575" spans="2:6" x14ac:dyDescent="0.2">
      <c r="B575" s="598"/>
      <c r="E575" s="598"/>
      <c r="F575" s="598"/>
    </row>
    <row r="576" spans="2:6" x14ac:dyDescent="0.2">
      <c r="B576" s="598"/>
      <c r="E576" s="598"/>
      <c r="F576" s="598"/>
    </row>
    <row r="577" spans="2:6" x14ac:dyDescent="0.2">
      <c r="B577" s="598"/>
      <c r="E577" s="598"/>
      <c r="F577" s="598"/>
    </row>
    <row r="578" spans="2:6" x14ac:dyDescent="0.2">
      <c r="B578" s="598"/>
      <c r="E578" s="598"/>
      <c r="F578" s="598"/>
    </row>
    <row r="579" spans="2:6" x14ac:dyDescent="0.2">
      <c r="B579" s="598"/>
      <c r="E579" s="598"/>
      <c r="F579" s="598"/>
    </row>
    <row r="580" spans="2:6" x14ac:dyDescent="0.2">
      <c r="B580" s="598"/>
      <c r="E580" s="598"/>
      <c r="F580" s="598"/>
    </row>
    <row r="581" spans="2:6" x14ac:dyDescent="0.2">
      <c r="B581" s="598"/>
      <c r="E581" s="598"/>
      <c r="F581" s="598"/>
    </row>
    <row r="582" spans="2:6" x14ac:dyDescent="0.2">
      <c r="B582" s="598"/>
      <c r="E582" s="598"/>
      <c r="F582" s="598"/>
    </row>
    <row r="583" spans="2:6" x14ac:dyDescent="0.2">
      <c r="B583" s="598"/>
      <c r="E583" s="598"/>
      <c r="F583" s="598"/>
    </row>
    <row r="584" spans="2:6" x14ac:dyDescent="0.2">
      <c r="B584" s="598"/>
      <c r="E584" s="598"/>
      <c r="F584" s="598"/>
    </row>
    <row r="585" spans="2:6" x14ac:dyDescent="0.2">
      <c r="B585" s="598"/>
      <c r="E585" s="598"/>
      <c r="F585" s="598"/>
    </row>
    <row r="586" spans="2:6" x14ac:dyDescent="0.2">
      <c r="B586" s="598"/>
      <c r="E586" s="598"/>
      <c r="F586" s="598"/>
    </row>
    <row r="587" spans="2:6" x14ac:dyDescent="0.2">
      <c r="B587" s="598"/>
      <c r="E587" s="598"/>
      <c r="F587" s="598"/>
    </row>
    <row r="588" spans="2:6" x14ac:dyDescent="0.2">
      <c r="B588" s="598"/>
      <c r="E588" s="598"/>
      <c r="F588" s="598"/>
    </row>
    <row r="589" spans="2:6" x14ac:dyDescent="0.2">
      <c r="B589" s="598"/>
      <c r="E589" s="598"/>
      <c r="F589" s="598"/>
    </row>
    <row r="590" spans="2:6" x14ac:dyDescent="0.2">
      <c r="B590" s="598"/>
      <c r="E590" s="598"/>
      <c r="F590" s="598"/>
    </row>
    <row r="591" spans="2:6" x14ac:dyDescent="0.2">
      <c r="B591" s="598"/>
      <c r="E591" s="598"/>
      <c r="F591" s="598"/>
    </row>
    <row r="592" spans="2:6" x14ac:dyDescent="0.2">
      <c r="B592" s="598"/>
      <c r="E592" s="598"/>
      <c r="F592" s="598"/>
    </row>
    <row r="593" spans="2:6" x14ac:dyDescent="0.2">
      <c r="B593" s="598"/>
      <c r="E593" s="598"/>
      <c r="F593" s="598"/>
    </row>
    <row r="594" spans="2:6" x14ac:dyDescent="0.2">
      <c r="B594" s="598"/>
      <c r="E594" s="598"/>
      <c r="F594" s="598"/>
    </row>
    <row r="595" spans="2:6" x14ac:dyDescent="0.2">
      <c r="B595" s="598"/>
      <c r="E595" s="598"/>
      <c r="F595" s="598"/>
    </row>
    <row r="596" spans="2:6" x14ac:dyDescent="0.2">
      <c r="B596" s="598"/>
      <c r="E596" s="598"/>
      <c r="F596" s="598"/>
    </row>
    <row r="597" spans="2:6" x14ac:dyDescent="0.2">
      <c r="B597" s="598"/>
      <c r="E597" s="598"/>
      <c r="F597" s="598"/>
    </row>
    <row r="598" spans="2:6" x14ac:dyDescent="0.2">
      <c r="B598" s="598"/>
      <c r="E598" s="598"/>
      <c r="F598" s="598"/>
    </row>
    <row r="599" spans="2:6" x14ac:dyDescent="0.2">
      <c r="B599" s="598"/>
      <c r="E599" s="598"/>
      <c r="F599" s="598"/>
    </row>
    <row r="600" spans="2:6" x14ac:dyDescent="0.2">
      <c r="B600" s="598"/>
      <c r="E600" s="598"/>
      <c r="F600" s="598"/>
    </row>
    <row r="601" spans="2:6" x14ac:dyDescent="0.2">
      <c r="B601" s="598"/>
      <c r="E601" s="598"/>
      <c r="F601" s="598"/>
    </row>
    <row r="602" spans="2:6" x14ac:dyDescent="0.2">
      <c r="B602" s="598"/>
      <c r="E602" s="598"/>
      <c r="F602" s="598"/>
    </row>
    <row r="603" spans="2:6" x14ac:dyDescent="0.2">
      <c r="B603" s="598"/>
      <c r="E603" s="598"/>
      <c r="F603" s="598"/>
    </row>
    <row r="604" spans="2:6" x14ac:dyDescent="0.2">
      <c r="B604" s="598"/>
      <c r="E604" s="598"/>
      <c r="F604" s="598"/>
    </row>
    <row r="605" spans="2:6" x14ac:dyDescent="0.2">
      <c r="B605" s="598"/>
      <c r="E605" s="598"/>
      <c r="F605" s="598"/>
    </row>
    <row r="606" spans="2:6" x14ac:dyDescent="0.2">
      <c r="B606" s="598"/>
      <c r="E606" s="598"/>
      <c r="F606" s="598"/>
    </row>
    <row r="607" spans="2:6" x14ac:dyDescent="0.2">
      <c r="B607" s="598"/>
      <c r="E607" s="598"/>
      <c r="F607" s="598"/>
    </row>
    <row r="608" spans="2:6" x14ac:dyDescent="0.2">
      <c r="B608" s="598"/>
      <c r="E608" s="598"/>
      <c r="F608" s="598"/>
    </row>
    <row r="609" spans="2:6" x14ac:dyDescent="0.2">
      <c r="B609" s="598"/>
      <c r="E609" s="598"/>
      <c r="F609" s="598"/>
    </row>
    <row r="610" spans="2:6" x14ac:dyDescent="0.2">
      <c r="B610" s="598"/>
      <c r="E610" s="598"/>
      <c r="F610" s="598"/>
    </row>
    <row r="611" spans="2:6" x14ac:dyDescent="0.2">
      <c r="B611" s="598"/>
      <c r="E611" s="598"/>
      <c r="F611" s="598"/>
    </row>
    <row r="612" spans="2:6" x14ac:dyDescent="0.2">
      <c r="B612" s="598"/>
      <c r="E612" s="598"/>
      <c r="F612" s="598"/>
    </row>
    <row r="613" spans="2:6" x14ac:dyDescent="0.2">
      <c r="B613" s="598"/>
      <c r="E613" s="598"/>
      <c r="F613" s="598"/>
    </row>
    <row r="614" spans="2:6" x14ac:dyDescent="0.2">
      <c r="B614" s="598"/>
      <c r="E614" s="598"/>
      <c r="F614" s="598"/>
    </row>
    <row r="615" spans="2:6" x14ac:dyDescent="0.2">
      <c r="B615" s="598"/>
      <c r="E615" s="598"/>
      <c r="F615" s="598"/>
    </row>
    <row r="616" spans="2:6" x14ac:dyDescent="0.2">
      <c r="B616" s="598"/>
      <c r="E616" s="598"/>
      <c r="F616" s="598"/>
    </row>
    <row r="617" spans="2:6" x14ac:dyDescent="0.2">
      <c r="B617" s="598"/>
      <c r="E617" s="598"/>
      <c r="F617" s="598"/>
    </row>
    <row r="618" spans="2:6" x14ac:dyDescent="0.2">
      <c r="B618" s="598"/>
      <c r="E618" s="598"/>
      <c r="F618" s="598"/>
    </row>
    <row r="619" spans="2:6" x14ac:dyDescent="0.2">
      <c r="B619" s="598"/>
      <c r="E619" s="598"/>
      <c r="F619" s="598"/>
    </row>
    <row r="620" spans="2:6" x14ac:dyDescent="0.2">
      <c r="B620" s="598"/>
      <c r="E620" s="598"/>
      <c r="F620" s="598"/>
    </row>
    <row r="621" spans="2:6" x14ac:dyDescent="0.2">
      <c r="B621" s="598"/>
      <c r="E621" s="598"/>
      <c r="F621" s="598"/>
    </row>
    <row r="622" spans="2:6" x14ac:dyDescent="0.2">
      <c r="B622" s="598"/>
      <c r="E622" s="598"/>
      <c r="F622" s="598"/>
    </row>
    <row r="623" spans="2:6" x14ac:dyDescent="0.2">
      <c r="B623" s="598"/>
      <c r="E623" s="598"/>
      <c r="F623" s="598"/>
    </row>
    <row r="624" spans="2:6" x14ac:dyDescent="0.2">
      <c r="B624" s="598"/>
      <c r="E624" s="598"/>
      <c r="F624" s="598"/>
    </row>
    <row r="625" spans="2:6" x14ac:dyDescent="0.2">
      <c r="B625" s="598"/>
      <c r="E625" s="598"/>
      <c r="F625" s="598"/>
    </row>
    <row r="626" spans="2:6" x14ac:dyDescent="0.2">
      <c r="B626" s="598"/>
      <c r="E626" s="598"/>
      <c r="F626" s="598"/>
    </row>
    <row r="627" spans="2:6" x14ac:dyDescent="0.2">
      <c r="B627" s="598"/>
      <c r="E627" s="598"/>
      <c r="F627" s="598"/>
    </row>
    <row r="628" spans="2:6" x14ac:dyDescent="0.2">
      <c r="B628" s="598"/>
      <c r="E628" s="598"/>
      <c r="F628" s="598"/>
    </row>
    <row r="629" spans="2:6" x14ac:dyDescent="0.2">
      <c r="B629" s="598"/>
      <c r="E629" s="598"/>
      <c r="F629" s="598"/>
    </row>
    <row r="630" spans="2:6" x14ac:dyDescent="0.2">
      <c r="B630" s="598"/>
      <c r="E630" s="598"/>
      <c r="F630" s="598"/>
    </row>
    <row r="631" spans="2:6" x14ac:dyDescent="0.2">
      <c r="B631" s="598"/>
      <c r="E631" s="598"/>
      <c r="F631" s="598"/>
    </row>
    <row r="632" spans="2:6" x14ac:dyDescent="0.2">
      <c r="B632" s="598"/>
      <c r="E632" s="598"/>
      <c r="F632" s="598"/>
    </row>
    <row r="633" spans="2:6" x14ac:dyDescent="0.2">
      <c r="B633" s="598"/>
      <c r="E633" s="598"/>
      <c r="F633" s="598"/>
    </row>
    <row r="634" spans="2:6" x14ac:dyDescent="0.2">
      <c r="B634" s="598"/>
      <c r="E634" s="598"/>
      <c r="F634" s="598"/>
    </row>
    <row r="635" spans="2:6" x14ac:dyDescent="0.2">
      <c r="B635" s="598"/>
      <c r="E635" s="598"/>
      <c r="F635" s="598"/>
    </row>
    <row r="636" spans="2:6" x14ac:dyDescent="0.2">
      <c r="B636" s="598"/>
      <c r="E636" s="598"/>
      <c r="F636" s="598"/>
    </row>
    <row r="637" spans="2:6" x14ac:dyDescent="0.2">
      <c r="B637" s="598"/>
      <c r="E637" s="598"/>
      <c r="F637" s="598"/>
    </row>
    <row r="638" spans="2:6" x14ac:dyDescent="0.2">
      <c r="B638" s="598"/>
      <c r="E638" s="598"/>
      <c r="F638" s="598"/>
    </row>
    <row r="639" spans="2:6" x14ac:dyDescent="0.2">
      <c r="B639" s="598"/>
      <c r="E639" s="598"/>
      <c r="F639" s="598"/>
    </row>
    <row r="640" spans="2:6" x14ac:dyDescent="0.2">
      <c r="B640" s="598"/>
      <c r="E640" s="598"/>
      <c r="F640" s="598"/>
    </row>
    <row r="641" spans="2:6" x14ac:dyDescent="0.2">
      <c r="B641" s="598"/>
      <c r="E641" s="598"/>
      <c r="F641" s="598"/>
    </row>
    <row r="642" spans="2:6" x14ac:dyDescent="0.2">
      <c r="B642" s="598"/>
      <c r="E642" s="598"/>
      <c r="F642" s="598"/>
    </row>
    <row r="643" spans="2:6" x14ac:dyDescent="0.2">
      <c r="B643" s="598"/>
      <c r="E643" s="598"/>
      <c r="F643" s="598"/>
    </row>
    <row r="644" spans="2:6" x14ac:dyDescent="0.2">
      <c r="B644" s="598"/>
      <c r="E644" s="598"/>
      <c r="F644" s="598"/>
    </row>
    <row r="645" spans="2:6" x14ac:dyDescent="0.2">
      <c r="B645" s="598"/>
      <c r="E645" s="598"/>
      <c r="F645" s="598"/>
    </row>
    <row r="646" spans="2:6" x14ac:dyDescent="0.2">
      <c r="B646" s="598"/>
      <c r="E646" s="598"/>
      <c r="F646" s="598"/>
    </row>
    <row r="647" spans="2:6" x14ac:dyDescent="0.2">
      <c r="B647" s="598"/>
      <c r="E647" s="598"/>
      <c r="F647" s="598"/>
    </row>
    <row r="648" spans="2:6" x14ac:dyDescent="0.2">
      <c r="B648" s="598"/>
      <c r="E648" s="598"/>
      <c r="F648" s="598"/>
    </row>
    <row r="649" spans="2:6" x14ac:dyDescent="0.2">
      <c r="B649" s="598"/>
      <c r="E649" s="598"/>
      <c r="F649" s="598"/>
    </row>
    <row r="650" spans="2:6" x14ac:dyDescent="0.2">
      <c r="B650" s="598"/>
      <c r="E650" s="598"/>
      <c r="F650" s="598"/>
    </row>
    <row r="651" spans="2:6" x14ac:dyDescent="0.2">
      <c r="B651" s="598"/>
      <c r="E651" s="598"/>
      <c r="F651" s="598"/>
    </row>
    <row r="652" spans="2:6" x14ac:dyDescent="0.2">
      <c r="B652" s="598"/>
      <c r="E652" s="598"/>
      <c r="F652" s="598"/>
    </row>
    <row r="653" spans="2:6" x14ac:dyDescent="0.2">
      <c r="B653" s="598"/>
      <c r="E653" s="598"/>
      <c r="F653" s="598"/>
    </row>
    <row r="654" spans="2:6" x14ac:dyDescent="0.2">
      <c r="B654" s="598"/>
      <c r="E654" s="598"/>
      <c r="F654" s="598"/>
    </row>
    <row r="655" spans="2:6" x14ac:dyDescent="0.2">
      <c r="B655" s="598"/>
      <c r="E655" s="598"/>
      <c r="F655" s="598"/>
    </row>
    <row r="656" spans="2:6" x14ac:dyDescent="0.2">
      <c r="B656" s="598"/>
      <c r="E656" s="598"/>
      <c r="F656" s="598"/>
    </row>
    <row r="657" spans="2:6" x14ac:dyDescent="0.2">
      <c r="B657" s="598"/>
      <c r="E657" s="598"/>
      <c r="F657" s="598"/>
    </row>
    <row r="658" spans="2:6" x14ac:dyDescent="0.2">
      <c r="B658" s="598"/>
      <c r="E658" s="598"/>
      <c r="F658" s="598"/>
    </row>
    <row r="659" spans="2:6" x14ac:dyDescent="0.2">
      <c r="B659" s="598"/>
      <c r="E659" s="598"/>
      <c r="F659" s="598"/>
    </row>
    <row r="660" spans="2:6" x14ac:dyDescent="0.2">
      <c r="B660" s="598"/>
      <c r="E660" s="598"/>
      <c r="F660" s="598"/>
    </row>
    <row r="661" spans="2:6" x14ac:dyDescent="0.2">
      <c r="B661" s="598"/>
      <c r="E661" s="598"/>
      <c r="F661" s="598"/>
    </row>
    <row r="662" spans="2:6" x14ac:dyDescent="0.2">
      <c r="B662" s="598"/>
      <c r="E662" s="598"/>
      <c r="F662" s="598"/>
    </row>
    <row r="663" spans="2:6" x14ac:dyDescent="0.2">
      <c r="B663" s="598"/>
      <c r="E663" s="598"/>
      <c r="F663" s="598"/>
    </row>
    <row r="664" spans="2:6" x14ac:dyDescent="0.2">
      <c r="B664" s="598"/>
      <c r="E664" s="598"/>
      <c r="F664" s="598"/>
    </row>
    <row r="665" spans="2:6" x14ac:dyDescent="0.2">
      <c r="B665" s="598"/>
      <c r="E665" s="598"/>
      <c r="F665" s="598"/>
    </row>
    <row r="666" spans="2:6" x14ac:dyDescent="0.2">
      <c r="B666" s="598"/>
      <c r="E666" s="598"/>
      <c r="F666" s="598"/>
    </row>
    <row r="667" spans="2:6" x14ac:dyDescent="0.2">
      <c r="B667" s="598"/>
      <c r="E667" s="598"/>
      <c r="F667" s="598"/>
    </row>
    <row r="668" spans="2:6" x14ac:dyDescent="0.2">
      <c r="B668" s="598"/>
      <c r="E668" s="598"/>
      <c r="F668" s="598"/>
    </row>
    <row r="669" spans="2:6" x14ac:dyDescent="0.2">
      <c r="B669" s="598"/>
      <c r="E669" s="598"/>
      <c r="F669" s="598"/>
    </row>
    <row r="670" spans="2:6" x14ac:dyDescent="0.2">
      <c r="B670" s="598"/>
      <c r="E670" s="598"/>
      <c r="F670" s="598"/>
    </row>
    <row r="671" spans="2:6" x14ac:dyDescent="0.2">
      <c r="B671" s="598"/>
      <c r="E671" s="598"/>
      <c r="F671" s="598"/>
    </row>
    <row r="672" spans="2:6" x14ac:dyDescent="0.2">
      <c r="B672" s="598"/>
      <c r="E672" s="598"/>
      <c r="F672" s="598"/>
    </row>
    <row r="673" spans="2:6" x14ac:dyDescent="0.2">
      <c r="B673" s="598"/>
      <c r="E673" s="598"/>
      <c r="F673" s="598"/>
    </row>
    <row r="674" spans="2:6" x14ac:dyDescent="0.2">
      <c r="B674" s="598"/>
      <c r="E674" s="598"/>
      <c r="F674" s="598"/>
    </row>
    <row r="675" spans="2:6" x14ac:dyDescent="0.2">
      <c r="B675" s="598"/>
      <c r="E675" s="598"/>
      <c r="F675" s="598"/>
    </row>
    <row r="676" spans="2:6" x14ac:dyDescent="0.2">
      <c r="B676" s="598"/>
      <c r="E676" s="598"/>
      <c r="F676" s="598"/>
    </row>
    <row r="677" spans="2:6" x14ac:dyDescent="0.2">
      <c r="B677" s="598"/>
      <c r="E677" s="598"/>
      <c r="F677" s="598"/>
    </row>
    <row r="678" spans="2:6" x14ac:dyDescent="0.2">
      <c r="B678" s="598"/>
      <c r="E678" s="598"/>
      <c r="F678" s="598"/>
    </row>
    <row r="679" spans="2:6" x14ac:dyDescent="0.2">
      <c r="B679" s="598"/>
      <c r="E679" s="598"/>
      <c r="F679" s="598"/>
    </row>
    <row r="680" spans="2:6" x14ac:dyDescent="0.2">
      <c r="B680" s="598"/>
      <c r="E680" s="598"/>
      <c r="F680" s="598"/>
    </row>
    <row r="681" spans="2:6" x14ac:dyDescent="0.2">
      <c r="B681" s="598"/>
      <c r="E681" s="598"/>
      <c r="F681" s="598"/>
    </row>
    <row r="682" spans="2:6" x14ac:dyDescent="0.2">
      <c r="B682" s="598"/>
      <c r="E682" s="598"/>
      <c r="F682" s="598"/>
    </row>
    <row r="683" spans="2:6" x14ac:dyDescent="0.2">
      <c r="B683" s="598"/>
      <c r="E683" s="598"/>
      <c r="F683" s="598"/>
    </row>
    <row r="684" spans="2:6" x14ac:dyDescent="0.2">
      <c r="B684" s="598"/>
      <c r="E684" s="598"/>
      <c r="F684" s="598"/>
    </row>
    <row r="685" spans="2:6" x14ac:dyDescent="0.2">
      <c r="B685" s="598"/>
      <c r="E685" s="598"/>
      <c r="F685" s="598"/>
    </row>
    <row r="686" spans="2:6" x14ac:dyDescent="0.2">
      <c r="B686" s="598"/>
      <c r="E686" s="598"/>
      <c r="F686" s="598"/>
    </row>
    <row r="687" spans="2:6" x14ac:dyDescent="0.2">
      <c r="B687" s="598"/>
      <c r="E687" s="598"/>
      <c r="F687" s="598"/>
    </row>
    <row r="688" spans="2:6" x14ac:dyDescent="0.2">
      <c r="B688" s="598"/>
      <c r="E688" s="598"/>
      <c r="F688" s="598"/>
    </row>
    <row r="689" spans="2:6" x14ac:dyDescent="0.2">
      <c r="B689" s="598"/>
      <c r="E689" s="598"/>
      <c r="F689" s="598"/>
    </row>
    <row r="690" spans="2:6" x14ac:dyDescent="0.2">
      <c r="B690" s="598"/>
      <c r="E690" s="598"/>
      <c r="F690" s="598"/>
    </row>
    <row r="691" spans="2:6" x14ac:dyDescent="0.2">
      <c r="B691" s="598"/>
      <c r="E691" s="598"/>
      <c r="F691" s="598"/>
    </row>
    <row r="692" spans="2:6" x14ac:dyDescent="0.2">
      <c r="B692" s="598"/>
      <c r="E692" s="598"/>
      <c r="F692" s="598"/>
    </row>
    <row r="693" spans="2:6" x14ac:dyDescent="0.2">
      <c r="B693" s="598"/>
      <c r="E693" s="598"/>
      <c r="F693" s="598"/>
    </row>
    <row r="694" spans="2:6" x14ac:dyDescent="0.2">
      <c r="B694" s="598"/>
      <c r="E694" s="598"/>
      <c r="F694" s="598"/>
    </row>
    <row r="695" spans="2:6" x14ac:dyDescent="0.2">
      <c r="B695" s="598"/>
      <c r="E695" s="598"/>
      <c r="F695" s="598"/>
    </row>
    <row r="696" spans="2:6" x14ac:dyDescent="0.2">
      <c r="B696" s="598"/>
      <c r="E696" s="598"/>
      <c r="F696" s="598"/>
    </row>
    <row r="697" spans="2:6" x14ac:dyDescent="0.2">
      <c r="B697" s="598"/>
      <c r="E697" s="598"/>
      <c r="F697" s="598"/>
    </row>
    <row r="698" spans="2:6" x14ac:dyDescent="0.2">
      <c r="B698" s="598"/>
      <c r="E698" s="598"/>
      <c r="F698" s="598"/>
    </row>
    <row r="699" spans="2:6" x14ac:dyDescent="0.2">
      <c r="B699" s="598"/>
      <c r="E699" s="598"/>
      <c r="F699" s="598"/>
    </row>
    <row r="700" spans="2:6" x14ac:dyDescent="0.2">
      <c r="B700" s="598"/>
      <c r="E700" s="598"/>
      <c r="F700" s="598"/>
    </row>
    <row r="701" spans="2:6" x14ac:dyDescent="0.2">
      <c r="B701" s="598"/>
      <c r="E701" s="598"/>
      <c r="F701" s="598"/>
    </row>
    <row r="702" spans="2:6" x14ac:dyDescent="0.2">
      <c r="B702" s="598"/>
      <c r="E702" s="598"/>
      <c r="F702" s="598"/>
    </row>
    <row r="703" spans="2:6" x14ac:dyDescent="0.2">
      <c r="B703" s="598"/>
      <c r="E703" s="598"/>
      <c r="F703" s="598"/>
    </row>
    <row r="704" spans="2:6" x14ac:dyDescent="0.2">
      <c r="B704" s="598"/>
      <c r="E704" s="598"/>
      <c r="F704" s="598"/>
    </row>
    <row r="705" spans="2:6" x14ac:dyDescent="0.2">
      <c r="B705" s="598"/>
      <c r="E705" s="598"/>
      <c r="F705" s="598"/>
    </row>
    <row r="706" spans="2:6" x14ac:dyDescent="0.2">
      <c r="B706" s="598"/>
      <c r="E706" s="598"/>
      <c r="F706" s="598"/>
    </row>
    <row r="707" spans="2:6" x14ac:dyDescent="0.2">
      <c r="B707" s="598"/>
      <c r="E707" s="598"/>
      <c r="F707" s="598"/>
    </row>
    <row r="708" spans="2:6" x14ac:dyDescent="0.2">
      <c r="B708" s="598"/>
      <c r="E708" s="598"/>
      <c r="F708" s="598"/>
    </row>
    <row r="709" spans="2:6" x14ac:dyDescent="0.2">
      <c r="B709" s="598"/>
      <c r="E709" s="598"/>
      <c r="F709" s="598"/>
    </row>
    <row r="710" spans="2:6" x14ac:dyDescent="0.2">
      <c r="B710" s="598"/>
      <c r="E710" s="598"/>
      <c r="F710" s="598"/>
    </row>
    <row r="711" spans="2:6" x14ac:dyDescent="0.2">
      <c r="B711" s="598"/>
      <c r="E711" s="598"/>
      <c r="F711" s="598"/>
    </row>
    <row r="712" spans="2:6" x14ac:dyDescent="0.2">
      <c r="B712" s="598"/>
      <c r="E712" s="598"/>
      <c r="F712" s="598"/>
    </row>
    <row r="713" spans="2:6" x14ac:dyDescent="0.2">
      <c r="B713" s="598"/>
      <c r="E713" s="598"/>
      <c r="F713" s="598"/>
    </row>
    <row r="714" spans="2:6" x14ac:dyDescent="0.2">
      <c r="B714" s="598"/>
      <c r="E714" s="598"/>
      <c r="F714" s="598"/>
    </row>
    <row r="715" spans="2:6" x14ac:dyDescent="0.2">
      <c r="B715" s="598"/>
      <c r="E715" s="598"/>
      <c r="F715" s="598"/>
    </row>
    <row r="716" spans="2:6" x14ac:dyDescent="0.2">
      <c r="B716" s="598"/>
      <c r="E716" s="598"/>
      <c r="F716" s="598"/>
    </row>
    <row r="717" spans="2:6" x14ac:dyDescent="0.2">
      <c r="B717" s="598"/>
      <c r="E717" s="598"/>
      <c r="F717" s="598"/>
    </row>
    <row r="718" spans="2:6" x14ac:dyDescent="0.2">
      <c r="B718" s="598"/>
      <c r="E718" s="598"/>
      <c r="F718" s="598"/>
    </row>
    <row r="719" spans="2:6" x14ac:dyDescent="0.2">
      <c r="B719" s="598"/>
      <c r="E719" s="598"/>
      <c r="F719" s="598"/>
    </row>
    <row r="720" spans="2:6" x14ac:dyDescent="0.2">
      <c r="B720" s="598"/>
      <c r="E720" s="598"/>
      <c r="F720" s="598"/>
    </row>
    <row r="721" spans="2:6" x14ac:dyDescent="0.2">
      <c r="B721" s="598"/>
      <c r="E721" s="598"/>
      <c r="F721" s="598"/>
    </row>
    <row r="722" spans="2:6" x14ac:dyDescent="0.2">
      <c r="B722" s="598"/>
      <c r="E722" s="598"/>
      <c r="F722" s="598"/>
    </row>
    <row r="723" spans="2:6" x14ac:dyDescent="0.2">
      <c r="B723" s="598"/>
      <c r="E723" s="598"/>
      <c r="F723" s="598"/>
    </row>
    <row r="724" spans="2:6" x14ac:dyDescent="0.2">
      <c r="B724" s="598"/>
      <c r="E724" s="598"/>
      <c r="F724" s="598"/>
    </row>
    <row r="725" spans="2:6" x14ac:dyDescent="0.2">
      <c r="B725" s="598"/>
      <c r="E725" s="598"/>
      <c r="F725" s="598"/>
    </row>
    <row r="726" spans="2:6" x14ac:dyDescent="0.2">
      <c r="B726" s="598"/>
      <c r="E726" s="598"/>
      <c r="F726" s="598"/>
    </row>
    <row r="727" spans="2:6" x14ac:dyDescent="0.2">
      <c r="B727" s="598"/>
      <c r="E727" s="598"/>
      <c r="F727" s="598"/>
    </row>
    <row r="728" spans="2:6" x14ac:dyDescent="0.2">
      <c r="B728" s="598"/>
      <c r="E728" s="598"/>
      <c r="F728" s="598"/>
    </row>
    <row r="729" spans="2:6" x14ac:dyDescent="0.2">
      <c r="B729" s="598"/>
      <c r="E729" s="598"/>
      <c r="F729" s="598"/>
    </row>
    <row r="730" spans="2:6" x14ac:dyDescent="0.2">
      <c r="B730" s="598"/>
      <c r="E730" s="598"/>
      <c r="F730" s="598"/>
    </row>
    <row r="731" spans="2:6" x14ac:dyDescent="0.2">
      <c r="B731" s="598"/>
      <c r="E731" s="598"/>
      <c r="F731" s="598"/>
    </row>
    <row r="732" spans="2:6" x14ac:dyDescent="0.2">
      <c r="B732" s="598"/>
      <c r="E732" s="598"/>
      <c r="F732" s="598"/>
    </row>
    <row r="733" spans="2:6" x14ac:dyDescent="0.2">
      <c r="B733" s="598"/>
      <c r="E733" s="598"/>
      <c r="F733" s="598"/>
    </row>
    <row r="734" spans="2:6" x14ac:dyDescent="0.2">
      <c r="B734" s="598"/>
      <c r="E734" s="598"/>
      <c r="F734" s="598"/>
    </row>
    <row r="735" spans="2:6" x14ac:dyDescent="0.2">
      <c r="B735" s="598"/>
      <c r="E735" s="598"/>
      <c r="F735" s="598"/>
    </row>
    <row r="736" spans="2:6" x14ac:dyDescent="0.2">
      <c r="B736" s="598"/>
      <c r="E736" s="598"/>
      <c r="F736" s="598"/>
    </row>
    <row r="737" spans="2:6" x14ac:dyDescent="0.2">
      <c r="B737" s="598"/>
      <c r="E737" s="598"/>
      <c r="F737" s="598"/>
    </row>
    <row r="738" spans="2:6" x14ac:dyDescent="0.2">
      <c r="B738" s="598"/>
      <c r="E738" s="598"/>
      <c r="F738" s="598"/>
    </row>
    <row r="739" spans="2:6" x14ac:dyDescent="0.2">
      <c r="B739" s="598"/>
      <c r="E739" s="598"/>
      <c r="F739" s="598"/>
    </row>
    <row r="740" spans="2:6" x14ac:dyDescent="0.2">
      <c r="B740" s="598"/>
      <c r="E740" s="598"/>
      <c r="F740" s="598"/>
    </row>
    <row r="741" spans="2:6" x14ac:dyDescent="0.2">
      <c r="B741" s="598"/>
      <c r="E741" s="598"/>
      <c r="F741" s="598"/>
    </row>
    <row r="742" spans="2:6" x14ac:dyDescent="0.2">
      <c r="B742" s="598"/>
      <c r="E742" s="598"/>
      <c r="F742" s="598"/>
    </row>
    <row r="743" spans="2:6" x14ac:dyDescent="0.2">
      <c r="B743" s="598"/>
      <c r="E743" s="598"/>
      <c r="F743" s="598"/>
    </row>
    <row r="744" spans="2:6" x14ac:dyDescent="0.2">
      <c r="B744" s="598"/>
      <c r="E744" s="598"/>
      <c r="F744" s="598"/>
    </row>
    <row r="745" spans="2:6" x14ac:dyDescent="0.2">
      <c r="B745" s="598"/>
      <c r="E745" s="598"/>
      <c r="F745" s="598"/>
    </row>
    <row r="746" spans="2:6" x14ac:dyDescent="0.2">
      <c r="B746" s="598"/>
      <c r="E746" s="598"/>
      <c r="F746" s="598"/>
    </row>
    <row r="747" spans="2:6" x14ac:dyDescent="0.2">
      <c r="B747" s="598"/>
      <c r="E747" s="598"/>
      <c r="F747" s="598"/>
    </row>
    <row r="748" spans="2:6" x14ac:dyDescent="0.2">
      <c r="B748" s="598"/>
      <c r="E748" s="598"/>
      <c r="F748" s="598"/>
    </row>
    <row r="749" spans="2:6" x14ac:dyDescent="0.2">
      <c r="B749" s="598"/>
      <c r="E749" s="598"/>
      <c r="F749" s="598"/>
    </row>
    <row r="750" spans="2:6" x14ac:dyDescent="0.2">
      <c r="B750" s="598"/>
      <c r="E750" s="598"/>
      <c r="F750" s="598"/>
    </row>
    <row r="751" spans="2:6" x14ac:dyDescent="0.2">
      <c r="B751" s="598"/>
      <c r="E751" s="598"/>
      <c r="F751" s="598"/>
    </row>
    <row r="752" spans="2:6" x14ac:dyDescent="0.2">
      <c r="B752" s="598"/>
      <c r="E752" s="598"/>
      <c r="F752" s="598"/>
    </row>
    <row r="753" spans="2:6" x14ac:dyDescent="0.2">
      <c r="B753" s="598"/>
      <c r="E753" s="598"/>
      <c r="F753" s="598"/>
    </row>
    <row r="754" spans="2:6" x14ac:dyDescent="0.2">
      <c r="B754" s="598"/>
      <c r="E754" s="598"/>
      <c r="F754" s="598"/>
    </row>
    <row r="755" spans="2:6" x14ac:dyDescent="0.2">
      <c r="B755" s="598"/>
      <c r="E755" s="598"/>
      <c r="F755" s="598"/>
    </row>
    <row r="756" spans="2:6" x14ac:dyDescent="0.2">
      <c r="B756" s="598"/>
      <c r="E756" s="598"/>
      <c r="F756" s="598"/>
    </row>
    <row r="757" spans="2:6" x14ac:dyDescent="0.2">
      <c r="B757" s="598"/>
      <c r="E757" s="598"/>
      <c r="F757" s="598"/>
    </row>
    <row r="758" spans="2:6" x14ac:dyDescent="0.2">
      <c r="B758" s="598"/>
      <c r="E758" s="598"/>
      <c r="F758" s="598"/>
    </row>
    <row r="759" spans="2:6" x14ac:dyDescent="0.2">
      <c r="B759" s="598"/>
      <c r="E759" s="598"/>
      <c r="F759" s="598"/>
    </row>
    <row r="760" spans="2:6" x14ac:dyDescent="0.2">
      <c r="B760" s="598"/>
      <c r="E760" s="598"/>
      <c r="F760" s="598"/>
    </row>
    <row r="761" spans="2:6" x14ac:dyDescent="0.2">
      <c r="B761" s="598"/>
      <c r="E761" s="598"/>
      <c r="F761" s="598"/>
    </row>
    <row r="762" spans="2:6" x14ac:dyDescent="0.2">
      <c r="B762" s="598"/>
      <c r="E762" s="598"/>
      <c r="F762" s="598"/>
    </row>
    <row r="763" spans="2:6" x14ac:dyDescent="0.2">
      <c r="B763" s="598"/>
      <c r="E763" s="598"/>
      <c r="F763" s="598"/>
    </row>
    <row r="764" spans="2:6" x14ac:dyDescent="0.2">
      <c r="B764" s="598"/>
      <c r="E764" s="598"/>
      <c r="F764" s="598"/>
    </row>
    <row r="765" spans="2:6" x14ac:dyDescent="0.2">
      <c r="B765" s="598"/>
      <c r="E765" s="598"/>
      <c r="F765" s="598"/>
    </row>
    <row r="766" spans="2:6" x14ac:dyDescent="0.2">
      <c r="B766" s="598"/>
      <c r="E766" s="598"/>
      <c r="F766" s="598"/>
    </row>
    <row r="767" spans="2:6" x14ac:dyDescent="0.2">
      <c r="B767" s="598"/>
      <c r="E767" s="598"/>
      <c r="F767" s="598"/>
    </row>
    <row r="768" spans="2:6" x14ac:dyDescent="0.2">
      <c r="B768" s="598"/>
      <c r="E768" s="598"/>
      <c r="F768" s="598"/>
    </row>
    <row r="769" spans="2:6" x14ac:dyDescent="0.2">
      <c r="B769" s="598"/>
      <c r="E769" s="598"/>
      <c r="F769" s="598"/>
    </row>
    <row r="770" spans="2:6" x14ac:dyDescent="0.2">
      <c r="B770" s="598"/>
      <c r="E770" s="598"/>
      <c r="F770" s="598"/>
    </row>
    <row r="771" spans="2:6" x14ac:dyDescent="0.2">
      <c r="B771" s="598"/>
      <c r="E771" s="598"/>
      <c r="F771" s="598"/>
    </row>
    <row r="772" spans="2:6" x14ac:dyDescent="0.2">
      <c r="B772" s="598"/>
      <c r="E772" s="598"/>
      <c r="F772" s="598"/>
    </row>
    <row r="773" spans="2:6" x14ac:dyDescent="0.2">
      <c r="B773" s="598"/>
      <c r="E773" s="598"/>
      <c r="F773" s="598"/>
    </row>
    <row r="774" spans="2:6" x14ac:dyDescent="0.2">
      <c r="B774" s="598"/>
      <c r="E774" s="598"/>
      <c r="F774" s="598"/>
    </row>
    <row r="775" spans="2:6" x14ac:dyDescent="0.2">
      <c r="B775" s="598"/>
      <c r="E775" s="598"/>
      <c r="F775" s="598"/>
    </row>
    <row r="776" spans="2:6" x14ac:dyDescent="0.2">
      <c r="B776" s="598"/>
      <c r="E776" s="598"/>
      <c r="F776" s="598"/>
    </row>
    <row r="777" spans="2:6" x14ac:dyDescent="0.2">
      <c r="B777" s="598"/>
      <c r="E777" s="598"/>
      <c r="F777" s="598"/>
    </row>
    <row r="778" spans="2:6" x14ac:dyDescent="0.2">
      <c r="B778" s="598"/>
      <c r="E778" s="598"/>
      <c r="F778" s="598"/>
    </row>
    <row r="779" spans="2:6" x14ac:dyDescent="0.2">
      <c r="B779" s="598"/>
      <c r="E779" s="598"/>
      <c r="F779" s="598"/>
    </row>
    <row r="780" spans="2:6" x14ac:dyDescent="0.2">
      <c r="B780" s="598"/>
      <c r="E780" s="598"/>
      <c r="F780" s="598"/>
    </row>
    <row r="781" spans="2:6" x14ac:dyDescent="0.2">
      <c r="B781" s="598"/>
      <c r="E781" s="598"/>
      <c r="F781" s="598"/>
    </row>
    <row r="782" spans="2:6" x14ac:dyDescent="0.2">
      <c r="B782" s="598"/>
      <c r="E782" s="598"/>
      <c r="F782" s="598"/>
    </row>
    <row r="783" spans="2:6" x14ac:dyDescent="0.2">
      <c r="B783" s="598"/>
      <c r="E783" s="598"/>
      <c r="F783" s="598"/>
    </row>
    <row r="784" spans="2:6" x14ac:dyDescent="0.2">
      <c r="B784" s="598"/>
      <c r="E784" s="598"/>
      <c r="F784" s="598"/>
    </row>
    <row r="785" spans="2:6" x14ac:dyDescent="0.2">
      <c r="B785" s="598"/>
      <c r="E785" s="598"/>
      <c r="F785" s="598"/>
    </row>
    <row r="786" spans="2:6" x14ac:dyDescent="0.2">
      <c r="B786" s="598"/>
      <c r="E786" s="598"/>
      <c r="F786" s="598"/>
    </row>
    <row r="787" spans="2:6" x14ac:dyDescent="0.2">
      <c r="B787" s="598"/>
      <c r="E787" s="598"/>
      <c r="F787" s="598"/>
    </row>
    <row r="788" spans="2:6" x14ac:dyDescent="0.2">
      <c r="B788" s="598"/>
      <c r="E788" s="598"/>
      <c r="F788" s="598"/>
    </row>
    <row r="789" spans="2:6" x14ac:dyDescent="0.2">
      <c r="B789" s="598"/>
      <c r="E789" s="598"/>
      <c r="F789" s="598"/>
    </row>
    <row r="790" spans="2:6" x14ac:dyDescent="0.2">
      <c r="B790" s="598"/>
      <c r="E790" s="598"/>
      <c r="F790" s="598"/>
    </row>
    <row r="791" spans="2:6" x14ac:dyDescent="0.2">
      <c r="B791" s="598"/>
      <c r="E791" s="598"/>
      <c r="F791" s="598"/>
    </row>
    <row r="792" spans="2:6" x14ac:dyDescent="0.2">
      <c r="B792" s="598"/>
      <c r="E792" s="598"/>
      <c r="F792" s="598"/>
    </row>
    <row r="793" spans="2:6" x14ac:dyDescent="0.2">
      <c r="B793" s="598"/>
      <c r="E793" s="598"/>
      <c r="F793" s="598"/>
    </row>
    <row r="794" spans="2:6" x14ac:dyDescent="0.2">
      <c r="B794" s="598"/>
      <c r="E794" s="598"/>
      <c r="F794" s="598"/>
    </row>
    <row r="795" spans="2:6" x14ac:dyDescent="0.2">
      <c r="B795" s="598"/>
      <c r="E795" s="598"/>
      <c r="F795" s="598"/>
    </row>
    <row r="796" spans="2:6" x14ac:dyDescent="0.2">
      <c r="B796" s="598"/>
      <c r="E796" s="598"/>
      <c r="F796" s="598"/>
    </row>
    <row r="797" spans="2:6" x14ac:dyDescent="0.2">
      <c r="B797" s="598"/>
      <c r="E797" s="598"/>
      <c r="F797" s="598"/>
    </row>
    <row r="798" spans="2:6" x14ac:dyDescent="0.2">
      <c r="B798" s="598"/>
      <c r="E798" s="598"/>
      <c r="F798" s="598"/>
    </row>
    <row r="799" spans="2:6" x14ac:dyDescent="0.2">
      <c r="B799" s="598"/>
      <c r="E799" s="598"/>
      <c r="F799" s="598"/>
    </row>
    <row r="800" spans="2:6" x14ac:dyDescent="0.2">
      <c r="B800" s="598"/>
      <c r="E800" s="598"/>
      <c r="F800" s="598"/>
    </row>
    <row r="801" spans="2:6" x14ac:dyDescent="0.2">
      <c r="B801" s="598"/>
      <c r="E801" s="598"/>
      <c r="F801" s="598"/>
    </row>
    <row r="802" spans="2:6" x14ac:dyDescent="0.2">
      <c r="B802" s="598"/>
      <c r="E802" s="598"/>
      <c r="F802" s="598"/>
    </row>
    <row r="803" spans="2:6" x14ac:dyDescent="0.2">
      <c r="B803" s="598"/>
      <c r="E803" s="598"/>
      <c r="F803" s="598"/>
    </row>
    <row r="804" spans="2:6" x14ac:dyDescent="0.2">
      <c r="B804" s="598"/>
      <c r="E804" s="598"/>
      <c r="F804" s="598"/>
    </row>
    <row r="805" spans="2:6" x14ac:dyDescent="0.2">
      <c r="B805" s="598"/>
      <c r="E805" s="598"/>
      <c r="F805" s="598"/>
    </row>
    <row r="806" spans="2:6" x14ac:dyDescent="0.2">
      <c r="B806" s="598"/>
      <c r="E806" s="598"/>
      <c r="F806" s="598"/>
    </row>
    <row r="807" spans="2:6" x14ac:dyDescent="0.2">
      <c r="B807" s="598"/>
      <c r="E807" s="598"/>
      <c r="F807" s="598"/>
    </row>
    <row r="808" spans="2:6" x14ac:dyDescent="0.2">
      <c r="B808" s="598"/>
      <c r="E808" s="598"/>
      <c r="F808" s="598"/>
    </row>
    <row r="809" spans="2:6" x14ac:dyDescent="0.2">
      <c r="B809" s="598"/>
      <c r="E809" s="598"/>
      <c r="F809" s="598"/>
    </row>
    <row r="810" spans="2:6" x14ac:dyDescent="0.2">
      <c r="B810" s="598"/>
      <c r="E810" s="598"/>
      <c r="F810" s="598"/>
    </row>
    <row r="811" spans="2:6" x14ac:dyDescent="0.2">
      <c r="B811" s="598"/>
      <c r="E811" s="598"/>
      <c r="F811" s="598"/>
    </row>
    <row r="812" spans="2:6" x14ac:dyDescent="0.2">
      <c r="B812" s="598"/>
      <c r="E812" s="598"/>
      <c r="F812" s="598"/>
    </row>
    <row r="813" spans="2:6" x14ac:dyDescent="0.2">
      <c r="B813" s="598"/>
      <c r="E813" s="598"/>
      <c r="F813" s="598"/>
    </row>
    <row r="814" spans="2:6" x14ac:dyDescent="0.2">
      <c r="B814" s="598"/>
      <c r="E814" s="598"/>
      <c r="F814" s="598"/>
    </row>
    <row r="815" spans="2:6" x14ac:dyDescent="0.2">
      <c r="B815" s="598"/>
      <c r="E815" s="598"/>
      <c r="F815" s="598"/>
    </row>
    <row r="816" spans="2:6" x14ac:dyDescent="0.2">
      <c r="B816" s="598"/>
      <c r="E816" s="598"/>
      <c r="F816" s="598"/>
    </row>
    <row r="817" spans="2:6" x14ac:dyDescent="0.2">
      <c r="B817" s="598"/>
      <c r="E817" s="598"/>
      <c r="F817" s="598"/>
    </row>
    <row r="818" spans="2:6" x14ac:dyDescent="0.2">
      <c r="B818" s="598"/>
      <c r="E818" s="598"/>
      <c r="F818" s="598"/>
    </row>
    <row r="819" spans="2:6" x14ac:dyDescent="0.2">
      <c r="B819" s="598"/>
      <c r="E819" s="598"/>
      <c r="F819" s="598"/>
    </row>
    <row r="820" spans="2:6" x14ac:dyDescent="0.2">
      <c r="B820" s="598"/>
      <c r="E820" s="598"/>
      <c r="F820" s="598"/>
    </row>
    <row r="821" spans="2:6" x14ac:dyDescent="0.2">
      <c r="B821" s="598"/>
      <c r="E821" s="598"/>
      <c r="F821" s="598"/>
    </row>
    <row r="822" spans="2:6" x14ac:dyDescent="0.2">
      <c r="B822" s="598"/>
      <c r="E822" s="598"/>
      <c r="F822" s="598"/>
    </row>
    <row r="823" spans="2:6" x14ac:dyDescent="0.2">
      <c r="B823" s="598"/>
      <c r="E823" s="598"/>
      <c r="F823" s="598"/>
    </row>
    <row r="824" spans="2:6" x14ac:dyDescent="0.2">
      <c r="B824" s="598"/>
      <c r="E824" s="598"/>
      <c r="F824" s="598"/>
    </row>
    <row r="825" spans="2:6" x14ac:dyDescent="0.2">
      <c r="B825" s="598"/>
      <c r="E825" s="598"/>
      <c r="F825" s="598"/>
    </row>
    <row r="826" spans="2:6" x14ac:dyDescent="0.2">
      <c r="B826" s="598"/>
      <c r="E826" s="598"/>
      <c r="F826" s="598"/>
    </row>
    <row r="827" spans="2:6" x14ac:dyDescent="0.2">
      <c r="B827" s="598"/>
      <c r="E827" s="598"/>
      <c r="F827" s="598"/>
    </row>
    <row r="828" spans="2:6" x14ac:dyDescent="0.2">
      <c r="B828" s="598"/>
      <c r="E828" s="598"/>
      <c r="F828" s="598"/>
    </row>
    <row r="829" spans="2:6" x14ac:dyDescent="0.2">
      <c r="B829" s="598"/>
      <c r="E829" s="598"/>
      <c r="F829" s="598"/>
    </row>
    <row r="830" spans="2:6" x14ac:dyDescent="0.2">
      <c r="B830" s="598"/>
      <c r="E830" s="598"/>
      <c r="F830" s="598"/>
    </row>
    <row r="831" spans="2:6" x14ac:dyDescent="0.2">
      <c r="B831" s="598"/>
      <c r="E831" s="598"/>
      <c r="F831" s="598"/>
    </row>
    <row r="832" spans="2:6" x14ac:dyDescent="0.2">
      <c r="B832" s="598"/>
      <c r="E832" s="598"/>
      <c r="F832" s="598"/>
    </row>
    <row r="833" spans="2:6" x14ac:dyDescent="0.2">
      <c r="B833" s="598"/>
      <c r="E833" s="598"/>
      <c r="F833" s="598"/>
    </row>
    <row r="834" spans="2:6" x14ac:dyDescent="0.2">
      <c r="B834" s="598"/>
      <c r="E834" s="598"/>
      <c r="F834" s="598"/>
    </row>
    <row r="835" spans="2:6" x14ac:dyDescent="0.2">
      <c r="B835" s="598"/>
      <c r="E835" s="598"/>
      <c r="F835" s="598"/>
    </row>
    <row r="836" spans="2:6" x14ac:dyDescent="0.2">
      <c r="B836" s="598"/>
      <c r="E836" s="598"/>
      <c r="F836" s="598"/>
    </row>
    <row r="837" spans="2:6" x14ac:dyDescent="0.2">
      <c r="B837" s="598"/>
      <c r="E837" s="598"/>
      <c r="F837" s="598"/>
    </row>
    <row r="838" spans="2:6" x14ac:dyDescent="0.2">
      <c r="B838" s="598"/>
      <c r="E838" s="598"/>
      <c r="F838" s="598"/>
    </row>
    <row r="839" spans="2:6" x14ac:dyDescent="0.2">
      <c r="B839" s="598"/>
      <c r="E839" s="598"/>
      <c r="F839" s="598"/>
    </row>
    <row r="840" spans="2:6" x14ac:dyDescent="0.2">
      <c r="B840" s="598"/>
      <c r="E840" s="598"/>
      <c r="F840" s="598"/>
    </row>
    <row r="841" spans="2:6" x14ac:dyDescent="0.2">
      <c r="B841" s="598"/>
      <c r="E841" s="598"/>
      <c r="F841" s="598"/>
    </row>
    <row r="842" spans="2:6" x14ac:dyDescent="0.2">
      <c r="B842" s="598"/>
      <c r="E842" s="598"/>
      <c r="F842" s="598"/>
    </row>
    <row r="843" spans="2:6" x14ac:dyDescent="0.2">
      <c r="B843" s="598"/>
      <c r="E843" s="598"/>
      <c r="F843" s="598"/>
    </row>
    <row r="844" spans="2:6" x14ac:dyDescent="0.2">
      <c r="B844" s="598"/>
      <c r="E844" s="598"/>
      <c r="F844" s="598"/>
    </row>
    <row r="845" spans="2:6" x14ac:dyDescent="0.2">
      <c r="B845" s="598"/>
      <c r="E845" s="598"/>
      <c r="F845" s="598"/>
    </row>
    <row r="846" spans="2:6" x14ac:dyDescent="0.2">
      <c r="B846" s="598"/>
      <c r="E846" s="598"/>
      <c r="F846" s="598"/>
    </row>
    <row r="847" spans="2:6" x14ac:dyDescent="0.2">
      <c r="B847" s="598"/>
      <c r="E847" s="598"/>
      <c r="F847" s="598"/>
    </row>
    <row r="848" spans="2:6" x14ac:dyDescent="0.2">
      <c r="B848" s="598"/>
      <c r="E848" s="598"/>
      <c r="F848" s="598"/>
    </row>
    <row r="849" spans="2:6" x14ac:dyDescent="0.2">
      <c r="B849" s="598"/>
      <c r="E849" s="598"/>
      <c r="F849" s="598"/>
    </row>
    <row r="850" spans="2:6" x14ac:dyDescent="0.2">
      <c r="B850" s="598"/>
      <c r="E850" s="598"/>
      <c r="F850" s="598"/>
    </row>
    <row r="851" spans="2:6" x14ac:dyDescent="0.2">
      <c r="B851" s="598"/>
      <c r="E851" s="598"/>
      <c r="F851" s="598"/>
    </row>
    <row r="852" spans="2:6" x14ac:dyDescent="0.2">
      <c r="B852" s="598"/>
      <c r="E852" s="598"/>
      <c r="F852" s="598"/>
    </row>
    <row r="853" spans="2:6" x14ac:dyDescent="0.2">
      <c r="B853" s="598"/>
      <c r="E853" s="598"/>
      <c r="F853" s="598"/>
    </row>
    <row r="854" spans="2:6" x14ac:dyDescent="0.2">
      <c r="B854" s="598"/>
      <c r="E854" s="598"/>
      <c r="F854" s="598"/>
    </row>
    <row r="855" spans="2:6" x14ac:dyDescent="0.2">
      <c r="B855" s="598"/>
      <c r="E855" s="598"/>
      <c r="F855" s="598"/>
    </row>
    <row r="856" spans="2:6" x14ac:dyDescent="0.2">
      <c r="B856" s="598"/>
      <c r="E856" s="598"/>
      <c r="F856" s="598"/>
    </row>
    <row r="857" spans="2:6" x14ac:dyDescent="0.2">
      <c r="B857" s="598"/>
      <c r="E857" s="598"/>
      <c r="F857" s="598"/>
    </row>
    <row r="858" spans="2:6" x14ac:dyDescent="0.2">
      <c r="B858" s="598"/>
      <c r="E858" s="598"/>
      <c r="F858" s="598"/>
    </row>
    <row r="859" spans="2:6" x14ac:dyDescent="0.2">
      <c r="B859" s="598"/>
      <c r="E859" s="598"/>
      <c r="F859" s="598"/>
    </row>
    <row r="860" spans="2:6" x14ac:dyDescent="0.2">
      <c r="B860" s="598"/>
      <c r="E860" s="598"/>
      <c r="F860" s="598"/>
    </row>
    <row r="861" spans="2:6" x14ac:dyDescent="0.2">
      <c r="B861" s="598"/>
      <c r="E861" s="598"/>
      <c r="F861" s="598"/>
    </row>
    <row r="862" spans="2:6" x14ac:dyDescent="0.2">
      <c r="B862" s="598"/>
      <c r="E862" s="598"/>
      <c r="F862" s="598"/>
    </row>
    <row r="863" spans="2:6" x14ac:dyDescent="0.2">
      <c r="B863" s="598"/>
      <c r="E863" s="598"/>
      <c r="F863" s="598"/>
    </row>
    <row r="864" spans="2:6" x14ac:dyDescent="0.2">
      <c r="B864" s="598"/>
      <c r="E864" s="598"/>
      <c r="F864" s="598"/>
    </row>
    <row r="865" spans="2:6" x14ac:dyDescent="0.2">
      <c r="B865" s="598"/>
      <c r="E865" s="598"/>
      <c r="F865" s="598"/>
    </row>
    <row r="866" spans="2:6" x14ac:dyDescent="0.2">
      <c r="B866" s="598"/>
      <c r="E866" s="598"/>
      <c r="F866" s="598"/>
    </row>
    <row r="867" spans="2:6" x14ac:dyDescent="0.2">
      <c r="B867" s="598"/>
      <c r="E867" s="598"/>
      <c r="F867" s="598"/>
    </row>
    <row r="868" spans="2:6" x14ac:dyDescent="0.2">
      <c r="B868" s="598"/>
      <c r="E868" s="598"/>
      <c r="F868" s="598"/>
    </row>
    <row r="869" spans="2:6" x14ac:dyDescent="0.2">
      <c r="B869" s="598"/>
      <c r="E869" s="598"/>
      <c r="F869" s="598"/>
    </row>
    <row r="870" spans="2:6" x14ac:dyDescent="0.2">
      <c r="B870" s="598"/>
      <c r="E870" s="598"/>
      <c r="F870" s="598"/>
    </row>
    <row r="871" spans="2:6" x14ac:dyDescent="0.2">
      <c r="B871" s="598"/>
      <c r="E871" s="598"/>
      <c r="F871" s="598"/>
    </row>
    <row r="872" spans="2:6" x14ac:dyDescent="0.2">
      <c r="B872" s="598"/>
      <c r="E872" s="598"/>
      <c r="F872" s="598"/>
    </row>
    <row r="873" spans="2:6" x14ac:dyDescent="0.2">
      <c r="B873" s="598"/>
      <c r="E873" s="598"/>
      <c r="F873" s="598"/>
    </row>
    <row r="874" spans="2:6" x14ac:dyDescent="0.2">
      <c r="B874" s="598"/>
      <c r="E874" s="598"/>
      <c r="F874" s="598"/>
    </row>
    <row r="875" spans="2:6" x14ac:dyDescent="0.2">
      <c r="B875" s="598"/>
      <c r="E875" s="598"/>
      <c r="F875" s="598"/>
    </row>
    <row r="876" spans="2:6" x14ac:dyDescent="0.2">
      <c r="B876" s="598"/>
      <c r="E876" s="598"/>
      <c r="F876" s="598"/>
    </row>
    <row r="877" spans="2:6" x14ac:dyDescent="0.2">
      <c r="B877" s="598"/>
      <c r="E877" s="598"/>
      <c r="F877" s="598"/>
    </row>
    <row r="878" spans="2:6" x14ac:dyDescent="0.2">
      <c r="B878" s="598"/>
      <c r="E878" s="598"/>
      <c r="F878" s="598"/>
    </row>
    <row r="879" spans="2:6" x14ac:dyDescent="0.2">
      <c r="B879" s="598"/>
      <c r="E879" s="598"/>
      <c r="F879" s="598"/>
    </row>
    <row r="880" spans="2:6" x14ac:dyDescent="0.2">
      <c r="B880" s="598"/>
      <c r="E880" s="598"/>
      <c r="F880" s="598"/>
    </row>
    <row r="881" spans="2:6" x14ac:dyDescent="0.2">
      <c r="B881" s="598"/>
      <c r="E881" s="598"/>
      <c r="F881" s="598"/>
    </row>
    <row r="882" spans="2:6" x14ac:dyDescent="0.2">
      <c r="B882" s="598"/>
      <c r="E882" s="598"/>
      <c r="F882" s="598"/>
    </row>
    <row r="883" spans="2:6" x14ac:dyDescent="0.2">
      <c r="B883" s="598"/>
      <c r="E883" s="598"/>
      <c r="F883" s="598"/>
    </row>
    <row r="884" spans="2:6" x14ac:dyDescent="0.2">
      <c r="B884" s="598"/>
      <c r="E884" s="598"/>
      <c r="F884" s="598"/>
    </row>
    <row r="885" spans="2:6" x14ac:dyDescent="0.2">
      <c r="B885" s="598"/>
      <c r="E885" s="598"/>
      <c r="F885" s="598"/>
    </row>
    <row r="886" spans="2:6" x14ac:dyDescent="0.2">
      <c r="B886" s="598"/>
      <c r="E886" s="598"/>
      <c r="F886" s="598"/>
    </row>
    <row r="887" spans="2:6" x14ac:dyDescent="0.2">
      <c r="B887" s="598"/>
      <c r="E887" s="598"/>
      <c r="F887" s="598"/>
    </row>
    <row r="888" spans="2:6" x14ac:dyDescent="0.2">
      <c r="B888" s="598"/>
      <c r="E888" s="598"/>
      <c r="F888" s="598"/>
    </row>
    <row r="889" spans="2:6" x14ac:dyDescent="0.2">
      <c r="B889" s="598"/>
      <c r="E889" s="598"/>
      <c r="F889" s="598"/>
    </row>
    <row r="890" spans="2:6" x14ac:dyDescent="0.2">
      <c r="B890" s="598"/>
      <c r="E890" s="598"/>
      <c r="F890" s="598"/>
    </row>
    <row r="891" spans="2:6" x14ac:dyDescent="0.2">
      <c r="B891" s="598"/>
      <c r="E891" s="598"/>
      <c r="F891" s="598"/>
    </row>
    <row r="892" spans="2:6" x14ac:dyDescent="0.2">
      <c r="B892" s="598"/>
      <c r="E892" s="598"/>
      <c r="F892" s="598"/>
    </row>
    <row r="893" spans="2:6" x14ac:dyDescent="0.2">
      <c r="B893" s="598"/>
      <c r="E893" s="598"/>
      <c r="F893" s="598"/>
    </row>
    <row r="894" spans="2:6" x14ac:dyDescent="0.2">
      <c r="B894" s="598"/>
      <c r="E894" s="598"/>
      <c r="F894" s="598"/>
    </row>
    <row r="895" spans="2:6" x14ac:dyDescent="0.2">
      <c r="B895" s="598"/>
      <c r="E895" s="598"/>
      <c r="F895" s="598"/>
    </row>
    <row r="896" spans="2:6" x14ac:dyDescent="0.2">
      <c r="B896" s="598"/>
      <c r="E896" s="598"/>
      <c r="F896" s="598"/>
    </row>
    <row r="897" spans="2:6" x14ac:dyDescent="0.2">
      <c r="B897" s="598"/>
      <c r="E897" s="598"/>
      <c r="F897" s="598"/>
    </row>
    <row r="898" spans="2:6" x14ac:dyDescent="0.2">
      <c r="B898" s="598"/>
      <c r="E898" s="598"/>
      <c r="F898" s="598"/>
    </row>
    <row r="899" spans="2:6" x14ac:dyDescent="0.2">
      <c r="B899" s="598"/>
      <c r="E899" s="598"/>
      <c r="F899" s="598"/>
    </row>
    <row r="900" spans="2:6" x14ac:dyDescent="0.2">
      <c r="B900" s="598"/>
      <c r="E900" s="598"/>
      <c r="F900" s="598"/>
    </row>
    <row r="901" spans="2:6" x14ac:dyDescent="0.2">
      <c r="B901" s="598"/>
      <c r="E901" s="598"/>
      <c r="F901" s="598"/>
    </row>
    <row r="902" spans="2:6" x14ac:dyDescent="0.2">
      <c r="B902" s="598"/>
      <c r="E902" s="598"/>
      <c r="F902" s="598"/>
    </row>
    <row r="903" spans="2:6" x14ac:dyDescent="0.2">
      <c r="B903" s="598"/>
      <c r="E903" s="598"/>
      <c r="F903" s="598"/>
    </row>
    <row r="904" spans="2:6" x14ac:dyDescent="0.2">
      <c r="B904" s="598"/>
      <c r="E904" s="598"/>
      <c r="F904" s="598"/>
    </row>
    <row r="905" spans="2:6" x14ac:dyDescent="0.2">
      <c r="B905" s="598"/>
      <c r="E905" s="598"/>
      <c r="F905" s="598"/>
    </row>
    <row r="906" spans="2:6" x14ac:dyDescent="0.2">
      <c r="B906" s="598"/>
      <c r="E906" s="598"/>
      <c r="F906" s="598"/>
    </row>
    <row r="907" spans="2:6" x14ac:dyDescent="0.2">
      <c r="B907" s="598"/>
      <c r="E907" s="598"/>
      <c r="F907" s="598"/>
    </row>
    <row r="908" spans="2:6" x14ac:dyDescent="0.2">
      <c r="B908" s="598"/>
      <c r="E908" s="598"/>
      <c r="F908" s="598"/>
    </row>
    <row r="909" spans="2:6" x14ac:dyDescent="0.2">
      <c r="B909" s="598"/>
      <c r="E909" s="598"/>
      <c r="F909" s="598"/>
    </row>
    <row r="910" spans="2:6" x14ac:dyDescent="0.2">
      <c r="B910" s="598"/>
      <c r="E910" s="598"/>
      <c r="F910" s="598"/>
    </row>
    <row r="911" spans="2:6" x14ac:dyDescent="0.2">
      <c r="B911" s="598"/>
      <c r="E911" s="598"/>
      <c r="F911" s="598"/>
    </row>
    <row r="912" spans="2:6" x14ac:dyDescent="0.2">
      <c r="B912" s="598"/>
      <c r="E912" s="598"/>
      <c r="F912" s="598"/>
    </row>
    <row r="913" spans="2:6" x14ac:dyDescent="0.2">
      <c r="B913" s="598"/>
      <c r="E913" s="598"/>
      <c r="F913" s="598"/>
    </row>
    <row r="914" spans="2:6" x14ac:dyDescent="0.2">
      <c r="B914" s="598"/>
      <c r="E914" s="598"/>
      <c r="F914" s="598"/>
    </row>
    <row r="915" spans="2:6" x14ac:dyDescent="0.2">
      <c r="B915" s="598"/>
      <c r="E915" s="598"/>
      <c r="F915" s="598"/>
    </row>
    <row r="916" spans="2:6" x14ac:dyDescent="0.2">
      <c r="B916" s="598"/>
      <c r="E916" s="598"/>
      <c r="F916" s="598"/>
    </row>
    <row r="917" spans="2:6" x14ac:dyDescent="0.2">
      <c r="B917" s="598"/>
      <c r="E917" s="598"/>
      <c r="F917" s="598"/>
    </row>
    <row r="918" spans="2:6" x14ac:dyDescent="0.2">
      <c r="B918" s="598"/>
      <c r="E918" s="598"/>
      <c r="F918" s="598"/>
    </row>
    <row r="919" spans="2:6" x14ac:dyDescent="0.2">
      <c r="B919" s="598"/>
      <c r="E919" s="598"/>
      <c r="F919" s="598"/>
    </row>
    <row r="920" spans="2:6" x14ac:dyDescent="0.2">
      <c r="B920" s="598"/>
      <c r="E920" s="598"/>
      <c r="F920" s="598"/>
    </row>
    <row r="921" spans="2:6" x14ac:dyDescent="0.2">
      <c r="B921" s="598"/>
      <c r="E921" s="598"/>
      <c r="F921" s="598"/>
    </row>
    <row r="922" spans="2:6" x14ac:dyDescent="0.2">
      <c r="B922" s="598"/>
      <c r="E922" s="598"/>
      <c r="F922" s="598"/>
    </row>
    <row r="923" spans="2:6" x14ac:dyDescent="0.2">
      <c r="B923" s="598"/>
      <c r="E923" s="598"/>
      <c r="F923" s="598"/>
    </row>
    <row r="924" spans="2:6" x14ac:dyDescent="0.2">
      <c r="B924" s="598"/>
      <c r="E924" s="598"/>
      <c r="F924" s="598"/>
    </row>
    <row r="925" spans="2:6" x14ac:dyDescent="0.2">
      <c r="B925" s="598"/>
      <c r="E925" s="598"/>
      <c r="F925" s="598"/>
    </row>
    <row r="926" spans="2:6" x14ac:dyDescent="0.2">
      <c r="B926" s="598"/>
      <c r="E926" s="598"/>
      <c r="F926" s="598"/>
    </row>
    <row r="927" spans="2:6" x14ac:dyDescent="0.2">
      <c r="B927" s="598"/>
      <c r="E927" s="598"/>
      <c r="F927" s="598"/>
    </row>
    <row r="928" spans="2:6" x14ac:dyDescent="0.2">
      <c r="B928" s="598"/>
      <c r="E928" s="598"/>
      <c r="F928" s="598"/>
    </row>
    <row r="929" spans="2:6" x14ac:dyDescent="0.2">
      <c r="B929" s="598"/>
      <c r="E929" s="598"/>
      <c r="F929" s="598"/>
    </row>
    <row r="930" spans="2:6" x14ac:dyDescent="0.2">
      <c r="B930" s="598"/>
      <c r="E930" s="598"/>
      <c r="F930" s="598"/>
    </row>
    <row r="931" spans="2:6" x14ac:dyDescent="0.2">
      <c r="B931" s="598"/>
      <c r="E931" s="598"/>
      <c r="F931" s="598"/>
    </row>
    <row r="932" spans="2:6" x14ac:dyDescent="0.2">
      <c r="B932" s="598"/>
      <c r="E932" s="598"/>
      <c r="F932" s="598"/>
    </row>
    <row r="933" spans="2:6" x14ac:dyDescent="0.2">
      <c r="B933" s="598"/>
      <c r="E933" s="598"/>
      <c r="F933" s="598"/>
    </row>
    <row r="934" spans="2:6" x14ac:dyDescent="0.2">
      <c r="B934" s="598"/>
      <c r="E934" s="598"/>
      <c r="F934" s="598"/>
    </row>
    <row r="935" spans="2:6" x14ac:dyDescent="0.2">
      <c r="B935" s="598"/>
      <c r="E935" s="598"/>
      <c r="F935" s="598"/>
    </row>
    <row r="936" spans="2:6" x14ac:dyDescent="0.2">
      <c r="B936" s="598"/>
      <c r="E936" s="598"/>
      <c r="F936" s="598"/>
    </row>
    <row r="937" spans="2:6" x14ac:dyDescent="0.2">
      <c r="B937" s="598"/>
      <c r="E937" s="598"/>
      <c r="F937" s="598"/>
    </row>
    <row r="938" spans="2:6" x14ac:dyDescent="0.2">
      <c r="B938" s="598"/>
      <c r="E938" s="598"/>
      <c r="F938" s="598"/>
    </row>
    <row r="939" spans="2:6" x14ac:dyDescent="0.2">
      <c r="B939" s="598"/>
      <c r="E939" s="598"/>
      <c r="F939" s="598"/>
    </row>
    <row r="940" spans="2:6" x14ac:dyDescent="0.2">
      <c r="B940" s="598"/>
      <c r="E940" s="598"/>
      <c r="F940" s="598"/>
    </row>
    <row r="941" spans="2:6" x14ac:dyDescent="0.2">
      <c r="B941" s="598"/>
      <c r="E941" s="598"/>
      <c r="F941" s="598"/>
    </row>
    <row r="942" spans="2:6" x14ac:dyDescent="0.2">
      <c r="B942" s="598"/>
      <c r="E942" s="598"/>
      <c r="F942" s="598"/>
    </row>
    <row r="943" spans="2:6" x14ac:dyDescent="0.2">
      <c r="B943" s="598"/>
      <c r="E943" s="598"/>
      <c r="F943" s="598"/>
    </row>
    <row r="944" spans="2:6" x14ac:dyDescent="0.2">
      <c r="B944" s="598"/>
      <c r="E944" s="598"/>
      <c r="F944" s="598"/>
    </row>
    <row r="945" spans="2:6" x14ac:dyDescent="0.2">
      <c r="B945" s="598"/>
      <c r="E945" s="598"/>
      <c r="F945" s="598"/>
    </row>
    <row r="946" spans="2:6" x14ac:dyDescent="0.2">
      <c r="B946" s="598"/>
      <c r="E946" s="598"/>
      <c r="F946" s="598"/>
    </row>
    <row r="947" spans="2:6" x14ac:dyDescent="0.2">
      <c r="B947" s="598"/>
      <c r="E947" s="598"/>
      <c r="F947" s="598"/>
    </row>
    <row r="948" spans="2:6" x14ac:dyDescent="0.2">
      <c r="B948" s="598"/>
      <c r="E948" s="598"/>
      <c r="F948" s="598"/>
    </row>
    <row r="949" spans="2:6" x14ac:dyDescent="0.2">
      <c r="B949" s="598"/>
      <c r="E949" s="598"/>
      <c r="F949" s="598"/>
    </row>
    <row r="950" spans="2:6" x14ac:dyDescent="0.2">
      <c r="B950" s="598"/>
      <c r="E950" s="598"/>
      <c r="F950" s="598"/>
    </row>
    <row r="951" spans="2:6" x14ac:dyDescent="0.2">
      <c r="B951" s="598"/>
      <c r="E951" s="598"/>
      <c r="F951" s="598"/>
    </row>
    <row r="952" spans="2:6" x14ac:dyDescent="0.2">
      <c r="B952" s="598"/>
      <c r="E952" s="598"/>
      <c r="F952" s="598"/>
    </row>
    <row r="953" spans="2:6" x14ac:dyDescent="0.2">
      <c r="B953" s="598"/>
      <c r="E953" s="598"/>
      <c r="F953" s="598"/>
    </row>
    <row r="954" spans="2:6" x14ac:dyDescent="0.2">
      <c r="B954" s="598"/>
      <c r="E954" s="598"/>
      <c r="F954" s="598"/>
    </row>
    <row r="955" spans="2:6" x14ac:dyDescent="0.2">
      <c r="B955" s="598"/>
      <c r="E955" s="598"/>
      <c r="F955" s="598"/>
    </row>
    <row r="956" spans="2:6" x14ac:dyDescent="0.2">
      <c r="B956" s="598"/>
      <c r="E956" s="598"/>
      <c r="F956" s="598"/>
    </row>
    <row r="957" spans="2:6" x14ac:dyDescent="0.2">
      <c r="B957" s="598"/>
      <c r="E957" s="598"/>
      <c r="F957" s="598"/>
    </row>
    <row r="958" spans="2:6" x14ac:dyDescent="0.2">
      <c r="B958" s="598"/>
      <c r="E958" s="598"/>
      <c r="F958" s="598"/>
    </row>
    <row r="959" spans="2:6" x14ac:dyDescent="0.2">
      <c r="B959" s="598"/>
      <c r="E959" s="598"/>
      <c r="F959" s="598"/>
    </row>
    <row r="960" spans="2:6" x14ac:dyDescent="0.2">
      <c r="B960" s="598"/>
      <c r="E960" s="598"/>
      <c r="F960" s="598"/>
    </row>
    <row r="961" spans="2:6" x14ac:dyDescent="0.2">
      <c r="B961" s="598"/>
      <c r="E961" s="598"/>
      <c r="F961" s="598"/>
    </row>
    <row r="962" spans="2:6" x14ac:dyDescent="0.2">
      <c r="B962" s="598"/>
      <c r="E962" s="598"/>
      <c r="F962" s="598"/>
    </row>
  </sheetData>
  <mergeCells count="10">
    <mergeCell ref="B84:H84"/>
    <mergeCell ref="B85:H85"/>
    <mergeCell ref="B93:H93"/>
    <mergeCell ref="B94:H94"/>
    <mergeCell ref="B2:H3"/>
    <mergeCell ref="R25:S25"/>
    <mergeCell ref="B62:H62"/>
    <mergeCell ref="B63:H63"/>
    <mergeCell ref="B73:H73"/>
    <mergeCell ref="B74:H74"/>
  </mergeCells>
  <printOptions horizontalCentered="1"/>
  <pageMargins left="0.5" right="0.5" top="1" bottom="0.5" header="0.3" footer="0.3"/>
  <pageSetup paperSize="9" scale="21"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6B7E2-B3A6-45C7-91B0-BE93769B354B}">
  <sheetPr codeName="Sheet78">
    <tabColor rgb="FFFFFF00"/>
    <pageSetUpPr fitToPage="1"/>
  </sheetPr>
  <dimension ref="A1:AD117"/>
  <sheetViews>
    <sheetView zoomScale="55" zoomScaleNormal="55" workbookViewId="0">
      <selection activeCell="A4" sqref="A4:A14"/>
    </sheetView>
  </sheetViews>
  <sheetFormatPr defaultColWidth="12.5" defaultRowHeight="12.75" x14ac:dyDescent="0.2"/>
  <cols>
    <col min="1" max="1" width="12.5" style="14" customWidth="1"/>
    <col min="2" max="2" width="31.375" style="14" customWidth="1"/>
    <col min="3" max="3" width="23.875" style="14" customWidth="1"/>
    <col min="4" max="4" width="19" style="14" customWidth="1"/>
    <col min="5" max="5" width="16.125" style="14" customWidth="1"/>
    <col min="6" max="6" width="23.125" style="14" customWidth="1"/>
    <col min="7" max="7" width="25.125" style="14" customWidth="1"/>
    <col min="8" max="8" width="36.125" style="14" customWidth="1"/>
    <col min="9" max="11" width="12.5" style="14" customWidth="1"/>
    <col min="12" max="12" width="8.375" style="14" customWidth="1"/>
    <col min="13" max="17" width="3.625" style="14" customWidth="1"/>
    <col min="18" max="18" width="22.875" style="14" customWidth="1"/>
    <col min="19" max="19" width="16.25" style="14" bestFit="1" customWidth="1"/>
    <col min="20" max="24" width="4.625" style="14" customWidth="1"/>
    <col min="25" max="16384" width="12.5" style="14"/>
  </cols>
  <sheetData>
    <row r="1" spans="1:30" ht="28.5" customHeight="1" x14ac:dyDescent="0.2">
      <c r="B1" s="64" t="s">
        <v>231</v>
      </c>
      <c r="C1" s="65">
        <v>1000</v>
      </c>
      <c r="D1" s="66" t="s">
        <v>232</v>
      </c>
      <c r="E1" s="99">
        <f>S30</f>
        <v>13200</v>
      </c>
      <c r="F1" s="64" t="s">
        <v>233</v>
      </c>
      <c r="G1" s="99">
        <f>E1/C1</f>
        <v>13.2</v>
      </c>
      <c r="H1" s="64" t="s">
        <v>234</v>
      </c>
      <c r="I1" s="99">
        <f>G1/K1</f>
        <v>13.2</v>
      </c>
      <c r="J1" s="302" t="s">
        <v>235</v>
      </c>
      <c r="K1" s="303">
        <v>1</v>
      </c>
      <c r="L1" s="84"/>
      <c r="M1" s="84" t="s">
        <v>393</v>
      </c>
      <c r="N1" s="84"/>
      <c r="O1" s="84"/>
      <c r="Y1" s="75" t="s">
        <v>453</v>
      </c>
      <c r="Z1" s="766">
        <v>13200</v>
      </c>
      <c r="AA1" s="75" t="s">
        <v>556</v>
      </c>
      <c r="AB1" s="766">
        <v>0</v>
      </c>
      <c r="AC1" s="75" t="s">
        <v>546</v>
      </c>
      <c r="AD1" s="766">
        <v>88</v>
      </c>
    </row>
    <row r="2" spans="1:30" ht="12.75" customHeight="1" x14ac:dyDescent="0.2">
      <c r="A2" s="1518"/>
      <c r="B2" s="1632" t="s">
        <v>394</v>
      </c>
      <c r="C2" s="1661"/>
      <c r="D2" s="1661"/>
      <c r="E2" s="1661"/>
      <c r="F2" s="1661"/>
      <c r="G2" s="1661"/>
      <c r="H2" s="1661"/>
      <c r="I2" s="84"/>
      <c r="J2" s="84"/>
      <c r="K2" s="84"/>
      <c r="L2" s="84"/>
      <c r="M2" s="84"/>
      <c r="N2" s="84"/>
      <c r="O2" s="84"/>
    </row>
    <row r="3" spans="1:30" ht="12.75" customHeight="1" x14ac:dyDescent="0.2">
      <c r="A3" s="1518"/>
      <c r="B3" s="1633"/>
      <c r="C3" s="1633"/>
      <c r="D3" s="1633"/>
      <c r="E3" s="1633"/>
      <c r="F3" s="1633"/>
      <c r="G3" s="1633"/>
      <c r="H3" s="1633"/>
      <c r="I3" s="84"/>
      <c r="J3" s="84"/>
      <c r="K3" s="84"/>
      <c r="L3" s="84"/>
      <c r="M3" s="84"/>
      <c r="N3" s="84"/>
      <c r="O3" s="84"/>
    </row>
    <row r="4" spans="1:30" ht="69" customHeight="1" x14ac:dyDescent="0.2">
      <c r="A4" s="75"/>
      <c r="B4" s="386" t="s">
        <v>241</v>
      </c>
      <c r="C4" s="90" t="s">
        <v>242</v>
      </c>
      <c r="D4" s="75" t="s">
        <v>231</v>
      </c>
      <c r="E4" s="197" t="s">
        <v>234</v>
      </c>
      <c r="F4" s="91" t="s">
        <v>243</v>
      </c>
      <c r="G4" s="75" t="s">
        <v>244</v>
      </c>
      <c r="H4" s="90" t="s">
        <v>335</v>
      </c>
      <c r="I4" s="75" t="s">
        <v>246</v>
      </c>
      <c r="J4" s="75" t="s">
        <v>247</v>
      </c>
      <c r="K4" s="75" t="s">
        <v>248</v>
      </c>
      <c r="L4" s="75" t="s">
        <v>249</v>
      </c>
      <c r="M4" s="84"/>
      <c r="N4" s="84"/>
      <c r="O4" s="84"/>
    </row>
    <row r="5" spans="1:30" ht="14.25" customHeight="1" x14ac:dyDescent="0.2">
      <c r="A5" s="198"/>
      <c r="B5" s="586"/>
      <c r="C5" s="587"/>
      <c r="D5" s="198"/>
      <c r="E5" s="588"/>
      <c r="F5" s="198"/>
      <c r="G5" s="198"/>
      <c r="H5" s="587"/>
      <c r="I5" s="65"/>
      <c r="J5" s="101"/>
      <c r="K5" s="104"/>
      <c r="L5" s="104"/>
    </row>
    <row r="6" spans="1:30" ht="14.25" customHeight="1" x14ac:dyDescent="0.2">
      <c r="A6" s="272"/>
      <c r="B6" s="20" t="s">
        <v>19</v>
      </c>
      <c r="C6" s="106" t="s">
        <v>14</v>
      </c>
      <c r="D6" s="988">
        <v>450</v>
      </c>
      <c r="E6" s="98">
        <f t="shared" ref="E6:E14" si="0">$I$1</f>
        <v>13.2</v>
      </c>
      <c r="F6" s="109">
        <v>1</v>
      </c>
      <c r="G6" s="101">
        <f t="shared" ref="G6:G14" si="1">D6*E6</f>
        <v>5940</v>
      </c>
      <c r="H6" s="102">
        <f t="shared" ref="H6:H14" si="2">G6*F6</f>
        <v>5940</v>
      </c>
      <c r="I6" s="65">
        <f>VLOOKUP(B6,All_Ingredients!$A$1:$F$156,6,FALSE())</f>
        <v>0.8</v>
      </c>
      <c r="J6" s="101">
        <f>VLOOKUP(B6,All_Ingredients!$A$1:$J$156,10,FALSE())</f>
        <v>2.6</v>
      </c>
      <c r="K6" s="104">
        <f t="shared" ref="K6" si="3">(H6/I6)/1000</f>
        <v>7.4249999999999998</v>
      </c>
      <c r="L6" s="104">
        <f t="shared" ref="L6" si="4">K6*J6</f>
        <v>19.305</v>
      </c>
    </row>
    <row r="7" spans="1:30" ht="14.25" customHeight="1" x14ac:dyDescent="0.2">
      <c r="A7" s="272"/>
      <c r="B7" s="20" t="s">
        <v>47</v>
      </c>
      <c r="C7" s="106" t="s">
        <v>14</v>
      </c>
      <c r="D7" s="988">
        <v>450</v>
      </c>
      <c r="E7" s="98">
        <f t="shared" si="0"/>
        <v>13.2</v>
      </c>
      <c r="F7" s="109">
        <v>1</v>
      </c>
      <c r="G7" s="101">
        <f t="shared" si="1"/>
        <v>5940</v>
      </c>
      <c r="H7" s="102">
        <f t="shared" si="2"/>
        <v>5940</v>
      </c>
      <c r="I7" s="65">
        <f>VLOOKUP(B7,All_Ingredients!$A$1:$F$156,6,FALSE())</f>
        <v>0.78</v>
      </c>
      <c r="J7" s="101">
        <f>VLOOKUP(B7,All_Ingredients!$A$1:$J$156,10,FALSE())</f>
        <v>3.7</v>
      </c>
      <c r="K7" s="104">
        <f t="shared" ref="K7:K14" si="5">(H7/I7)/1000</f>
        <v>7.615384615384615</v>
      </c>
      <c r="L7" s="104">
        <f t="shared" ref="L7:L14" si="6">K7*J7</f>
        <v>28.176923076923078</v>
      </c>
    </row>
    <row r="8" spans="1:30" ht="14.25" customHeight="1" x14ac:dyDescent="0.2">
      <c r="A8" s="272"/>
      <c r="B8" s="20" t="s">
        <v>28</v>
      </c>
      <c r="C8" s="106" t="s">
        <v>14</v>
      </c>
      <c r="D8" s="988">
        <v>80</v>
      </c>
      <c r="E8" s="98">
        <f t="shared" si="0"/>
        <v>13.2</v>
      </c>
      <c r="F8" s="109">
        <v>1</v>
      </c>
      <c r="G8" s="101">
        <f t="shared" si="1"/>
        <v>1056</v>
      </c>
      <c r="H8" s="102">
        <f t="shared" si="2"/>
        <v>1056</v>
      </c>
      <c r="I8" s="65">
        <f>VLOOKUP(B8,All_Ingredients!$A$1:$F$156,6,FALSE())</f>
        <v>0.73</v>
      </c>
      <c r="J8" s="101">
        <f>VLOOKUP(B8,All_Ingredients!$A$1:$J$156,10,FALSE())</f>
        <v>8.5</v>
      </c>
      <c r="K8" s="104">
        <f t="shared" si="5"/>
        <v>1.4465753424657535</v>
      </c>
      <c r="L8" s="104">
        <f t="shared" si="6"/>
        <v>12.295890410958904</v>
      </c>
    </row>
    <row r="9" spans="1:30" ht="14.25" customHeight="1" x14ac:dyDescent="0.2">
      <c r="A9" s="272"/>
      <c r="B9" s="20" t="s">
        <v>30</v>
      </c>
      <c r="C9" s="106" t="s">
        <v>14</v>
      </c>
      <c r="D9" s="988">
        <v>80</v>
      </c>
      <c r="E9" s="98">
        <f t="shared" si="0"/>
        <v>13.2</v>
      </c>
      <c r="F9" s="109">
        <v>1</v>
      </c>
      <c r="G9" s="101">
        <f t="shared" si="1"/>
        <v>1056</v>
      </c>
      <c r="H9" s="102">
        <f t="shared" si="2"/>
        <v>1056</v>
      </c>
      <c r="I9" s="65">
        <f>VLOOKUP(B9,All_Ingredients!$A$1:$F$156,6,FALSE())</f>
        <v>0.71</v>
      </c>
      <c r="J9" s="101">
        <f>VLOOKUP(B9,All_Ingredients!$A$1:$J$156,10,FALSE())</f>
        <v>8.5</v>
      </c>
      <c r="K9" s="104">
        <f t="shared" si="5"/>
        <v>1.4873239436619718</v>
      </c>
      <c r="L9" s="104">
        <f t="shared" si="6"/>
        <v>12.642253521126761</v>
      </c>
    </row>
    <row r="10" spans="1:30" ht="14.25" customHeight="1" x14ac:dyDescent="0.2">
      <c r="A10" s="272"/>
      <c r="B10" s="20" t="s">
        <v>32</v>
      </c>
      <c r="C10" s="106" t="s">
        <v>14</v>
      </c>
      <c r="D10" s="988">
        <v>80</v>
      </c>
      <c r="E10" s="98">
        <f t="shared" si="0"/>
        <v>13.2</v>
      </c>
      <c r="F10" s="109">
        <v>1</v>
      </c>
      <c r="G10" s="101">
        <f t="shared" si="1"/>
        <v>1056</v>
      </c>
      <c r="H10" s="102">
        <f t="shared" si="2"/>
        <v>1056</v>
      </c>
      <c r="I10" s="65">
        <f>VLOOKUP(B10,All_Ingredients!$A$1:$F$156,6,FALSE())</f>
        <v>0.69</v>
      </c>
      <c r="J10" s="101">
        <f>VLOOKUP(B10,All_Ingredients!$A$1:$J$156,10,FALSE())</f>
        <v>4</v>
      </c>
      <c r="K10" s="104">
        <f t="shared" si="5"/>
        <v>1.5304347826086957</v>
      </c>
      <c r="L10" s="104">
        <f t="shared" si="6"/>
        <v>6.1217391304347828</v>
      </c>
    </row>
    <row r="11" spans="1:30" ht="14.25" customHeight="1" x14ac:dyDescent="0.2">
      <c r="A11" s="272"/>
      <c r="B11" s="20" t="s">
        <v>50</v>
      </c>
      <c r="C11" s="106" t="s">
        <v>14</v>
      </c>
      <c r="D11" s="988">
        <v>80</v>
      </c>
      <c r="E11" s="98">
        <f t="shared" si="0"/>
        <v>13.2</v>
      </c>
      <c r="F11" s="109">
        <v>1</v>
      </c>
      <c r="G11" s="101">
        <f t="shared" si="1"/>
        <v>1056</v>
      </c>
      <c r="H11" s="102">
        <f t="shared" si="2"/>
        <v>1056</v>
      </c>
      <c r="I11" s="65">
        <f>VLOOKUP(B11,All_Ingredients!$A$1:$F$156,6,FALSE())</f>
        <v>0.75</v>
      </c>
      <c r="J11" s="101">
        <f>VLOOKUP(B11,All_Ingredients!$A$1:$J$156,10,FALSE())</f>
        <v>20</v>
      </c>
      <c r="K11" s="104">
        <f t="shared" si="5"/>
        <v>1.4079999999999999</v>
      </c>
      <c r="L11" s="104">
        <f t="shared" si="6"/>
        <v>28.159999999999997</v>
      </c>
    </row>
    <row r="12" spans="1:30" ht="14.25" customHeight="1" x14ac:dyDescent="0.2">
      <c r="A12" s="272"/>
      <c r="B12" s="20" t="s">
        <v>525</v>
      </c>
      <c r="C12" s="106" t="s">
        <v>14</v>
      </c>
      <c r="D12" s="988">
        <v>80</v>
      </c>
      <c r="E12" s="98">
        <f t="shared" si="0"/>
        <v>13.2</v>
      </c>
      <c r="F12" s="109">
        <v>1</v>
      </c>
      <c r="G12" s="101">
        <f t="shared" si="1"/>
        <v>1056</v>
      </c>
      <c r="H12" s="102">
        <f t="shared" si="2"/>
        <v>1056</v>
      </c>
      <c r="I12" s="65">
        <f>VLOOKUP(B12,All_Ingredients!$A$1:$F$156,6,FALSE())</f>
        <v>1</v>
      </c>
      <c r="J12" s="101">
        <f>VLOOKUP(B12,All_Ingredients!$A$1:$J$156,10,FALSE())</f>
        <v>10.196078431372548</v>
      </c>
      <c r="K12" s="104">
        <f t="shared" si="5"/>
        <v>1.056</v>
      </c>
      <c r="L12" s="104">
        <f t="shared" si="6"/>
        <v>10.767058823529412</v>
      </c>
    </row>
    <row r="13" spans="1:30" ht="14.25" customHeight="1" x14ac:dyDescent="0.2">
      <c r="A13" s="272"/>
      <c r="B13" s="20" t="s">
        <v>93</v>
      </c>
      <c r="C13" s="106" t="s">
        <v>14</v>
      </c>
      <c r="D13" s="98">
        <v>4</v>
      </c>
      <c r="E13" s="98">
        <f t="shared" si="0"/>
        <v>13.2</v>
      </c>
      <c r="F13" s="109">
        <v>0.75</v>
      </c>
      <c r="G13" s="101">
        <f t="shared" si="1"/>
        <v>52.8</v>
      </c>
      <c r="H13" s="102">
        <f t="shared" si="2"/>
        <v>39.599999999999994</v>
      </c>
      <c r="I13" s="65">
        <f>VLOOKUP(B13,All_Ingredients!$A$1:$F$156,6,FALSE())</f>
        <v>1</v>
      </c>
      <c r="J13" s="101">
        <f>VLOOKUP(B13,All_Ingredients!$A$1:$J$156,10,FALSE())</f>
        <v>0.74</v>
      </c>
      <c r="K13" s="104">
        <f t="shared" si="5"/>
        <v>3.9599999999999996E-2</v>
      </c>
      <c r="L13" s="104">
        <f t="shared" si="6"/>
        <v>2.9303999999999997E-2</v>
      </c>
    </row>
    <row r="14" spans="1:30" ht="14.25" customHeight="1" x14ac:dyDescent="0.2">
      <c r="A14" s="272"/>
      <c r="B14" s="20" t="s">
        <v>99</v>
      </c>
      <c r="C14" s="106" t="s">
        <v>14</v>
      </c>
      <c r="D14" s="177">
        <v>0.5</v>
      </c>
      <c r="E14" s="98">
        <f t="shared" si="0"/>
        <v>13.2</v>
      </c>
      <c r="F14" s="109">
        <v>1</v>
      </c>
      <c r="G14" s="101">
        <f t="shared" si="1"/>
        <v>6.6</v>
      </c>
      <c r="H14" s="102">
        <f t="shared" si="2"/>
        <v>6.6</v>
      </c>
      <c r="I14" s="65">
        <f>VLOOKUP(B14,All_Ingredients!$A$1:$F$156,6,FALSE())</f>
        <v>1</v>
      </c>
      <c r="J14" s="101">
        <f>VLOOKUP(B14,All_Ingredients!$A$1:$J$156,10,FALSE())</f>
        <v>31</v>
      </c>
      <c r="K14" s="104">
        <f t="shared" si="5"/>
        <v>6.6E-3</v>
      </c>
      <c r="L14" s="104">
        <f t="shared" si="6"/>
        <v>0.2046</v>
      </c>
    </row>
    <row r="15" spans="1:30" ht="14.25" customHeight="1" x14ac:dyDescent="0.2">
      <c r="B15" s="332"/>
      <c r="C15" s="333"/>
      <c r="D15" s="335"/>
      <c r="E15" s="335"/>
      <c r="F15" s="336"/>
      <c r="G15" s="337"/>
      <c r="H15" s="338"/>
    </row>
    <row r="16" spans="1:30" ht="14.25" customHeight="1" x14ac:dyDescent="0.2">
      <c r="E16" s="203"/>
      <c r="F16" s="117"/>
      <c r="G16" s="121"/>
      <c r="H16" s="119"/>
    </row>
    <row r="17" spans="2:29" ht="14.25" customHeight="1" x14ac:dyDescent="0.2">
      <c r="E17" s="84"/>
      <c r="F17" s="84"/>
    </row>
    <row r="18" spans="2:29" ht="14.25" customHeight="1" x14ac:dyDescent="0.2">
      <c r="E18" s="84"/>
      <c r="F18" s="84"/>
    </row>
    <row r="19" spans="2:29" ht="14.25" customHeight="1" x14ac:dyDescent="0.2">
      <c r="E19" s="84"/>
      <c r="F19" s="84"/>
    </row>
    <row r="20" spans="2:29" ht="14.25" customHeight="1" x14ac:dyDescent="0.2">
      <c r="E20" s="84"/>
      <c r="F20" s="84"/>
    </row>
    <row r="21" spans="2:29" ht="14.25" customHeight="1" x14ac:dyDescent="0.2">
      <c r="E21" s="84"/>
      <c r="F21" s="84"/>
    </row>
    <row r="22" spans="2:29" ht="14.25" customHeight="1" x14ac:dyDescent="0.2">
      <c r="B22" s="11"/>
      <c r="C22" s="312"/>
      <c r="D22" s="313"/>
      <c r="E22" s="84"/>
      <c r="F22" s="84"/>
    </row>
    <row r="23" spans="2:29" ht="14.25" customHeight="1" x14ac:dyDescent="0.2">
      <c r="B23" s="11"/>
      <c r="C23" s="312"/>
      <c r="D23" s="313"/>
      <c r="E23" s="84"/>
      <c r="F23" s="84"/>
    </row>
    <row r="24" spans="2:29" ht="14.25" customHeight="1" x14ac:dyDescent="0.2">
      <c r="B24" s="11"/>
      <c r="C24" s="312"/>
      <c r="D24" s="313"/>
      <c r="E24" s="84"/>
      <c r="F24" s="84"/>
      <c r="Z24" s="1073"/>
    </row>
    <row r="25" spans="2:29" ht="14.25" customHeight="1" x14ac:dyDescent="0.2">
      <c r="B25" s="11"/>
      <c r="C25" s="312"/>
      <c r="D25" s="313"/>
      <c r="E25" s="84"/>
      <c r="F25" s="84"/>
      <c r="R25" s="1733" t="s">
        <v>395</v>
      </c>
      <c r="S25" s="1672"/>
      <c r="Z25" s="122" t="s">
        <v>14</v>
      </c>
      <c r="AA25" s="123">
        <v>1</v>
      </c>
      <c r="AB25" s="122" t="s">
        <v>249</v>
      </c>
      <c r="AC25" s="124">
        <f>(S35/S30)*AA25</f>
        <v>8.9168764365888595E-3</v>
      </c>
    </row>
    <row r="26" spans="2:29" ht="14.25" customHeight="1" x14ac:dyDescent="0.2">
      <c r="B26" s="11"/>
      <c r="C26" s="312"/>
      <c r="D26" s="313"/>
      <c r="E26" s="84"/>
      <c r="F26" s="84"/>
      <c r="R26" s="1733" t="s">
        <v>338</v>
      </c>
      <c r="S26" s="1672"/>
    </row>
    <row r="27" spans="2:29" ht="14.25" customHeight="1" x14ac:dyDescent="0.2">
      <c r="B27" s="11"/>
      <c r="C27" s="312"/>
      <c r="D27" s="313"/>
      <c r="E27" s="84"/>
      <c r="F27" s="84"/>
      <c r="R27" s="126" t="s">
        <v>254</v>
      </c>
      <c r="S27" s="126" t="s">
        <v>339</v>
      </c>
    </row>
    <row r="28" spans="2:29" ht="14.25" customHeight="1" x14ac:dyDescent="0.2">
      <c r="B28" s="11"/>
      <c r="C28" s="312"/>
      <c r="D28" s="313"/>
      <c r="E28" s="84"/>
      <c r="F28" s="84"/>
      <c r="R28" s="126" t="s">
        <v>263</v>
      </c>
      <c r="S28" s="720">
        <f>Z1</f>
        <v>13200</v>
      </c>
    </row>
    <row r="29" spans="2:29" ht="14.25" customHeight="1" x14ac:dyDescent="0.2">
      <c r="B29" s="11"/>
      <c r="C29" s="312"/>
      <c r="D29" s="313"/>
      <c r="E29" s="84"/>
      <c r="F29" s="84"/>
      <c r="R29" s="126" t="s">
        <v>265</v>
      </c>
      <c r="S29" s="720">
        <f>AB1</f>
        <v>0</v>
      </c>
    </row>
    <row r="30" spans="2:29" ht="14.25" customHeight="1" x14ac:dyDescent="0.2">
      <c r="E30" s="84"/>
      <c r="F30" s="84"/>
      <c r="R30" s="126" t="s">
        <v>257</v>
      </c>
      <c r="S30" s="315">
        <f>SUM(S28:S29)</f>
        <v>13200</v>
      </c>
    </row>
    <row r="31" spans="2:29" ht="14.25" customHeight="1" x14ac:dyDescent="0.2">
      <c r="B31" s="84"/>
      <c r="E31" s="84"/>
      <c r="F31" s="84"/>
    </row>
    <row r="32" spans="2:29" ht="14.25" customHeight="1" x14ac:dyDescent="0.2">
      <c r="B32" s="84"/>
      <c r="E32" s="84"/>
      <c r="F32" s="84"/>
    </row>
    <row r="34" spans="18:19" ht="13.5" thickBot="1" x14ac:dyDescent="0.25"/>
    <row r="35" spans="18:19" ht="13.5" thickBot="1" x14ac:dyDescent="0.25">
      <c r="R35" s="144" t="s">
        <v>249</v>
      </c>
      <c r="S35" s="1049">
        <f>SUM(L6:L14)</f>
        <v>117.70276896297294</v>
      </c>
    </row>
    <row r="40" spans="18:19" x14ac:dyDescent="0.2">
      <c r="R40" s="14" t="s">
        <v>542</v>
      </c>
    </row>
    <row r="43" spans="18:19" ht="14.25" customHeight="1" x14ac:dyDescent="0.2"/>
    <row r="44" spans="18:19" ht="14.25" customHeight="1" x14ac:dyDescent="0.2"/>
    <row r="47" spans="18:19" ht="19.5" customHeight="1" x14ac:dyDescent="0.2"/>
    <row r="49" spans="1:8" ht="12" customHeight="1" x14ac:dyDescent="0.2"/>
    <row r="50" spans="1:8" ht="14.25" x14ac:dyDescent="0.2">
      <c r="B50" s="204"/>
      <c r="C50" s="204" t="s">
        <v>233</v>
      </c>
      <c r="D50" s="204" t="s">
        <v>279</v>
      </c>
    </row>
    <row r="51" spans="1:8" ht="19.5" customHeight="1" x14ac:dyDescent="0.2">
      <c r="B51" s="161" t="s">
        <v>283</v>
      </c>
      <c r="C51" s="162">
        <f>10/$K$1</f>
        <v>10</v>
      </c>
      <c r="D51" s="163">
        <f>$C$1*10</f>
        <v>10000</v>
      </c>
    </row>
    <row r="52" spans="1:8" ht="14.25" x14ac:dyDescent="0.2">
      <c r="B52" s="209" t="s">
        <v>257</v>
      </c>
      <c r="C52" s="211">
        <f>G1</f>
        <v>13.2</v>
      </c>
      <c r="D52" s="211">
        <f>E1</f>
        <v>13200</v>
      </c>
    </row>
    <row r="53" spans="1:8" ht="14.25" x14ac:dyDescent="0.2">
      <c r="B53" s="209" t="s">
        <v>284</v>
      </c>
      <c r="C53" s="212">
        <f>MIN($C$52, C51)</f>
        <v>10</v>
      </c>
      <c r="D53" s="1519">
        <f>(C53*$K$1)*$C$1</f>
        <v>10000</v>
      </c>
    </row>
    <row r="54" spans="1:8" ht="14.25" x14ac:dyDescent="0.2">
      <c r="B54" s="209" t="s">
        <v>285</v>
      </c>
      <c r="C54" s="212">
        <f>MIN(MAX($C$52-C53,0),C51)</f>
        <v>3.1999999999999993</v>
      </c>
      <c r="D54" s="1519">
        <f>(C54*$K$1)*$C$1</f>
        <v>3199.9999999999991</v>
      </c>
    </row>
    <row r="55" spans="1:8" ht="14.25" x14ac:dyDescent="0.2">
      <c r="B55" s="209" t="s">
        <v>286</v>
      </c>
      <c r="C55" s="212">
        <f>MIN(MAX($C$52-C53-C54,0),10)</f>
        <v>0</v>
      </c>
      <c r="D55" s="211">
        <f>(C55*$K$1)*$C$1</f>
        <v>0</v>
      </c>
    </row>
    <row r="62" spans="1:8" ht="18" customHeight="1" x14ac:dyDescent="0.2"/>
    <row r="63" spans="1:8" ht="18" customHeight="1" x14ac:dyDescent="0.2">
      <c r="A63" s="1520"/>
      <c r="B63" s="1636" t="s">
        <v>791</v>
      </c>
      <c r="C63" s="1637"/>
      <c r="D63" s="1637"/>
      <c r="E63" s="1637"/>
      <c r="F63" s="1637"/>
      <c r="G63" s="1637"/>
      <c r="H63" s="1637"/>
    </row>
    <row r="64" spans="1:8" ht="14.25" x14ac:dyDescent="0.2">
      <c r="A64" s="1520"/>
      <c r="B64" s="1634" t="s">
        <v>394</v>
      </c>
      <c r="C64" s="1635"/>
      <c r="D64" s="1635"/>
      <c r="E64" s="1635"/>
      <c r="F64" s="1635"/>
      <c r="G64" s="1635"/>
      <c r="H64" s="1635"/>
    </row>
    <row r="65" spans="1:8" ht="45" customHeight="1" x14ac:dyDescent="0.2">
      <c r="A65" s="75"/>
      <c r="B65" s="223" t="s">
        <v>241</v>
      </c>
      <c r="C65" s="222" t="s">
        <v>242</v>
      </c>
      <c r="D65" s="223" t="s">
        <v>231</v>
      </c>
      <c r="E65" s="197" t="s">
        <v>234</v>
      </c>
      <c r="F65" s="197" t="s">
        <v>243</v>
      </c>
      <c r="G65" s="223" t="s">
        <v>244</v>
      </c>
      <c r="H65" s="197" t="s">
        <v>245</v>
      </c>
    </row>
    <row r="66" spans="1:8" ht="14.25" customHeight="1" x14ac:dyDescent="0.2">
      <c r="A66" s="272" t="s">
        <v>13</v>
      </c>
      <c r="B66" s="20" t="str">
        <f t="shared" ref="B66:D74" si="7">B6</f>
        <v>Carrot - جزر</v>
      </c>
      <c r="C66" s="106" t="str">
        <f t="shared" si="7"/>
        <v>gm</v>
      </c>
      <c r="D66" s="98">
        <f t="shared" si="7"/>
        <v>450</v>
      </c>
      <c r="E66" s="98">
        <f>$C$52</f>
        <v>13.2</v>
      </c>
      <c r="F66" s="109">
        <f t="shared" ref="F66:F74" si="8">F6</f>
        <v>1</v>
      </c>
      <c r="G66" s="101">
        <f t="shared" ref="G66:G74" si="9">D66*E66</f>
        <v>5940</v>
      </c>
      <c r="H66" s="102">
        <f t="shared" ref="H66:H74" si="10">G66*F66</f>
        <v>5940</v>
      </c>
    </row>
    <row r="67" spans="1:8" ht="14.25" customHeight="1" x14ac:dyDescent="0.2">
      <c r="A67" s="272" t="s">
        <v>13</v>
      </c>
      <c r="B67" s="20" t="str">
        <f t="shared" si="7"/>
        <v>Zucchini - كوسة</v>
      </c>
      <c r="C67" s="106" t="str">
        <f t="shared" si="7"/>
        <v>gm</v>
      </c>
      <c r="D67" s="98">
        <f t="shared" si="7"/>
        <v>450</v>
      </c>
      <c r="E67" s="98">
        <f t="shared" ref="E67:E74" si="11">$C$52</f>
        <v>13.2</v>
      </c>
      <c r="F67" s="109">
        <f t="shared" si="8"/>
        <v>1</v>
      </c>
      <c r="G67" s="101">
        <f t="shared" si="9"/>
        <v>5940</v>
      </c>
      <c r="H67" s="102">
        <f t="shared" si="10"/>
        <v>5940</v>
      </c>
    </row>
    <row r="68" spans="1:8" ht="14.25" customHeight="1" x14ac:dyDescent="0.2">
      <c r="A68" s="272" t="s">
        <v>13</v>
      </c>
      <c r="B68" s="20" t="str">
        <f t="shared" si="7"/>
        <v xml:space="preserve">Red Bell Pepper - فلفل أحمر </v>
      </c>
      <c r="C68" s="106" t="str">
        <f t="shared" si="7"/>
        <v>gm</v>
      </c>
      <c r="D68" s="98">
        <f t="shared" si="7"/>
        <v>80</v>
      </c>
      <c r="E68" s="98">
        <f t="shared" si="11"/>
        <v>13.2</v>
      </c>
      <c r="F68" s="109">
        <f t="shared" si="8"/>
        <v>1</v>
      </c>
      <c r="G68" s="101">
        <f t="shared" si="9"/>
        <v>1056</v>
      </c>
      <c r="H68" s="102">
        <f t="shared" si="10"/>
        <v>1056</v>
      </c>
    </row>
    <row r="69" spans="1:8" ht="14.25" customHeight="1" x14ac:dyDescent="0.2">
      <c r="A69" s="272" t="s">
        <v>13</v>
      </c>
      <c r="B69" s="20" t="str">
        <f t="shared" si="7"/>
        <v xml:space="preserve">Yellow Bell Pepper - فلفل أصفر </v>
      </c>
      <c r="C69" s="106" t="str">
        <f t="shared" si="7"/>
        <v>gm</v>
      </c>
      <c r="D69" s="98">
        <f t="shared" si="7"/>
        <v>80</v>
      </c>
      <c r="E69" s="98">
        <f t="shared" si="11"/>
        <v>13.2</v>
      </c>
      <c r="F69" s="109">
        <f t="shared" si="8"/>
        <v>1</v>
      </c>
      <c r="G69" s="101">
        <f t="shared" si="9"/>
        <v>1056</v>
      </c>
      <c r="H69" s="102">
        <f t="shared" si="10"/>
        <v>1056</v>
      </c>
    </row>
    <row r="70" spans="1:8" ht="14.25" customHeight="1" x14ac:dyDescent="0.2">
      <c r="A70" s="272" t="s">
        <v>13</v>
      </c>
      <c r="B70" s="20" t="str">
        <f t="shared" si="7"/>
        <v>Green Bell Pepper - فلفل أخضر رومى</v>
      </c>
      <c r="C70" s="106" t="str">
        <f t="shared" si="7"/>
        <v>gm</v>
      </c>
      <c r="D70" s="98">
        <f t="shared" si="7"/>
        <v>80</v>
      </c>
      <c r="E70" s="98">
        <f t="shared" si="11"/>
        <v>13.2</v>
      </c>
      <c r="F70" s="109">
        <f t="shared" si="8"/>
        <v>1</v>
      </c>
      <c r="G70" s="101">
        <f t="shared" si="9"/>
        <v>1056</v>
      </c>
      <c r="H70" s="102">
        <f t="shared" si="10"/>
        <v>1056</v>
      </c>
    </row>
    <row r="71" spans="1:8" ht="14.25" customHeight="1" x14ac:dyDescent="0.2">
      <c r="A71" s="272" t="s">
        <v>13</v>
      </c>
      <c r="B71" s="20" t="str">
        <f t="shared" si="7"/>
        <v>Chinese Cabbage - ملفوف صيني</v>
      </c>
      <c r="C71" s="106" t="str">
        <f t="shared" si="7"/>
        <v>gm</v>
      </c>
      <c r="D71" s="98">
        <f t="shared" si="7"/>
        <v>80</v>
      </c>
      <c r="E71" s="98">
        <f t="shared" si="11"/>
        <v>13.2</v>
      </c>
      <c r="F71" s="109">
        <f t="shared" si="8"/>
        <v>1</v>
      </c>
      <c r="G71" s="101">
        <f t="shared" si="9"/>
        <v>1056</v>
      </c>
      <c r="H71" s="102">
        <f t="shared" si="10"/>
        <v>1056</v>
      </c>
    </row>
    <row r="72" spans="1:8" ht="14.25" customHeight="1" x14ac:dyDescent="0.2">
      <c r="A72" s="272" t="s">
        <v>943</v>
      </c>
      <c r="B72" s="20" t="str">
        <f t="shared" si="7"/>
        <v>Sweet Corn - ذرة حلوة</v>
      </c>
      <c r="C72" s="106" t="str">
        <f t="shared" si="7"/>
        <v>gm</v>
      </c>
      <c r="D72" s="98">
        <f t="shared" si="7"/>
        <v>80</v>
      </c>
      <c r="E72" s="98">
        <f t="shared" si="11"/>
        <v>13.2</v>
      </c>
      <c r="F72" s="109">
        <f t="shared" si="8"/>
        <v>1</v>
      </c>
      <c r="G72" s="101">
        <f t="shared" si="9"/>
        <v>1056</v>
      </c>
      <c r="H72" s="102">
        <f t="shared" si="10"/>
        <v>1056</v>
      </c>
    </row>
    <row r="73" spans="1:8" ht="14.25" customHeight="1" x14ac:dyDescent="0.2">
      <c r="A73" s="272" t="s">
        <v>94</v>
      </c>
      <c r="B73" s="20" t="str">
        <f t="shared" si="7"/>
        <v>Salt - ملح</v>
      </c>
      <c r="C73" s="106" t="str">
        <f t="shared" si="7"/>
        <v>gm</v>
      </c>
      <c r="D73" s="98">
        <f t="shared" si="7"/>
        <v>4</v>
      </c>
      <c r="E73" s="98">
        <f t="shared" si="11"/>
        <v>13.2</v>
      </c>
      <c r="F73" s="109">
        <f t="shared" si="8"/>
        <v>0.75</v>
      </c>
      <c r="G73" s="101">
        <f t="shared" si="9"/>
        <v>52.8</v>
      </c>
      <c r="H73" s="102">
        <f t="shared" si="10"/>
        <v>39.599999999999994</v>
      </c>
    </row>
    <row r="74" spans="1:8" ht="12.75" customHeight="1" x14ac:dyDescent="0.2">
      <c r="A74" s="272" t="s">
        <v>94</v>
      </c>
      <c r="B74" s="20" t="str">
        <f t="shared" si="7"/>
        <v>Black Pepper Powder - فلفل أسود مطحون</v>
      </c>
      <c r="C74" s="106" t="str">
        <f t="shared" si="7"/>
        <v>gm</v>
      </c>
      <c r="D74" s="177">
        <f t="shared" si="7"/>
        <v>0.5</v>
      </c>
      <c r="E74" s="98">
        <f t="shared" si="11"/>
        <v>13.2</v>
      </c>
      <c r="F74" s="109">
        <f t="shared" si="8"/>
        <v>1</v>
      </c>
      <c r="G74" s="101">
        <f t="shared" si="9"/>
        <v>6.6</v>
      </c>
      <c r="H74" s="102">
        <f t="shared" si="10"/>
        <v>6.6</v>
      </c>
    </row>
    <row r="75" spans="1:8" ht="12.75" customHeight="1" x14ac:dyDescent="0.2">
      <c r="B75" s="178" t="s">
        <v>706</v>
      </c>
      <c r="C75" s="114"/>
      <c r="D75" s="273"/>
      <c r="E75" s="309"/>
      <c r="F75" s="117"/>
      <c r="G75" s="118"/>
      <c r="H75" s="119"/>
    </row>
    <row r="76" spans="1:8" ht="26.25" customHeight="1" x14ac:dyDescent="0.3">
      <c r="B76" s="179">
        <f>D52</f>
        <v>13200</v>
      </c>
      <c r="E76" s="84"/>
      <c r="F76" s="84"/>
    </row>
    <row r="77" spans="1:8" ht="26.25" customHeight="1" x14ac:dyDescent="0.3">
      <c r="A77" s="796"/>
      <c r="B77" s="1093"/>
      <c r="C77" s="796"/>
      <c r="D77" s="796"/>
      <c r="E77" s="790"/>
      <c r="F77" s="790"/>
      <c r="G77" s="796"/>
      <c r="H77" s="796"/>
    </row>
    <row r="78" spans="1:8" ht="18" customHeight="1" x14ac:dyDescent="0.2">
      <c r="A78" s="1521"/>
      <c r="B78" s="1673"/>
      <c r="C78" s="1674"/>
      <c r="D78" s="1674"/>
      <c r="E78" s="1674"/>
      <c r="F78" s="1674"/>
      <c r="G78" s="1674"/>
      <c r="H78" s="1674"/>
    </row>
    <row r="79" spans="1:8" ht="25.5" customHeight="1" x14ac:dyDescent="0.2">
      <c r="A79" s="1521"/>
      <c r="B79" s="1673"/>
      <c r="C79" s="1674"/>
      <c r="D79" s="1674"/>
      <c r="E79" s="1674"/>
      <c r="F79" s="1674"/>
      <c r="G79" s="1674"/>
      <c r="H79" s="1674"/>
    </row>
    <row r="80" spans="1:8" ht="42.75" customHeight="1" x14ac:dyDescent="0.2">
      <c r="A80" s="1522"/>
      <c r="B80" s="1103"/>
      <c r="C80" s="1104"/>
      <c r="D80" s="1103"/>
      <c r="E80" s="1105"/>
      <c r="F80" s="1105"/>
      <c r="G80" s="1103"/>
      <c r="H80" s="1105"/>
    </row>
    <row r="81" spans="1:8" ht="14.25" customHeight="1" x14ac:dyDescent="0.2">
      <c r="A81" s="796"/>
      <c r="B81" s="1106"/>
      <c r="C81" s="1106"/>
      <c r="D81" s="1111"/>
      <c r="E81" s="1111"/>
      <c r="F81" s="1108"/>
      <c r="G81" s="1109"/>
      <c r="H81" s="1110"/>
    </row>
    <row r="82" spans="1:8" ht="14.25" customHeight="1" x14ac:dyDescent="0.2">
      <c r="A82" s="796"/>
      <c r="B82" s="1106"/>
      <c r="C82" s="1106"/>
      <c r="D82" s="1111"/>
      <c r="E82" s="1111"/>
      <c r="F82" s="1108"/>
      <c r="G82" s="1109"/>
      <c r="H82" s="1110"/>
    </row>
    <row r="83" spans="1:8" ht="14.25" customHeight="1" x14ac:dyDescent="0.2">
      <c r="A83" s="796"/>
      <c r="B83" s="1106"/>
      <c r="C83" s="1106"/>
      <c r="D83" s="1111"/>
      <c r="E83" s="1111"/>
      <c r="F83" s="1108"/>
      <c r="G83" s="1109"/>
      <c r="H83" s="1110"/>
    </row>
    <row r="84" spans="1:8" ht="14.25" customHeight="1" x14ac:dyDescent="0.2">
      <c r="A84" s="796"/>
      <c r="B84" s="1106"/>
      <c r="C84" s="1106"/>
      <c r="D84" s="1111"/>
      <c r="E84" s="1111"/>
      <c r="F84" s="1108"/>
      <c r="G84" s="1109"/>
      <c r="H84" s="1110"/>
    </row>
    <row r="85" spans="1:8" ht="14.25" customHeight="1" x14ac:dyDescent="0.2">
      <c r="A85" s="796"/>
      <c r="B85" s="1106"/>
      <c r="C85" s="1106"/>
      <c r="D85" s="1111"/>
      <c r="E85" s="1111"/>
      <c r="F85" s="1108"/>
      <c r="G85" s="1109"/>
      <c r="H85" s="1110"/>
    </row>
    <row r="86" spans="1:8" ht="14.25" customHeight="1" x14ac:dyDescent="0.2">
      <c r="A86" s="796"/>
      <c r="B86" s="1106"/>
      <c r="C86" s="1106"/>
      <c r="D86" s="1111"/>
      <c r="E86" s="1111"/>
      <c r="F86" s="1108"/>
      <c r="G86" s="1109"/>
      <c r="H86" s="1110"/>
    </row>
    <row r="87" spans="1:8" ht="14.25" customHeight="1" x14ac:dyDescent="0.2">
      <c r="A87" s="796"/>
      <c r="B87" s="1106"/>
      <c r="C87" s="1106"/>
      <c r="D87" s="1111"/>
      <c r="E87" s="1111"/>
      <c r="F87" s="1108"/>
      <c r="G87" s="1109"/>
      <c r="H87" s="1110"/>
    </row>
    <row r="88" spans="1:8" ht="14.25" customHeight="1" x14ac:dyDescent="0.2">
      <c r="A88" s="796"/>
      <c r="B88" s="1106"/>
      <c r="C88" s="1106"/>
      <c r="D88" s="1111"/>
      <c r="E88" s="1111"/>
      <c r="F88" s="1108"/>
      <c r="G88" s="1109"/>
      <c r="H88" s="1110"/>
    </row>
    <row r="89" spans="1:8" ht="12.75" customHeight="1" x14ac:dyDescent="0.2">
      <c r="A89" s="796"/>
      <c r="B89" s="1106"/>
      <c r="C89" s="1106"/>
      <c r="D89" s="1113"/>
      <c r="E89" s="1111"/>
      <c r="F89" s="1108"/>
      <c r="G89" s="1109"/>
      <c r="H89" s="1110"/>
    </row>
    <row r="90" spans="1:8" ht="12.75" customHeight="1" x14ac:dyDescent="0.2">
      <c r="A90" s="796"/>
      <c r="B90" s="814"/>
      <c r="C90" s="1106"/>
      <c r="D90" s="1113"/>
      <c r="E90" s="1111"/>
      <c r="F90" s="1108"/>
      <c r="G90" s="1109"/>
      <c r="H90" s="1110"/>
    </row>
    <row r="91" spans="1:8" ht="34.5" customHeight="1" x14ac:dyDescent="0.3">
      <c r="A91" s="796"/>
      <c r="B91" s="815"/>
      <c r="C91" s="796"/>
      <c r="D91" s="796"/>
      <c r="E91" s="790"/>
      <c r="F91" s="790"/>
      <c r="G91" s="796"/>
      <c r="H91" s="796"/>
    </row>
    <row r="92" spans="1:8" ht="34.5" customHeight="1" x14ac:dyDescent="0.3">
      <c r="A92" s="796"/>
      <c r="B92" s="1093"/>
      <c r="C92" s="796"/>
      <c r="D92" s="796"/>
      <c r="E92" s="790"/>
      <c r="F92" s="790"/>
      <c r="G92" s="796"/>
      <c r="H92" s="796"/>
    </row>
    <row r="93" spans="1:8" ht="18" customHeight="1" x14ac:dyDescent="0.2">
      <c r="A93" s="1521"/>
      <c r="B93" s="1673"/>
      <c r="C93" s="1674"/>
      <c r="D93" s="1674"/>
      <c r="E93" s="1674"/>
      <c r="F93" s="1674"/>
      <c r="G93" s="1674"/>
      <c r="H93" s="1674"/>
    </row>
    <row r="94" spans="1:8" ht="25.5" customHeight="1" x14ac:dyDescent="0.2">
      <c r="A94" s="1521"/>
      <c r="B94" s="1673"/>
      <c r="C94" s="1674"/>
      <c r="D94" s="1674"/>
      <c r="E94" s="1674"/>
      <c r="F94" s="1674"/>
      <c r="G94" s="1674"/>
      <c r="H94" s="1674"/>
    </row>
    <row r="95" spans="1:8" ht="56.25" customHeight="1" x14ac:dyDescent="0.2">
      <c r="A95" s="1522"/>
      <c r="B95" s="1103"/>
      <c r="C95" s="1104"/>
      <c r="D95" s="1103"/>
      <c r="E95" s="1105"/>
      <c r="F95" s="1105"/>
      <c r="G95" s="1103"/>
      <c r="H95" s="1105"/>
    </row>
    <row r="96" spans="1:8" ht="14.25" customHeight="1" x14ac:dyDescent="0.2">
      <c r="A96" s="796"/>
      <c r="B96" s="1106"/>
      <c r="C96" s="1106"/>
      <c r="D96" s="1106"/>
      <c r="E96" s="1107"/>
      <c r="F96" s="1108"/>
      <c r="G96" s="1109"/>
      <c r="H96" s="1110"/>
    </row>
    <row r="97" spans="1:8" ht="14.25" customHeight="1" x14ac:dyDescent="0.2">
      <c r="A97" s="796"/>
      <c r="B97" s="1106"/>
      <c r="C97" s="1106"/>
      <c r="D97" s="1106"/>
      <c r="E97" s="1107"/>
      <c r="F97" s="1108"/>
      <c r="G97" s="1109"/>
      <c r="H97" s="1110"/>
    </row>
    <row r="98" spans="1:8" ht="14.25" customHeight="1" x14ac:dyDescent="0.2">
      <c r="A98" s="796"/>
      <c r="B98" s="1106"/>
      <c r="C98" s="1106"/>
      <c r="D98" s="1106"/>
      <c r="E98" s="1107"/>
      <c r="F98" s="1108"/>
      <c r="G98" s="1109"/>
      <c r="H98" s="1110"/>
    </row>
    <row r="99" spans="1:8" ht="14.25" customHeight="1" x14ac:dyDescent="0.2">
      <c r="A99" s="796"/>
      <c r="B99" s="1106"/>
      <c r="C99" s="1106"/>
      <c r="D99" s="1106"/>
      <c r="E99" s="1107"/>
      <c r="F99" s="1108"/>
      <c r="G99" s="1109"/>
      <c r="H99" s="1110"/>
    </row>
    <row r="100" spans="1:8" ht="14.25" customHeight="1" x14ac:dyDescent="0.2">
      <c r="A100" s="796"/>
      <c r="B100" s="1106"/>
      <c r="C100" s="1106"/>
      <c r="D100" s="1106"/>
      <c r="E100" s="1107"/>
      <c r="F100" s="1108"/>
      <c r="G100" s="1109"/>
      <c r="H100" s="1110"/>
    </row>
    <row r="101" spans="1:8" ht="14.25" customHeight="1" x14ac:dyDescent="0.2">
      <c r="A101" s="796"/>
      <c r="B101" s="1106"/>
      <c r="C101" s="1106"/>
      <c r="D101" s="1106"/>
      <c r="E101" s="1107"/>
      <c r="F101" s="1108"/>
      <c r="G101" s="1109"/>
      <c r="H101" s="1110"/>
    </row>
    <row r="102" spans="1:8" ht="14.25" customHeight="1" x14ac:dyDescent="0.2">
      <c r="A102" s="796"/>
      <c r="B102" s="1106"/>
      <c r="C102" s="1106"/>
      <c r="D102" s="1106"/>
      <c r="E102" s="1107"/>
      <c r="F102" s="1108"/>
      <c r="G102" s="1109"/>
      <c r="H102" s="1110"/>
    </row>
    <row r="103" spans="1:8" ht="14.25" customHeight="1" x14ac:dyDescent="0.2">
      <c r="A103" s="796"/>
      <c r="B103" s="1106"/>
      <c r="C103" s="1106"/>
      <c r="D103" s="1106"/>
      <c r="E103" s="1107"/>
      <c r="F103" s="1108"/>
      <c r="G103" s="1109"/>
      <c r="H103" s="1110"/>
    </row>
    <row r="104" spans="1:8" ht="14.25" x14ac:dyDescent="0.2">
      <c r="A104" s="796"/>
      <c r="B104" s="1106"/>
      <c r="C104" s="1106"/>
      <c r="D104" s="1106"/>
      <c r="E104" s="1107"/>
      <c r="F104" s="1108"/>
      <c r="G104" s="1109"/>
      <c r="H104" s="1110"/>
    </row>
    <row r="105" spans="1:8" ht="15.75" x14ac:dyDescent="0.2">
      <c r="A105" s="796"/>
      <c r="B105" s="814"/>
      <c r="C105" s="796"/>
      <c r="D105" s="796"/>
      <c r="E105" s="796"/>
      <c r="F105" s="796"/>
      <c r="G105" s="796"/>
      <c r="H105" s="796"/>
    </row>
    <row r="106" spans="1:8" ht="20.25" x14ac:dyDescent="0.3">
      <c r="A106" s="796"/>
      <c r="B106" s="815"/>
      <c r="C106" s="796"/>
      <c r="D106" s="796"/>
      <c r="E106" s="796"/>
      <c r="F106" s="796"/>
      <c r="G106" s="796"/>
      <c r="H106" s="796"/>
    </row>
    <row r="107" spans="1:8" x14ac:dyDescent="0.2">
      <c r="A107" s="796"/>
      <c r="B107" s="796"/>
      <c r="C107" s="796"/>
      <c r="D107" s="796"/>
      <c r="E107" s="796"/>
      <c r="F107" s="796"/>
      <c r="G107" s="796"/>
      <c r="H107" s="796"/>
    </row>
    <row r="108" spans="1:8" x14ac:dyDescent="0.2">
      <c r="A108" s="796"/>
      <c r="B108" s="796"/>
      <c r="C108" s="796"/>
      <c r="D108" s="796"/>
      <c r="E108" s="796"/>
      <c r="F108" s="796"/>
      <c r="G108" s="796"/>
      <c r="H108" s="796"/>
    </row>
    <row r="109" spans="1:8" x14ac:dyDescent="0.2">
      <c r="A109" s="796"/>
      <c r="B109" s="796"/>
      <c r="C109" s="796"/>
      <c r="D109" s="796"/>
      <c r="E109" s="796"/>
      <c r="F109" s="796"/>
      <c r="G109" s="796"/>
      <c r="H109" s="796"/>
    </row>
    <row r="110" spans="1:8" x14ac:dyDescent="0.2">
      <c r="A110" s="796"/>
      <c r="B110" s="796"/>
      <c r="C110" s="796"/>
      <c r="D110" s="796"/>
      <c r="E110" s="796"/>
      <c r="F110" s="796"/>
      <c r="G110" s="796"/>
      <c r="H110" s="796"/>
    </row>
    <row r="111" spans="1:8" x14ac:dyDescent="0.2">
      <c r="A111" s="796"/>
      <c r="B111" s="796"/>
      <c r="C111" s="796"/>
      <c r="D111" s="796"/>
      <c r="E111" s="796"/>
      <c r="F111" s="796"/>
      <c r="G111" s="796"/>
      <c r="H111" s="796"/>
    </row>
    <row r="112" spans="1:8" x14ac:dyDescent="0.2">
      <c r="A112" s="796"/>
      <c r="B112" s="796"/>
      <c r="C112" s="796"/>
      <c r="D112" s="796"/>
      <c r="E112" s="796"/>
      <c r="F112" s="796"/>
      <c r="G112" s="796"/>
      <c r="H112" s="796"/>
    </row>
    <row r="113" spans="1:8" x14ac:dyDescent="0.2">
      <c r="A113" s="796"/>
      <c r="B113" s="796"/>
      <c r="C113" s="796"/>
      <c r="D113" s="796"/>
      <c r="E113" s="796"/>
      <c r="F113" s="796"/>
      <c r="G113" s="796"/>
      <c r="H113" s="796"/>
    </row>
    <row r="114" spans="1:8" x14ac:dyDescent="0.2">
      <c r="A114" s="796"/>
      <c r="B114" s="796"/>
      <c r="C114" s="796"/>
      <c r="D114" s="796"/>
      <c r="E114" s="796"/>
      <c r="F114" s="796"/>
      <c r="G114" s="796"/>
      <c r="H114" s="796"/>
    </row>
    <row r="115" spans="1:8" x14ac:dyDescent="0.2">
      <c r="A115" s="796"/>
      <c r="B115" s="796"/>
      <c r="C115" s="796"/>
      <c r="D115" s="796"/>
      <c r="E115" s="796"/>
      <c r="F115" s="796"/>
      <c r="G115" s="796"/>
      <c r="H115" s="796"/>
    </row>
    <row r="116" spans="1:8" x14ac:dyDescent="0.2">
      <c r="A116" s="796"/>
      <c r="B116" s="796"/>
      <c r="C116" s="796"/>
      <c r="D116" s="796"/>
      <c r="E116" s="796"/>
      <c r="F116" s="796"/>
      <c r="G116" s="796"/>
      <c r="H116" s="796"/>
    </row>
    <row r="117" spans="1:8" x14ac:dyDescent="0.2">
      <c r="A117" s="796"/>
      <c r="B117" s="796"/>
      <c r="C117" s="796"/>
      <c r="D117" s="796"/>
      <c r="E117" s="796"/>
      <c r="F117" s="796"/>
      <c r="G117" s="796"/>
      <c r="H117" s="796"/>
    </row>
  </sheetData>
  <mergeCells count="9">
    <mergeCell ref="B79:H79"/>
    <mergeCell ref="B93:H93"/>
    <mergeCell ref="B94:H94"/>
    <mergeCell ref="B2:H3"/>
    <mergeCell ref="R25:S25"/>
    <mergeCell ref="R26:S26"/>
    <mergeCell ref="B63:H63"/>
    <mergeCell ref="B64:H64"/>
    <mergeCell ref="B78:H78"/>
  </mergeCells>
  <printOptions horizontalCentered="1"/>
  <pageMargins left="0.5" right="0.5" top="1" bottom="0.5" header="0.3" footer="0.511811023622047"/>
  <pageSetup paperSize="9" scale="34"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100</vt:i4>
      </vt:variant>
      <vt:variant>
        <vt:lpstr>Named Ranges</vt:lpstr>
      </vt:variant>
      <vt:variant>
        <vt:i4>87</vt:i4>
      </vt:variant>
    </vt:vector>
  </HeadingPairs>
  <TitlesOfParts>
    <vt:vector size="187" baseType="lpstr">
      <vt:lpstr>Butchery</vt:lpstr>
      <vt:lpstr>All_Ingredients</vt:lpstr>
      <vt:lpstr>Marination_Ordering</vt:lpstr>
      <vt:lpstr>Cutting_Shapes_Ordering</vt:lpstr>
      <vt:lpstr>Curry Chicken</vt:lpstr>
      <vt:lpstr>Kabsa Lahm</vt:lpstr>
      <vt:lpstr>Pan Fried Fish</vt:lpstr>
      <vt:lpstr>Beef Chilli Dry</vt:lpstr>
      <vt:lpstr>Meat with Bamiya</vt:lpstr>
      <vt:lpstr>Chinese Chicken</vt:lpstr>
      <vt:lpstr>Herbal Chicken</vt:lpstr>
      <vt:lpstr>Asian Chicken Sandwich</vt:lpstr>
      <vt:lpstr>Jollof Sauce</vt:lpstr>
      <vt:lpstr>Arabic Chicken Burger</vt:lpstr>
      <vt:lpstr>Chicken Mandi (1)</vt:lpstr>
      <vt:lpstr>Asian Potato Cubes</vt:lpstr>
      <vt:lpstr>Herbal Potato Wedges</vt:lpstr>
      <vt:lpstr>Spaghetti pasta</vt:lpstr>
      <vt:lpstr>Sautee Vegetables (1)</vt:lpstr>
      <vt:lpstr>Mached Potato(1)</vt:lpstr>
      <vt:lpstr>Chicken Alfredo</vt:lpstr>
      <vt:lpstr>Fettuccine Pasta Sauce</vt:lpstr>
      <vt:lpstr>Blankwet Fish</vt:lpstr>
      <vt:lpstr>Coconut Chicken</vt:lpstr>
      <vt:lpstr>Chicken 65</vt:lpstr>
      <vt:lpstr>Mkhtoum Lahm</vt:lpstr>
      <vt:lpstr>BBQ Chicken Skewers</vt:lpstr>
      <vt:lpstr>Meat Mashroom</vt:lpstr>
      <vt:lpstr>Beef Burger BBQ</vt:lpstr>
      <vt:lpstr>Honey Chicken Burger</vt:lpstr>
      <vt:lpstr>Beef Zurbian</vt:lpstr>
      <vt:lpstr>Grilled Vegetables(2)</vt:lpstr>
      <vt:lpstr>Almond Chicken</vt:lpstr>
      <vt:lpstr>Chicken Pasta with Vegetable</vt:lpstr>
      <vt:lpstr>Pasta with Vegetable(Pasta)</vt:lpstr>
      <vt:lpstr>Changezi Chicken</vt:lpstr>
      <vt:lpstr>Daoud Basha</vt:lpstr>
      <vt:lpstr>Fish with cream</vt:lpstr>
      <vt:lpstr>Moussaka Vegi</vt:lpstr>
      <vt:lpstr>Moussaka Meat</vt:lpstr>
      <vt:lpstr>Laham Oriental</vt:lpstr>
      <vt:lpstr>Beef Oriental rice</vt:lpstr>
      <vt:lpstr>Chicken Saleeq (3)</vt:lpstr>
      <vt:lpstr>Chicken Mandi (3)</vt:lpstr>
      <vt:lpstr>Chicken Caesar Salad</vt:lpstr>
      <vt:lpstr>Smoky Beef Burger</vt:lpstr>
      <vt:lpstr>Chicken Fajita</vt:lpstr>
      <vt:lpstr>Mached Potato(3)</vt:lpstr>
      <vt:lpstr>Potato Wedges</vt:lpstr>
      <vt:lpstr>Oven Vegetables (3)</vt:lpstr>
      <vt:lpstr>Chicken Steak Sauce</vt:lpstr>
      <vt:lpstr>Chicken Steak Topping</vt:lpstr>
      <vt:lpstr>Chicken Mushroom</vt:lpstr>
      <vt:lpstr>Stroganoff Beef</vt:lpstr>
      <vt:lpstr>Stroganoff pasta</vt:lpstr>
      <vt:lpstr>Beef Amansi</vt:lpstr>
      <vt:lpstr>Chicken Tikka</vt:lpstr>
      <vt:lpstr>Lahm Fasooliya</vt:lpstr>
      <vt:lpstr>Lemon Fish</vt:lpstr>
      <vt:lpstr>Orzo Pasta</vt:lpstr>
      <vt:lpstr>Octa Poki Bowl</vt:lpstr>
      <vt:lpstr>Chicken Makloba</vt:lpstr>
      <vt:lpstr>Makloba Veggi</vt:lpstr>
      <vt:lpstr>BBQ Chicken</vt:lpstr>
      <vt:lpstr>Classic Chicken Burger</vt:lpstr>
      <vt:lpstr>Chicken Noodles</vt:lpstr>
      <vt:lpstr>Noodles</vt:lpstr>
      <vt:lpstr>Noodles Veggie</vt:lpstr>
      <vt:lpstr>Mached Potato(4)</vt:lpstr>
      <vt:lpstr>Sautee Vegetables (4)</vt:lpstr>
      <vt:lpstr>Oriental Vegetables</vt:lpstr>
      <vt:lpstr>Sriracha Chicken</vt:lpstr>
      <vt:lpstr>Butter Chicken</vt:lpstr>
      <vt:lpstr>Meat Kebab</vt:lpstr>
      <vt:lpstr>Curry Fish</vt:lpstr>
      <vt:lpstr>Kebab Hindi</vt:lpstr>
      <vt:lpstr>Pizziola Chicken</vt:lpstr>
      <vt:lpstr>Lahm Bolognese</vt:lpstr>
      <vt:lpstr>Lasagne Bachamel</vt:lpstr>
      <vt:lpstr>Beef Lasagne Sauce</vt:lpstr>
      <vt:lpstr>Chicken Burger BBQ</vt:lpstr>
      <vt:lpstr>Oriental Chicken</vt:lpstr>
      <vt:lpstr>Beef Bokhary</vt:lpstr>
      <vt:lpstr>Beef philly cheese steak</vt:lpstr>
      <vt:lpstr>Spaghetti pasta (2)</vt:lpstr>
      <vt:lpstr>Grilled Vegetables(5)</vt:lpstr>
      <vt:lpstr>Sigapore Vegetables</vt:lpstr>
      <vt:lpstr>Mexican Vegetables</vt:lpstr>
      <vt:lpstr>Pink Chicken</vt:lpstr>
      <vt:lpstr>Ginger Chicken</vt:lpstr>
      <vt:lpstr>French Meatball</vt:lpstr>
      <vt:lpstr>Singapore Chicken</vt:lpstr>
      <vt:lpstr>Fish with Shabat and Lemon</vt:lpstr>
      <vt:lpstr>Chicken Molokeya</vt:lpstr>
      <vt:lpstr>Beef Kebab Sandwich</vt:lpstr>
      <vt:lpstr>Beef Burger Arabic</vt:lpstr>
      <vt:lpstr>Chicken Saleeq (6)</vt:lpstr>
      <vt:lpstr>Beef Kabli</vt:lpstr>
      <vt:lpstr>Spaghetti pasta (3)</vt:lpstr>
      <vt:lpstr>Oven Vegetables (6)</vt:lpstr>
      <vt:lpstr>'Almond Chicken'!Print_Area</vt:lpstr>
      <vt:lpstr>'Arabic Chicken Burger'!Print_Area</vt:lpstr>
      <vt:lpstr>'Asian Chicken Sandwich'!Print_Area</vt:lpstr>
      <vt:lpstr>'Asian Potato Cubes'!Print_Area</vt:lpstr>
      <vt:lpstr>'BBQ Chicken'!Print_Area</vt:lpstr>
      <vt:lpstr>'BBQ Chicken Skewers'!Print_Area</vt:lpstr>
      <vt:lpstr>'Beef Amansi'!Print_Area</vt:lpstr>
      <vt:lpstr>'Beef Bokhary'!Print_Area</vt:lpstr>
      <vt:lpstr>'Beef Burger Arabic'!Print_Area</vt:lpstr>
      <vt:lpstr>'Beef Burger BBQ'!Print_Area</vt:lpstr>
      <vt:lpstr>'Beef Chilli Dry'!Print_Area</vt:lpstr>
      <vt:lpstr>'Beef Kabli'!Print_Area</vt:lpstr>
      <vt:lpstr>'Beef Kebab Sandwich'!Print_Area</vt:lpstr>
      <vt:lpstr>'Beef Lasagne Sauce'!Print_Area</vt:lpstr>
      <vt:lpstr>'Beef Oriental rice'!Print_Area</vt:lpstr>
      <vt:lpstr>'Beef philly cheese steak'!Print_Area</vt:lpstr>
      <vt:lpstr>'Beef Zurbian'!Print_Area</vt:lpstr>
      <vt:lpstr>'Blankwet Fish'!Print_Area</vt:lpstr>
      <vt:lpstr>Butchery!Print_Area</vt:lpstr>
      <vt:lpstr>'Butter Chicken'!Print_Area</vt:lpstr>
      <vt:lpstr>'Changezi Chicken'!Print_Area</vt:lpstr>
      <vt:lpstr>'Chicken 65'!Print_Area</vt:lpstr>
      <vt:lpstr>'Chicken Alfredo'!Print_Area</vt:lpstr>
      <vt:lpstr>'Chicken Burger BBQ'!Print_Area</vt:lpstr>
      <vt:lpstr>'Chicken Fajita'!Print_Area</vt:lpstr>
      <vt:lpstr>'Chicken Makloba'!Print_Area</vt:lpstr>
      <vt:lpstr>'Chicken Mandi (1)'!Print_Area</vt:lpstr>
      <vt:lpstr>'Chicken Mandi (3)'!Print_Area</vt:lpstr>
      <vt:lpstr>'Chicken Molokeya'!Print_Area</vt:lpstr>
      <vt:lpstr>'Chicken Mushroom'!Print_Area</vt:lpstr>
      <vt:lpstr>'Chicken Noodles'!Print_Area</vt:lpstr>
      <vt:lpstr>'Chicken Pasta with Vegetable'!Print_Area</vt:lpstr>
      <vt:lpstr>'Chicken Saleeq (3)'!Print_Area</vt:lpstr>
      <vt:lpstr>'Chicken Saleeq (6)'!Print_Area</vt:lpstr>
      <vt:lpstr>'Chicken Steak Sauce'!Print_Area</vt:lpstr>
      <vt:lpstr>'Chicken Steak Topping'!Print_Area</vt:lpstr>
      <vt:lpstr>'Chicken Tikka'!Print_Area</vt:lpstr>
      <vt:lpstr>'Chinese Chicken'!Print_Area</vt:lpstr>
      <vt:lpstr>'Classic Chicken Burger'!Print_Area</vt:lpstr>
      <vt:lpstr>'Coconut Chicken'!Print_Area</vt:lpstr>
      <vt:lpstr>'Curry Chicken'!Print_Area</vt:lpstr>
      <vt:lpstr>'Curry Fish'!Print_Area</vt:lpstr>
      <vt:lpstr>'Daoud Basha'!Print_Area</vt:lpstr>
      <vt:lpstr>'Fettuccine Pasta Sauce'!Print_Area</vt:lpstr>
      <vt:lpstr>'Fish with cream'!Print_Area</vt:lpstr>
      <vt:lpstr>'Fish with Shabat and Lemon'!Print_Area</vt:lpstr>
      <vt:lpstr>'French Meatball'!Print_Area</vt:lpstr>
      <vt:lpstr>'Ginger Chicken'!Print_Area</vt:lpstr>
      <vt:lpstr>'Grilled Vegetables(2)'!Print_Area</vt:lpstr>
      <vt:lpstr>'Grilled Vegetables(5)'!Print_Area</vt:lpstr>
      <vt:lpstr>'Herbal Chicken'!Print_Area</vt:lpstr>
      <vt:lpstr>'Herbal Potato Wedges'!Print_Area</vt:lpstr>
      <vt:lpstr>'Honey Chicken Burger'!Print_Area</vt:lpstr>
      <vt:lpstr>'Kabsa Lahm'!Print_Area</vt:lpstr>
      <vt:lpstr>'Kebab Hindi'!Print_Area</vt:lpstr>
      <vt:lpstr>'Laham Oriental'!Print_Area</vt:lpstr>
      <vt:lpstr>'Lahm Bolognese'!Print_Area</vt:lpstr>
      <vt:lpstr>'Lahm Fasooliya'!Print_Area</vt:lpstr>
      <vt:lpstr>'Lasagne Bachamel'!Print_Area</vt:lpstr>
      <vt:lpstr>'Lemon Fish'!Print_Area</vt:lpstr>
      <vt:lpstr>'Mached Potato(1)'!Print_Area</vt:lpstr>
      <vt:lpstr>'Mached Potato(3)'!Print_Area</vt:lpstr>
      <vt:lpstr>'Mached Potato(4)'!Print_Area</vt:lpstr>
      <vt:lpstr>'Meat Kebab'!Print_Area</vt:lpstr>
      <vt:lpstr>'Meat Mashroom'!Print_Area</vt:lpstr>
      <vt:lpstr>'Meat with Bamiya'!Print_Area</vt:lpstr>
      <vt:lpstr>'Mkhtoum Lahm'!Print_Area</vt:lpstr>
      <vt:lpstr>'Moussaka Meat'!Print_Area</vt:lpstr>
      <vt:lpstr>'Moussaka Vegi'!Print_Area</vt:lpstr>
      <vt:lpstr>'Noodles Veggie'!Print_Area</vt:lpstr>
      <vt:lpstr>'Octa Poki Bowl'!Print_Area</vt:lpstr>
      <vt:lpstr>'Oriental Chicken'!Print_Area</vt:lpstr>
      <vt:lpstr>'Orzo Pasta'!Print_Area</vt:lpstr>
      <vt:lpstr>'Oven Vegetables (3)'!Print_Area</vt:lpstr>
      <vt:lpstr>'Oven Vegetables (6)'!Print_Area</vt:lpstr>
      <vt:lpstr>'Pan Fried Fish'!Print_Area</vt:lpstr>
      <vt:lpstr>'Pasta with Vegetable(Pasta)'!Print_Area</vt:lpstr>
      <vt:lpstr>'Pink Chicken'!Print_Area</vt:lpstr>
      <vt:lpstr>'Pizziola Chicken'!Print_Area</vt:lpstr>
      <vt:lpstr>'Potato Wedges'!Print_Area</vt:lpstr>
      <vt:lpstr>'Sautee Vegetables (1)'!Print_Area</vt:lpstr>
      <vt:lpstr>'Sautee Vegetables (4)'!Print_Area</vt:lpstr>
      <vt:lpstr>'Singapore Chicken'!Print_Area</vt:lpstr>
      <vt:lpstr>'Smoky Beef Burger'!Print_Area</vt:lpstr>
      <vt:lpstr>'Sriracha Chicken'!Print_Area</vt:lpstr>
      <vt:lpstr>'Stroganoff Beef'!Print_Area</vt:lpstr>
      <vt:lpstr>'Stroganoff pasta'!Print_Area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Amira Fathy</dc:creator>
  <cp:lastModifiedBy>Amira Fathy</cp:lastModifiedBy>
  <cp:revision>0</cp:revision>
  <cp:lastPrinted>2026-08-13T21:25:31Z</cp:lastPrinted>
  <dcterms:created xsi:type="dcterms:W3CDTF">2025-11-16T19:56:38Z</dcterms:created>
  <dcterms:modified xsi:type="dcterms:W3CDTF">2026-08-15T13:26:51Z</dcterms:modified>
  <dc:language>en-US</dc:language>
</cp:coreProperties>
</file>